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465"/>
  </bookViews>
  <sheets>
    <sheet name="ALA File 081419" sheetId="1" r:id="rId1"/>
  </sheets>
  <definedNames>
    <definedName name="updated_ALA_rpt__081419" localSheetId="0">'ALA File 081419'!$A$2:$CP$2209</definedName>
  </definedNames>
  <calcPr calcId="145621"/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3" i="1"/>
  <c r="B132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6" i="1"/>
  <c r="B7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8" i="1"/>
  <c r="B9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3" i="1"/>
  <c r="B421" i="1"/>
  <c r="B422" i="1"/>
  <c r="B423" i="1"/>
  <c r="B424" i="1"/>
  <c r="B425" i="1"/>
  <c r="B426" i="1"/>
  <c r="B430" i="1"/>
  <c r="B427" i="1"/>
  <c r="B428" i="1"/>
  <c r="B429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7" i="1"/>
  <c r="B449" i="1"/>
  <c r="B452" i="1"/>
  <c r="B446" i="1"/>
  <c r="B448" i="1"/>
  <c r="B450" i="1"/>
  <c r="B451" i="1"/>
  <c r="B454" i="1"/>
  <c r="B456" i="1"/>
  <c r="B457" i="1"/>
  <c r="B458" i="1"/>
  <c r="B459" i="1"/>
  <c r="B453" i="1"/>
  <c r="B455" i="1"/>
  <c r="B460" i="1"/>
  <c r="B461" i="1"/>
  <c r="B464" i="1"/>
  <c r="B465" i="1"/>
  <c r="B462" i="1"/>
  <c r="B463" i="1"/>
  <c r="B466" i="1"/>
  <c r="B467" i="1"/>
  <c r="B468" i="1"/>
  <c r="B469" i="1"/>
  <c r="B4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7" i="1"/>
  <c r="B492" i="1"/>
  <c r="B493" i="1"/>
  <c r="B494" i="1"/>
  <c r="B495" i="1"/>
  <c r="B496" i="1"/>
  <c r="B498" i="1"/>
  <c r="B501" i="1"/>
  <c r="B499" i="1"/>
  <c r="B500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9" i="1"/>
  <c r="B528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4" i="1"/>
  <c r="B561" i="1"/>
  <c r="B562" i="1"/>
  <c r="B563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22" i="1"/>
  <c r="B917" i="1"/>
  <c r="B918" i="1"/>
  <c r="B919" i="1"/>
  <c r="B920" i="1"/>
  <c r="B921" i="1"/>
  <c r="B936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7" i="1"/>
  <c r="B938" i="1"/>
  <c r="B939" i="1"/>
  <c r="B940" i="1"/>
  <c r="B941" i="1"/>
  <c r="B942" i="1"/>
  <c r="B943" i="1"/>
  <c r="B944" i="1"/>
  <c r="B952" i="1"/>
  <c r="B945" i="1"/>
  <c r="B946" i="1"/>
  <c r="B947" i="1"/>
  <c r="B948" i="1"/>
  <c r="B949" i="1"/>
  <c r="B950" i="1"/>
  <c r="B951" i="1"/>
  <c r="B953" i="1"/>
  <c r="B954" i="1"/>
  <c r="B955" i="1"/>
  <c r="B956" i="1"/>
  <c r="B957" i="1"/>
  <c r="B958" i="1"/>
  <c r="B959" i="1"/>
  <c r="B960" i="1"/>
  <c r="B961" i="1"/>
  <c r="B964" i="1"/>
  <c r="B962" i="1"/>
  <c r="B963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" i="1"/>
  <c r="B11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1" i="1"/>
  <c r="B1382" i="1"/>
  <c r="B1380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9" i="1"/>
  <c r="B1400" i="1"/>
  <c r="B1402" i="1"/>
  <c r="B1403" i="1"/>
  <c r="B1410" i="1"/>
  <c r="B1396" i="1"/>
  <c r="B1397" i="1"/>
  <c r="B1398" i="1"/>
  <c r="B1401" i="1"/>
  <c r="B1404" i="1"/>
  <c r="B1405" i="1"/>
  <c r="B1406" i="1"/>
  <c r="B1407" i="1"/>
  <c r="B1408" i="1"/>
  <c r="B1409" i="1"/>
  <c r="B1411" i="1"/>
  <c r="B1412" i="1"/>
  <c r="B1413" i="1"/>
  <c r="B1414" i="1"/>
  <c r="B1415" i="1"/>
  <c r="B1416" i="1"/>
  <c r="B1417" i="1"/>
  <c r="B1418" i="1"/>
  <c r="B1424" i="1"/>
  <c r="B1419" i="1"/>
  <c r="B1420" i="1"/>
  <c r="B1421" i="1"/>
  <c r="B1422" i="1"/>
  <c r="B1423" i="1"/>
  <c r="B1425" i="1"/>
  <c r="B1426" i="1"/>
  <c r="B1429" i="1"/>
  <c r="B1427" i="1"/>
  <c r="B1428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54" i="1"/>
  <c r="B1447" i="1"/>
  <c r="B1448" i="1"/>
  <c r="B1449" i="1"/>
  <c r="B1450" i="1"/>
  <c r="B1451" i="1"/>
  <c r="B1452" i="1"/>
  <c r="B1453" i="1"/>
  <c r="B1461" i="1"/>
  <c r="B1455" i="1"/>
  <c r="B1456" i="1"/>
  <c r="B1457" i="1"/>
  <c r="B1458" i="1"/>
  <c r="B1459" i="1"/>
  <c r="B1460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8" i="1"/>
  <c r="B1549" i="1"/>
  <c r="B1550" i="1"/>
  <c r="B1540" i="1"/>
  <c r="B1541" i="1"/>
  <c r="B1542" i="1"/>
  <c r="B1543" i="1"/>
  <c r="B1544" i="1"/>
  <c r="B1545" i="1"/>
  <c r="B1546" i="1"/>
  <c r="B1547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2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7" i="1"/>
  <c r="B1844" i="1"/>
  <c r="B1845" i="1"/>
  <c r="B1846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51" i="1"/>
  <c r="B2049" i="1"/>
  <c r="B2050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</calcChain>
</file>

<file path=xl/connections.xml><?xml version="1.0" encoding="utf-8"?>
<connections xmlns="http://schemas.openxmlformats.org/spreadsheetml/2006/main">
  <connection id="1" name="updated ALA rpt  081419" type="6" refreshedVersion="4" background="1" saveData="1">
    <textPr codePage="437" sourceFile="H:\reports\updated ALA rpt  081419.csv" delimiter="|">
      <textFields count="9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<sst xmlns="http://schemas.openxmlformats.org/spreadsheetml/2006/main" count="66447" uniqueCount="7652">
  <si>
    <t>Item SKU</t>
  </si>
  <si>
    <t>UPC</t>
  </si>
  <si>
    <t>Product Name</t>
  </si>
  <si>
    <t>Short Description</t>
  </si>
  <si>
    <t>Theme</t>
  </si>
  <si>
    <t>Category</t>
  </si>
  <si>
    <t>Unit Increment</t>
  </si>
  <si>
    <t>Order Minimum</t>
  </si>
  <si>
    <t>Order UOM</t>
  </si>
  <si>
    <t>Wholesale Price</t>
  </si>
  <si>
    <t>Retail Price</t>
  </si>
  <si>
    <t>Sale Price</t>
  </si>
  <si>
    <t>IMAP</t>
  </si>
  <si>
    <t>IMAP Price</t>
  </si>
  <si>
    <t>UMAP</t>
  </si>
  <si>
    <t>UMAP Price</t>
  </si>
  <si>
    <t>UMRP</t>
  </si>
  <si>
    <t>UMRP Price</t>
  </si>
  <si>
    <t>Height</t>
  </si>
  <si>
    <t>Length</t>
  </si>
  <si>
    <t>Width</t>
  </si>
  <si>
    <t>Extends</t>
  </si>
  <si>
    <t>Weight</t>
  </si>
  <si>
    <t>Cartons Per Unit</t>
  </si>
  <si>
    <t>Carton Height</t>
  </si>
  <si>
    <t>Carton Length</t>
  </si>
  <si>
    <t>Carton Width</t>
  </si>
  <si>
    <t>Carton Cubic Feet</t>
  </si>
  <si>
    <t>Gross Weight</t>
  </si>
  <si>
    <t>Voltage</t>
  </si>
  <si>
    <t>Number of Bulbs</t>
  </si>
  <si>
    <t>Type of Bulbs</t>
  </si>
  <si>
    <t>Max Wattage</t>
  </si>
  <si>
    <t>Number of Bulbs2</t>
  </si>
  <si>
    <t>Type of Bulbs2</t>
  </si>
  <si>
    <t>Max_Wattage2</t>
  </si>
  <si>
    <t>Bulb Included</t>
  </si>
  <si>
    <t>Number of Arms</t>
  </si>
  <si>
    <t>CSA</t>
  </si>
  <si>
    <t>ETL</t>
  </si>
  <si>
    <t>UL</t>
  </si>
  <si>
    <t>Shipped Via</t>
  </si>
  <si>
    <t>Status</t>
  </si>
  <si>
    <t>Status Date</t>
  </si>
  <si>
    <t>Master Pack Barcode</t>
  </si>
  <si>
    <t>Ranking</t>
  </si>
  <si>
    <t>Sales Price Info</t>
  </si>
  <si>
    <t>Energy Star</t>
  </si>
  <si>
    <t>Designer</t>
  </si>
  <si>
    <t>Finish</t>
  </si>
  <si>
    <t>Special Features</t>
  </si>
  <si>
    <t>Style</t>
  </si>
  <si>
    <t>Style Category</t>
  </si>
  <si>
    <t>Shade</t>
  </si>
  <si>
    <t>Glass</t>
  </si>
  <si>
    <t>Crystal</t>
  </si>
  <si>
    <t>Long description</t>
  </si>
  <si>
    <t>Image Name</t>
  </si>
  <si>
    <t>Dark Sky</t>
  </si>
  <si>
    <t>ADA</t>
  </si>
  <si>
    <t>Title 24</t>
  </si>
  <si>
    <t>Outdoor Listed</t>
  </si>
  <si>
    <t>Environment Location</t>
  </si>
  <si>
    <t>Install Position</t>
  </si>
  <si>
    <t>Backplate Width</t>
  </si>
  <si>
    <t>Backplate Height</t>
  </si>
  <si>
    <t>Backplate Diameter</t>
  </si>
  <si>
    <t>Backplate Length</t>
  </si>
  <si>
    <t>Canopy Plate Diameter</t>
  </si>
  <si>
    <t>Canopy Plate Height</t>
  </si>
  <si>
    <t>Canopy Plate Length</t>
  </si>
  <si>
    <t>Canopy Plate Width</t>
  </si>
  <si>
    <t>Downrod 1 Length</t>
  </si>
  <si>
    <t>Downrod 2 Length</t>
  </si>
  <si>
    <t>Downrod Width</t>
  </si>
  <si>
    <t>Blade Pitch</t>
  </si>
  <si>
    <t>Light Kit Included</t>
  </si>
  <si>
    <t>Blade Finish</t>
  </si>
  <si>
    <t>Base Item Number 1</t>
  </si>
  <si>
    <t>Finish Category</t>
  </si>
  <si>
    <t>rpm</t>
  </si>
  <si>
    <t>amps</t>
  </si>
  <si>
    <t>watts</t>
  </si>
  <si>
    <t>Hight CFM</t>
  </si>
  <si>
    <t>Color Temp</t>
  </si>
  <si>
    <t>cri</t>
  </si>
  <si>
    <t>Initial Lumens</t>
  </si>
  <si>
    <t>Delivered Lumens</t>
  </si>
  <si>
    <t>Rated Life Hours</t>
  </si>
  <si>
    <t>Dimmable</t>
  </si>
  <si>
    <t>Slope</t>
  </si>
  <si>
    <t>Material</t>
  </si>
  <si>
    <t>Initial Date</t>
  </si>
  <si>
    <t>Last Update</t>
  </si>
  <si>
    <t>10031-0</t>
  </si>
  <si>
    <t>1 LIGHT TABLE LAMP</t>
  </si>
  <si>
    <t>PORTABLE LAMPS</t>
  </si>
  <si>
    <t>EA</t>
  </si>
  <si>
    <t>N</t>
  </si>
  <si>
    <t>Y</t>
  </si>
  <si>
    <t>UPS</t>
  </si>
  <si>
    <t>A</t>
  </si>
  <si>
    <t>TRANSITIONAL</t>
  </si>
  <si>
    <t>10031-0.JPG</t>
  </si>
  <si>
    <t>10033-0</t>
  </si>
  <si>
    <t>10033-0.JPG</t>
  </si>
  <si>
    <t>10036-0</t>
  </si>
  <si>
    <t>10036-0.JPG</t>
  </si>
  <si>
    <t>10037-0</t>
  </si>
  <si>
    <t>10037-0.JPG</t>
  </si>
  <si>
    <t>DRY</t>
  </si>
  <si>
    <t>10038-0</t>
  </si>
  <si>
    <t>TABLE LAMP</t>
  </si>
  <si>
    <t>10038-0.JPG</t>
  </si>
  <si>
    <t>10040-0</t>
  </si>
  <si>
    <t>10040-0.JPG</t>
  </si>
  <si>
    <t>10056-0</t>
  </si>
  <si>
    <t>WHITE</t>
  </si>
  <si>
    <t>10056-0.JPG</t>
  </si>
  <si>
    <t>1007-44-PL</t>
  </si>
  <si>
    <t>2 LIGHT KITCHEN FLUORESCENT FLUSH MOUNT</t>
  </si>
  <si>
    <t>2 LIGHT FLUORESCENT</t>
  </si>
  <si>
    <t>ENERGY STAR WALL SCONCES</t>
  </si>
  <si>
    <t>T8-32W,G13,FLUORESCENT TUBE</t>
  </si>
  <si>
    <t>TRADITIONAL</t>
  </si>
  <si>
    <t>ACRYLIC</t>
  </si>
  <si>
    <t>1007-44-PL.JPG</t>
  </si>
  <si>
    <t>DAMP</t>
  </si>
  <si>
    <t>DOWN</t>
  </si>
  <si>
    <t>STEEL+ACRYLIC LENS</t>
  </si>
  <si>
    <t>1008-44-PL</t>
  </si>
  <si>
    <t>4 LIGHT KITCHEN FLUORESCENT FLUSH MOUNT</t>
  </si>
  <si>
    <t>4 LIGHT FLUORESCENT</t>
  </si>
  <si>
    <t>FROSTED WHITE</t>
  </si>
  <si>
    <t>1008-44-PL.JPG</t>
  </si>
  <si>
    <t>10103-0</t>
  </si>
  <si>
    <t>10103-0.JPG</t>
  </si>
  <si>
    <t>10104-0</t>
  </si>
  <si>
    <t>10104-0.JPG</t>
  </si>
  <si>
    <t>10122-0</t>
  </si>
  <si>
    <t>10122-0.JPG</t>
  </si>
  <si>
    <t>1013-44-PL</t>
  </si>
  <si>
    <t>DECORATIVE FLOURESCENT VANITY PUFF</t>
  </si>
  <si>
    <t>UTILITY LIGHT</t>
  </si>
  <si>
    <t>ENERGY STAR FLUSHMOUNT</t>
  </si>
  <si>
    <t>T8-17W,G13,FLUORESCENT TUBE</t>
  </si>
  <si>
    <t>1013-44-PL.JPG</t>
  </si>
  <si>
    <t>10165-0</t>
  </si>
  <si>
    <t>10165-0.JPG</t>
  </si>
  <si>
    <t>10166-0</t>
  </si>
  <si>
    <t>10166-0.JPG</t>
  </si>
  <si>
    <t>10170-0</t>
  </si>
  <si>
    <t>10170-0.JPG</t>
  </si>
  <si>
    <t>10171-0</t>
  </si>
  <si>
    <t>10171-0.JPG</t>
  </si>
  <si>
    <t>10174-0</t>
  </si>
  <si>
    <t>10174-0.JPG</t>
  </si>
  <si>
    <t>10178-0</t>
  </si>
  <si>
    <t>10178-0.JPG</t>
  </si>
  <si>
    <t>10190-0</t>
  </si>
  <si>
    <t>10190-0.JPG</t>
  </si>
  <si>
    <t>10191-0</t>
  </si>
  <si>
    <t>1 LT TABLE LAMP</t>
  </si>
  <si>
    <t>A21</t>
  </si>
  <si>
    <t>BLACK</t>
  </si>
  <si>
    <t>10191-0.JPG</t>
  </si>
  <si>
    <t>MDF</t>
  </si>
  <si>
    <t>10194-0</t>
  </si>
  <si>
    <t>10194-0.JPG</t>
  </si>
  <si>
    <t>1020-44-PL</t>
  </si>
  <si>
    <t>1 LIGHT KITCHEN FLUORESCENT FLUSH MOUNT</t>
  </si>
  <si>
    <t>1 LIGHT FLUORESCENT</t>
  </si>
  <si>
    <t>1020-44-PL.JPG</t>
  </si>
  <si>
    <t>10207-0</t>
  </si>
  <si>
    <t>10207-0.JPG</t>
  </si>
  <si>
    <t>1022-44-PL</t>
  </si>
  <si>
    <t>T9-40W,CIRCULAR(G10q,4-PIN)</t>
  </si>
  <si>
    <t>1022-44-PL.JPG</t>
  </si>
  <si>
    <t>STEEL+ACRYLIC</t>
  </si>
  <si>
    <t>10241-0</t>
  </si>
  <si>
    <t>HAND PAINTED AS KEEPING SAMPLE</t>
  </si>
  <si>
    <t>10241-0.JPG</t>
  </si>
  <si>
    <t>10309-0</t>
  </si>
  <si>
    <t>10309-0.JPG</t>
  </si>
  <si>
    <t>10360-0</t>
  </si>
  <si>
    <t>10360-0.JPG</t>
  </si>
  <si>
    <t>10361-0</t>
  </si>
  <si>
    <t>10361-0.JPG</t>
  </si>
  <si>
    <t>10373-0</t>
  </si>
  <si>
    <t>BROWN WOOD LOOK</t>
  </si>
  <si>
    <t>10373-0.JPG</t>
  </si>
  <si>
    <t>10513-0</t>
  </si>
  <si>
    <t>10513-0.JPG</t>
  </si>
  <si>
    <t>10693-192</t>
  </si>
  <si>
    <t>1 LIGHT LED TABLE LAMP</t>
  </si>
  <si>
    <t>A21, MED LED BULB</t>
  </si>
  <si>
    <t>WEATHERED LATTICE</t>
  </si>
  <si>
    <t>FABRIC</t>
  </si>
  <si>
    <t>GOLD</t>
  </si>
  <si>
    <t>10693-192.JPG</t>
  </si>
  <si>
    <t>POLY</t>
  </si>
  <si>
    <t>10821-0</t>
  </si>
  <si>
    <t>A21,MED LED BULB</t>
  </si>
  <si>
    <t>BROWN/GOLD</t>
  </si>
  <si>
    <t>10821-0.JPG</t>
  </si>
  <si>
    <t>10824-0</t>
  </si>
  <si>
    <t>ANTIQUE GOLD</t>
  </si>
  <si>
    <t>10824-0.JPG</t>
  </si>
  <si>
    <t>10832-0</t>
  </si>
  <si>
    <t>10832-0.JPG</t>
  </si>
  <si>
    <t>10853-0</t>
  </si>
  <si>
    <t>10853-0.JPG</t>
  </si>
  <si>
    <t>10855-0</t>
  </si>
  <si>
    <t>10855-0.JPG</t>
  </si>
  <si>
    <t>10865-0</t>
  </si>
  <si>
    <t>1 LT BROWN GLASS TABLE LAMP</t>
  </si>
  <si>
    <t>10865-0.JPG</t>
  </si>
  <si>
    <t>10865-2</t>
  </si>
  <si>
    <t>1 LT PURPLE GLASS TABLE LAMP</t>
  </si>
  <si>
    <t>10865-2.JPG</t>
  </si>
  <si>
    <t>10878-0</t>
  </si>
  <si>
    <t>10878-0.JPG</t>
  </si>
  <si>
    <t>10879-0</t>
  </si>
  <si>
    <t>10879-0.JPG</t>
  </si>
  <si>
    <t>10998-0</t>
  </si>
  <si>
    <t>A19</t>
  </si>
  <si>
    <t>BROWN</t>
  </si>
  <si>
    <t>10998-0.JPG</t>
  </si>
  <si>
    <t>11000-0</t>
  </si>
  <si>
    <t>11000-0.JPG</t>
  </si>
  <si>
    <t>1 LIGHT WALL SCONCE</t>
  </si>
  <si>
    <t>RAIDEN</t>
  </si>
  <si>
    <t>WALL SCONCES</t>
  </si>
  <si>
    <t>A19 MED</t>
  </si>
  <si>
    <t>IRON OXIDE</t>
  </si>
  <si>
    <t>GLASS</t>
  </si>
  <si>
    <t>UP</t>
  </si>
  <si>
    <t>STEEL/GLASS</t>
  </si>
  <si>
    <t>1181-357</t>
  </si>
  <si>
    <t>1 LIGHT MINI PENDANT</t>
  </si>
  <si>
    <t>PENDANTS/SUSPENSION</t>
  </si>
  <si>
    <t>1181-357.JPG</t>
  </si>
  <si>
    <t>1182-357</t>
  </si>
  <si>
    <t>3 LIGHT PENDANT</t>
  </si>
  <si>
    <t>A21,MED</t>
  </si>
  <si>
    <t>VENETIAN SCAVO</t>
  </si>
  <si>
    <t>1182-357.JPG</t>
  </si>
  <si>
    <t>1185-357</t>
  </si>
  <si>
    <t>3 LIGHT MINI CHANDELIER</t>
  </si>
  <si>
    <t>OTHER CHANDELIER FIXTURES</t>
  </si>
  <si>
    <t>1185-357.JPG</t>
  </si>
  <si>
    <t>1186-357</t>
  </si>
  <si>
    <t>6 LIGHT CHANDELIER</t>
  </si>
  <si>
    <t>1186-357.JPG</t>
  </si>
  <si>
    <t>1188-357</t>
  </si>
  <si>
    <t>8 LIGHT CHANDELIER</t>
  </si>
  <si>
    <t>1188-357.JPG</t>
  </si>
  <si>
    <t>1198-357</t>
  </si>
  <si>
    <t>12 LIGHT CHANDELIER</t>
  </si>
  <si>
    <t>TRK</t>
  </si>
  <si>
    <t>1198-357.JPG</t>
  </si>
  <si>
    <t>12213-0</t>
  </si>
  <si>
    <t>PORCELAIN TABLE LAMP</t>
  </si>
  <si>
    <t>12213-0.JPG</t>
  </si>
  <si>
    <t>15 LIGHT CHANDELIER</t>
  </si>
  <si>
    <t>12376-0</t>
  </si>
  <si>
    <t>12376-0.JPG</t>
  </si>
  <si>
    <t>12412-0</t>
  </si>
  <si>
    <t>12412-0.JPG</t>
  </si>
  <si>
    <t>12413-0</t>
  </si>
  <si>
    <t>12413-0.JPG</t>
  </si>
  <si>
    <t>12415-0</t>
  </si>
  <si>
    <t>12415-0.JPG</t>
  </si>
  <si>
    <t>12416-0</t>
  </si>
  <si>
    <t>12416-0.JPG</t>
  </si>
  <si>
    <t>12419-0</t>
  </si>
  <si>
    <t>SMOKED IRON</t>
  </si>
  <si>
    <t>12419-0.JPG</t>
  </si>
  <si>
    <t>12421-0</t>
  </si>
  <si>
    <t>BRUSHED NICKEL</t>
  </si>
  <si>
    <t>12421-0.JPG</t>
  </si>
  <si>
    <t>12423-0</t>
  </si>
  <si>
    <t>A-19,MED</t>
  </si>
  <si>
    <t>CFL</t>
  </si>
  <si>
    <t>SILVER LEAF</t>
  </si>
  <si>
    <t>WHITE LINEN</t>
  </si>
  <si>
    <t>12423-0.JPG</t>
  </si>
  <si>
    <t>POLY+FABRIC</t>
  </si>
  <si>
    <t>12426-0</t>
  </si>
  <si>
    <t>GOLD LEAF</t>
  </si>
  <si>
    <t>WHITE SUEDE</t>
  </si>
  <si>
    <t>12426-0.JPG</t>
  </si>
  <si>
    <t>POLY+STEEL+FABRIC</t>
  </si>
  <si>
    <t>12430-0</t>
  </si>
  <si>
    <t>WOOD</t>
  </si>
  <si>
    <t>CREAM LINEN</t>
  </si>
  <si>
    <t>12430-0.JPG</t>
  </si>
  <si>
    <t>WOOD+FABRIC</t>
  </si>
  <si>
    <t>12431-0</t>
  </si>
  <si>
    <t>OCEAN BLUE W/SILVER LEAF HIGHLIGHTS</t>
  </si>
  <si>
    <t>12431-0.JPG</t>
  </si>
  <si>
    <t>12433-0</t>
  </si>
  <si>
    <t>WALNUT</t>
  </si>
  <si>
    <t>OATMEAL LINEN</t>
  </si>
  <si>
    <t>12433-0.JPG</t>
  </si>
  <si>
    <t>STEEL+FABRIC</t>
  </si>
  <si>
    <t>1270-357</t>
  </si>
  <si>
    <t>LINEAGE</t>
  </si>
  <si>
    <t>B10.5 CAND</t>
  </si>
  <si>
    <t>1270-357.JPG</t>
  </si>
  <si>
    <t>1271-357</t>
  </si>
  <si>
    <t>1271-357.JPG</t>
  </si>
  <si>
    <t>1274-357</t>
  </si>
  <si>
    <t>4 LIGHT ISLAND LIGHT</t>
  </si>
  <si>
    <t>ISLAND LITES</t>
  </si>
  <si>
    <t>1274-357.JPG</t>
  </si>
  <si>
    <t>LARGE GLASS</t>
  </si>
  <si>
    <t>1279-357</t>
  </si>
  <si>
    <t>2 LIGHT SEMI FLUSH MOUNT</t>
  </si>
  <si>
    <t>A21 MED</t>
  </si>
  <si>
    <t>1279-357.JPG</t>
  </si>
  <si>
    <t>STEEL/GLASS/POLY</t>
  </si>
  <si>
    <t>2 LIGHT WALL SCONCE</t>
  </si>
  <si>
    <t>BATH-BAR LITE</t>
  </si>
  <si>
    <t>13031-0</t>
  </si>
  <si>
    <t>13031-0.JPG</t>
  </si>
  <si>
    <t>13032-0</t>
  </si>
  <si>
    <t>13032-0.JPG</t>
  </si>
  <si>
    <t>13053-0</t>
  </si>
  <si>
    <t>13053-0.JPG</t>
  </si>
  <si>
    <t>13054-0</t>
  </si>
  <si>
    <t>13054-0.JPG</t>
  </si>
  <si>
    <t>1351-177</t>
  </si>
  <si>
    <t>ILLUMINATI</t>
  </si>
  <si>
    <t>ILLUMINATI BRONZE</t>
  </si>
  <si>
    <t>SILVER PATINA</t>
  </si>
  <si>
    <t>1351-177.JPG</t>
  </si>
  <si>
    <t>STEEL+POLY+GLASS</t>
  </si>
  <si>
    <t>1354-177</t>
  </si>
  <si>
    <t>4 LIGHT PENDANT</t>
  </si>
  <si>
    <t>A19,MEDIUM</t>
  </si>
  <si>
    <t>1354-177.JPG</t>
  </si>
  <si>
    <t>1355-177</t>
  </si>
  <si>
    <t>5 LIGHT CHANDELIER</t>
  </si>
  <si>
    <t>1355-177.JPG</t>
  </si>
  <si>
    <t>STEEL+RESIN+GLASS</t>
  </si>
  <si>
    <t>1356-177</t>
  </si>
  <si>
    <t>A-19,MEDIUM</t>
  </si>
  <si>
    <t>1356-177.JPG</t>
  </si>
  <si>
    <t>1358-177</t>
  </si>
  <si>
    <t>9 LIGHT CHANDELIER</t>
  </si>
  <si>
    <t>1358-177.JPG</t>
  </si>
  <si>
    <t>1359-177</t>
  </si>
  <si>
    <t>1359-177.JPG</t>
  </si>
  <si>
    <t>1375-196C</t>
  </si>
  <si>
    <t>CHAIN BREAK</t>
  </si>
  <si>
    <t>TREVILLE - CHAIN BREAK</t>
  </si>
  <si>
    <t>TREVILLE</t>
  </si>
  <si>
    <t>ACCESSORIES, COMPONENTS</t>
  </si>
  <si>
    <t>TUSCAN PATINA</t>
  </si>
  <si>
    <t>1375-196C.JPG</t>
  </si>
  <si>
    <t>1420-84</t>
  </si>
  <si>
    <t>PARADOX</t>
  </si>
  <si>
    <t>ETCHED MARBLE</t>
  </si>
  <si>
    <t>1420-84.JPG</t>
  </si>
  <si>
    <t>METAL/GLASS</t>
  </si>
  <si>
    <t>1421-281</t>
  </si>
  <si>
    <t>HARVARD COURT BRONZE (PLATED)</t>
  </si>
  <si>
    <t>LIGHT FRENCH SCAVO</t>
  </si>
  <si>
    <t>1421-281.JPG</t>
  </si>
  <si>
    <t>METAL + GLASS</t>
  </si>
  <si>
    <t>1421-84</t>
  </si>
  <si>
    <t>1421-84.JPG</t>
  </si>
  <si>
    <t>1423-84</t>
  </si>
  <si>
    <t>1423-84.JPG</t>
  </si>
  <si>
    <t>1424-84</t>
  </si>
  <si>
    <t>3 LIGHT SEMI FLUSH MOUNT</t>
  </si>
  <si>
    <t>SEMI-FLUSH MOUNTS</t>
  </si>
  <si>
    <t>1424-84.JPG</t>
  </si>
  <si>
    <t>1424-84-PL</t>
  </si>
  <si>
    <t>ENERGY STAR SEMI-FLUSH</t>
  </si>
  <si>
    <t>SEMISPIRAL,13W,SELF-BALLAST</t>
  </si>
  <si>
    <t>1424-84-PL.JPG</t>
  </si>
  <si>
    <t>1424-PL</t>
  </si>
  <si>
    <t>1425-84</t>
  </si>
  <si>
    <t>1425-84.JPG</t>
  </si>
  <si>
    <t>1426-84</t>
  </si>
  <si>
    <t>1426-84.JPG</t>
  </si>
  <si>
    <t>1429-84</t>
  </si>
  <si>
    <t>1429-84.JPG</t>
  </si>
  <si>
    <t>1430-84</t>
  </si>
  <si>
    <t>MIRROR - BEVELED</t>
  </si>
  <si>
    <t>CONTEMPORARY</t>
  </si>
  <si>
    <t>1430-84.JPG</t>
  </si>
  <si>
    <t>METAL+GLASS</t>
  </si>
  <si>
    <t>1431-77</t>
  </si>
  <si>
    <t>OVAL MIRROR - BEVELED</t>
  </si>
  <si>
    <t>PIVOT MIRRORS - OVAL BEVELED</t>
  </si>
  <si>
    <t>MIRRORS</t>
  </si>
  <si>
    <t>CHROME</t>
  </si>
  <si>
    <t>1431-77.JPG</t>
  </si>
  <si>
    <t>STEEL/ALM/BRASS/GLASS</t>
  </si>
  <si>
    <t>1431-84</t>
  </si>
  <si>
    <t>1431-84.JPG</t>
  </si>
  <si>
    <t>1432-267</t>
  </si>
  <si>
    <t>XL OVAL MIRROR - BEVELED</t>
  </si>
  <si>
    <t>DARK BRUSHED BRONZE (PLATED)</t>
  </si>
  <si>
    <t>1432-267.JPG</t>
  </si>
  <si>
    <t>1432-77</t>
  </si>
  <si>
    <t>1432-77.JPG</t>
  </si>
  <si>
    <t>1432-84</t>
  </si>
  <si>
    <t>1432-84.JPG</t>
  </si>
  <si>
    <t>1433-77</t>
  </si>
  <si>
    <t>LARGE OVAL MIRROR - BEVELED</t>
  </si>
  <si>
    <t>1433-77.JPG</t>
  </si>
  <si>
    <t>1433-84</t>
  </si>
  <si>
    <t>1433-84.JPG</t>
  </si>
  <si>
    <t>1440-267</t>
  </si>
  <si>
    <t>RECTANGLE MIRROR - BEVELED</t>
  </si>
  <si>
    <t>PIVOT MIRRORS - RECTANGLE BEVELED</t>
  </si>
  <si>
    <t>1440-267.JPG</t>
  </si>
  <si>
    <t>1440-77</t>
  </si>
  <si>
    <t>1440-77.JPG</t>
  </si>
  <si>
    <t>1440-84</t>
  </si>
  <si>
    <t>1440-84.JPG</t>
  </si>
  <si>
    <t>1441-267</t>
  </si>
  <si>
    <t>XL RECTANGLE MIRROR - BEVELED</t>
  </si>
  <si>
    <t>1441-267.JPG</t>
  </si>
  <si>
    <t>1441-77</t>
  </si>
  <si>
    <t>1441-77.JPG</t>
  </si>
  <si>
    <t>1441-84</t>
  </si>
  <si>
    <t>1441-84.JPG</t>
  </si>
  <si>
    <t>1491-357</t>
  </si>
  <si>
    <t>NANTI - 1 LIGHT MINI PENDANT</t>
  </si>
  <si>
    <t>NANTI</t>
  </si>
  <si>
    <t>1491-357.JPG</t>
  </si>
  <si>
    <t>1493-357</t>
  </si>
  <si>
    <t>NANTI - 3 LIGHT PENDANT</t>
  </si>
  <si>
    <t>1493-357.JPG</t>
  </si>
  <si>
    <t>1494-252</t>
  </si>
  <si>
    <t>NANTI CHAMPAIGN SILVER</t>
  </si>
  <si>
    <t>1494-252.JPG</t>
  </si>
  <si>
    <t>STEEL+GLASS</t>
  </si>
  <si>
    <t>1494-357</t>
  </si>
  <si>
    <t>NANTI - 3 LIGHT MINI CHANDELIER</t>
  </si>
  <si>
    <t>1494-357.JPG</t>
  </si>
  <si>
    <t>1496-252-PL</t>
  </si>
  <si>
    <t>1 LIGHT POST MOUNT</t>
  </si>
  <si>
    <t>NANTI - 1 LIGHT POST MOUNT</t>
  </si>
  <si>
    <t>OUTDOOR ENERGY STAR</t>
  </si>
  <si>
    <t>SEMISPIRAL13W,SELFBALLASTGU24</t>
  </si>
  <si>
    <t>NANTI CHANPAGNE SILVER</t>
  </si>
  <si>
    <t>1496-252-PL.JPG</t>
  </si>
  <si>
    <t>WET</t>
  </si>
  <si>
    <t>1498-252</t>
  </si>
  <si>
    <t>NANTI - 3 LIGHT SEMI FLUSH</t>
  </si>
  <si>
    <t>1498-252.JPG</t>
  </si>
  <si>
    <t>1498-357</t>
  </si>
  <si>
    <t>1498-357.JPG</t>
  </si>
  <si>
    <t>CITY SQUARE</t>
  </si>
  <si>
    <t>ETCHED OPAL</t>
  </si>
  <si>
    <t>LATHAN BRONZE</t>
  </si>
  <si>
    <t>SALON GRAND</t>
  </si>
  <si>
    <t>FLORENCE PATINA</t>
  </si>
  <si>
    <t>PENDANT</t>
  </si>
  <si>
    <t>1561-477</t>
  </si>
  <si>
    <t>A19,MED</t>
  </si>
  <si>
    <t>1561-477.JPG</t>
  </si>
  <si>
    <t>1571-477</t>
  </si>
  <si>
    <t>SALON SCAVO</t>
  </si>
  <si>
    <t>1571-477.JPG</t>
  </si>
  <si>
    <t>1687-14</t>
  </si>
  <si>
    <t>CALAVERA</t>
  </si>
  <si>
    <t>ALABASTER</t>
  </si>
  <si>
    <t>NUTMEG</t>
  </si>
  <si>
    <t>1687-14.JPG</t>
  </si>
  <si>
    <t>2 LIGHT FLUSH MOUNT</t>
  </si>
  <si>
    <t>1730 SERIES</t>
  </si>
  <si>
    <t>FLUSH MOUNTS</t>
  </si>
  <si>
    <t>1731-167</t>
  </si>
  <si>
    <t>1730 SERIES - 1 LIGHT MINI PENDANT</t>
  </si>
  <si>
    <t>ETCHED GLASS SHADE</t>
  </si>
  <si>
    <t>1731-167.JPG</t>
  </si>
  <si>
    <t>1731-613</t>
  </si>
  <si>
    <t>POLISHED NICKEL</t>
  </si>
  <si>
    <t>1731-613.JPG</t>
  </si>
  <si>
    <t>1731-613-PL</t>
  </si>
  <si>
    <t>1730 SERIES - MINI PENDANT WITH GU24</t>
  </si>
  <si>
    <t>1731-613-PL.JPG</t>
  </si>
  <si>
    <t>1734-613</t>
  </si>
  <si>
    <t>3 LIGHT ISLAND LIGHT</t>
  </si>
  <si>
    <t>1730 SERIES - 3 LIGHT ISLAND LIGHT</t>
  </si>
  <si>
    <t>1734-613.JPG</t>
  </si>
  <si>
    <t>1737-1-167</t>
  </si>
  <si>
    <t>1730 SERIES - 3 LIGHT PENDANT</t>
  </si>
  <si>
    <t>1737-1-167.JPG</t>
  </si>
  <si>
    <t>1737-1</t>
  </si>
  <si>
    <t>1737-1-613</t>
  </si>
  <si>
    <t>ETCHED GLASS-BOX PLEAT</t>
  </si>
  <si>
    <t>1737-1-613.JPG</t>
  </si>
  <si>
    <t>1738-167</t>
  </si>
  <si>
    <t>1730 SERIES - 3 LIGHT SEMI FLUSH</t>
  </si>
  <si>
    <t>1738-167.JPG</t>
  </si>
  <si>
    <t>1738-613</t>
  </si>
  <si>
    <t>1738-613.JPG</t>
  </si>
  <si>
    <t>1739-167</t>
  </si>
  <si>
    <t>1730 SERIES - 9 LIGHT CHANDELIER</t>
  </si>
  <si>
    <t>1739-167.JPG</t>
  </si>
  <si>
    <t>174-206</t>
  </si>
  <si>
    <t>ASTON COURT</t>
  </si>
  <si>
    <t>ASTON COURT BRONZE</t>
  </si>
  <si>
    <t>AVORIO MEZZO</t>
  </si>
  <si>
    <t>174-206.JPG</t>
  </si>
  <si>
    <t>STEEL+POLY+CRYSTAL+GLASS</t>
  </si>
  <si>
    <t>1741-206</t>
  </si>
  <si>
    <t>1741-206.JPG</t>
  </si>
  <si>
    <t>1747-206</t>
  </si>
  <si>
    <t>GC174-1A,GC174-2,GC1742,GC1747</t>
  </si>
  <si>
    <t>1747-206.JPG</t>
  </si>
  <si>
    <t>B10.5,CAND</t>
  </si>
  <si>
    <t>1750-206</t>
  </si>
  <si>
    <t>CEILING MEDALLION</t>
  </si>
  <si>
    <t>1750-206.JPG</t>
  </si>
  <si>
    <t>PU</t>
  </si>
  <si>
    <t>1755-206</t>
  </si>
  <si>
    <t>A19,MEDIUIM</t>
  </si>
  <si>
    <t>1755-206.JPG</t>
  </si>
  <si>
    <t>1757-206</t>
  </si>
  <si>
    <t>1757-206.JPG</t>
  </si>
  <si>
    <t>1761-211</t>
  </si>
  <si>
    <t>TOFINO BRONZE</t>
  </si>
  <si>
    <t>MABRE GRABAR</t>
  </si>
  <si>
    <t>1761-211.JPG</t>
  </si>
  <si>
    <t>18011-1</t>
  </si>
  <si>
    <t>18011-1.JPG</t>
  </si>
  <si>
    <t>1800-1</t>
  </si>
  <si>
    <t>1811-66</t>
  </si>
  <si>
    <t>AGILIS</t>
  </si>
  <si>
    <t>LAMINA BLANCA</t>
  </si>
  <si>
    <t>1811-66.JPG</t>
  </si>
  <si>
    <t>1811-84</t>
  </si>
  <si>
    <t>1811-84.JPG</t>
  </si>
  <si>
    <t>1813-66</t>
  </si>
  <si>
    <t>3 LIGHT CHANDELIER</t>
  </si>
  <si>
    <t>1813-66.JPG</t>
  </si>
  <si>
    <t>1813-84</t>
  </si>
  <si>
    <t>1813-84.JPG</t>
  </si>
  <si>
    <t>1815-66</t>
  </si>
  <si>
    <t>LUMINA BLANCA</t>
  </si>
  <si>
    <t>1815-66.JPG</t>
  </si>
  <si>
    <t>1815-84</t>
  </si>
  <si>
    <t>1815-84.JPG</t>
  </si>
  <si>
    <t>1816-66</t>
  </si>
  <si>
    <t>1816-66.JPG</t>
  </si>
  <si>
    <t>1816-84</t>
  </si>
  <si>
    <t>1816-84.JPG</t>
  </si>
  <si>
    <t>1824-249-L</t>
  </si>
  <si>
    <t>1 LIGHT LED FLUSH MOUNT</t>
  </si>
  <si>
    <t>LED FLUSH MOUNT</t>
  </si>
  <si>
    <t>LED</t>
  </si>
  <si>
    <t>LIBERTY GOLD</t>
  </si>
  <si>
    <t>ETCHED WHITE</t>
  </si>
  <si>
    <t>1824-249-L.JPG</t>
  </si>
  <si>
    <t>1824-281-L</t>
  </si>
  <si>
    <t xml:space="preserve"> 1 LIGHT LED FLUSH MOUNT</t>
  </si>
  <si>
    <t>1824-281-L.JPG</t>
  </si>
  <si>
    <t>1824-613-L</t>
  </si>
  <si>
    <t>1824-613-L.JPG</t>
  </si>
  <si>
    <t>1826-249</t>
  </si>
  <si>
    <t>FLUSH MOUNT</t>
  </si>
  <si>
    <t>5 LIGHT FLUSH MOUNT</t>
  </si>
  <si>
    <t>1826-249.JPG</t>
  </si>
  <si>
    <t>1826-249-L</t>
  </si>
  <si>
    <t>1826-249-L.JPG</t>
  </si>
  <si>
    <t>1826-281</t>
  </si>
  <si>
    <t>1826-281.JPG</t>
  </si>
  <si>
    <t>1826-281-L</t>
  </si>
  <si>
    <t>1826-281-L.JPG</t>
  </si>
  <si>
    <t>1826-613-L</t>
  </si>
  <si>
    <t>1826-613-L.JPG</t>
  </si>
  <si>
    <t>1827-103</t>
  </si>
  <si>
    <t>1827-103.JPG</t>
  </si>
  <si>
    <t>1827-103-L</t>
  </si>
  <si>
    <t>5 LIGHT LED FLUSH MOUNT</t>
  </si>
  <si>
    <t>Z36 LED</t>
  </si>
  <si>
    <t>1827-103-L.JPG</t>
  </si>
  <si>
    <t>1827-249-L</t>
  </si>
  <si>
    <t>1827-249-L.JPG</t>
  </si>
  <si>
    <t>1827-77</t>
  </si>
  <si>
    <t>1827-77.JPG</t>
  </si>
  <si>
    <t>1827-77-L</t>
  </si>
  <si>
    <t>1827-77-L.JPG</t>
  </si>
  <si>
    <t>STEEL + GLASS</t>
  </si>
  <si>
    <t>1827-84</t>
  </si>
  <si>
    <t>1827-84.JPG</t>
  </si>
  <si>
    <t>1827-84-L</t>
  </si>
  <si>
    <t>1827-84-L.JPG</t>
  </si>
  <si>
    <t>1840-102</t>
  </si>
  <si>
    <t>A-19, MED</t>
  </si>
  <si>
    <t>HARVARD COURT BRONZE</t>
  </si>
  <si>
    <t>1840-102.JPG</t>
  </si>
  <si>
    <t>1840-102-L</t>
  </si>
  <si>
    <t>1840-102-L.JPG</t>
  </si>
  <si>
    <t>1840-249</t>
  </si>
  <si>
    <t>1840-249.JPG</t>
  </si>
  <si>
    <t>1840-249-L</t>
  </si>
  <si>
    <t>1840-249-L.JPG</t>
  </si>
  <si>
    <t>1845-108</t>
  </si>
  <si>
    <t>POLISHED SATIN BRASS</t>
  </si>
  <si>
    <t>1845-108.JPG</t>
  </si>
  <si>
    <t>STEEL+GLASS+SHADE</t>
  </si>
  <si>
    <t>1845-108-L</t>
  </si>
  <si>
    <t>1845-108-L.JPG</t>
  </si>
  <si>
    <t>1845-84-L</t>
  </si>
  <si>
    <t>1845-84-L.JPG</t>
  </si>
  <si>
    <t>1846-104</t>
  </si>
  <si>
    <t>DARK BRUSHED BRONZE W/AGED BRA</t>
  </si>
  <si>
    <t>1846-104.JPG</t>
  </si>
  <si>
    <t>1846-104-L</t>
  </si>
  <si>
    <t>3 LIGHT LED FLUSH MOUNT</t>
  </si>
  <si>
    <t>1846-104-L.JPG</t>
  </si>
  <si>
    <t>1846-105</t>
  </si>
  <si>
    <t>DARK GRAY W/POLISHED NICKEL</t>
  </si>
  <si>
    <t>1846-105.JPG</t>
  </si>
  <si>
    <t>1846-105-L</t>
  </si>
  <si>
    <t>1846-105-L.JPG</t>
  </si>
  <si>
    <t>REPLACEMENT PARCHMENT SHADE</t>
  </si>
  <si>
    <t>REPLACEMENT GLASS &amp; PARTS</t>
  </si>
  <si>
    <t>HAND PAINTED</t>
  </si>
  <si>
    <t>PAPER</t>
  </si>
  <si>
    <t>1920.JPG</t>
  </si>
  <si>
    <t>CLEAR GLASS WITH BEADED BULB SLEEVE</t>
  </si>
  <si>
    <t>REPLACEMENT BEADED NET FOR 3121-333 (D)</t>
  </si>
  <si>
    <t>1933.JPG</t>
  </si>
  <si>
    <t>1940-126</t>
  </si>
  <si>
    <t>BELCARO</t>
  </si>
  <si>
    <t>BELCARO WALNUT</t>
  </si>
  <si>
    <t>1940-126.JPG</t>
  </si>
  <si>
    <t>POLY URETHANE</t>
  </si>
  <si>
    <t>1971-138</t>
  </si>
  <si>
    <t>ASPEN BRONZE</t>
  </si>
  <si>
    <t>RUSTIC SCAVO</t>
  </si>
  <si>
    <t>1971-138.JPG</t>
  </si>
  <si>
    <t>1972-138</t>
  </si>
  <si>
    <t>1972-138.JPG</t>
  </si>
  <si>
    <t>VERTICAL</t>
  </si>
  <si>
    <t>1974-1-138</t>
  </si>
  <si>
    <t>1974-1-138.JPG</t>
  </si>
  <si>
    <t>1974-1</t>
  </si>
  <si>
    <t>1975-1-138</t>
  </si>
  <si>
    <t>1975-1-138.JPG</t>
  </si>
  <si>
    <t>1975-1</t>
  </si>
  <si>
    <t>1983-565</t>
  </si>
  <si>
    <t>3 LT PENDANT</t>
  </si>
  <si>
    <t>MARSONI - 3 LIGHT PENDANT</t>
  </si>
  <si>
    <t>MARSONI</t>
  </si>
  <si>
    <t>DISTRESSED MARSONI BRONZE</t>
  </si>
  <si>
    <t>1983-565.JPG</t>
  </si>
  <si>
    <t>POLY+STEEL+GLASS</t>
  </si>
  <si>
    <t>20702-626</t>
  </si>
  <si>
    <t>METAL FLOOR LAMP</t>
  </si>
  <si>
    <t>FLOOR LAMP</t>
  </si>
  <si>
    <t>A19, MED</t>
  </si>
  <si>
    <t>METAL CERAMIC</t>
  </si>
  <si>
    <t>20702-626.JPG</t>
  </si>
  <si>
    <t>20710-625</t>
  </si>
  <si>
    <t>1 LIGHT LED FLOOR LAMP</t>
  </si>
  <si>
    <t>A19, LED MED BULB</t>
  </si>
  <si>
    <t>METROPOLITAN CHERRY</t>
  </si>
  <si>
    <t>20710-625.JPG</t>
  </si>
  <si>
    <t>2240-77</t>
  </si>
  <si>
    <t>2 LIGHT MINI PENDANT</t>
  </si>
  <si>
    <t>2240-77.JPG</t>
  </si>
  <si>
    <t>2242-267C</t>
  </si>
  <si>
    <t>2242-267C.JPG</t>
  </si>
  <si>
    <t>2242-77</t>
  </si>
  <si>
    <t>2242-77.JPG</t>
  </si>
  <si>
    <t>2243-267C</t>
  </si>
  <si>
    <t>1 LIGHT PENDANT</t>
  </si>
  <si>
    <t>2243-267C.JPG</t>
  </si>
  <si>
    <t>2244-267C</t>
  </si>
  <si>
    <t>2244-267C.JPG</t>
  </si>
  <si>
    <t>2244-77</t>
  </si>
  <si>
    <t>2244-77.JPG</t>
  </si>
  <si>
    <t>2246-281</t>
  </si>
  <si>
    <t>2246-281.JPG</t>
  </si>
  <si>
    <t>2246-613</t>
  </si>
  <si>
    <t>2246-613.JPG</t>
  </si>
  <si>
    <t>2247-281</t>
  </si>
  <si>
    <t>A-21,MEDIUM</t>
  </si>
  <si>
    <t>METAL</t>
  </si>
  <si>
    <t>2247-281.JPG</t>
  </si>
  <si>
    <t>STEEL</t>
  </si>
  <si>
    <t>2247-613</t>
  </si>
  <si>
    <t>2247-613.JPG</t>
  </si>
  <si>
    <t>2250-647</t>
  </si>
  <si>
    <t>FERRO</t>
  </si>
  <si>
    <t>COPPER BRONZE PATINA</t>
  </si>
  <si>
    <t>2250-647.JPG</t>
  </si>
  <si>
    <t>2250-84</t>
  </si>
  <si>
    <t>2250-84.JPG</t>
  </si>
  <si>
    <t>2251-647</t>
  </si>
  <si>
    <t>E26,ST58</t>
  </si>
  <si>
    <t>2251-647.JPG</t>
  </si>
  <si>
    <t>2251-84</t>
  </si>
  <si>
    <t>2251-84.JPG</t>
  </si>
  <si>
    <t>2252-576</t>
  </si>
  <si>
    <t>BRUSHED BRONZE</t>
  </si>
  <si>
    <t>CLEAR RIBBED</t>
  </si>
  <si>
    <t>2252-576.JPG</t>
  </si>
  <si>
    <t>2252-77</t>
  </si>
  <si>
    <t>2252-77.JPG</t>
  </si>
  <si>
    <t>2254-576</t>
  </si>
  <si>
    <t>OPAL</t>
  </si>
  <si>
    <t>2254-576.JPG</t>
  </si>
  <si>
    <t>2254-613</t>
  </si>
  <si>
    <t>2254-613.JPG</t>
  </si>
  <si>
    <t>2255-576</t>
  </si>
  <si>
    <t>1 LIGHT SEMI FLUSH MOUNT</t>
  </si>
  <si>
    <t>1 LIGHT SEMI FLUSH</t>
  </si>
  <si>
    <t>2255-576.JPG</t>
  </si>
  <si>
    <t>2255FIX</t>
  </si>
  <si>
    <t>2255-613</t>
  </si>
  <si>
    <t>2255-613.JPG</t>
  </si>
  <si>
    <t>2256-576</t>
  </si>
  <si>
    <t>2256-576.JPG</t>
  </si>
  <si>
    <t>2256-613</t>
  </si>
  <si>
    <t>A-21,MED</t>
  </si>
  <si>
    <t>2256-613.JPG</t>
  </si>
  <si>
    <t>STEEL &amp; GLASS</t>
  </si>
  <si>
    <t>2257-576</t>
  </si>
  <si>
    <t>2257-576.JPG</t>
  </si>
  <si>
    <t>2257-613</t>
  </si>
  <si>
    <t>2257-613.JPG</t>
  </si>
  <si>
    <t>2258-576</t>
  </si>
  <si>
    <t>A-21, MED</t>
  </si>
  <si>
    <t>2258-576.JPG</t>
  </si>
  <si>
    <t>2258-613</t>
  </si>
  <si>
    <t>A-21, MEDIUM</t>
  </si>
  <si>
    <t>2258-613.JPG</t>
  </si>
  <si>
    <t>2259-576</t>
  </si>
  <si>
    <t>2259-576.JPG</t>
  </si>
  <si>
    <t>2259-613</t>
  </si>
  <si>
    <t>2259-613.JPG</t>
  </si>
  <si>
    <t>2260-84</t>
  </si>
  <si>
    <t>E26 ST58</t>
  </si>
  <si>
    <t>CLEAR</t>
  </si>
  <si>
    <t>2260-84.JPG</t>
  </si>
  <si>
    <t>2262-84</t>
  </si>
  <si>
    <t>2262-84.JPG</t>
  </si>
  <si>
    <t>2281-589</t>
  </si>
  <si>
    <t>1 LIGHT BATH</t>
  </si>
  <si>
    <t>SHADOWGLEN - 1 LIGHT BATH</t>
  </si>
  <si>
    <t>SHADOWGLEN</t>
  </si>
  <si>
    <t>LATHAN BRONZE WITH GOLD HIGHLI</t>
  </si>
  <si>
    <t>2281-589.JPG</t>
  </si>
  <si>
    <t>REVERSIBLE</t>
  </si>
  <si>
    <t>2282-589</t>
  </si>
  <si>
    <t>2 LIGHT BATH</t>
  </si>
  <si>
    <t>SHADOWGLEN - 2 LIGHT BATH</t>
  </si>
  <si>
    <t>2282-589.JPG</t>
  </si>
  <si>
    <t>2283-589</t>
  </si>
  <si>
    <t>3 LIGHT BATH</t>
  </si>
  <si>
    <t>SHADOWGLEN - 3 LIGHT BATH</t>
  </si>
  <si>
    <t>2283-589.JPG</t>
  </si>
  <si>
    <t>2284-589</t>
  </si>
  <si>
    <t>4 LIGHT BATH</t>
  </si>
  <si>
    <t>SHADOWGLEN - 4 LIGHT BATH</t>
  </si>
  <si>
    <t>2284-589.JPG</t>
  </si>
  <si>
    <t>2290-249</t>
  </si>
  <si>
    <t>ATRIO - 3 LIGHT PENDANT</t>
  </si>
  <si>
    <t>ATRIO</t>
  </si>
  <si>
    <t>B10.5, CAND</t>
  </si>
  <si>
    <t>2290-249.JPG</t>
  </si>
  <si>
    <t>2290-281</t>
  </si>
  <si>
    <t>2290-281.JPG</t>
  </si>
  <si>
    <t>2290-613</t>
  </si>
  <si>
    <t>2290-613.JPG</t>
  </si>
  <si>
    <t>2291-249</t>
  </si>
  <si>
    <t>2291-249.JPG</t>
  </si>
  <si>
    <t>2291-281</t>
  </si>
  <si>
    <t>2291-281.JPG</t>
  </si>
  <si>
    <t>2291-613</t>
  </si>
  <si>
    <t>2291-613.JPG</t>
  </si>
  <si>
    <t>2292-249</t>
  </si>
  <si>
    <t>ATRIO - 4 LIGHT PENDANT</t>
  </si>
  <si>
    <t>2292-249.JPG</t>
  </si>
  <si>
    <t>2292-281</t>
  </si>
  <si>
    <t>2292-281.JPG</t>
  </si>
  <si>
    <t>2292-613</t>
  </si>
  <si>
    <t>2292-613.JPG</t>
  </si>
  <si>
    <t>2301-84</t>
  </si>
  <si>
    <t>POLEIS - 1 LIGHT BATH</t>
  </si>
  <si>
    <t>POLEIS</t>
  </si>
  <si>
    <t>T-10,MED</t>
  </si>
  <si>
    <t>2301-84.JPG</t>
  </si>
  <si>
    <t>2302-84</t>
  </si>
  <si>
    <t>POLEIS - 2 LIGHT BATH</t>
  </si>
  <si>
    <t>2302-84.JPG</t>
  </si>
  <si>
    <t>2303-84</t>
  </si>
  <si>
    <t>POLEIS - 3 LIGHT BATH</t>
  </si>
  <si>
    <t>2303-84.JPG</t>
  </si>
  <si>
    <t>2304-84</t>
  </si>
  <si>
    <t>POLEIS - 4 LIGHT BATH</t>
  </si>
  <si>
    <t>T-10, MED</t>
  </si>
  <si>
    <t>2304-84.JPG</t>
  </si>
  <si>
    <t>231-613-L</t>
  </si>
  <si>
    <t>LED BATH</t>
  </si>
  <si>
    <t>ETCHED WHITE GLASS</t>
  </si>
  <si>
    <t>231-613-L.JPG</t>
  </si>
  <si>
    <t>STEEL+ALUM+GLASS</t>
  </si>
  <si>
    <t>2320-84</t>
  </si>
  <si>
    <t>ATRIO - 1 LIGHT SEMI FLUSH</t>
  </si>
  <si>
    <t>CLEAR RIBBED GLASS</t>
  </si>
  <si>
    <t>2320-84.JPG</t>
  </si>
  <si>
    <t>2321-84</t>
  </si>
  <si>
    <t>ATRIO - 1 LIGHT PENDANT</t>
  </si>
  <si>
    <t>E26, MED</t>
  </si>
  <si>
    <t>CLEAR HALOPHANE GLASS</t>
  </si>
  <si>
    <t>2321-84.JPG</t>
  </si>
  <si>
    <t>2322-84</t>
  </si>
  <si>
    <t>ATRIO - 3 LIGHT SEMI FLUSH</t>
  </si>
  <si>
    <t>CLEAR HALOPHANE</t>
  </si>
  <si>
    <t>2322-84.JPG</t>
  </si>
  <si>
    <t>2323-84</t>
  </si>
  <si>
    <t>2323-84.JPG</t>
  </si>
  <si>
    <t>2324-84</t>
  </si>
  <si>
    <t>2324-84.JPG</t>
  </si>
  <si>
    <t>2331-77</t>
  </si>
  <si>
    <t>2331-77.JPG</t>
  </si>
  <si>
    <t>2333-77</t>
  </si>
  <si>
    <t>2333-77.JPG</t>
  </si>
  <si>
    <t>2334-77</t>
  </si>
  <si>
    <t>2334-77.JPG</t>
  </si>
  <si>
    <t>2340-77</t>
  </si>
  <si>
    <t>WALL SCONCE</t>
  </si>
  <si>
    <t>BRAIDEN</t>
  </si>
  <si>
    <t>2340-77.JPG</t>
  </si>
  <si>
    <t>STEEL+CRYSTAL</t>
  </si>
  <si>
    <t>2341-77</t>
  </si>
  <si>
    <t>CLEAR CRYSTAL</t>
  </si>
  <si>
    <t>2341-77.JPG</t>
  </si>
  <si>
    <t>2342-77</t>
  </si>
  <si>
    <t>2342-77.JPG</t>
  </si>
  <si>
    <t>2343-77</t>
  </si>
  <si>
    <t>MINI PENDANT</t>
  </si>
  <si>
    <t>2343-77.JPG</t>
  </si>
  <si>
    <t>2344-77</t>
  </si>
  <si>
    <t>2344-77.JPG</t>
  </si>
  <si>
    <t>2345-77</t>
  </si>
  <si>
    <t>5 LIGHT PENDANT</t>
  </si>
  <si>
    <t>2345-77.JPG</t>
  </si>
  <si>
    <t>2348-77</t>
  </si>
  <si>
    <t>SEMI FLUSH</t>
  </si>
  <si>
    <t>2348-77.JPG</t>
  </si>
  <si>
    <t>2349-77</t>
  </si>
  <si>
    <t>2349-77.JPG</t>
  </si>
  <si>
    <t>2354-77</t>
  </si>
  <si>
    <t>PALERMO- 4 LIGHT PENDANT</t>
  </si>
  <si>
    <t>PALERMO</t>
  </si>
  <si>
    <t>2354-77.JPG</t>
  </si>
  <si>
    <t>2355-77</t>
  </si>
  <si>
    <t>PALERMO - 5 LIGHT PENDANT</t>
  </si>
  <si>
    <t>PALMERMO</t>
  </si>
  <si>
    <t>2355-77.JPG</t>
  </si>
  <si>
    <t>2358-77</t>
  </si>
  <si>
    <t>8 LIGHT PENDANT</t>
  </si>
  <si>
    <t>PALERMO- 8 LIGHT PENDANT</t>
  </si>
  <si>
    <t>2358-77.JPG</t>
  </si>
  <si>
    <t>2363-77</t>
  </si>
  <si>
    <t>G16.5,CAND</t>
  </si>
  <si>
    <t>CRYSTALS</t>
  </si>
  <si>
    <t>2363-77.JPG</t>
  </si>
  <si>
    <t>STEEL+CRYSTALS</t>
  </si>
  <si>
    <t>2364-77</t>
  </si>
  <si>
    <t>6 LIGHT BATH</t>
  </si>
  <si>
    <t>CRYSTAL</t>
  </si>
  <si>
    <t>2364-77.JPG</t>
  </si>
  <si>
    <t>2367-77</t>
  </si>
  <si>
    <t>ISLAND LIGHT</t>
  </si>
  <si>
    <t>2367-77.JPG</t>
  </si>
  <si>
    <t>2368-77</t>
  </si>
  <si>
    <t>2368-77.JPG</t>
  </si>
  <si>
    <t>2369-77</t>
  </si>
  <si>
    <t>2369-77.JPG</t>
  </si>
  <si>
    <t>2370-77</t>
  </si>
  <si>
    <t>PALERMO- 2 LIGHT WALL SCONCE</t>
  </si>
  <si>
    <t>2370-77.JPG</t>
  </si>
  <si>
    <t>2371-77</t>
  </si>
  <si>
    <t>PALERMO- 3 LIGHT WALL SCONCE</t>
  </si>
  <si>
    <t>2371-77.JPG</t>
  </si>
  <si>
    <t>2373-77</t>
  </si>
  <si>
    <t>PALERMO- 3 LIGHT FLUSH MOUNT</t>
  </si>
  <si>
    <t>2373-77.JPG</t>
  </si>
  <si>
    <t>2374-77</t>
  </si>
  <si>
    <t>PALERMO - 4 LIGHT PENDANT</t>
  </si>
  <si>
    <t>2374-77.JPG</t>
  </si>
  <si>
    <t>2375-77</t>
  </si>
  <si>
    <t>PALERMO - 5 LIGHT FLUSH MOUNT</t>
  </si>
  <si>
    <t>2375-77.JPG</t>
  </si>
  <si>
    <t>2376-77</t>
  </si>
  <si>
    <t>PALERMO - 6 LIGHT PENDANT</t>
  </si>
  <si>
    <t>2376-77.JPG</t>
  </si>
  <si>
    <t>2378-77</t>
  </si>
  <si>
    <t>PALERMO - 9 LIGHT PENDANT</t>
  </si>
  <si>
    <t>2378-77.JPG</t>
  </si>
  <si>
    <t>2379-77</t>
  </si>
  <si>
    <t>PALERMO - 12 LIGHT PENDANT</t>
  </si>
  <si>
    <t>2379-77.JPG</t>
  </si>
  <si>
    <t>2380-77</t>
  </si>
  <si>
    <t>2380-77.JPG</t>
  </si>
  <si>
    <t>2382-77</t>
  </si>
  <si>
    <t>2382-77.JPG</t>
  </si>
  <si>
    <t>2384-77</t>
  </si>
  <si>
    <t>2384-77.JPG</t>
  </si>
  <si>
    <t>2386-77</t>
  </si>
  <si>
    <t>BATH</t>
  </si>
  <si>
    <t>PALERMO - 6 LIGHT BATH</t>
  </si>
  <si>
    <t>2386-77.JPG</t>
  </si>
  <si>
    <t>2387-77</t>
  </si>
  <si>
    <t>PALERMO - 6 ISLAND LIGHT</t>
  </si>
  <si>
    <t>2387-77.JPG</t>
  </si>
  <si>
    <t>2388-77</t>
  </si>
  <si>
    <t>PALERMO - 8 ISLAND LIGHT</t>
  </si>
  <si>
    <t>2388-77.JPG</t>
  </si>
  <si>
    <t>2393-77</t>
  </si>
  <si>
    <t>BEACON TRACE</t>
  </si>
  <si>
    <t>2393-77.JPG</t>
  </si>
  <si>
    <t>2394-77</t>
  </si>
  <si>
    <t>2394-77.JPG</t>
  </si>
  <si>
    <t>2395-77</t>
  </si>
  <si>
    <t>2395-77.JPG</t>
  </si>
  <si>
    <t>2396-77</t>
  </si>
  <si>
    <t>2396-77.JPG</t>
  </si>
  <si>
    <t>2397-77</t>
  </si>
  <si>
    <t>2397-77.JPG</t>
  </si>
  <si>
    <t>2398-77</t>
  </si>
  <si>
    <t>2398-77.JPG</t>
  </si>
  <si>
    <t>241-420-L</t>
  </si>
  <si>
    <t>BRUSHED NICKEL W/ SAND BLACK</t>
  </si>
  <si>
    <t>241-420-L.JPG</t>
  </si>
  <si>
    <t>ETCHED GLASS</t>
  </si>
  <si>
    <t>REPLACEMENT ETCHED SQUARE GLASS FOR 5581/2/3/4-84</t>
  </si>
  <si>
    <t>2562.JPG</t>
  </si>
  <si>
    <t>REPLACEMENT SWIRL MARBLE GLASS FOR 5271/2/3/4-77</t>
  </si>
  <si>
    <t>2568.JPG</t>
  </si>
  <si>
    <t>2616-2B</t>
  </si>
  <si>
    <t>PARCHMENT GLASS</t>
  </si>
  <si>
    <t>2616-2B.JPG</t>
  </si>
  <si>
    <t>2619-D</t>
  </si>
  <si>
    <t>2619-D.JPG</t>
  </si>
  <si>
    <t>2718-156</t>
  </si>
  <si>
    <t>6 INCH RECESSED TRIM</t>
  </si>
  <si>
    <t>SHADED ETCHED MARBLE</t>
  </si>
  <si>
    <t>2718-156.JPG</t>
  </si>
  <si>
    <t>2718-167</t>
  </si>
  <si>
    <t>2718-167.JPG</t>
  </si>
  <si>
    <t>STEEL+GLASS+ALUM</t>
  </si>
  <si>
    <t>2718-37B</t>
  </si>
  <si>
    <t>DARK RESTORATION BRONZE</t>
  </si>
  <si>
    <t>2718-37B.JPG</t>
  </si>
  <si>
    <t>2718-84</t>
  </si>
  <si>
    <t>2718-84.JPG</t>
  </si>
  <si>
    <t>2718-84-L</t>
  </si>
  <si>
    <t>LED RECESSED LIGHT</t>
  </si>
  <si>
    <t>2718-84-L.JPG</t>
  </si>
  <si>
    <t>STEEL+ALUMINUM+GLASS</t>
  </si>
  <si>
    <t>2818-206</t>
  </si>
  <si>
    <t>2818-206.JPG</t>
  </si>
  <si>
    <t>2828-177</t>
  </si>
  <si>
    <t>2828-177.JPG</t>
  </si>
  <si>
    <t>STEEL/GLASS/ALUMINUM</t>
  </si>
  <si>
    <t>2848-477</t>
  </si>
  <si>
    <t>2848-477.JPG</t>
  </si>
  <si>
    <t>2903-613-L</t>
  </si>
  <si>
    <t>PEARL - LED BATH</t>
  </si>
  <si>
    <t>PEARL</t>
  </si>
  <si>
    <t>L-MD-C15206-13W</t>
  </si>
  <si>
    <t>2903-613-L.JPG</t>
  </si>
  <si>
    <t>HORIZ/VERT</t>
  </si>
  <si>
    <t>2913-281-L</t>
  </si>
  <si>
    <t>VESTIGE - LED BATH</t>
  </si>
  <si>
    <t>VESTIGE</t>
  </si>
  <si>
    <t>L-MD-012905-12W</t>
  </si>
  <si>
    <t>2913-281-L.JPG</t>
  </si>
  <si>
    <t>2921-77-L</t>
  </si>
  <si>
    <t>HIGH RISE - LED BATH</t>
  </si>
  <si>
    <t>HIGH RISE</t>
  </si>
  <si>
    <t>Z18 LED</t>
  </si>
  <si>
    <t>2921-77-L.JPG</t>
  </si>
  <si>
    <t>2922-77-L</t>
  </si>
  <si>
    <t>MITERED WHITE</t>
  </si>
  <si>
    <t>2922-77-L.JPG</t>
  </si>
  <si>
    <t>HORIZONTAL</t>
  </si>
  <si>
    <t>2923-77-L</t>
  </si>
  <si>
    <t>Z54 LED</t>
  </si>
  <si>
    <t>MITERED WHITE GLASS</t>
  </si>
  <si>
    <t>2923-77-L.JPG</t>
  </si>
  <si>
    <t>2942-84-L</t>
  </si>
  <si>
    <t>LEVEL - LED BATH</t>
  </si>
  <si>
    <t>LEVEL BATH</t>
  </si>
  <si>
    <t>L-MD-L29115-28W</t>
  </si>
  <si>
    <t>2942-84-L.JPG</t>
  </si>
  <si>
    <t>2943-84-L</t>
  </si>
  <si>
    <t>L-MD-L36723-37W</t>
  </si>
  <si>
    <t>2943-84-L.JPG</t>
  </si>
  <si>
    <t>2944-84-L</t>
  </si>
  <si>
    <t>L-MD-L44330-44W</t>
  </si>
  <si>
    <t>2944-84-L.JPG</t>
  </si>
  <si>
    <t>3001-77</t>
  </si>
  <si>
    <t>TOURNEE - 1 LIGHT BATH</t>
  </si>
  <si>
    <t>TOURNEE</t>
  </si>
  <si>
    <t>A-19 MED</t>
  </si>
  <si>
    <t>3001-77.JPG</t>
  </si>
  <si>
    <t>3002-77</t>
  </si>
  <si>
    <t>TOURNEE - 2 LIGHT BATH</t>
  </si>
  <si>
    <t>3002-77.JPG</t>
  </si>
  <si>
    <t>3003-77</t>
  </si>
  <si>
    <t>TOURNEE - 3 LIGHT BATH</t>
  </si>
  <si>
    <t>3003-77.JPG</t>
  </si>
  <si>
    <t>3004-77</t>
  </si>
  <si>
    <t>TOURNEE - 4 LIGHT BATH</t>
  </si>
  <si>
    <t>3004-77.JPG</t>
  </si>
  <si>
    <t>3011-613</t>
  </si>
  <si>
    <t>DRURY - 1 LIGHT BATH</t>
  </si>
  <si>
    <t>DRURY</t>
  </si>
  <si>
    <t>G9,T-4</t>
  </si>
  <si>
    <t>3011-613.JPG</t>
  </si>
  <si>
    <t>3012-613</t>
  </si>
  <si>
    <t>DRURY - 2 LIGHT BATH</t>
  </si>
  <si>
    <t>3012-613.JPG</t>
  </si>
  <si>
    <t>3013-613</t>
  </si>
  <si>
    <t>G9, T-4</t>
  </si>
  <si>
    <t>3013-613.JPG</t>
  </si>
  <si>
    <t>3014-613</t>
  </si>
  <si>
    <t>3014-613.JPG</t>
  </si>
  <si>
    <t>3021-613</t>
  </si>
  <si>
    <t>ARRONDIR - 1 LIGHT BATH</t>
  </si>
  <si>
    <t>ARRONDIR</t>
  </si>
  <si>
    <t>3021-613.JPG</t>
  </si>
  <si>
    <t>3022-613</t>
  </si>
  <si>
    <t>3022-613.JPG</t>
  </si>
  <si>
    <t>3023-613</t>
  </si>
  <si>
    <t>ARRONDIR - 3 LIGHT BATH</t>
  </si>
  <si>
    <t>3023-613.JPG</t>
  </si>
  <si>
    <t>3024-613</t>
  </si>
  <si>
    <t>3024-613.JPG</t>
  </si>
  <si>
    <t>3040-560</t>
  </si>
  <si>
    <t>AINSLEY COURT - 1 LIGHT MINI PENDANT</t>
  </si>
  <si>
    <t>AINSLEY COURT</t>
  </si>
  <si>
    <t>T10,MED</t>
  </si>
  <si>
    <t>AGED KINSTON BRONZE W/BRUSHED</t>
  </si>
  <si>
    <t>3040-560.JPG</t>
  </si>
  <si>
    <t>3041-560</t>
  </si>
  <si>
    <t>T-10 MED</t>
  </si>
  <si>
    <t>3041-560.JPG</t>
  </si>
  <si>
    <t>3042-560</t>
  </si>
  <si>
    <t>3042-560.JPG</t>
  </si>
  <si>
    <t>3043-560</t>
  </si>
  <si>
    <t>3043-560.JPG</t>
  </si>
  <si>
    <t>3044-560</t>
  </si>
  <si>
    <t>3044-560.JPG</t>
  </si>
  <si>
    <t>3045-560</t>
  </si>
  <si>
    <t>CHANDELIER</t>
  </si>
  <si>
    <t>CLEAR GLASS</t>
  </si>
  <si>
    <t>3045-560.JPG</t>
  </si>
  <si>
    <t>3046-560</t>
  </si>
  <si>
    <t>3046-560.JPG</t>
  </si>
  <si>
    <t>3048-560</t>
  </si>
  <si>
    <t>AINSLEY COURT - 8 LIGHT CHANDELIER</t>
  </si>
  <si>
    <t>3048-560.JPG</t>
  </si>
  <si>
    <t>3049-560</t>
  </si>
  <si>
    <t>AINSLEY COURT - 4 LIGHT SEMI FLUSH</t>
  </si>
  <si>
    <t>3049-560.JPG</t>
  </si>
  <si>
    <t>3060-84</t>
  </si>
  <si>
    <t>VIA CAPRI - 2 LIGHT MINI PENDANT</t>
  </si>
  <si>
    <t>VIA CAPRI</t>
  </si>
  <si>
    <t>CLEAR WOOD GRAIN WATER</t>
  </si>
  <si>
    <t>3060-84.JPG</t>
  </si>
  <si>
    <t>3061-84</t>
  </si>
  <si>
    <t>VIA CAPRI - 1 LIGHT BATH</t>
  </si>
  <si>
    <t>CLEAR WOOD GRAIN WATER GLASS</t>
  </si>
  <si>
    <t>3061-84.JPG</t>
  </si>
  <si>
    <t>3062-84</t>
  </si>
  <si>
    <t>3062-84.JPG</t>
  </si>
  <si>
    <t>3063-84</t>
  </si>
  <si>
    <t>VIA CAPRI - 3 LIGHT BATH</t>
  </si>
  <si>
    <t>3063-84.JPG</t>
  </si>
  <si>
    <t>3064-84</t>
  </si>
  <si>
    <t>VIA CAPRI - 4 LIGHT BATH</t>
  </si>
  <si>
    <t>3064-84.JPG</t>
  </si>
  <si>
    <t>3065-84</t>
  </si>
  <si>
    <t>VIA CAPRI - 4 LIGHT PENDANT</t>
  </si>
  <si>
    <t>3065-84.JPG</t>
  </si>
  <si>
    <t>3066-84</t>
  </si>
  <si>
    <t>VIA CAPRI - 6 LIGHT ISLAND</t>
  </si>
  <si>
    <t>3066-84.JPG</t>
  </si>
  <si>
    <t>3067-84</t>
  </si>
  <si>
    <t>VIA CAPRI - 4 LIGHT SEMI FLUSH</t>
  </si>
  <si>
    <t>3067-84.JPG</t>
  </si>
  <si>
    <t>3068-84</t>
  </si>
  <si>
    <t>3068-84.JPG</t>
  </si>
  <si>
    <t>3070-416</t>
  </si>
  <si>
    <t>STUDIO 5 - 1 LIGHT MINI PENDANT</t>
  </si>
  <si>
    <t>STUDIO 5</t>
  </si>
  <si>
    <t>PAINTED BRONZE W/NATURAL BRUSH</t>
  </si>
  <si>
    <t>3070-416.JPG</t>
  </si>
  <si>
    <t>3070-613</t>
  </si>
  <si>
    <t>3070-613.JPG</t>
  </si>
  <si>
    <t>3071-416</t>
  </si>
  <si>
    <t>STUDIO 5 - 1 LIGHT BATH</t>
  </si>
  <si>
    <t>3071-416.JPG</t>
  </si>
  <si>
    <t>3071-613</t>
  </si>
  <si>
    <t>3071-613.JPG</t>
  </si>
  <si>
    <t>3072-416</t>
  </si>
  <si>
    <t>STUDIO 5 - 2 LIGHT BATH</t>
  </si>
  <si>
    <t>3072-416.JPG</t>
  </si>
  <si>
    <t>3072-613</t>
  </si>
  <si>
    <t>MED FERRO</t>
  </si>
  <si>
    <t>3072-613.JPG</t>
  </si>
  <si>
    <t>3073-416</t>
  </si>
  <si>
    <t>3073-416.JPG</t>
  </si>
  <si>
    <t>3073-613</t>
  </si>
  <si>
    <t>3073-613.JPG</t>
  </si>
  <si>
    <t>3074-416</t>
  </si>
  <si>
    <t>STUDIO 5 - ISLAND LIGHT</t>
  </si>
  <si>
    <t>3074-416.JPG</t>
  </si>
  <si>
    <t>3074-613</t>
  </si>
  <si>
    <t>3074-613.JPG</t>
  </si>
  <si>
    <t>3075-416</t>
  </si>
  <si>
    <t>STUDIO 5 - 5 LIGHT CHANDELIER</t>
  </si>
  <si>
    <t>3075-416.JPG</t>
  </si>
  <si>
    <t>3075-613</t>
  </si>
  <si>
    <t>3075-613.JPG</t>
  </si>
  <si>
    <t>3076-416</t>
  </si>
  <si>
    <t>6 LIGHT ISLAND LIGHT</t>
  </si>
  <si>
    <t>STUDIO 5 - 5 ISLAND LIGHT</t>
  </si>
  <si>
    <t>CLEAR GLASS W/INTERIOR ETCHED WHITE GLASS</t>
  </si>
  <si>
    <t>3076-416.JPG</t>
  </si>
  <si>
    <t>3076-613</t>
  </si>
  <si>
    <t>3076-613.JPG</t>
  </si>
  <si>
    <t>3077-416</t>
  </si>
  <si>
    <t>STUDIO 5 - 3 LIGHT MINI CHANDELIER</t>
  </si>
  <si>
    <t>3077-416.JPG</t>
  </si>
  <si>
    <t>3077-613</t>
  </si>
  <si>
    <t>PLATINUM</t>
  </si>
  <si>
    <t>3077-613.JPG</t>
  </si>
  <si>
    <t>3078-416</t>
  </si>
  <si>
    <t>STUDIO 5 - 3 LIGHT FLUSH MOUNT</t>
  </si>
  <si>
    <t>3078-416.JPG</t>
  </si>
  <si>
    <t>3078-613</t>
  </si>
  <si>
    <t>3078-613.JPG</t>
  </si>
  <si>
    <t>3079-416</t>
  </si>
  <si>
    <t>STUDIO 5 - 9 LIGHT CHANDELIER</t>
  </si>
  <si>
    <t>3079-416.JPG</t>
  </si>
  <si>
    <t>3079-613</t>
  </si>
  <si>
    <t>3079-613.JPG</t>
  </si>
  <si>
    <t>3080-416</t>
  </si>
  <si>
    <t>STUDIO 5 - 4 LIGHT BATH</t>
  </si>
  <si>
    <t>3080-416.JPG</t>
  </si>
  <si>
    <t>3080-613</t>
  </si>
  <si>
    <t>3080-613.JPG</t>
  </si>
  <si>
    <t>3081-281-L</t>
  </si>
  <si>
    <t>MAGINOT - LED BATH</t>
  </si>
  <si>
    <t>MAGINOT LED</t>
  </si>
  <si>
    <t>CLEAR JEWELED GLASS</t>
  </si>
  <si>
    <t>3081-281-L.JPG</t>
  </si>
  <si>
    <t>3081-613-L</t>
  </si>
  <si>
    <t>1 LIGHT LED BATH</t>
  </si>
  <si>
    <t>MAGINOT LED BATH</t>
  </si>
  <si>
    <t>3081-613-L.JPG</t>
  </si>
  <si>
    <t>3082-281-L</t>
  </si>
  <si>
    <t>2 LIGHT LED BATH</t>
  </si>
  <si>
    <t>MAGINOT - 2 LIGHT LED BATH</t>
  </si>
  <si>
    <t>CLEAR JEWELED</t>
  </si>
  <si>
    <t>3082-281-L.JPG</t>
  </si>
  <si>
    <t>3082-613-L</t>
  </si>
  <si>
    <t>3082-613-L.JPG</t>
  </si>
  <si>
    <t>3083-281-L</t>
  </si>
  <si>
    <t>3 LIGHT LED BATH</t>
  </si>
  <si>
    <t>MAGINOT - 3 LIGHT LED BATH</t>
  </si>
  <si>
    <t>3083-281-L.JPG</t>
  </si>
  <si>
    <t>3083-613-L</t>
  </si>
  <si>
    <t>3083-613-L.JPG</t>
  </si>
  <si>
    <t>3084-281-L</t>
  </si>
  <si>
    <t>4 LIGHT LED BATH</t>
  </si>
  <si>
    <t>MAGINOT - 4 LIGHT LED BATH</t>
  </si>
  <si>
    <t>3084-281-L.JPG</t>
  </si>
  <si>
    <t>3084-613-L</t>
  </si>
  <si>
    <t>3084-613-L.JPG</t>
  </si>
  <si>
    <t>3087-416</t>
  </si>
  <si>
    <t>3087-416.JPG</t>
  </si>
  <si>
    <t>3087-613</t>
  </si>
  <si>
    <t>3087-613.JPG</t>
  </si>
  <si>
    <t>3088-416</t>
  </si>
  <si>
    <t>3088-416.JPG</t>
  </si>
  <si>
    <t>3088-613</t>
  </si>
  <si>
    <t>3088-613.JPG</t>
  </si>
  <si>
    <t>3089-416</t>
  </si>
  <si>
    <t>3089-416.JPG</t>
  </si>
  <si>
    <t>3089-613</t>
  </si>
  <si>
    <t>3089-613.JPG</t>
  </si>
  <si>
    <t>3092-77</t>
  </si>
  <si>
    <t>PILLAR - 2 LIGHT WALL SCONCE</t>
  </si>
  <si>
    <t>PILLAR</t>
  </si>
  <si>
    <t>T8</t>
  </si>
  <si>
    <t>3092-77.JPG</t>
  </si>
  <si>
    <t>3094-77</t>
  </si>
  <si>
    <t>PILLAR - 4 LIGHT CHANDELIER</t>
  </si>
  <si>
    <t>3094-77.JPG</t>
  </si>
  <si>
    <t>3096-77</t>
  </si>
  <si>
    <t>PILLAR - 6 LIGHT ISLAND</t>
  </si>
  <si>
    <t>3096-77.JPG</t>
  </si>
  <si>
    <t>3097-77</t>
  </si>
  <si>
    <t>PILLAR - 6 LIGHT CHANDLEIER</t>
  </si>
  <si>
    <t>3097-77.JPG</t>
  </si>
  <si>
    <t>3121-333</t>
  </si>
  <si>
    <t>1 LIGHT MINI CHANDELIER</t>
  </si>
  <si>
    <t>B10.5</t>
  </si>
  <si>
    <t>WESTPORT SILVER</t>
  </si>
  <si>
    <t>REFER TO COMMENTS</t>
  </si>
  <si>
    <t>3121-333.JPG</t>
  </si>
  <si>
    <t>STEEL/CRYSTAL</t>
  </si>
  <si>
    <t>3122-301</t>
  </si>
  <si>
    <t>CASTLEWOOD WALNUTT W/ SILVER HIGHLIGHTS</t>
  </si>
  <si>
    <t>G3123C-PIC-1-BC, G3122C-PIC-2</t>
  </si>
  <si>
    <t>3122-301.JPG</t>
  </si>
  <si>
    <t>3123-489</t>
  </si>
  <si>
    <t>TYPE A</t>
  </si>
  <si>
    <t>TAYLOR BRONZE</t>
  </si>
  <si>
    <t>SEE COMMENTS</t>
  </si>
  <si>
    <t>3123-489.JPG</t>
  </si>
  <si>
    <t>3127-126</t>
  </si>
  <si>
    <t>4 LIGHT MINI CHANDELIER</t>
  </si>
  <si>
    <t>G3127C-3-2, G3127C-P3C-1</t>
  </si>
  <si>
    <t>3127-126.JPG</t>
  </si>
  <si>
    <t>5 LIGHT MINI CHANDELIER</t>
  </si>
  <si>
    <t>STEEL+FABRIC+CRYSTAL</t>
  </si>
  <si>
    <t>3132-77</t>
  </si>
  <si>
    <t>BEIGE W/PLEATS</t>
  </si>
  <si>
    <t>GC3131-1-P; GC3132-1021</t>
  </si>
  <si>
    <t>3132-77.JPG</t>
  </si>
  <si>
    <t>3134-207</t>
  </si>
  <si>
    <t>DISTRESSED SILVER</t>
  </si>
  <si>
    <t>3134-207.JPG</t>
  </si>
  <si>
    <t>STEEL+CRYSTAL+GLASS</t>
  </si>
  <si>
    <t>3135-298</t>
  </si>
  <si>
    <t>KINSTON BRONZE</t>
  </si>
  <si>
    <t>3135-298.JPG</t>
  </si>
  <si>
    <t>3136-167B</t>
  </si>
  <si>
    <t>DEEP LATHAN BRONZE</t>
  </si>
  <si>
    <t>3136-167B.JPG</t>
  </si>
  <si>
    <t>3137-648</t>
  </si>
  <si>
    <t>PROVENCAL BLANC</t>
  </si>
  <si>
    <t>GC3137-P,P-2</t>
  </si>
  <si>
    <t>3137-648.JPG</t>
  </si>
  <si>
    <t>3138-284</t>
  </si>
  <si>
    <t>VINTAGE BRONZE</t>
  </si>
  <si>
    <t>GC3138C-1,-P-1,-P-2</t>
  </si>
  <si>
    <t>3138-284.JPG</t>
  </si>
  <si>
    <t>3150-77</t>
  </si>
  <si>
    <t>ISABELLA'S CROWN - 3 LIGHT MINI CHANDELIER</t>
  </si>
  <si>
    <t>G3150-A,-B,-C,-D,-E,-F,-G</t>
  </si>
  <si>
    <t>3150-77.JPG</t>
  </si>
  <si>
    <t>STEEL+CHROME</t>
  </si>
  <si>
    <t>3152-77</t>
  </si>
  <si>
    <t>GC3152-B,-C,-D,-E,-BB(BOBECHE)</t>
  </si>
  <si>
    <t>3152-77.JPG</t>
  </si>
  <si>
    <t>3153-599</t>
  </si>
  <si>
    <t>VINTAGE SILVER</t>
  </si>
  <si>
    <t>GC3153-B,-C,-D,-E,-F,-G,-H</t>
  </si>
  <si>
    <t>3153-599.JPG</t>
  </si>
  <si>
    <t>3154-648</t>
  </si>
  <si>
    <t>GC3154-A,-B,-C,-D,-E</t>
  </si>
  <si>
    <t>3154-648.JPG</t>
  </si>
  <si>
    <t>3155-77</t>
  </si>
  <si>
    <t>ISABELLA'S CROWN - MINI PENDANT</t>
  </si>
  <si>
    <t>ISABELLA'S CROWN</t>
  </si>
  <si>
    <t>CLEAR CRYSTAL STRINGS</t>
  </si>
  <si>
    <t>3155-77.JPG</t>
  </si>
  <si>
    <t>3156-77</t>
  </si>
  <si>
    <t>4 LIGHT CHANDELIER</t>
  </si>
  <si>
    <t>ISABELLA'S CROWN - MINI CHANDELIER</t>
  </si>
  <si>
    <t>CLEAR CRYSTAL STRINGS M</t>
  </si>
  <si>
    <t>3156-77.JPG</t>
  </si>
  <si>
    <t>3157-77</t>
  </si>
  <si>
    <t>ISABELLA'S CROWN - CHANDELIER</t>
  </si>
  <si>
    <t>3157-77.JPG</t>
  </si>
  <si>
    <t>3158-77</t>
  </si>
  <si>
    <t>CRYSTAL STRINGS</t>
  </si>
  <si>
    <t>CLEAR CRYSTAL STRINGS B</t>
  </si>
  <si>
    <t>3158-77.JPG</t>
  </si>
  <si>
    <t>STEEL + CRYSTAL</t>
  </si>
  <si>
    <t>3159-77</t>
  </si>
  <si>
    <t>MINI CHANDELIER</t>
  </si>
  <si>
    <t>7 LIGHT MINI CHANDELIER</t>
  </si>
  <si>
    <t>3159-77.JPG</t>
  </si>
  <si>
    <t>3164-84</t>
  </si>
  <si>
    <t>3164-84.JPG</t>
  </si>
  <si>
    <t>3165-84</t>
  </si>
  <si>
    <t>3165-84.JPG</t>
  </si>
  <si>
    <t>3166-84</t>
  </si>
  <si>
    <t>3166-84.JPG</t>
  </si>
  <si>
    <t>3168-84</t>
  </si>
  <si>
    <t>CLEAR WATER</t>
  </si>
  <si>
    <t>3168-84.JPG</t>
  </si>
  <si>
    <t>3169-84</t>
  </si>
  <si>
    <t>A-A9,MED</t>
  </si>
  <si>
    <t>3169-84.JPG</t>
  </si>
  <si>
    <t>3211-77-PL</t>
  </si>
  <si>
    <t>1 LT BATH</t>
  </si>
  <si>
    <t>LEEWARD</t>
  </si>
  <si>
    <t>13W/SPIRALCFL</t>
  </si>
  <si>
    <t>3211-77-PL.JPG</t>
  </si>
  <si>
    <t>3211-PL</t>
  </si>
  <si>
    <t>3241-77</t>
  </si>
  <si>
    <t>CASHELMARA</t>
  </si>
  <si>
    <t>3241-77.JPG</t>
  </si>
  <si>
    <t>STEEL+GLASS+K9 CRYSTAL+SHELL</t>
  </si>
  <si>
    <t>3242-77</t>
  </si>
  <si>
    <t>3242-77.JPG</t>
  </si>
  <si>
    <t>3243-77</t>
  </si>
  <si>
    <t>3243-77.JPG</t>
  </si>
  <si>
    <t>3244-77</t>
  </si>
  <si>
    <t>3244-77.JPG</t>
  </si>
  <si>
    <t>3281-589</t>
  </si>
  <si>
    <t>3281-589.JPG</t>
  </si>
  <si>
    <t>3282-589</t>
  </si>
  <si>
    <t>SHADOWGLEN - 2 LIGHT SEMI FLUSH</t>
  </si>
  <si>
    <t>3282-589.JPG</t>
  </si>
  <si>
    <t>3283-589</t>
  </si>
  <si>
    <t>SHADOWGLEN - 3 LIGHT CHANDELIER</t>
  </si>
  <si>
    <t>3283-589.JPG</t>
  </si>
  <si>
    <t>3284-589</t>
  </si>
  <si>
    <t>SHADOWGLEN - 3 LIGHT PENDANT</t>
  </si>
  <si>
    <t>3284-589.JPG</t>
  </si>
  <si>
    <t>3285-589</t>
  </si>
  <si>
    <t>SHADOWGLEN - 5 LIGHT CHANDELIER</t>
  </si>
  <si>
    <t>3285-589.JPG</t>
  </si>
  <si>
    <t>3286-589</t>
  </si>
  <si>
    <t>SHADOWGLEN - 3 LIGHT SEMI FLUSH</t>
  </si>
  <si>
    <t>WHITE LINEN FABRIC SHADE</t>
  </si>
  <si>
    <t>3286-589.JPG</t>
  </si>
  <si>
    <t>3287-589</t>
  </si>
  <si>
    <t>3287-589.JPG</t>
  </si>
  <si>
    <t>3288-589</t>
  </si>
  <si>
    <t>3 LIGHT FLUSH MOUNT</t>
  </si>
  <si>
    <t>SHADOWGLEN - 3 LIGHT FLUSH</t>
  </si>
  <si>
    <t>3288-589.JPG</t>
  </si>
  <si>
    <t>3289-589</t>
  </si>
  <si>
    <t>SHADOWGLEN - 9 LIGHT CHANDELIER</t>
  </si>
  <si>
    <t>3289-589.JPG</t>
  </si>
  <si>
    <t>3290-613</t>
  </si>
  <si>
    <t>AUDREY'S POINT - 1 LIGHT MINI PENDANT</t>
  </si>
  <si>
    <t>AUDREY'S POINT</t>
  </si>
  <si>
    <t>3290-613.JPG</t>
  </si>
  <si>
    <t>3291-613</t>
  </si>
  <si>
    <t>AUDREY'S POINT - 1 LIGHT BATH</t>
  </si>
  <si>
    <t>3291-613.JPG</t>
  </si>
  <si>
    <t>3292-613</t>
  </si>
  <si>
    <t>3292-613.JPG</t>
  </si>
  <si>
    <t>3293-613</t>
  </si>
  <si>
    <t>AUDREY'S POINT - 3 LIGHT BATH</t>
  </si>
  <si>
    <t>3293-613.JPG</t>
  </si>
  <si>
    <t>3294-613</t>
  </si>
  <si>
    <t>AUDREY'S POINT - 4 LIGHT BATH</t>
  </si>
  <si>
    <t>3294-613.JPG</t>
  </si>
  <si>
    <t>3295-613</t>
  </si>
  <si>
    <t>AUDREY'S POINT - 5 LIGHT CHANDELIER</t>
  </si>
  <si>
    <t>3295-613.JPG</t>
  </si>
  <si>
    <t>3296-613</t>
  </si>
  <si>
    <t>4 LIGHT SEMI FLUSH</t>
  </si>
  <si>
    <t>AUDREY'S POINT - 4 LIGHT SEMI FLUSH</t>
  </si>
  <si>
    <t>3296-613.JPG</t>
  </si>
  <si>
    <t>3297-613</t>
  </si>
  <si>
    <t>3297-613.JPG</t>
  </si>
  <si>
    <t>3298-613</t>
  </si>
  <si>
    <t>3298-613.JPG</t>
  </si>
  <si>
    <t>3299-613</t>
  </si>
  <si>
    <t>AUDREY'S POINT - 9 LIGHT CHANDELIER</t>
  </si>
  <si>
    <t>3299-613.JPG</t>
  </si>
  <si>
    <t>3301-84</t>
  </si>
  <si>
    <t>POLEIS - 1 LIGHT MINI PENDANT</t>
  </si>
  <si>
    <t>3301-84.JPG</t>
  </si>
  <si>
    <t>3304-84</t>
  </si>
  <si>
    <t>POLEIS - 4 LIGHT CHANDELIER</t>
  </si>
  <si>
    <t>3304-84.JPG</t>
  </si>
  <si>
    <t>3305-84</t>
  </si>
  <si>
    <t>POLEIS - 5 LIGHT CHANDELIER</t>
  </si>
  <si>
    <t>3305-84.JPG</t>
  </si>
  <si>
    <t>3306-84</t>
  </si>
  <si>
    <t>5 LIGHT ISLAND LIGHT</t>
  </si>
  <si>
    <t>POLEIS - 5 LIGHT ISLAND</t>
  </si>
  <si>
    <t>3306-84.JPG</t>
  </si>
  <si>
    <t>3307-84</t>
  </si>
  <si>
    <t>3 LIGHT SEMI FLUSH</t>
  </si>
  <si>
    <t>POLEIS - 3 LIGHT SEMI FLUSH</t>
  </si>
  <si>
    <t>3307-84.JPG</t>
  </si>
  <si>
    <t>STEEL+GLASS+FABRIC</t>
  </si>
  <si>
    <t>3308-84</t>
  </si>
  <si>
    <t>3 LIGHT DRUM PENDANT</t>
  </si>
  <si>
    <t>POLIES - 3 LIGHT PENDANT</t>
  </si>
  <si>
    <t>3308-84.JPG</t>
  </si>
  <si>
    <t>STEEL+GLASS+CLOTH</t>
  </si>
  <si>
    <t>3321-84</t>
  </si>
  <si>
    <t>SAVANNAH ROW - 1 BATH LIGHT</t>
  </si>
  <si>
    <t>SAVANNAH ROW</t>
  </si>
  <si>
    <t>3321-84.JPG</t>
  </si>
  <si>
    <t>3322-84</t>
  </si>
  <si>
    <t>SAVANNAH ROW - 2 LIGHT BATH</t>
  </si>
  <si>
    <t>3322-84.JPG</t>
  </si>
  <si>
    <t>3323-84</t>
  </si>
  <si>
    <t>SAVANNAH ROW - 3 LIGHT BATH</t>
  </si>
  <si>
    <t>3323-84.JPG</t>
  </si>
  <si>
    <t>3324-84</t>
  </si>
  <si>
    <t>SAVANNAH ROW - 4 LIGHT BATH</t>
  </si>
  <si>
    <t>3324-84.JPG</t>
  </si>
  <si>
    <t>ALABASTER DUST</t>
  </si>
  <si>
    <t>333.JPG</t>
  </si>
  <si>
    <t>POLY+STEEL</t>
  </si>
  <si>
    <t>3331-84</t>
  </si>
  <si>
    <t>4 LIGHT FOYER</t>
  </si>
  <si>
    <t>SAVANNAH ROW - 4 LIGHT CHANDELIER</t>
  </si>
  <si>
    <t>3331-84.JPG</t>
  </si>
  <si>
    <t>3332-84</t>
  </si>
  <si>
    <t>3332-84.JPG</t>
  </si>
  <si>
    <t>3333-84</t>
  </si>
  <si>
    <t>SAVANNAH ROW - 4 LIGHT FOYER</t>
  </si>
  <si>
    <t>3333-84.JPG</t>
  </si>
  <si>
    <t>3334-84</t>
  </si>
  <si>
    <t>3334-84.JPG</t>
  </si>
  <si>
    <t>3336-84</t>
  </si>
  <si>
    <t>SAVANNAH ROW - 6 LIGHT CHANDELIER</t>
  </si>
  <si>
    <t>3336-84.JPG</t>
  </si>
  <si>
    <t>3339-84</t>
  </si>
  <si>
    <t>SAVANNAH ROW - 9 LIGHT CHANDELIER</t>
  </si>
  <si>
    <t>3339-84.JPG</t>
  </si>
  <si>
    <t>334-84-PL</t>
  </si>
  <si>
    <t>SEMISPIRAL 13W,SELF-BALLAST</t>
  </si>
  <si>
    <t>334-84-PL.JPG</t>
  </si>
  <si>
    <t>334-PL</t>
  </si>
  <si>
    <t>STEEL+POLY</t>
  </si>
  <si>
    <t>3341-098</t>
  </si>
  <si>
    <t>GARRISON - 1 LIGHT BATH</t>
  </si>
  <si>
    <t>GARRISON</t>
  </si>
  <si>
    <t>BRUSHED NICKEL W/SHALE WOOD</t>
  </si>
  <si>
    <t>CLEAR SEEDY GLASS</t>
  </si>
  <si>
    <t>3341-098.JPG</t>
  </si>
  <si>
    <t>3342-098</t>
  </si>
  <si>
    <t>GARRISON - 2 LIGHT BATH</t>
  </si>
  <si>
    <t>3342-098.JPG</t>
  </si>
  <si>
    <t>3343-098</t>
  </si>
  <si>
    <t>GARRISON - 3 LIGHT BATH</t>
  </si>
  <si>
    <t>3343-098.JPG</t>
  </si>
  <si>
    <t>3351-84</t>
  </si>
  <si>
    <t>WATERBURY - 1 LIGHT BATH</t>
  </si>
  <si>
    <t>WATERBURY</t>
  </si>
  <si>
    <t>E26 ST8</t>
  </si>
  <si>
    <t>3351-84.JPG</t>
  </si>
  <si>
    <t>3352-84</t>
  </si>
  <si>
    <t>2 LT BATH</t>
  </si>
  <si>
    <t>WATERBURY - 2 LIGHT BATH</t>
  </si>
  <si>
    <t>3352-84.JPG</t>
  </si>
  <si>
    <t>3353-84</t>
  </si>
  <si>
    <t>3 LT BATH</t>
  </si>
  <si>
    <t>WATERBUTY - 3 LIGHT BATH</t>
  </si>
  <si>
    <t>3353-84.JPG</t>
  </si>
  <si>
    <t>3354-84</t>
  </si>
  <si>
    <t>4 LT BATH</t>
  </si>
  <si>
    <t>WATERBUTY - 4 LIGHT BATH</t>
  </si>
  <si>
    <t>3354-84.JPG</t>
  </si>
  <si>
    <t>3361-416</t>
  </si>
  <si>
    <t>MONICO</t>
  </si>
  <si>
    <t>A-19, MED.</t>
  </si>
  <si>
    <t>3361-416.JPG</t>
  </si>
  <si>
    <t>3362-416</t>
  </si>
  <si>
    <t>3362-416.JPG</t>
  </si>
  <si>
    <t>3363-416</t>
  </si>
  <si>
    <t>3363-416.JPG</t>
  </si>
  <si>
    <t>338-1</t>
  </si>
  <si>
    <t>WHITE PIASTRA</t>
  </si>
  <si>
    <t>338-1.JPG</t>
  </si>
  <si>
    <t>3381-77</t>
  </si>
  <si>
    <t>D'OR - 1 LIGHT BATH</t>
  </si>
  <si>
    <t>D'OR</t>
  </si>
  <si>
    <t>3381-77.JPG</t>
  </si>
  <si>
    <t>3382-77</t>
  </si>
  <si>
    <t>D'OR - 2 LIGHT BATH</t>
  </si>
  <si>
    <t>3382-77.JPG</t>
  </si>
  <si>
    <t>3383-77</t>
  </si>
  <si>
    <t>D'OR - 3 LIGHT BATH</t>
  </si>
  <si>
    <t>3383-77.JPG</t>
  </si>
  <si>
    <t>STEEL+CLOTH</t>
  </si>
  <si>
    <t>3384-77</t>
  </si>
  <si>
    <t>D'OR - 4 LIGHT BATH</t>
  </si>
  <si>
    <t>3384-77.JPG</t>
  </si>
  <si>
    <t>3403-613</t>
  </si>
  <si>
    <t>AUDREY'S POINT - 3 LIGHT CHANDELIER</t>
  </si>
  <si>
    <t>3403-613.JPG</t>
  </si>
  <si>
    <t>3404-613</t>
  </si>
  <si>
    <t>AUDREY'S POINT - 4 LIGHT ISLAND</t>
  </si>
  <si>
    <t>ETCHED OPAL GLASS</t>
  </si>
  <si>
    <t>3404-613.JPG</t>
  </si>
  <si>
    <t>341-172</t>
  </si>
  <si>
    <t>FIELDALE LODGE - 2 LIGHT WALL SCONCE</t>
  </si>
  <si>
    <t>341-172.JPG</t>
  </si>
  <si>
    <t>341-248</t>
  </si>
  <si>
    <t>HONEY GOLD</t>
  </si>
  <si>
    <t>341-248.JPG</t>
  </si>
  <si>
    <t>341-357</t>
  </si>
  <si>
    <t>341-357.JPG</t>
  </si>
  <si>
    <t>341-84</t>
  </si>
  <si>
    <t>341-84.JPG</t>
  </si>
  <si>
    <t>3411-84</t>
  </si>
  <si>
    <t>3411-84.JPG</t>
  </si>
  <si>
    <t>3412-84</t>
  </si>
  <si>
    <t>3412-84.JPG</t>
  </si>
  <si>
    <t>STEEL+ GLASS</t>
  </si>
  <si>
    <t>3413-84</t>
  </si>
  <si>
    <t>3413-84.JPG</t>
  </si>
  <si>
    <t>3414-84</t>
  </si>
  <si>
    <t>3414-84.JPG</t>
  </si>
  <si>
    <t>342-172</t>
  </si>
  <si>
    <t>FIELDALE LODGE - 1 LIGHT WALL SCONCE</t>
  </si>
  <si>
    <t>342-172.JPG</t>
  </si>
  <si>
    <t>342-248</t>
  </si>
  <si>
    <t>342-248.JPG</t>
  </si>
  <si>
    <t>342-357</t>
  </si>
  <si>
    <t>342-357.JPG</t>
  </si>
  <si>
    <t>342-357-PL</t>
  </si>
  <si>
    <t>SEMISPIRAL 13W, SELF-BALLAST</t>
  </si>
  <si>
    <t>342-357-PL.JPG</t>
  </si>
  <si>
    <t>342-PL</t>
  </si>
  <si>
    <t>342-84</t>
  </si>
  <si>
    <t>342-84.JPG</t>
  </si>
  <si>
    <t>3420-77</t>
  </si>
  <si>
    <t>AUSTINE - 1 LIGHT MINI PENDANT</t>
  </si>
  <si>
    <t>AUSTINE</t>
  </si>
  <si>
    <t>3420-77.JPG</t>
  </si>
  <si>
    <t>3421-77</t>
  </si>
  <si>
    <t>AUSTINE - 1 LIGHT BATH</t>
  </si>
  <si>
    <t>3421-77.JPG</t>
  </si>
  <si>
    <t>3432-252</t>
  </si>
  <si>
    <t>SARA'S JEWEL - 2 LIGHT BATH</t>
  </si>
  <si>
    <t>SARA'S JEWEL</t>
  </si>
  <si>
    <t>B10.5,CANDELABRA</t>
  </si>
  <si>
    <t>CLOTH</t>
  </si>
  <si>
    <t>3432-252.JPG</t>
  </si>
  <si>
    <t>STEEL+CLOTH+GLASS</t>
  </si>
  <si>
    <t>344-84</t>
  </si>
  <si>
    <t>2 LIGHT WALL MOUNT</t>
  </si>
  <si>
    <t>344-84.JPG</t>
  </si>
  <si>
    <t>345-37B</t>
  </si>
  <si>
    <t>FRENCH SCAVO</t>
  </si>
  <si>
    <t>345-37B.JPG</t>
  </si>
  <si>
    <t>345-37B-PL</t>
  </si>
  <si>
    <t>SEMISPIRAL13W/SELF-BALLAST</t>
  </si>
  <si>
    <t>345-37B-PL.JPG</t>
  </si>
  <si>
    <t>345-PL</t>
  </si>
  <si>
    <t>3451-84B</t>
  </si>
  <si>
    <t>UPTOWN EDISON - 1 LIGHT BATH</t>
  </si>
  <si>
    <t>UPTOWN EDISON</t>
  </si>
  <si>
    <t>PLATED PEWTER</t>
  </si>
  <si>
    <t>3451-84B.JPG</t>
  </si>
  <si>
    <t>3452-84B</t>
  </si>
  <si>
    <t>UPTOWN EDISON - 2 LIGHT BATH</t>
  </si>
  <si>
    <t>3452-84B.JPG</t>
  </si>
  <si>
    <t>3453-84B</t>
  </si>
  <si>
    <t>UPTOWN EDISON - 3 LIGHT BATH</t>
  </si>
  <si>
    <t>3453-84B.JPG</t>
  </si>
  <si>
    <t>3454-84B</t>
  </si>
  <si>
    <t>UPTOWN EDISON - 4 LIGHT BATH</t>
  </si>
  <si>
    <t>3454-84B.JPG</t>
  </si>
  <si>
    <t>346-14</t>
  </si>
  <si>
    <t>ETHCHED MARBLE</t>
  </si>
  <si>
    <t>346-14.JPG</t>
  </si>
  <si>
    <t>348-37B</t>
  </si>
  <si>
    <t>1 LIGHT WALL MOUNT</t>
  </si>
  <si>
    <t>348-37B.JPG</t>
  </si>
  <si>
    <t>WHITE CERAMIC</t>
  </si>
  <si>
    <t>CERAMIC</t>
  </si>
  <si>
    <t>WHITE W/O UV</t>
  </si>
  <si>
    <t>350.JPG</t>
  </si>
  <si>
    <t>3551-588</t>
  </si>
  <si>
    <t>MORROW - 1 LIGHT BATH</t>
  </si>
  <si>
    <t>MORROW</t>
  </si>
  <si>
    <t>FERRO,MED</t>
  </si>
  <si>
    <t>HARVARD COURT BRONZE W/GOLD HI</t>
  </si>
  <si>
    <t>3551-588.JPG</t>
  </si>
  <si>
    <t>3552-588</t>
  </si>
  <si>
    <t>MORROW - 2 LIGHT BATH</t>
  </si>
  <si>
    <t>3552-588.JPG</t>
  </si>
  <si>
    <t>3553-588</t>
  </si>
  <si>
    <t>MORROW - 3 LIGHT BATH</t>
  </si>
  <si>
    <t>ST58, MED</t>
  </si>
  <si>
    <t>3553-588.JPG</t>
  </si>
  <si>
    <t>3554-588</t>
  </si>
  <si>
    <t>MORROW - 4 LIGHT BATH</t>
  </si>
  <si>
    <t>3554-588.JPG</t>
  </si>
  <si>
    <t>3561-098</t>
  </si>
  <si>
    <t>TYSON'S GATE</t>
  </si>
  <si>
    <t>WHITE IRIS</t>
  </si>
  <si>
    <t>3561-098.JPG</t>
  </si>
  <si>
    <t>3563-098</t>
  </si>
  <si>
    <t>3 LIGHT WALL SCONCE</t>
  </si>
  <si>
    <t>3563-098.JPG</t>
  </si>
  <si>
    <t>3568-098</t>
  </si>
  <si>
    <t>10 LIGHT PENDANT</t>
  </si>
  <si>
    <t>3568-098.JPG</t>
  </si>
  <si>
    <t>3569-098</t>
  </si>
  <si>
    <t>TYSON'S GATE - 12 LIGHT PENDANT</t>
  </si>
  <si>
    <t>T8,CAND</t>
  </si>
  <si>
    <t>3569-098.JPG</t>
  </si>
  <si>
    <t>3663-598</t>
  </si>
  <si>
    <t>CULTURE CHIC - 3 LIGHT MINI PENDANT</t>
  </si>
  <si>
    <t>CULTURE CHIC</t>
  </si>
  <si>
    <t>CATALINA SILVER</t>
  </si>
  <si>
    <t>RIPPLE</t>
  </si>
  <si>
    <t>3663-598.JPG</t>
  </si>
  <si>
    <t>STEEL+RIPPLE GLASS</t>
  </si>
  <si>
    <t>3664-598</t>
  </si>
  <si>
    <t>3664-598.JPG</t>
  </si>
  <si>
    <t>3669-598</t>
  </si>
  <si>
    <t>CLEAR RIPPLE</t>
  </si>
  <si>
    <t>3669-598.JPG</t>
  </si>
  <si>
    <t>3673-111</t>
  </si>
  <si>
    <t>VORTIC FLOW</t>
  </si>
  <si>
    <t>3673-111.JPG</t>
  </si>
  <si>
    <t>3678-111</t>
  </si>
  <si>
    <t>3678-111.JPG</t>
  </si>
  <si>
    <t>3679-111</t>
  </si>
  <si>
    <t>3679-111.JPG</t>
  </si>
  <si>
    <t>3722-77-PL</t>
  </si>
  <si>
    <t>ENERGY STAR BATH</t>
  </si>
  <si>
    <t>13W/SEMI-SPIRAL,SELF BALLAST</t>
  </si>
  <si>
    <t>WHITE OPAL</t>
  </si>
  <si>
    <t>3722-77-PL.JPG</t>
  </si>
  <si>
    <t>3722-PL</t>
  </si>
  <si>
    <t>391-613-L</t>
  </si>
  <si>
    <t>SQUARE LED BATH</t>
  </si>
  <si>
    <t>SQUARE</t>
  </si>
  <si>
    <t>L-MD-L03011-15W</t>
  </si>
  <si>
    <t>391-613-L.JPG</t>
  </si>
  <si>
    <t>STEEL+GLASS+ALUMINUM</t>
  </si>
  <si>
    <t>392-613-L</t>
  </si>
  <si>
    <t>392-613-L.JPG</t>
  </si>
  <si>
    <t>393-613-L</t>
  </si>
  <si>
    <t>L-MD-L07218-25W</t>
  </si>
  <si>
    <t>393-613-L.JPG</t>
  </si>
  <si>
    <t>3981-613</t>
  </si>
  <si>
    <t>TILBURY - 1 LIGHT BATH</t>
  </si>
  <si>
    <t>TILBURY</t>
  </si>
  <si>
    <t>3981-613.JPG</t>
  </si>
  <si>
    <t>3982-613</t>
  </si>
  <si>
    <t>ECHED OPAL</t>
  </si>
  <si>
    <t>3982-613.JPG</t>
  </si>
  <si>
    <t>3983-613</t>
  </si>
  <si>
    <t>TILBURY - 3 LIGHT BATH</t>
  </si>
  <si>
    <t>3983-613.JPG</t>
  </si>
  <si>
    <t>3984-613</t>
  </si>
  <si>
    <t>TILBURY - 4 LIGHT BATH</t>
  </si>
  <si>
    <t>3984-613.JPG</t>
  </si>
  <si>
    <t>401-584-L</t>
  </si>
  <si>
    <t>WESTWOOD COURT LED BATH</t>
  </si>
  <si>
    <t>WESTWOOD COURT</t>
  </si>
  <si>
    <t>L-MD-L04008-12W</t>
  </si>
  <si>
    <t>CHAMPAGNE GOLD</t>
  </si>
  <si>
    <t>401-584-L.JPG</t>
  </si>
  <si>
    <t>IRON+GLASS</t>
  </si>
  <si>
    <t>4010-280</t>
  </si>
  <si>
    <t>1 LT PENDANT</t>
  </si>
  <si>
    <t>COUNTRY ESTATES - 1 LIGHT MINI PENDANT</t>
  </si>
  <si>
    <t>COUNTRY ESTATES</t>
  </si>
  <si>
    <t>ST58</t>
  </si>
  <si>
    <t>SUN FADED WOOD W/BRUSHED NICKE</t>
  </si>
  <si>
    <t>4010-280.JPG</t>
  </si>
  <si>
    <t>4012-280</t>
  </si>
  <si>
    <t>COUNTRY ESTATES - 4 LIGHT PENDANT</t>
  </si>
  <si>
    <t>4012-280.JPG</t>
  </si>
  <si>
    <t>4013-280</t>
  </si>
  <si>
    <t>COUNTRY ESTATES - 4 LIGHT SEMI FLUSH</t>
  </si>
  <si>
    <t>4013-280.JPG</t>
  </si>
  <si>
    <t>4014-280</t>
  </si>
  <si>
    <t>T8, CAND</t>
  </si>
  <si>
    <t>4014-280.JPG</t>
  </si>
  <si>
    <t>4015-280</t>
  </si>
  <si>
    <t>COUNTRY ESTATES - 6 LIGHT CHANDELIER</t>
  </si>
  <si>
    <t>CLEAR SEEDY</t>
  </si>
  <si>
    <t>4015-280.JPG</t>
  </si>
  <si>
    <t>4016-280</t>
  </si>
  <si>
    <t>6 LIGHT ISLAND</t>
  </si>
  <si>
    <t>COUNTRY ESTATES - 6 LIGHT ISLAND</t>
  </si>
  <si>
    <t>T8 CAND</t>
  </si>
  <si>
    <t>4016-280.JPG</t>
  </si>
  <si>
    <t>402-584-L</t>
  </si>
  <si>
    <t>L-MD-L06014-21W</t>
  </si>
  <si>
    <t>402-584-L.JPG</t>
  </si>
  <si>
    <t>4020-679-L</t>
  </si>
  <si>
    <t>ADA LED WALL SCONCE</t>
  </si>
  <si>
    <t>CHASSELL - 1 LIGHT LED WALL SCONCE</t>
  </si>
  <si>
    <t>CHASSELL</t>
  </si>
  <si>
    <t>Z04 LED BULB</t>
  </si>
  <si>
    <t>PAINTED HONEY GOLD WITH POLISH</t>
  </si>
  <si>
    <t>4020-679-L.JPG</t>
  </si>
  <si>
    <t>4020-L</t>
  </si>
  <si>
    <t>STEEL+FIBER+GLASS</t>
  </si>
  <si>
    <t>4025-679</t>
  </si>
  <si>
    <t>5 LIGHT PENDANT/SEMI FLUSH</t>
  </si>
  <si>
    <t>CHASSELL - 5 LIGHT SEMI FLUSH/PENDANTCONVERTIBLE</t>
  </si>
  <si>
    <t>4025-679.JPG</t>
  </si>
  <si>
    <t>4026-679</t>
  </si>
  <si>
    <t>6 LIGHT PENDANT</t>
  </si>
  <si>
    <t>CHASSELL - 6 LIGHT CHANDELIER</t>
  </si>
  <si>
    <t>4026-679.JPG</t>
  </si>
  <si>
    <t>4028-679</t>
  </si>
  <si>
    <t>CHASSELL - 8 LIGHT CHANDELIER</t>
  </si>
  <si>
    <t>4028-679.JPG</t>
  </si>
  <si>
    <t>403-584-L</t>
  </si>
  <si>
    <t>L-MD-L08020-32W</t>
  </si>
  <si>
    <t>403-584-L.JPG</t>
  </si>
  <si>
    <t>4051-571</t>
  </si>
  <si>
    <t>OLIVETAS - 1 LIGHT MINI PENDANT</t>
  </si>
  <si>
    <t>OLIVETAS</t>
  </si>
  <si>
    <t>4051-571.JPG</t>
  </si>
  <si>
    <t>4052-571</t>
  </si>
  <si>
    <t>OLIVETAS - 6 LIGHT PENDANT</t>
  </si>
  <si>
    <t>4052-571.JPG</t>
  </si>
  <si>
    <t>4053-571</t>
  </si>
  <si>
    <t>OLIVETAS - 3 LIGHT PENDANT</t>
  </si>
  <si>
    <t>WHITE FABRIC SHADE</t>
  </si>
  <si>
    <t>4053-571.JPG</t>
  </si>
  <si>
    <t>4055-571</t>
  </si>
  <si>
    <t>OLIVETAS - 5 LIGHT PENDANT</t>
  </si>
  <si>
    <t>4055-571.JPG</t>
  </si>
  <si>
    <t>4056-571</t>
  </si>
  <si>
    <t>OLIVETAS - 6 LIGHT ISLAND</t>
  </si>
  <si>
    <t>4056-571.JPG</t>
  </si>
  <si>
    <t>4060-572</t>
  </si>
  <si>
    <t>LIEGE - 3 LIGHT PENDANT</t>
  </si>
  <si>
    <t>LIEGE</t>
  </si>
  <si>
    <t>MATTE BLACK W/POLISHED NICKEL</t>
  </si>
  <si>
    <t>4060-572.JPG</t>
  </si>
  <si>
    <t>AGED KINSTON BRONZE W/BRASS HI</t>
  </si>
  <si>
    <t>4062-572</t>
  </si>
  <si>
    <t>2 LT WALL SCONCE</t>
  </si>
  <si>
    <t>LIEGE - 2 LIGHT WALL SCONCE</t>
  </si>
  <si>
    <t>4062-572.JPG</t>
  </si>
  <si>
    <t>4062-660</t>
  </si>
  <si>
    <t>4062-660.JPG</t>
  </si>
  <si>
    <t>4065-572</t>
  </si>
  <si>
    <t>LIEGE - 5 LIGHT ISLAND</t>
  </si>
  <si>
    <t>4065-572.JPG</t>
  </si>
  <si>
    <t>4065-660</t>
  </si>
  <si>
    <t>4065-660.JPG</t>
  </si>
  <si>
    <t>4066-572</t>
  </si>
  <si>
    <t>LIEGE - 6 LIGHT PENDANT</t>
  </si>
  <si>
    <t>4066-572.JPG</t>
  </si>
  <si>
    <t>4066-660</t>
  </si>
  <si>
    <t>4066-660.JPG</t>
  </si>
  <si>
    <t>4067-572</t>
  </si>
  <si>
    <t>4067-572.JPG</t>
  </si>
  <si>
    <t>4067-660</t>
  </si>
  <si>
    <t>4067-660.JPG</t>
  </si>
  <si>
    <t>4068-572</t>
  </si>
  <si>
    <t>5 LT BATH</t>
  </si>
  <si>
    <t>LIEGE - 5 LIGHT BATH</t>
  </si>
  <si>
    <t>4068-572.JPG</t>
  </si>
  <si>
    <t>4068-660</t>
  </si>
  <si>
    <t>4068-660.JPG</t>
  </si>
  <si>
    <t>4069-572</t>
  </si>
  <si>
    <t>LIEGE- 12 LIGHT PENDANT</t>
  </si>
  <si>
    <t>4069-572.JPG</t>
  </si>
  <si>
    <t>4072-676</t>
  </si>
  <si>
    <t>2 LIGHTS WALL SCONCE</t>
  </si>
  <si>
    <t>LA COURBE - 2 LIGHT WALL SCONCE</t>
  </si>
  <si>
    <t>LA COURBE</t>
  </si>
  <si>
    <t>BLACK WITH ANTIQUE BRASS</t>
  </si>
  <si>
    <t>4072-676.JPG</t>
  </si>
  <si>
    <t>4073-676</t>
  </si>
  <si>
    <t>4 LIGHTS CHANDELIER</t>
  </si>
  <si>
    <t>LA COURBE - 4 LIGHT CHANDELIER</t>
  </si>
  <si>
    <t>4073-676.JPG</t>
  </si>
  <si>
    <t>4074-676</t>
  </si>
  <si>
    <t>4 LIGHTS PENDANT</t>
  </si>
  <si>
    <t>LA COURBE - 4 LIGHT PENDANT</t>
  </si>
  <si>
    <t>4074-676.JPG</t>
  </si>
  <si>
    <t>4076-676</t>
  </si>
  <si>
    <t>6 LIGHTS CHANDELIER</t>
  </si>
  <si>
    <t>LA COURBE - 6 LIGHT CHANDELIER</t>
  </si>
  <si>
    <t>4076-676.JPG</t>
  </si>
  <si>
    <t>4078-676</t>
  </si>
  <si>
    <t>4 LIGHTS SEMI FLUSH</t>
  </si>
  <si>
    <t>LA COURBE - 4 LIGHT SEMI FLUSH</t>
  </si>
  <si>
    <t>4078-676.JPG</t>
  </si>
  <si>
    <t>4079-676</t>
  </si>
  <si>
    <t>9 LIGHTS CHANDELIER</t>
  </si>
  <si>
    <t>LA COURBE - 9 LIGHT CHANDELIER</t>
  </si>
  <si>
    <t>4079-676.JPG</t>
  </si>
  <si>
    <t>4083-107</t>
  </si>
  <si>
    <t>3 LIGHT WALL MOUNT</t>
  </si>
  <si>
    <t>SUSSEX COURT - 3 LIGHT BATH</t>
  </si>
  <si>
    <t>SUSSEX COURT</t>
  </si>
  <si>
    <t>T8 BULB</t>
  </si>
  <si>
    <t>SMOKED IRON W/AGED GOLD</t>
  </si>
  <si>
    <t>4083-107.JPG</t>
  </si>
  <si>
    <t>40831-0</t>
  </si>
  <si>
    <t>2 CANDLE HODLER +1 PLATE</t>
  </si>
  <si>
    <t>40831-0.JPG</t>
  </si>
  <si>
    <t>40833-0</t>
  </si>
  <si>
    <t>1 DECO BOX + 1 CHARGER PLATE</t>
  </si>
  <si>
    <t>CHARGER PLATE AND DECORATIVE BOX</t>
  </si>
  <si>
    <t>40833-0.JPG</t>
  </si>
  <si>
    <t>4085-107</t>
  </si>
  <si>
    <t>SUSSEX COURT - 4 LIGHT SEMI FLUSH</t>
  </si>
  <si>
    <t>4085-107.JPG</t>
  </si>
  <si>
    <t>4086-107</t>
  </si>
  <si>
    <t>SUSSEX COURT - 4 LIGHT CHANDELIER</t>
  </si>
  <si>
    <t>4086-107.JPG</t>
  </si>
  <si>
    <t>4087-107</t>
  </si>
  <si>
    <t>SUSSEX COURT - 6 LIGHT CHANDELIER</t>
  </si>
  <si>
    <t>4087-107.JPG</t>
  </si>
  <si>
    <t>4088-107</t>
  </si>
  <si>
    <t>SUSSEX COURT - 6 LIGHT ISLAND</t>
  </si>
  <si>
    <t>4088-107.JPG</t>
  </si>
  <si>
    <t>4089-107</t>
  </si>
  <si>
    <t>SUSSEX COURT - 9 LIGHT CHANDELIER</t>
  </si>
  <si>
    <t>4089-107.JPG</t>
  </si>
  <si>
    <t>4101-172</t>
  </si>
  <si>
    <t>PARSONS STUDIO - MINI PENDANT</t>
  </si>
  <si>
    <t>PARSONS STUDIO</t>
  </si>
  <si>
    <t>4101-172.JPG</t>
  </si>
  <si>
    <t>4101-84</t>
  </si>
  <si>
    <t>PARSONS STUDIO - 1 LIGHT MINI PENDANT</t>
  </si>
  <si>
    <t>4101-84.JPG</t>
  </si>
  <si>
    <t>4103-172</t>
  </si>
  <si>
    <t>PARSONS STUDIO - CHANDELIER</t>
  </si>
  <si>
    <t>4103-172.JPG</t>
  </si>
  <si>
    <t>4103-84</t>
  </si>
  <si>
    <t>PARSONS STUDIO - 3 LIGHT MINI CHANDELIER</t>
  </si>
  <si>
    <t>4103-84.JPG</t>
  </si>
  <si>
    <t>4104-172</t>
  </si>
  <si>
    <t>PARSONS STUDIO - PENDANT</t>
  </si>
  <si>
    <t>4104-172.JPG</t>
  </si>
  <si>
    <t>4104-84</t>
  </si>
  <si>
    <t>PARSONS STUDIO - 3 LIGHT PENDANT</t>
  </si>
  <si>
    <t>TRANSLUCENT SILVER LINEN SHADE</t>
  </si>
  <si>
    <t>4104-84.JPG</t>
  </si>
  <si>
    <t>4105-172</t>
  </si>
  <si>
    <t>4105-172.JPG</t>
  </si>
  <si>
    <t>4105-84</t>
  </si>
  <si>
    <t>PARSON STUDIO - 5 LIGHT CHANDELIER</t>
  </si>
  <si>
    <t>4105-84.JPG</t>
  </si>
  <si>
    <t>4107-172</t>
  </si>
  <si>
    <t>PARSONS STUDIO - SEMI FLUSH</t>
  </si>
  <si>
    <t>TRANSLUCENT SILVER LINEN W/OFF-WHITE LINEN INNER</t>
  </si>
  <si>
    <t>4107-172.JPG</t>
  </si>
  <si>
    <t>4107-84</t>
  </si>
  <si>
    <t>PARSONS STUDIO - 3 LIGHT SEMI FLUSH</t>
  </si>
  <si>
    <t>4107-84.JPG</t>
  </si>
  <si>
    <t>4109-172</t>
  </si>
  <si>
    <t>PARSONS STUDIO - 9 LIGHT CHANDELIER</t>
  </si>
  <si>
    <t>4109-172.JPG</t>
  </si>
  <si>
    <t>4109-84</t>
  </si>
  <si>
    <t>4109-84.JPG</t>
  </si>
  <si>
    <t>G16.5</t>
  </si>
  <si>
    <t>412.JPG</t>
  </si>
  <si>
    <t>4130-84</t>
  </si>
  <si>
    <t>DOWNTOWN EDISON - 1 LIGHT MINI PENDANT</t>
  </si>
  <si>
    <t>DOWNTOWN EDISON</t>
  </si>
  <si>
    <t>4130-84.JPG</t>
  </si>
  <si>
    <t>4131-84</t>
  </si>
  <si>
    <t>4131-84.JPG</t>
  </si>
  <si>
    <t>4133-84</t>
  </si>
  <si>
    <t>DOWNTOWN EDISON - 3 LIGHT FLUSH MOUNT</t>
  </si>
  <si>
    <t>4133-84.JPG</t>
  </si>
  <si>
    <t>4134-84</t>
  </si>
  <si>
    <t>4 LIGHT SEMI FLUSH MOUNT</t>
  </si>
  <si>
    <t>DOWNTOWN EDISON - 4 LIGHT SEMI FLUSH</t>
  </si>
  <si>
    <t>4134-84.JPG</t>
  </si>
  <si>
    <t>4165-584</t>
  </si>
  <si>
    <t>E12,CANDELABRA</t>
  </si>
  <si>
    <t>4165-584.JPG</t>
  </si>
  <si>
    <t>IRON</t>
  </si>
  <si>
    <t>4172-249</t>
  </si>
  <si>
    <t>HARBOUR POINT - 2 LIGHT SEMI FLUSH</t>
  </si>
  <si>
    <t>HARBOUR POINT</t>
  </si>
  <si>
    <t>4172-249.JPG</t>
  </si>
  <si>
    <t>4172-84</t>
  </si>
  <si>
    <t>4172-84.JPG</t>
  </si>
  <si>
    <t>4173-249</t>
  </si>
  <si>
    <t>HARBOUR POINT - 3 LIGHT PENDANT</t>
  </si>
  <si>
    <t>CLEAR+SANDBLAST+PAINT WHITE</t>
  </si>
  <si>
    <t>4173-249.JPG</t>
  </si>
  <si>
    <t>4173-84</t>
  </si>
  <si>
    <t>HARBOUR POINT - PENDANT</t>
  </si>
  <si>
    <t>CLEAR+SANDBLAST+WHITE PAINT</t>
  </si>
  <si>
    <t>4173-84.JPG</t>
  </si>
  <si>
    <t>4177-249</t>
  </si>
  <si>
    <t>HARBOUR POINT - SEMI FLUSH</t>
  </si>
  <si>
    <t>CLEAR+SANDBLASTING+WHITE PAINT INSIDE</t>
  </si>
  <si>
    <t>4177-249.JPG</t>
  </si>
  <si>
    <t>4177-84</t>
  </si>
  <si>
    <t>CLEAR+SANDBLAST+PAINTED WHITE INSIDE</t>
  </si>
  <si>
    <t>4177-84.JPG</t>
  </si>
  <si>
    <t>4208-290</t>
  </si>
  <si>
    <t>ABBOTT PLACE - 1 LIGHT PENDANT</t>
  </si>
  <si>
    <t>ABBOTT PLACE</t>
  </si>
  <si>
    <t>CLASSIC OAK PATINA</t>
  </si>
  <si>
    <t>DRIFTWOOD</t>
  </si>
  <si>
    <t>4208-290.JPG</t>
  </si>
  <si>
    <t>421-77-L</t>
  </si>
  <si>
    <t>ARLINGTON BROOKE - LED BATH</t>
  </si>
  <si>
    <t>ARLINGTON BROOKE</t>
  </si>
  <si>
    <t>L-MD-L4408-14W</t>
  </si>
  <si>
    <t>WHITE IRIS W/OUTSIDE FROSTED</t>
  </si>
  <si>
    <t>421-77-L.JPG</t>
  </si>
  <si>
    <t>STEEL+ZINC+GLASS</t>
  </si>
  <si>
    <t>GU10</t>
  </si>
  <si>
    <t>BRUSHED STAINLESS STEEL</t>
  </si>
  <si>
    <t>SABLE BRONZE PATINA</t>
  </si>
  <si>
    <t>422-77-L</t>
  </si>
  <si>
    <t>L-MD-L8815-26W</t>
  </si>
  <si>
    <t>422-77-L.JPG</t>
  </si>
  <si>
    <t>4221-84</t>
  </si>
  <si>
    <t>ECLANTE</t>
  </si>
  <si>
    <t>XENON G9 FROSTED</t>
  </si>
  <si>
    <t>4221-84.JPG</t>
  </si>
  <si>
    <t>42223-0</t>
  </si>
  <si>
    <t>2PCS CANDLE HOLDER</t>
  </si>
  <si>
    <t>ADALIA</t>
  </si>
  <si>
    <t>42223-0.JPG</t>
  </si>
  <si>
    <t>42224-0</t>
  </si>
  <si>
    <t>1 BIG+1 SMALL WOOD BOX</t>
  </si>
  <si>
    <t>DECORATIVE BOXES (SET OF 2)</t>
  </si>
  <si>
    <t>42224-0.JPG</t>
  </si>
  <si>
    <t>42305-0</t>
  </si>
  <si>
    <t>CANDLE HOLDER</t>
  </si>
  <si>
    <t>GOLDEN STONE</t>
  </si>
  <si>
    <t>42305-0.JPG</t>
  </si>
  <si>
    <t>4231-288</t>
  </si>
  <si>
    <t>ATTERBURY - 1 LIGHT MINI PENDANT</t>
  </si>
  <si>
    <t>ATTERBURY</t>
  </si>
  <si>
    <t>DEEP FLAX BRONZE</t>
  </si>
  <si>
    <t>VENATA DE ORO</t>
  </si>
  <si>
    <t>4231-288.JPG</t>
  </si>
  <si>
    <t>424-77-L</t>
  </si>
  <si>
    <t>L-MD-L13231-18W</t>
  </si>
  <si>
    <t>WHITE IRS W/OUTSIDE FROSTED</t>
  </si>
  <si>
    <t>424-77-L.JPG</t>
  </si>
  <si>
    <t>4341-593</t>
  </si>
  <si>
    <t>ASTRAPIA</t>
  </si>
  <si>
    <t>DARK RUBBED SIENNA WITH AGED SILVER</t>
  </si>
  <si>
    <t>4341-593.JPG</t>
  </si>
  <si>
    <t>4342-593</t>
  </si>
  <si>
    <t>4342-593.JPG</t>
  </si>
  <si>
    <t>4343-593</t>
  </si>
  <si>
    <t>4343-593.JPG</t>
  </si>
  <si>
    <t>IRON+ACRYLIC</t>
  </si>
  <si>
    <t>4344-593</t>
  </si>
  <si>
    <t>4 LIGHT FOYER PENDANT</t>
  </si>
  <si>
    <t>4344-593.JPG</t>
  </si>
  <si>
    <t>4346-593</t>
  </si>
  <si>
    <t>4346-593.JPG</t>
  </si>
  <si>
    <t>4347-593</t>
  </si>
  <si>
    <t>4347-593.JPG</t>
  </si>
  <si>
    <t>4348-593</t>
  </si>
  <si>
    <t>4348-593.JPG</t>
  </si>
  <si>
    <t>4349-593</t>
  </si>
  <si>
    <t>8 LIGHT FOYER</t>
  </si>
  <si>
    <t>B10.5 CAND BASE</t>
  </si>
  <si>
    <t>DARK RUBBED SIENNA WITH AGED S</t>
  </si>
  <si>
    <t>4349-593.JPG</t>
  </si>
  <si>
    <t>4355-593</t>
  </si>
  <si>
    <t>GWENDOLYN PLACE</t>
  </si>
  <si>
    <t>GC4355,GC4353-1,GC4353-B</t>
  </si>
  <si>
    <t>4355-593.JPG</t>
  </si>
  <si>
    <t>STEEL+POLY+CRYSTAL+FABRIC</t>
  </si>
  <si>
    <t>4361-281</t>
  </si>
  <si>
    <t>HARVARD COURT - 1 LIGHT MINI PENDANT</t>
  </si>
  <si>
    <t>HARVARD COURT</t>
  </si>
  <si>
    <t>CLEAR AND ETCHED OPAL</t>
  </si>
  <si>
    <t>4361-281.JPG</t>
  </si>
  <si>
    <t>4362-281</t>
  </si>
  <si>
    <t>HARVARD COURT - 3 LIGHT PENDANT</t>
  </si>
  <si>
    <t>LINEN</t>
  </si>
  <si>
    <t>4362-281.JPG</t>
  </si>
  <si>
    <t>METAL/GLASS/FABRIC</t>
  </si>
  <si>
    <t>4365-249</t>
  </si>
  <si>
    <t>HARBOUR POINT - 2 LIGHT FLUSH MOUNT</t>
  </si>
  <si>
    <t>4365-249.JPG</t>
  </si>
  <si>
    <t>4365-281</t>
  </si>
  <si>
    <t>4365-281.JPG</t>
  </si>
  <si>
    <t>4365-613</t>
  </si>
  <si>
    <t>4365-613.JPG</t>
  </si>
  <si>
    <t>4365-84</t>
  </si>
  <si>
    <t>4365-84.JPG</t>
  </si>
  <si>
    <t>4366-281</t>
  </si>
  <si>
    <t>HARVARD COURT - 6 LIGHT CHANDELIER</t>
  </si>
  <si>
    <t>T10 MED</t>
  </si>
  <si>
    <t>4366-281.JPG</t>
  </si>
  <si>
    <t>4367-281</t>
  </si>
  <si>
    <t>4367-281.JPG</t>
  </si>
  <si>
    <t>4368-281</t>
  </si>
  <si>
    <t>HARVARD COURT - 6 LIGHT PENDANT</t>
  </si>
  <si>
    <t>4368-281.JPG</t>
  </si>
  <si>
    <t>4372-579</t>
  </si>
  <si>
    <t>MIDDLETOWN - 5 LIGHT FOYER PENDANT</t>
  </si>
  <si>
    <t>MIDDLETOWN</t>
  </si>
  <si>
    <t>DOWNTON BRONZE WITH GOLD HIGHLIGHTS</t>
  </si>
  <si>
    <t>4372-579.JPG</t>
  </si>
  <si>
    <t>4373-579</t>
  </si>
  <si>
    <t>4373-579.JPG</t>
  </si>
  <si>
    <t>4374-579</t>
  </si>
  <si>
    <t>MIDDLETOWN - 4 LIGHT MINI CHANDELIER</t>
  </si>
  <si>
    <t>4374-579.JPG</t>
  </si>
  <si>
    <t>4375-579</t>
  </si>
  <si>
    <t>MIDDLETOWN - 5 LIGHT CHANDELIER</t>
  </si>
  <si>
    <t>4375-579.JPG</t>
  </si>
  <si>
    <t>4376-579</t>
  </si>
  <si>
    <t>MIDDLETOWN - 6 LIGHT CHANDELIER</t>
  </si>
  <si>
    <t>4376-579.JPG</t>
  </si>
  <si>
    <t>4391-573</t>
  </si>
  <si>
    <t>CLARTE</t>
  </si>
  <si>
    <t>PATINA IRON</t>
  </si>
  <si>
    <t>DEEP SPUMANTE LACE</t>
  </si>
  <si>
    <t>4391-573.JPG</t>
  </si>
  <si>
    <t>4391-77</t>
  </si>
  <si>
    <t>4391-77.JPG</t>
  </si>
  <si>
    <t>4392-573</t>
  </si>
  <si>
    <t>G16.5 CAND</t>
  </si>
  <si>
    <t>4392-573.JPG</t>
  </si>
  <si>
    <t>4392-77</t>
  </si>
  <si>
    <t>4392-77.JPG</t>
  </si>
  <si>
    <t>4393-573</t>
  </si>
  <si>
    <t>4393-573.JPG</t>
  </si>
  <si>
    <t>4393-77</t>
  </si>
  <si>
    <t>4393-77.JPG</t>
  </si>
  <si>
    <t>4396-573</t>
  </si>
  <si>
    <t>4396-573.JPG</t>
  </si>
  <si>
    <t>4396-77</t>
  </si>
  <si>
    <t>4396-77.JPG</t>
  </si>
  <si>
    <t>4397-573</t>
  </si>
  <si>
    <t>4397-573.JPG</t>
  </si>
  <si>
    <t>4397-77</t>
  </si>
  <si>
    <t>4397-77.JPG</t>
  </si>
  <si>
    <t>4398-573</t>
  </si>
  <si>
    <t>6 LIGHT OVAL PENDANT</t>
  </si>
  <si>
    <t>4398-573.JPG</t>
  </si>
  <si>
    <t>4398-77</t>
  </si>
  <si>
    <t>4398-77.JPG</t>
  </si>
  <si>
    <t>4403-581</t>
  </si>
  <si>
    <t>WEST LIBERTY</t>
  </si>
  <si>
    <t>B10.5,60W CAND BASE</t>
  </si>
  <si>
    <t>OLYMPUS GOLD</t>
  </si>
  <si>
    <t>4403-581.JPG</t>
  </si>
  <si>
    <t>4404-581</t>
  </si>
  <si>
    <t>WEST LIBERTY - 6 LIGHT CHANDELIER</t>
  </si>
  <si>
    <t>4404-581.JPG</t>
  </si>
  <si>
    <t>4405-581</t>
  </si>
  <si>
    <t>WEST LIBERTY - 5 LIGHT FOYER PENDANT</t>
  </si>
  <si>
    <t>4405-581.JPG</t>
  </si>
  <si>
    <t>4406-581</t>
  </si>
  <si>
    <t>4406-581.JPG</t>
  </si>
  <si>
    <t>4407-581</t>
  </si>
  <si>
    <t>4407-581.JPG</t>
  </si>
  <si>
    <t>4434-252</t>
  </si>
  <si>
    <t>SARA'S JEWEL - 4 LIGHT SEMI FLUSH</t>
  </si>
  <si>
    <t>GOSSAMER GOLD</t>
  </si>
  <si>
    <t>4434-252.JPG</t>
  </si>
  <si>
    <t>4435-252</t>
  </si>
  <si>
    <t>SARA'S JEWEL - 5 LIGHT PENDANT/SEMI FLUSH</t>
  </si>
  <si>
    <t>4435-252.JPG</t>
  </si>
  <si>
    <t>4438-252</t>
  </si>
  <si>
    <t>SARA'S JEWEL - 8 LIGHT PENDANT</t>
  </si>
  <si>
    <t>4438-252.JPG</t>
  </si>
  <si>
    <t>4443-582</t>
  </si>
  <si>
    <t>LAUREL ESTATE</t>
  </si>
  <si>
    <t>BRIO GOLD</t>
  </si>
  <si>
    <t>GOSSAMER</t>
  </si>
  <si>
    <t>4443-582.JPG</t>
  </si>
  <si>
    <t>4444-582</t>
  </si>
  <si>
    <t>LAUREL ESTATE - 4 LIGHT MINI CHANDELIER</t>
  </si>
  <si>
    <t>4444-582.JPG</t>
  </si>
  <si>
    <t>4445-582</t>
  </si>
  <si>
    <t>4445-582.JPG</t>
  </si>
  <si>
    <t>STEEL+GLASS+CRYSTAL</t>
  </si>
  <si>
    <t>4446-582</t>
  </si>
  <si>
    <t>LAUREL ESTATE - 6 LIGHT CHANDELIER</t>
  </si>
  <si>
    <t>4446-582.JPG</t>
  </si>
  <si>
    <t>4447-582</t>
  </si>
  <si>
    <t>LAUREL ESTATE - 4 LIGHT PENDANT</t>
  </si>
  <si>
    <t>4447-582.JPG</t>
  </si>
  <si>
    <t>4448-582</t>
  </si>
  <si>
    <t>4448-582.JPG</t>
  </si>
  <si>
    <t>4449-582</t>
  </si>
  <si>
    <t>LAUREL ESTATE - 9 LIGHT CHANDELIER</t>
  </si>
  <si>
    <t>4449-582.JPG</t>
  </si>
  <si>
    <t>4451-784</t>
  </si>
  <si>
    <t>UPTOWN EDISON - MINI PENDANT</t>
  </si>
  <si>
    <t>HARVARD COURT BRONZE W/PEWTER</t>
  </si>
  <si>
    <t>4451-784.JPG</t>
  </si>
  <si>
    <t>44518-0</t>
  </si>
  <si>
    <t>VANITY SINK</t>
  </si>
  <si>
    <t>VANITY</t>
  </si>
  <si>
    <t>FURNITURE</t>
  </si>
  <si>
    <t>CHERRY</t>
  </si>
  <si>
    <t>44518-0.JPG</t>
  </si>
  <si>
    <t>RUBBER WOOD, CHERRY VENEER</t>
  </si>
  <si>
    <t>4454-784</t>
  </si>
  <si>
    <t>UPTOWN EDISON - 4 LIGHT SEMI FLUSH (CONVERTIBLE TO PENDANT)</t>
  </si>
  <si>
    <t>4454-784.JPG</t>
  </si>
  <si>
    <t>4458-784</t>
  </si>
  <si>
    <t>UPTOWN EDISON - 8 LIGHT CHANDELIER</t>
  </si>
  <si>
    <t>4458-784.JPG</t>
  </si>
  <si>
    <t>4459-784</t>
  </si>
  <si>
    <t>UPTOWN EDISON - 9 LIGHT CHANDELIER</t>
  </si>
  <si>
    <t>4459-784.JPG</t>
  </si>
  <si>
    <t>4460-273</t>
  </si>
  <si>
    <t>COMPOSITIONS - 1 LIGHT WALL SCONCE</t>
  </si>
  <si>
    <t>COMPOSITIONS</t>
  </si>
  <si>
    <t>AGED PATINA IRON</t>
  </si>
  <si>
    <t>4460-273.JPG</t>
  </si>
  <si>
    <t>STEEL/GLASS/STONE</t>
  </si>
  <si>
    <t>4460-647</t>
  </si>
  <si>
    <t>4460-647.JPG</t>
  </si>
  <si>
    <t>4460-84</t>
  </si>
  <si>
    <t>4460-84.JPG</t>
  </si>
  <si>
    <t>4462-273</t>
  </si>
  <si>
    <t>COMPOSITIONS - 2 LIGHT WALL SCONCE</t>
  </si>
  <si>
    <t>4462-273.JPG</t>
  </si>
  <si>
    <t>4462-647</t>
  </si>
  <si>
    <t>4462-647.JPG</t>
  </si>
  <si>
    <t>4462-84</t>
  </si>
  <si>
    <t>4462-84.JPG</t>
  </si>
  <si>
    <t>4499-298</t>
  </si>
  <si>
    <t>ANSMITH - 3 LIGHT SEMI FLUSH</t>
  </si>
  <si>
    <t>ANSMITH</t>
  </si>
  <si>
    <t>AGED KINSTON BRONZE</t>
  </si>
  <si>
    <t>BEIGE LINEN</t>
  </si>
  <si>
    <t>4499-298.JPG</t>
  </si>
  <si>
    <t>STEEL/GLASS/FABRIC</t>
  </si>
  <si>
    <t>4511-100</t>
  </si>
  <si>
    <t>POSH HORIZON</t>
  </si>
  <si>
    <t>SAND BLACK W/GOLD LEAF</t>
  </si>
  <si>
    <t>4511-100.JPG</t>
  </si>
  <si>
    <t>4513-100</t>
  </si>
  <si>
    <t>4 LIGHT ISLAND</t>
  </si>
  <si>
    <t>E26,FERRO</t>
  </si>
  <si>
    <t>4513-100.JPG</t>
  </si>
  <si>
    <t>4514-100</t>
  </si>
  <si>
    <t>T8,MED</t>
  </si>
  <si>
    <t>4514-100.JPG</t>
  </si>
  <si>
    <t>4515-100</t>
  </si>
  <si>
    <t>E26, FERRO</t>
  </si>
  <si>
    <t>4515-100.JPG</t>
  </si>
  <si>
    <t>4516-100</t>
  </si>
  <si>
    <t>E26 FERRO</t>
  </si>
  <si>
    <t>4516-100.JPG</t>
  </si>
  <si>
    <t>4517-100</t>
  </si>
  <si>
    <t>4517-100.JPG</t>
  </si>
  <si>
    <t>4518-100</t>
  </si>
  <si>
    <t>4518-100.JPG</t>
  </si>
  <si>
    <t>4519-100</t>
  </si>
  <si>
    <t>4519-100.JPG</t>
  </si>
  <si>
    <t>4531-267B</t>
  </si>
  <si>
    <t>DARK BRUSHED BRONZE (PAINTED)</t>
  </si>
  <si>
    <t>4531-267B.JPG</t>
  </si>
  <si>
    <t>4531-613</t>
  </si>
  <si>
    <t>CLEAR W/ETCHED WHITE</t>
  </si>
  <si>
    <t>4531-613.JPG</t>
  </si>
  <si>
    <t>4532-267B</t>
  </si>
  <si>
    <t>4532-267B.JPG</t>
  </si>
  <si>
    <t>4532-613</t>
  </si>
  <si>
    <t>CLEAR/ETCHED WHITE</t>
  </si>
  <si>
    <t>4532-613.JPG</t>
  </si>
  <si>
    <t>4533-267B</t>
  </si>
  <si>
    <t>4533-267B.JPG</t>
  </si>
  <si>
    <t>4533-613</t>
  </si>
  <si>
    <t>CLEAR/ETCHED WHITE INSIDE</t>
  </si>
  <si>
    <t>4533-613.JPG</t>
  </si>
  <si>
    <t>4534-267B</t>
  </si>
  <si>
    <t>4534-267B.JPG</t>
  </si>
  <si>
    <t>4534-613</t>
  </si>
  <si>
    <t>CLEAR/WHITE INSIDE</t>
  </si>
  <si>
    <t>4534-613.JPG</t>
  </si>
  <si>
    <t>4553-588</t>
  </si>
  <si>
    <t>MORROW - 3 LIGHT SEMI FLUSH</t>
  </si>
  <si>
    <t>4553-588.JPG</t>
  </si>
  <si>
    <t>4555-588</t>
  </si>
  <si>
    <t>MORROW - 5 LIGHT CHANDELIER</t>
  </si>
  <si>
    <t>4555-588.JPG</t>
  </si>
  <si>
    <t>4556-588</t>
  </si>
  <si>
    <t>MORROW - 5 LIGHT ISLAND LIGHT</t>
  </si>
  <si>
    <t>4556-588.JPG</t>
  </si>
  <si>
    <t>4559-588</t>
  </si>
  <si>
    <t>MORROW - 9 LIGHT CHANDELIER</t>
  </si>
  <si>
    <t>4559-588.JPG</t>
  </si>
  <si>
    <t>4560-098</t>
  </si>
  <si>
    <t xml:space="preserve">TYSON'S GATE - 3 LIGHT WALL SCONCE </t>
  </si>
  <si>
    <t>4560-098.JPG</t>
  </si>
  <si>
    <t>4561-098</t>
  </si>
  <si>
    <t>4561-098.JPG</t>
  </si>
  <si>
    <t>4562-098</t>
  </si>
  <si>
    <t>4562-098.JPG</t>
  </si>
  <si>
    <t>4563-098</t>
  </si>
  <si>
    <t>4563-098.JPG</t>
  </si>
  <si>
    <t>4565-098</t>
  </si>
  <si>
    <t>5 LIGHT BATH</t>
  </si>
  <si>
    <t>4565-098.JPG</t>
  </si>
  <si>
    <t>4566-098</t>
  </si>
  <si>
    <t>4566-098.JPG</t>
  </si>
  <si>
    <t>4567-098</t>
  </si>
  <si>
    <t>4567-098.JPG</t>
  </si>
  <si>
    <t>4568-098</t>
  </si>
  <si>
    <t>4568-098.JPG</t>
  </si>
  <si>
    <t>4569-098</t>
  </si>
  <si>
    <t>4569-098.JPG</t>
  </si>
  <si>
    <t>4590-575</t>
  </si>
  <si>
    <t>2 LIGHT SCONCE</t>
  </si>
  <si>
    <t>TANNEHILL</t>
  </si>
  <si>
    <t>ANTIQUE NOBLE BRASS</t>
  </si>
  <si>
    <t>4590-575.JPG</t>
  </si>
  <si>
    <t>4591-575</t>
  </si>
  <si>
    <t>4591-575.JPG</t>
  </si>
  <si>
    <t>STELL+GLASS</t>
  </si>
  <si>
    <t>4592-575</t>
  </si>
  <si>
    <t>G16.5, CAND</t>
  </si>
  <si>
    <t>4592-575.JPG</t>
  </si>
  <si>
    <t>4594-575</t>
  </si>
  <si>
    <t>4594-575.JPG</t>
  </si>
  <si>
    <t>4595-575</t>
  </si>
  <si>
    <t>4595-575.JPG</t>
  </si>
  <si>
    <t>4596-575</t>
  </si>
  <si>
    <t>4596-575.JPG</t>
  </si>
  <si>
    <t>4597-575</t>
  </si>
  <si>
    <t>4597-575.JPG</t>
  </si>
  <si>
    <t>4598-575</t>
  </si>
  <si>
    <t>4598-575.JPG</t>
  </si>
  <si>
    <t>4599-575</t>
  </si>
  <si>
    <t>4599-575.JPG</t>
  </si>
  <si>
    <t>4600-101</t>
  </si>
  <si>
    <t>MADDOX ROE</t>
  </si>
  <si>
    <t>4600-101.JPG</t>
  </si>
  <si>
    <t>4601-101</t>
  </si>
  <si>
    <t>1 LIGT BATH</t>
  </si>
  <si>
    <t>CLEAR STRIPE</t>
  </si>
  <si>
    <t>4601-101.JPG</t>
  </si>
  <si>
    <t>4602-101</t>
  </si>
  <si>
    <t>4602-101.JPG</t>
  </si>
  <si>
    <t>4603-101</t>
  </si>
  <si>
    <t>4603-101.JPG</t>
  </si>
  <si>
    <t>4604-101</t>
  </si>
  <si>
    <t>MADDOX ROE - 4 LIGHT BATH</t>
  </si>
  <si>
    <t>4604-101.JPG</t>
  </si>
  <si>
    <t>4605-101</t>
  </si>
  <si>
    <t>4605-101.JPG</t>
  </si>
  <si>
    <t>4606-101</t>
  </si>
  <si>
    <t>4606-101.JPG</t>
  </si>
  <si>
    <t>4607-101</t>
  </si>
  <si>
    <t>4607-101.JPG</t>
  </si>
  <si>
    <t>4608-101</t>
  </si>
  <si>
    <t>4608-101.JPG</t>
  </si>
  <si>
    <t>4609-101</t>
  </si>
  <si>
    <t>4609-101.JPG</t>
  </si>
  <si>
    <t>4610-101</t>
  </si>
  <si>
    <t>14 LIGHT CHANDELIER</t>
  </si>
  <si>
    <t>4610-101.JPG</t>
  </si>
  <si>
    <t>4622-099</t>
  </si>
  <si>
    <t>CRITERIUM</t>
  </si>
  <si>
    <t>AGED BRASS W/TEXTURED IRON</t>
  </si>
  <si>
    <t>4622-099.JPG</t>
  </si>
  <si>
    <t>4623-099</t>
  </si>
  <si>
    <t>4623-099.JPG</t>
  </si>
  <si>
    <t>4624-099</t>
  </si>
  <si>
    <t>CRITERIUM - 4 LIGHT PENDANT</t>
  </si>
  <si>
    <t>4624-099.JPG</t>
  </si>
  <si>
    <t>4625-099</t>
  </si>
  <si>
    <t>4625-099.JPG</t>
  </si>
  <si>
    <t>4626-099</t>
  </si>
  <si>
    <t>4626-099.JPG</t>
  </si>
  <si>
    <t>4628-099</t>
  </si>
  <si>
    <t>4628-099.JPG</t>
  </si>
  <si>
    <t>4630-106</t>
  </si>
  <si>
    <t>BRIDLEWOOD</t>
  </si>
  <si>
    <t>4630-106.JPG</t>
  </si>
  <si>
    <t>4631-106</t>
  </si>
  <si>
    <t>4631-106.JPG</t>
  </si>
  <si>
    <t>4632-106</t>
  </si>
  <si>
    <t>4632-106.JPG</t>
  </si>
  <si>
    <t>4633-106</t>
  </si>
  <si>
    <t>4633-106.JPG</t>
  </si>
  <si>
    <t>4634-106</t>
  </si>
  <si>
    <t>4634-106.JPG</t>
  </si>
  <si>
    <t>4635-106</t>
  </si>
  <si>
    <t>5 LIGHT ISLAND</t>
  </si>
  <si>
    <t>4635-106.JPG</t>
  </si>
  <si>
    <t>4636-106</t>
  </si>
  <si>
    <t>4636-106.JPG</t>
  </si>
  <si>
    <t>4637-106</t>
  </si>
  <si>
    <t>4637-106.JPG</t>
  </si>
  <si>
    <t>4638-106</t>
  </si>
  <si>
    <t>4638-106.JPG</t>
  </si>
  <si>
    <t>4639-106</t>
  </si>
  <si>
    <t>4639-106.JPG</t>
  </si>
  <si>
    <t>4640-106</t>
  </si>
  <si>
    <t>4640-106.JPG</t>
  </si>
  <si>
    <t>4641-106</t>
  </si>
  <si>
    <t>STONE GREY W/BRUSHED NICKEL</t>
  </si>
  <si>
    <t>4641-106.JPG</t>
  </si>
  <si>
    <t>4645-579</t>
  </si>
  <si>
    <t>ELYTON</t>
  </si>
  <si>
    <t>DOWNTON BRONZE WITH GOLD HIGHL</t>
  </si>
  <si>
    <t>4645-579.JPG</t>
  </si>
  <si>
    <t>4646-579</t>
  </si>
  <si>
    <t>4646-579.JPG</t>
  </si>
  <si>
    <t>4650-579</t>
  </si>
  <si>
    <t>T10,CAND</t>
  </si>
  <si>
    <t>4650-579.JPG</t>
  </si>
  <si>
    <t>4651-579</t>
  </si>
  <si>
    <t>4651-579.JPG</t>
  </si>
  <si>
    <t>4652-579</t>
  </si>
  <si>
    <t>4652-579.JPG</t>
  </si>
  <si>
    <t>4653-579</t>
  </si>
  <si>
    <t>4653-579.JPG</t>
  </si>
  <si>
    <t>4654-579</t>
  </si>
  <si>
    <t>4654-579.JPG</t>
  </si>
  <si>
    <t>4655-579</t>
  </si>
  <si>
    <t>4655-579.JPG</t>
  </si>
  <si>
    <t>4656-579</t>
  </si>
  <si>
    <t>4656-579.JPG</t>
  </si>
  <si>
    <t>4657-579</t>
  </si>
  <si>
    <t>4657-579.JPG</t>
  </si>
  <si>
    <t>4658-579</t>
  </si>
  <si>
    <t>4658-579.JPG</t>
  </si>
  <si>
    <t>4659-579</t>
  </si>
  <si>
    <t>4659-579.JPG</t>
  </si>
  <si>
    <t>4662-598</t>
  </si>
  <si>
    <t>4662-598.JPG</t>
  </si>
  <si>
    <t>4663-598</t>
  </si>
  <si>
    <t>4663-598.JPG</t>
  </si>
  <si>
    <t>4664-598</t>
  </si>
  <si>
    <t>CULIGHTURE CHIC - 4 LIGHT BATH</t>
  </si>
  <si>
    <t>4664-598.JPG</t>
  </si>
  <si>
    <t>4665-598</t>
  </si>
  <si>
    <t>CULIGHTURE CHIC - 5 LIGHT BATH</t>
  </si>
  <si>
    <t>4665-598.JPG</t>
  </si>
  <si>
    <t>4666-598</t>
  </si>
  <si>
    <t>CULIGHTURE CHIC - 5 LIGHT PENDANT</t>
  </si>
  <si>
    <t>4666-598.JPG</t>
  </si>
  <si>
    <t>4667-598</t>
  </si>
  <si>
    <t>CULIGHTURE CHIC - 6 LIGHT PENDANT</t>
  </si>
  <si>
    <t>4667-598.JPG</t>
  </si>
  <si>
    <t>4668-598</t>
  </si>
  <si>
    <t>4668-598.JPG</t>
  </si>
  <si>
    <t>4669-598</t>
  </si>
  <si>
    <t>4669-598.JPG</t>
  </si>
  <si>
    <t>4670-111</t>
  </si>
  <si>
    <t>4670-111.JPG</t>
  </si>
  <si>
    <t>4671-111</t>
  </si>
  <si>
    <t>VORTIC FLOW - 5 LIGHT SEMI FLUSH (CONVERTIBLE TO PENDANT)</t>
  </si>
  <si>
    <t>4671-111.JPG</t>
  </si>
  <si>
    <t>4672-111</t>
  </si>
  <si>
    <t>4672-111.JPG</t>
  </si>
  <si>
    <t>4673-111</t>
  </si>
  <si>
    <t>4673-111.JPG</t>
  </si>
  <si>
    <t>4675-111</t>
  </si>
  <si>
    <t>4675-111.JPG</t>
  </si>
  <si>
    <t>4676-111</t>
  </si>
  <si>
    <t>4676-111.JPG</t>
  </si>
  <si>
    <t>4677-111</t>
  </si>
  <si>
    <t>8 LIGHTS PENDANT</t>
  </si>
  <si>
    <t>4677-111.JPG</t>
  </si>
  <si>
    <t>4678-111</t>
  </si>
  <si>
    <t>4678-111.JPG</t>
  </si>
  <si>
    <t>4679-111</t>
  </si>
  <si>
    <t>18 LTS 3 TIER CHANDELIER</t>
  </si>
  <si>
    <t>4679-111.JPG</t>
  </si>
  <si>
    <t>4682-107</t>
  </si>
  <si>
    <t>MARSDEN COMMONS</t>
  </si>
  <si>
    <t>4682-107.JPG</t>
  </si>
  <si>
    <t>4683-107</t>
  </si>
  <si>
    <t>4683-107.JPG</t>
  </si>
  <si>
    <t>4684-107</t>
  </si>
  <si>
    <t>4684-107.JPG</t>
  </si>
  <si>
    <t>4685-107</t>
  </si>
  <si>
    <t>4685-107.JPG</t>
  </si>
  <si>
    <t>4691-107</t>
  </si>
  <si>
    <t>4691-107.JPG</t>
  </si>
  <si>
    <t>4692-107</t>
  </si>
  <si>
    <t>4692-107.JPG</t>
  </si>
  <si>
    <t>4693-107</t>
  </si>
  <si>
    <t>4693-107.JPG</t>
  </si>
  <si>
    <t>4694-107</t>
  </si>
  <si>
    <t>4694-107.JPG</t>
  </si>
  <si>
    <t>4696-107</t>
  </si>
  <si>
    <t>4696-107.JPG</t>
  </si>
  <si>
    <t>4697-107</t>
  </si>
  <si>
    <t>4697-107.JPG</t>
  </si>
  <si>
    <t>4698-107</t>
  </si>
  <si>
    <t>4698-107.JPG</t>
  </si>
  <si>
    <t>4699-107</t>
  </si>
  <si>
    <t>4699-107.JPG</t>
  </si>
  <si>
    <t>47004-492</t>
  </si>
  <si>
    <t>GIFT BOX</t>
  </si>
  <si>
    <t>DECORATIVE BOX</t>
  </si>
  <si>
    <t>47004-492.JPG</t>
  </si>
  <si>
    <t>4721-113</t>
  </si>
  <si>
    <t>SAFRA</t>
  </si>
  <si>
    <t>HARVARD COURT BRONZE W/NATURAL</t>
  </si>
  <si>
    <t>4721-113.JPG</t>
  </si>
  <si>
    <t>4722-113</t>
  </si>
  <si>
    <t>4722-113.JPG</t>
  </si>
  <si>
    <t>4723-113</t>
  </si>
  <si>
    <t>4723-113.JPG</t>
  </si>
  <si>
    <t>4731-113</t>
  </si>
  <si>
    <t>4731-113.JPG</t>
  </si>
  <si>
    <t>4732-113</t>
  </si>
  <si>
    <t>4732-113.JPG</t>
  </si>
  <si>
    <t>4733-113</t>
  </si>
  <si>
    <t>4733-113.JPG</t>
  </si>
  <si>
    <t>4734-113</t>
  </si>
  <si>
    <t>4734-113.JPG</t>
  </si>
  <si>
    <t>4735-113</t>
  </si>
  <si>
    <t>4735-113.JPG</t>
  </si>
  <si>
    <t>4736-113</t>
  </si>
  <si>
    <t>4736-113.JPG</t>
  </si>
  <si>
    <t>4739-113</t>
  </si>
  <si>
    <t>4739-113.JPG</t>
  </si>
  <si>
    <t>4742-206</t>
  </si>
  <si>
    <t>2 LIGHT PIN-UP WALL SCONCE</t>
  </si>
  <si>
    <t>4742-206.JPG</t>
  </si>
  <si>
    <t>POLY+STEEL+GLASS+CRYSTAL</t>
  </si>
  <si>
    <t>4750-206</t>
  </si>
  <si>
    <t>4750-206.JPG</t>
  </si>
  <si>
    <t>4751-206</t>
  </si>
  <si>
    <t>4751-206.JPG</t>
  </si>
  <si>
    <t>4758-206</t>
  </si>
  <si>
    <t>4758-206.JPG</t>
  </si>
  <si>
    <t>4759-206</t>
  </si>
  <si>
    <t>21 LIGHT CHANDELIER</t>
  </si>
  <si>
    <t>4759-206.JPG</t>
  </si>
  <si>
    <t>4761-416</t>
  </si>
  <si>
    <t>KEELEY CALLE - 1 LIGHT MINI PENDANT</t>
  </si>
  <si>
    <t>KEELEY CALLE</t>
  </si>
  <si>
    <t>4761-416.JPG</t>
  </si>
  <si>
    <t>4763-416</t>
  </si>
  <si>
    <t>4763-416.JPG</t>
  </si>
  <si>
    <t>4764-416</t>
  </si>
  <si>
    <t>4764-416.JPG</t>
  </si>
  <si>
    <t>4765-416</t>
  </si>
  <si>
    <t>4765-416.JPG</t>
  </si>
  <si>
    <t>4769-416</t>
  </si>
  <si>
    <t>4769-416.JPG</t>
  </si>
  <si>
    <t>4773-281</t>
  </si>
  <si>
    <t>JUPITER'S CANOPY</t>
  </si>
  <si>
    <t>4773-281.JPG</t>
  </si>
  <si>
    <t>4773-613</t>
  </si>
  <si>
    <t>4773-613.JPG</t>
  </si>
  <si>
    <t>4774-281</t>
  </si>
  <si>
    <t>4774-281.JPG</t>
  </si>
  <si>
    <t>4774-613</t>
  </si>
  <si>
    <t>4774-613.JPG</t>
  </si>
  <si>
    <t>4775-281</t>
  </si>
  <si>
    <t>12 LIGHT PENDANT</t>
  </si>
  <si>
    <t>4775-281.JPG</t>
  </si>
  <si>
    <t>4775-613</t>
  </si>
  <si>
    <t>4775-613.JPG</t>
  </si>
  <si>
    <t>4776-281</t>
  </si>
  <si>
    <t>4776-281.JPG</t>
  </si>
  <si>
    <t>4776-613</t>
  </si>
  <si>
    <t>4776-613.JPG</t>
  </si>
  <si>
    <t>4778-281</t>
  </si>
  <si>
    <t>4778-281.JPG</t>
  </si>
  <si>
    <t>4778-613</t>
  </si>
  <si>
    <t>4778-613.JPG</t>
  </si>
  <si>
    <t>4779-281</t>
  </si>
  <si>
    <t>4779-281.JPG</t>
  </si>
  <si>
    <t>4779-613</t>
  </si>
  <si>
    <t>4779-613.JPG</t>
  </si>
  <si>
    <t>4781-77</t>
  </si>
  <si>
    <t>CONSPIRE</t>
  </si>
  <si>
    <t>4781-77.JPG</t>
  </si>
  <si>
    <t>4782-77</t>
  </si>
  <si>
    <t>4782-77.JPG</t>
  </si>
  <si>
    <t>4783-77</t>
  </si>
  <si>
    <t>4783-77.JPG</t>
  </si>
  <si>
    <t>4784-77</t>
  </si>
  <si>
    <t>4784-77.JPG</t>
  </si>
  <si>
    <t>4791-77-L</t>
  </si>
  <si>
    <t>GLORIETTA</t>
  </si>
  <si>
    <t>4791-77-L.JPG</t>
  </si>
  <si>
    <t>4792-77-L</t>
  </si>
  <si>
    <t>4792-77-L.JPG</t>
  </si>
  <si>
    <t>4793-77-L</t>
  </si>
  <si>
    <t>4793-77-L.JPG</t>
  </si>
  <si>
    <t>4794-77-L</t>
  </si>
  <si>
    <t>4794-77-L.JPG</t>
  </si>
  <si>
    <t>4802-77</t>
  </si>
  <si>
    <t>CONCENTUS</t>
  </si>
  <si>
    <t>4802-77.JPG</t>
  </si>
  <si>
    <t>4803-77</t>
  </si>
  <si>
    <t>4803-77.JPG</t>
  </si>
  <si>
    <t>4805-77</t>
  </si>
  <si>
    <t>4805-77.JPG</t>
  </si>
  <si>
    <t>4806-77</t>
  </si>
  <si>
    <t>4806-77.JPG</t>
  </si>
  <si>
    <t>4811-77</t>
  </si>
  <si>
    <t>6 LIGHT SEMI FLUSH</t>
  </si>
  <si>
    <t>ECHO RADIANCE</t>
  </si>
  <si>
    <t>4811-77.JPG</t>
  </si>
  <si>
    <t>4812-77</t>
  </si>
  <si>
    <t>4812-77.JPG</t>
  </si>
  <si>
    <t>STEEL+GLASS BAR</t>
  </si>
  <si>
    <t>4813-77</t>
  </si>
  <si>
    <t>4813-77.JPG</t>
  </si>
  <si>
    <t>4814-77</t>
  </si>
  <si>
    <t>4814-77.JPG</t>
  </si>
  <si>
    <t>4815-77</t>
  </si>
  <si>
    <t>8 LIGHT BATH</t>
  </si>
  <si>
    <t>4815-77.JPG</t>
  </si>
  <si>
    <t>4816-77</t>
  </si>
  <si>
    <t>4816-77.JPG</t>
  </si>
  <si>
    <t>4817-77</t>
  </si>
  <si>
    <t>4817-77.JPG</t>
  </si>
  <si>
    <t>4818-77</t>
  </si>
  <si>
    <t>10 LIGHT CHANDELIER</t>
  </si>
  <si>
    <t>4818-77.JPG</t>
  </si>
  <si>
    <t>4819-77</t>
  </si>
  <si>
    <t>4819-77.JPG</t>
  </si>
  <si>
    <t>4820-77</t>
  </si>
  <si>
    <t>24 LIGHT CHANDELIER</t>
  </si>
  <si>
    <t>4820-77.JPG</t>
  </si>
  <si>
    <t>4832-690</t>
  </si>
  <si>
    <t>4 LTS FOYER</t>
  </si>
  <si>
    <t>AVA LIBERTINE - 4 LIGHT FOYER</t>
  </si>
  <si>
    <t>AVA LIBERTINE</t>
  </si>
  <si>
    <t>PALE GOLD WITH DISTRESSED BRON</t>
  </si>
  <si>
    <t>4832-690.JPG</t>
  </si>
  <si>
    <t>4834-690</t>
  </si>
  <si>
    <t>4 LTS ISLAND</t>
  </si>
  <si>
    <t>AVA LIBERTINE - 4 LIGHT ISLAND</t>
  </si>
  <si>
    <t>4834-690.JPG</t>
  </si>
  <si>
    <t>4836-690</t>
  </si>
  <si>
    <t>6 LTS CHANDELIER</t>
  </si>
  <si>
    <t>AVA LIBERTINE - 6 LIGHT CHANDELIER</t>
  </si>
  <si>
    <t>4836-690.JPG</t>
  </si>
  <si>
    <t>4838-690</t>
  </si>
  <si>
    <t>8 LTS CHANDELIER</t>
  </si>
  <si>
    <t>AVA LIBERTINE - 8 LIGHT CHANDELIER</t>
  </si>
  <si>
    <t>4838-690.JPG</t>
  </si>
  <si>
    <t>4839-690</t>
  </si>
  <si>
    <t>8 LTS ISLAND</t>
  </si>
  <si>
    <t>AVA LIBERTINE - 8 LIGHT ISLAND</t>
  </si>
  <si>
    <t>4839-690.JPG</t>
  </si>
  <si>
    <t>4847-276</t>
  </si>
  <si>
    <t>LUCERO - 4 LIGHT FLUSH MOUNT</t>
  </si>
  <si>
    <t>LUCERO</t>
  </si>
  <si>
    <t>B10.5 CANDELABRA</t>
  </si>
  <si>
    <t>FLORENTINE SILVER</t>
  </si>
  <si>
    <t>4847-276.JPG</t>
  </si>
  <si>
    <t>4851-686</t>
  </si>
  <si>
    <t>1 LT FOYER</t>
  </si>
  <si>
    <t>WYNDMERE</t>
  </si>
  <si>
    <t>SAND BLACK WITH GOLD HIGHLIGHT</t>
  </si>
  <si>
    <t>4851-686.JPG</t>
  </si>
  <si>
    <t>4852-686</t>
  </si>
  <si>
    <t>4852-686.JPG</t>
  </si>
  <si>
    <t>4853-686</t>
  </si>
  <si>
    <t>3 LTS ISLAND</t>
  </si>
  <si>
    <t>CLEAR WATER GLASS</t>
  </si>
  <si>
    <t>4853-686.JPG</t>
  </si>
  <si>
    <t>4854-686</t>
  </si>
  <si>
    <t>4 LTS CHANDELIER</t>
  </si>
  <si>
    <t>4854-686.JPG</t>
  </si>
  <si>
    <t>4855-686</t>
  </si>
  <si>
    <t>6 LTS FOYER</t>
  </si>
  <si>
    <t>4855-686.JPG</t>
  </si>
  <si>
    <t>4856-686</t>
  </si>
  <si>
    <t>4856-686.JPG</t>
  </si>
  <si>
    <t>4859-686</t>
  </si>
  <si>
    <t>9 LT CHANDELIER</t>
  </si>
  <si>
    <t>WATER GLASS</t>
  </si>
  <si>
    <t>4859-686.JPG</t>
  </si>
  <si>
    <t>4861-279</t>
  </si>
  <si>
    <t>WELLINGTON AVE</t>
  </si>
  <si>
    <t>MIDNIGHT GOLD</t>
  </si>
  <si>
    <t>4861-279.JPG</t>
  </si>
  <si>
    <t>4870-283</t>
  </si>
  <si>
    <t>CAMDEN SQUARE - 2 LIGHT WALL SCONCE</t>
  </si>
  <si>
    <t>CAMDEN SQUARE</t>
  </si>
  <si>
    <t>AGED CHARCOAL</t>
  </si>
  <si>
    <t>CLEAR SEEDED</t>
  </si>
  <si>
    <t>4870-283.JPG</t>
  </si>
  <si>
    <t>4872-283</t>
  </si>
  <si>
    <t>CAMDEN SQUARE - 2 LIGHT BATH</t>
  </si>
  <si>
    <t>4872-283.JPG</t>
  </si>
  <si>
    <t>4873-283</t>
  </si>
  <si>
    <t>CAMDEN SQUARE - 3 LIGHT BATH</t>
  </si>
  <si>
    <t>4873-283.JPG</t>
  </si>
  <si>
    <t>4874-283</t>
  </si>
  <si>
    <t>CAMDEN SQUARE - 4 LIGHT BATH</t>
  </si>
  <si>
    <t>4874-283.JPG</t>
  </si>
  <si>
    <t>4875-283</t>
  </si>
  <si>
    <t>CAMDEN SQUARE - 4 LIGHT MINI CHANDELIER</t>
  </si>
  <si>
    <t>4875-283.JPG</t>
  </si>
  <si>
    <t>4876-283</t>
  </si>
  <si>
    <t>CAMDEN SQAURE - 4 LIGHT SEMI FLUSH</t>
  </si>
  <si>
    <t>SEEDY GLASS</t>
  </si>
  <si>
    <t>4876-283.JPG</t>
  </si>
  <si>
    <t>4877-283</t>
  </si>
  <si>
    <t>CAMDEN SQUARE - 8 LIGHT FOYER PENDANT</t>
  </si>
  <si>
    <t>4877-283.JPG</t>
  </si>
  <si>
    <t>4878-283</t>
  </si>
  <si>
    <t>8 LIGHT ISLAND LIGHT</t>
  </si>
  <si>
    <t>CAMDEN SQUARE - 8 LIGHT ISLAND</t>
  </si>
  <si>
    <t>4878-283.JPG</t>
  </si>
  <si>
    <t>4879-283</t>
  </si>
  <si>
    <t>CAMDEN SQUARE - 1 LIGHT MINI PENDANT</t>
  </si>
  <si>
    <t>4879-283.JPG</t>
  </si>
  <si>
    <t>4931-284</t>
  </si>
  <si>
    <t>MIDDLEBROOK - 1 LIGHT MINI PENDANT</t>
  </si>
  <si>
    <t>MIDDLEBROOK</t>
  </si>
  <si>
    <t>4931-284.JPG</t>
  </si>
  <si>
    <t>4932-284</t>
  </si>
  <si>
    <t>MIDDLEBROOK - 3 LIGHT SEMI FLUSH</t>
  </si>
  <si>
    <t>4932-284.JPG</t>
  </si>
  <si>
    <t>4933-284</t>
  </si>
  <si>
    <t>MIDDLEBROOK - 3 LIGHT CHANDELIER</t>
  </si>
  <si>
    <t>4933-284.JPG</t>
  </si>
  <si>
    <t>A-19, MEDIUM</t>
  </si>
  <si>
    <t>4942-570</t>
  </si>
  <si>
    <t>THORNDALE - 3 LIGHT SEMI FLUSH</t>
  </si>
  <si>
    <t>THORNDALE</t>
  </si>
  <si>
    <t>DARK NOBLE BRONZE</t>
  </si>
  <si>
    <t>4942-570.JPG</t>
  </si>
  <si>
    <t>4951-267B</t>
  </si>
  <si>
    <t>CITY CLUB - 3 LIGHT SEMI FLUSH</t>
  </si>
  <si>
    <t>CITY CLUB</t>
  </si>
  <si>
    <t>GLASS &amp; FABRIC</t>
  </si>
  <si>
    <t>4951-267B.JPG</t>
  </si>
  <si>
    <t>STEEL+GLASS+FABRIC SHADE</t>
  </si>
  <si>
    <t>4952-267B</t>
  </si>
  <si>
    <t>CITY CLUB - 2 LIGHT FLUSH MOUNT</t>
  </si>
  <si>
    <t>4952-267B.JPG</t>
  </si>
  <si>
    <t>4959-267B</t>
  </si>
  <si>
    <t>CITY CLUB - 9 LIGHT CHANDELIER</t>
  </si>
  <si>
    <t>4959-267B.JPG</t>
  </si>
  <si>
    <t>4960-284</t>
  </si>
  <si>
    <t>OVERLAND PARK - 2 LIGHT FLUSH MOUNT</t>
  </si>
  <si>
    <t>OVERLAND PARK</t>
  </si>
  <si>
    <t>4960-284.JPG</t>
  </si>
  <si>
    <t>4960-84</t>
  </si>
  <si>
    <t>4960-84.JPG</t>
  </si>
  <si>
    <t>4961-284</t>
  </si>
  <si>
    <t>OVERLAND PARK - 1 LIGHT PENDANT</t>
  </si>
  <si>
    <t>4961-284.JPG</t>
  </si>
  <si>
    <t>4961-84</t>
  </si>
  <si>
    <t>OVERLAND PARK - 1 LIGHT MINI PENDANT</t>
  </si>
  <si>
    <t>4961-84.JPG</t>
  </si>
  <si>
    <t>4962-284</t>
  </si>
  <si>
    <t>OVERLAND PARK - 3 LIGHT SEMI FLUSH</t>
  </si>
  <si>
    <t>4962-284.JPG</t>
  </si>
  <si>
    <t>4962-84</t>
  </si>
  <si>
    <t>4962-84.JPG</t>
  </si>
  <si>
    <t>4963-284</t>
  </si>
  <si>
    <t>OVERLAND PARK - 3 LIGHT MINI CHANDELIER</t>
  </si>
  <si>
    <t>4963-284.JPG</t>
  </si>
  <si>
    <t>4963-84</t>
  </si>
  <si>
    <t>4963-84.JPG</t>
  </si>
  <si>
    <t>4964-284</t>
  </si>
  <si>
    <t>OVERLAND PARK - 3 LIGHT PENDANT</t>
  </si>
  <si>
    <t>4964-284.JPG</t>
  </si>
  <si>
    <t>4964-84</t>
  </si>
  <si>
    <t>4964-84.JPG</t>
  </si>
  <si>
    <t>4965-284</t>
  </si>
  <si>
    <t>OVERLAND PARK - 5 LIGHT CHANDELIER</t>
  </si>
  <si>
    <t>A-19. MEDIUM</t>
  </si>
  <si>
    <t>4965-284.JPG</t>
  </si>
  <si>
    <t>4965-84</t>
  </si>
  <si>
    <t>4965-84.JPG</t>
  </si>
  <si>
    <t>4968-84</t>
  </si>
  <si>
    <t>OVERLAND PARK - 12 LIGHT CHANDELIER</t>
  </si>
  <si>
    <t>4968-84.JPG</t>
  </si>
  <si>
    <t>4969-284</t>
  </si>
  <si>
    <t>OVERLAND PARK - 9 LIGHT CHANDELIER</t>
  </si>
  <si>
    <t>4969-284.JPG</t>
  </si>
  <si>
    <t>4969-84</t>
  </si>
  <si>
    <t>OVERLAND PARK - 2 TIER 9 LIGHT CHANDELIER</t>
  </si>
  <si>
    <t>4969-84.JPG</t>
  </si>
  <si>
    <t>4972-269</t>
  </si>
  <si>
    <t>3 LIGHT BOWL PENDANT</t>
  </si>
  <si>
    <t>KINGSGATE - 3 LIGHT PENDANT</t>
  </si>
  <si>
    <t>KINGSGATE</t>
  </si>
  <si>
    <t>KONA BLACK WITH GOLD HIGHLIGHT</t>
  </si>
  <si>
    <t>4972-269.JPG</t>
  </si>
  <si>
    <t>4982-613</t>
  </si>
  <si>
    <t>4982-613.JPG</t>
  </si>
  <si>
    <t>4983-613</t>
  </si>
  <si>
    <t>TILBURY - 3 LIGHT SEMI FLUSH</t>
  </si>
  <si>
    <t>4983-613.JPG</t>
  </si>
  <si>
    <t>4984-613</t>
  </si>
  <si>
    <t>TILBURY - 4 LIGHT PENDANT</t>
  </si>
  <si>
    <t>4984-613.JPG</t>
  </si>
  <si>
    <t>4986-613</t>
  </si>
  <si>
    <t>4986-613.JPG</t>
  </si>
  <si>
    <t>4989-613</t>
  </si>
  <si>
    <t>TILBURY - 9 LIGHT CHANDELIER</t>
  </si>
  <si>
    <t>4989-613.JPG</t>
  </si>
  <si>
    <t>LA BOHEM</t>
  </si>
  <si>
    <t>50680-191</t>
  </si>
  <si>
    <t>POLY/IRON MIRROR</t>
  </si>
  <si>
    <t>TUSCAN GOLD WITH MIRROR ACCENT</t>
  </si>
  <si>
    <t>50680-191.JPG</t>
  </si>
  <si>
    <t>5112-617</t>
  </si>
  <si>
    <t>ART GLASS BATH</t>
  </si>
  <si>
    <t>G9,T-4(2-PIN)</t>
  </si>
  <si>
    <t>BRONZE</t>
  </si>
  <si>
    <t>5112-617.JPG</t>
  </si>
  <si>
    <t>5113-617</t>
  </si>
  <si>
    <t>5113-617.JPG</t>
  </si>
  <si>
    <t>5114-617</t>
  </si>
  <si>
    <t>ART GLASS</t>
  </si>
  <si>
    <t>G9,T-4,(2PIN)</t>
  </si>
  <si>
    <t>5114-617.JPG</t>
  </si>
  <si>
    <t>5130-84</t>
  </si>
  <si>
    <t>DOWNTOWN EDISON - 2 LIGHT WALL SCONCE</t>
  </si>
  <si>
    <t>5130-84.JPG</t>
  </si>
  <si>
    <t>5132-84</t>
  </si>
  <si>
    <t>DOWNTOWN EDISON - 2 LIGHT BATH</t>
  </si>
  <si>
    <t>5132-84.JPG</t>
  </si>
  <si>
    <t>5133-84</t>
  </si>
  <si>
    <t>5133-84.JPG</t>
  </si>
  <si>
    <t>5134-84</t>
  </si>
  <si>
    <t>DOWNTOWN EDISON - 4 LIGHT BATH</t>
  </si>
  <si>
    <t>5134-84.JPG</t>
  </si>
  <si>
    <t>5135-84</t>
  </si>
  <si>
    <t>5135-84.JPG</t>
  </si>
  <si>
    <t>5136-84</t>
  </si>
  <si>
    <t>DOWNTOWN EDISON - 5 LIGHT BATH</t>
  </si>
  <si>
    <t>5136-84.JPG</t>
  </si>
  <si>
    <t>5171-249</t>
  </si>
  <si>
    <t>HARBOUR POINT - 1 LIGHT BATH</t>
  </si>
  <si>
    <t>5171-249.JPG</t>
  </si>
  <si>
    <t>5171-84</t>
  </si>
  <si>
    <t>5171-84.JPG</t>
  </si>
  <si>
    <t>5172-249</t>
  </si>
  <si>
    <t>HARBOUR POINT - 2 LIGHT BATH</t>
  </si>
  <si>
    <t>OPAL ETCHED GLASS</t>
  </si>
  <si>
    <t>5172-249.JPG</t>
  </si>
  <si>
    <t>5172-84</t>
  </si>
  <si>
    <t>5172-84.JPG</t>
  </si>
  <si>
    <t>5173-249</t>
  </si>
  <si>
    <t>HARBOUR POINT - 3 LIGHT BATH</t>
  </si>
  <si>
    <t>5173-249.JPG</t>
  </si>
  <si>
    <t>5173-84</t>
  </si>
  <si>
    <t>5173-84.JPG</t>
  </si>
  <si>
    <t>5200-290</t>
  </si>
  <si>
    <t>ABBOTT PLACE - 2 LIGHT WALL SCONCE</t>
  </si>
  <si>
    <t>BEIGE</t>
  </si>
  <si>
    <t>5200-290.JPG</t>
  </si>
  <si>
    <t>STEEL+POLY+SHADE+GLASS</t>
  </si>
  <si>
    <t>5271-77</t>
  </si>
  <si>
    <t>RICHLIEU BATH - 1 LIGHT BATH</t>
  </si>
  <si>
    <t>RICHLIEU BATH</t>
  </si>
  <si>
    <t>5271-77.JPG</t>
  </si>
  <si>
    <t>GLASS/ZINC</t>
  </si>
  <si>
    <t>5341-593</t>
  </si>
  <si>
    <t>ASTRAPIA - 1 LIGHT BATH</t>
  </si>
  <si>
    <t>5341-593.JPG</t>
  </si>
  <si>
    <t>5342-593</t>
  </si>
  <si>
    <t>ASTRAPIA - 2 LIGHT BATH</t>
  </si>
  <si>
    <t>5342-593.JPG</t>
  </si>
  <si>
    <t>5354-593</t>
  </si>
  <si>
    <t>GWENDOLYN PLACE - 4 LIGHT BATH</t>
  </si>
  <si>
    <t>5354-593.JPG</t>
  </si>
  <si>
    <t>5422-84</t>
  </si>
  <si>
    <t>5422-84.JPG</t>
  </si>
  <si>
    <t>5422-84-PL</t>
  </si>
  <si>
    <t>CFL,13W</t>
  </si>
  <si>
    <t>5422-84-PL.JPG</t>
  </si>
  <si>
    <t>5422-PL</t>
  </si>
  <si>
    <t>5423-84</t>
  </si>
  <si>
    <t>5423-84.JPG</t>
  </si>
  <si>
    <t>5423-84-PL</t>
  </si>
  <si>
    <t>SEMISPIRAL13W,SELF-BALLASTGU24</t>
  </si>
  <si>
    <t>5423-84-PL.JPG</t>
  </si>
  <si>
    <t>5423-PL</t>
  </si>
  <si>
    <t>5424-84</t>
  </si>
  <si>
    <t>5424-84.JPG</t>
  </si>
  <si>
    <t>5424-84-PL</t>
  </si>
  <si>
    <t>5424-84-PL.JPG</t>
  </si>
  <si>
    <t>5424-PL</t>
  </si>
  <si>
    <t>5425-84</t>
  </si>
  <si>
    <t>5425-84.JPG</t>
  </si>
  <si>
    <t>5500-249-L</t>
  </si>
  <si>
    <t>LED WALL SCONCE</t>
  </si>
  <si>
    <t>5500-249-L.JPG</t>
  </si>
  <si>
    <t>5500-281-L</t>
  </si>
  <si>
    <t>5500-281-L.JPG</t>
  </si>
  <si>
    <t>5500-77-L</t>
  </si>
  <si>
    <t>5500-77-L.JPG</t>
  </si>
  <si>
    <t>5500-84-L</t>
  </si>
  <si>
    <t>5500-84-L.JPG</t>
  </si>
  <si>
    <t>5501-249-L</t>
  </si>
  <si>
    <t>5501-249-L.JPG</t>
  </si>
  <si>
    <t>5501-281-L</t>
  </si>
  <si>
    <t>5501-281-L.JPG</t>
  </si>
  <si>
    <t>5501-77-L</t>
  </si>
  <si>
    <t>5501-77-L.JPG</t>
  </si>
  <si>
    <t>5501-84-L</t>
  </si>
  <si>
    <t>5501-84-L.JPG</t>
  </si>
  <si>
    <t>5551-477</t>
  </si>
  <si>
    <t>5551-477.JPG</t>
  </si>
  <si>
    <t>5553-477</t>
  </si>
  <si>
    <t>5553-477.JPG</t>
  </si>
  <si>
    <t>5582-84</t>
  </si>
  <si>
    <t>MISSION RIDGE</t>
  </si>
  <si>
    <t>5582-84.JPG</t>
  </si>
  <si>
    <t>5583-84</t>
  </si>
  <si>
    <t>5583-84.JPG</t>
  </si>
  <si>
    <t>5584-84</t>
  </si>
  <si>
    <t>5584-84.JPG</t>
  </si>
  <si>
    <t>564-1</t>
  </si>
  <si>
    <t>OUTDOOR LANTERN</t>
  </si>
  <si>
    <t>CHINAWARE</t>
  </si>
  <si>
    <t>564-1.JPG</t>
  </si>
  <si>
    <t>CERAMIC+STEEL</t>
  </si>
  <si>
    <t>5721-77</t>
  </si>
  <si>
    <t>5721-77.JPG</t>
  </si>
  <si>
    <t>5722-77</t>
  </si>
  <si>
    <t>5722-77.JPG</t>
  </si>
  <si>
    <t>5723-77</t>
  </si>
  <si>
    <t>5723-77.JPG</t>
  </si>
  <si>
    <t>5724-77</t>
  </si>
  <si>
    <t>5724-77.JPG</t>
  </si>
  <si>
    <t>5741-206</t>
  </si>
  <si>
    <t>5741-206.JPG</t>
  </si>
  <si>
    <t>5742-206</t>
  </si>
  <si>
    <t>5742-206.JPG</t>
  </si>
  <si>
    <t>5761-2560-84</t>
  </si>
  <si>
    <t>EUROPA BATH - 1 LIGHT BATH</t>
  </si>
  <si>
    <t>ERUOPA</t>
  </si>
  <si>
    <t>5761-2560-84.JPG</t>
  </si>
  <si>
    <t>5761-2560</t>
  </si>
  <si>
    <t>STEEL/ZINC/GLASS</t>
  </si>
  <si>
    <t>5762-2560-84</t>
  </si>
  <si>
    <t>EUROPA BATH - 2 LIGHT BATH</t>
  </si>
  <si>
    <t>5762-2560-84.JPG</t>
  </si>
  <si>
    <t>5762-2560</t>
  </si>
  <si>
    <t>5763-2560-84</t>
  </si>
  <si>
    <t>EUROPA BATH - 3 LIGHT BATH</t>
  </si>
  <si>
    <t>EUROPA</t>
  </si>
  <si>
    <t>5763-2560-84.JPG</t>
  </si>
  <si>
    <t>5763-2560</t>
  </si>
  <si>
    <t>5764-2560-84</t>
  </si>
  <si>
    <t>EUROPA BATH - 4 LIGHT BATH</t>
  </si>
  <si>
    <t>5764-2560-84.JPG</t>
  </si>
  <si>
    <t>5764-2560</t>
  </si>
  <si>
    <t>5791-77</t>
  </si>
  <si>
    <t>RIBBED FROSTED</t>
  </si>
  <si>
    <t>5791-77.JPG</t>
  </si>
  <si>
    <t>5792-77</t>
  </si>
  <si>
    <t>5792-77.JPG</t>
  </si>
  <si>
    <t>5793-77</t>
  </si>
  <si>
    <t>5793-77.JPG</t>
  </si>
  <si>
    <t>5794-77</t>
  </si>
  <si>
    <t>5794-77.JPG</t>
  </si>
  <si>
    <t>5862-279</t>
  </si>
  <si>
    <t>WELLINGTON AVE. - 2 LIGHT BATH</t>
  </si>
  <si>
    <t>5862-279.JPG</t>
  </si>
  <si>
    <t>5864-279</t>
  </si>
  <si>
    <t>WELLINGTON AVE. - 4 LIGHT BATH</t>
  </si>
  <si>
    <t>5864-279.JPG</t>
  </si>
  <si>
    <t>5932-281</t>
  </si>
  <si>
    <t>MIDDLEBROOK - 2 LIGHT BATH</t>
  </si>
  <si>
    <t>5932-281.JPG</t>
  </si>
  <si>
    <t>5932-284</t>
  </si>
  <si>
    <t>5932-284.JPG</t>
  </si>
  <si>
    <t>5934-284</t>
  </si>
  <si>
    <t>MIDDLEBROOK - 4 LIGHT BATH</t>
  </si>
  <si>
    <t>5934-284.JPG</t>
  </si>
  <si>
    <t>6101-172</t>
  </si>
  <si>
    <t>PARSONS STUDIO - 1 LIGHT BATH</t>
  </si>
  <si>
    <t>6101-172.JPG</t>
  </si>
  <si>
    <t>6101-84</t>
  </si>
  <si>
    <t>1 LIGHT BATH BAR</t>
  </si>
  <si>
    <t>6101-84.JPG</t>
  </si>
  <si>
    <t>6102-172</t>
  </si>
  <si>
    <t>PARSONS STUDIO - 2 LIGHT BATH</t>
  </si>
  <si>
    <t>6102-172.JPG</t>
  </si>
  <si>
    <t>6102-84</t>
  </si>
  <si>
    <t>2 LIGHT BATH BAR</t>
  </si>
  <si>
    <t>6102-84.JPG</t>
  </si>
  <si>
    <t>6103-172</t>
  </si>
  <si>
    <t>PARSONS STUDIO - 3 LIGHT BATH</t>
  </si>
  <si>
    <t>6103-172.JPG</t>
  </si>
  <si>
    <t>6103-84</t>
  </si>
  <si>
    <t>3 LIGHT BATH BAR</t>
  </si>
  <si>
    <t>6103-84.JPG</t>
  </si>
  <si>
    <t>6104-172</t>
  </si>
  <si>
    <t>PARSONS STUDIO - 4 LIGHT BATH</t>
  </si>
  <si>
    <t>6104-172.JPG</t>
  </si>
  <si>
    <t>6104-84</t>
  </si>
  <si>
    <t>4 LIGHT BATH BAR</t>
  </si>
  <si>
    <t>6104-84.JPG</t>
  </si>
  <si>
    <t>6182-84</t>
  </si>
  <si>
    <t>6182-84.JPG</t>
  </si>
  <si>
    <t>6183-84</t>
  </si>
  <si>
    <t>6183-84.JPG</t>
  </si>
  <si>
    <t>6184-84</t>
  </si>
  <si>
    <t>6184-84.JPG</t>
  </si>
  <si>
    <t>62-84-PL</t>
  </si>
  <si>
    <t>ENERGT STAR PENDANT</t>
  </si>
  <si>
    <t>62-84-PL.JPG</t>
  </si>
  <si>
    <t>62-PL</t>
  </si>
  <si>
    <t>6211-77</t>
  </si>
  <si>
    <t>6211-77.JPG</t>
  </si>
  <si>
    <t>6212-647</t>
  </si>
  <si>
    <t>6212-647.JPG</t>
  </si>
  <si>
    <t>6212-77</t>
  </si>
  <si>
    <t>6212-77.JPG</t>
  </si>
  <si>
    <t>6212-84</t>
  </si>
  <si>
    <t>6212-84.JPG</t>
  </si>
  <si>
    <t>6231-288</t>
  </si>
  <si>
    <t>ATTERBURY - 2 LIGHT SCONCE</t>
  </si>
  <si>
    <t>6231-288.JPG</t>
  </si>
  <si>
    <t>63-84-PL</t>
  </si>
  <si>
    <t>63-84-PL.JPG</t>
  </si>
  <si>
    <t>63-PL</t>
  </si>
  <si>
    <t>6350-177</t>
  </si>
  <si>
    <t>6350-177.JPG</t>
  </si>
  <si>
    <t>6352-177</t>
  </si>
  <si>
    <t>6352-177.JPG</t>
  </si>
  <si>
    <t>6353-177</t>
  </si>
  <si>
    <t>6353-177.JPG</t>
  </si>
  <si>
    <t>6354-177</t>
  </si>
  <si>
    <t>6354-177.JPG</t>
  </si>
  <si>
    <t>6357-177</t>
  </si>
  <si>
    <t>6357-177.JPG</t>
  </si>
  <si>
    <t>6368-249</t>
  </si>
  <si>
    <t>6368-249.JPG</t>
  </si>
  <si>
    <t>6368-281</t>
  </si>
  <si>
    <t>6368-281.JPG</t>
  </si>
  <si>
    <t>6368-613</t>
  </si>
  <si>
    <t>6368-613.JPG</t>
  </si>
  <si>
    <t>6368-84</t>
  </si>
  <si>
    <t>6368-84.JPG</t>
  </si>
  <si>
    <t>6369-249</t>
  </si>
  <si>
    <t>6369-249.JPG</t>
  </si>
  <si>
    <t>6369-281</t>
  </si>
  <si>
    <t>6369-281.JPG</t>
  </si>
  <si>
    <t>6369-613</t>
  </si>
  <si>
    <t>6369-613.JPG</t>
  </si>
  <si>
    <t>6369-84</t>
  </si>
  <si>
    <t>6369-84.JPG</t>
  </si>
  <si>
    <t>6390-573</t>
  </si>
  <si>
    <t>6390-573.JPG</t>
  </si>
  <si>
    <t>6390-77</t>
  </si>
  <si>
    <t>6390-77.JPG</t>
  </si>
  <si>
    <t>6391-77</t>
  </si>
  <si>
    <t>6391-77.JPG</t>
  </si>
  <si>
    <t>6392-77</t>
  </si>
  <si>
    <t>XENON,G9 FROSTED</t>
  </si>
  <si>
    <t>6392-77.JPG</t>
  </si>
  <si>
    <t>6393-77</t>
  </si>
  <si>
    <t>6393-77.JPG</t>
  </si>
  <si>
    <t>6394-77</t>
  </si>
  <si>
    <t>6394-77.JPG</t>
  </si>
  <si>
    <t>642-PL</t>
  </si>
  <si>
    <t>FROSTED/WHITE</t>
  </si>
  <si>
    <t>642-PL.JPG</t>
  </si>
  <si>
    <t>6448-267-PL</t>
  </si>
  <si>
    <t>1 LT WALL SCONCE</t>
  </si>
  <si>
    <t>ENERGY EFFICIENT WALL SCONCES</t>
  </si>
  <si>
    <t>CFL 13W</t>
  </si>
  <si>
    <t>DARK BRUSHED BRONZE</t>
  </si>
  <si>
    <t>6448-267-PL.JPG</t>
  </si>
  <si>
    <t>6448-PL</t>
  </si>
  <si>
    <t>646-PL</t>
  </si>
  <si>
    <t>646-PL.JPG</t>
  </si>
  <si>
    <t>6460-273</t>
  </si>
  <si>
    <t>COMPOSITIONS - 1 LIGHT SCONCE</t>
  </si>
  <si>
    <t>6460-273.JPG</t>
  </si>
  <si>
    <t>6460-647</t>
  </si>
  <si>
    <t>6460-647.JPG</t>
  </si>
  <si>
    <t>6460-84</t>
  </si>
  <si>
    <t>6460-84.JPG</t>
  </si>
  <si>
    <t>6461-273</t>
  </si>
  <si>
    <t>COMPOSITIONS - 1 LIGHT BATH</t>
  </si>
  <si>
    <t>XENON T4</t>
  </si>
  <si>
    <t>6461-273.JPG</t>
  </si>
  <si>
    <t>6462-273</t>
  </si>
  <si>
    <t>COMPOSITIONS - 2 LIGHT BATH</t>
  </si>
  <si>
    <t>6462-273.JPG</t>
  </si>
  <si>
    <t>6463-273</t>
  </si>
  <si>
    <t>COMPOSITIONS - 3 LIGHT BATH</t>
  </si>
  <si>
    <t>6463-273.JPG</t>
  </si>
  <si>
    <t>6464-273</t>
  </si>
  <si>
    <t>COMPOSITIONS - 4 LIGHT BATH</t>
  </si>
  <si>
    <t>6464-273.JPG</t>
  </si>
  <si>
    <t>648-PL</t>
  </si>
  <si>
    <t>648-PL.JPG</t>
  </si>
  <si>
    <t>STEEL + ACRYLIC LENS</t>
  </si>
  <si>
    <t>6522-77</t>
  </si>
  <si>
    <t>HYLLCASTLE</t>
  </si>
  <si>
    <t>6522-77.JPG</t>
  </si>
  <si>
    <t>6523-77</t>
  </si>
  <si>
    <t>HYLLCASTLE - 3 LIGHT BATH</t>
  </si>
  <si>
    <t>6523-77.JPG</t>
  </si>
  <si>
    <t>6540-77</t>
  </si>
  <si>
    <t>CITY SQUARE - 1 LIGHT WALL SCONCE</t>
  </si>
  <si>
    <t>6540-77.JPG</t>
  </si>
  <si>
    <t>6541-77</t>
  </si>
  <si>
    <t>CITY SQUARE - 1 LIGHT BATH</t>
  </si>
  <si>
    <t>6541-77.JPG</t>
  </si>
  <si>
    <t>6542-77</t>
  </si>
  <si>
    <t>CITY SQUARE - 2 LIGHT BATH</t>
  </si>
  <si>
    <t>6542-77.JPG</t>
  </si>
  <si>
    <t>6543-77</t>
  </si>
  <si>
    <t>CITY SQUARE - 3 LIGHT BATH</t>
  </si>
  <si>
    <t>6543-77.JPG</t>
  </si>
  <si>
    <t>6544-77</t>
  </si>
  <si>
    <t>CITY SQUARE - 4 LIGHT BATH</t>
  </si>
  <si>
    <t>6544-77.JPG</t>
  </si>
  <si>
    <t>6621-613</t>
  </si>
  <si>
    <t>AMESWOOD - 1 LIGHT WALL SCONCE</t>
  </si>
  <si>
    <t>AMESWOOD</t>
  </si>
  <si>
    <t>6621-613.JPG</t>
  </si>
  <si>
    <t>664-PL</t>
  </si>
  <si>
    <t>SILVER</t>
  </si>
  <si>
    <t>664-PL.JPG</t>
  </si>
  <si>
    <t>6641A-156-PL</t>
  </si>
  <si>
    <t>MARCHE</t>
  </si>
  <si>
    <t>SEMISPIRAL</t>
  </si>
  <si>
    <t>NOBLE BRONZE</t>
  </si>
  <si>
    <t>6641A-156-PL.JPG</t>
  </si>
  <si>
    <t>6641A-PL</t>
  </si>
  <si>
    <t>6644A-156-PL</t>
  </si>
  <si>
    <t>4 LIGHT BATH LAMP</t>
  </si>
  <si>
    <t>6644A-156-PL.JPG</t>
  </si>
  <si>
    <t>6644A-PL</t>
  </si>
  <si>
    <t>666-PL</t>
  </si>
  <si>
    <t>T8-25W,G13,FLUORESCENT TUBE</t>
  </si>
  <si>
    <t>666-PL.JPG</t>
  </si>
  <si>
    <t>6731-1-613</t>
  </si>
  <si>
    <t>1730 SERIES - 1 LIGHT BATH</t>
  </si>
  <si>
    <t>6731-1-613.JPG</t>
  </si>
  <si>
    <t>6731-1</t>
  </si>
  <si>
    <t>6731-167</t>
  </si>
  <si>
    <t>6731-167.JPG</t>
  </si>
  <si>
    <t>6732-1-613</t>
  </si>
  <si>
    <t>1730 SERIES - 2 LIGHT BATH</t>
  </si>
  <si>
    <t>6732-1-613.JPG</t>
  </si>
  <si>
    <t>6732-1</t>
  </si>
  <si>
    <t>6732-167</t>
  </si>
  <si>
    <t>ETCHED - BOX PLEAT</t>
  </si>
  <si>
    <t>6732-167.JPG</t>
  </si>
  <si>
    <t>6733-1-613</t>
  </si>
  <si>
    <t>1730 SERIES - 3 LIGHT BATH</t>
  </si>
  <si>
    <t>6733-1-613.JPG</t>
  </si>
  <si>
    <t>6733-1</t>
  </si>
  <si>
    <t>6733-167</t>
  </si>
  <si>
    <t>6733-167.JPG</t>
  </si>
  <si>
    <t>6734-1-613</t>
  </si>
  <si>
    <t>1730 SERIES - 4 LIGHT BATH</t>
  </si>
  <si>
    <t>6734-1-613.JPG</t>
  </si>
  <si>
    <t>6734-1</t>
  </si>
  <si>
    <t>6734-167</t>
  </si>
  <si>
    <t>6734-167.JPG</t>
  </si>
  <si>
    <t>6743-206</t>
  </si>
  <si>
    <t>6743-206.JPG</t>
  </si>
  <si>
    <t>6744-206</t>
  </si>
  <si>
    <t>6744-206.JPG</t>
  </si>
  <si>
    <t>6761-211</t>
  </si>
  <si>
    <t>TOFINO</t>
  </si>
  <si>
    <t>6761-211.JPG</t>
  </si>
  <si>
    <t>6762-211</t>
  </si>
  <si>
    <t>6762-211.JPG</t>
  </si>
  <si>
    <t>6763-211</t>
  </si>
  <si>
    <t>6763-211.JPG</t>
  </si>
  <si>
    <t>6765-211</t>
  </si>
  <si>
    <t>6765-211.JPG</t>
  </si>
  <si>
    <t>6767-211</t>
  </si>
  <si>
    <t>6767-211.JPG</t>
  </si>
  <si>
    <t>680-14</t>
  </si>
  <si>
    <t>680-14.JPG</t>
  </si>
  <si>
    <t>STEEL/POLY</t>
  </si>
  <si>
    <t>6810-84</t>
  </si>
  <si>
    <t>6810-84.JPG</t>
  </si>
  <si>
    <t>6811-66</t>
  </si>
  <si>
    <t>WHITE PAINT &amp; SAND BLAST INSIDE</t>
  </si>
  <si>
    <t>6811-66.JPG</t>
  </si>
  <si>
    <t>6811-84</t>
  </si>
  <si>
    <t>6811-84.JPG</t>
  </si>
  <si>
    <t>6812-66</t>
  </si>
  <si>
    <t>6812-66.JPG</t>
  </si>
  <si>
    <t>6812-84</t>
  </si>
  <si>
    <t>6812-84.JPG</t>
  </si>
  <si>
    <t>6813-66</t>
  </si>
  <si>
    <t>WHITE PAINT AND SAND BLAST INSIDE</t>
  </si>
  <si>
    <t>6813-66.JPG</t>
  </si>
  <si>
    <t>6813-84</t>
  </si>
  <si>
    <t>6813-84.JPG</t>
  </si>
  <si>
    <t>6814-66</t>
  </si>
  <si>
    <t>6814-66.JPG</t>
  </si>
  <si>
    <t>6814-84</t>
  </si>
  <si>
    <t>6814-84.JPG</t>
  </si>
  <si>
    <t>682-14</t>
  </si>
  <si>
    <t>682-14.JPG</t>
  </si>
  <si>
    <t>684-14</t>
  </si>
  <si>
    <t>684-14.JPG</t>
  </si>
  <si>
    <t>687-14</t>
  </si>
  <si>
    <t>687-14.JPG</t>
  </si>
  <si>
    <t>6912-613</t>
  </si>
  <si>
    <t>DAVENTRY - 2 LIGHT BATH</t>
  </si>
  <si>
    <t>DAVENTRY BATH</t>
  </si>
  <si>
    <t>6912-613.JPG</t>
  </si>
  <si>
    <t>6913-613</t>
  </si>
  <si>
    <t>DAVENTRY - 3 LIGHT BATH</t>
  </si>
  <si>
    <t>6913-613.JPG</t>
  </si>
  <si>
    <t>6914-613</t>
  </si>
  <si>
    <t>DAVENTRY - 4 LIGHT BATH</t>
  </si>
  <si>
    <t>6914-613.JPG</t>
  </si>
  <si>
    <t>6917-249-L</t>
  </si>
  <si>
    <t>6917-249-L.JPG</t>
  </si>
  <si>
    <t>6917-281-L</t>
  </si>
  <si>
    <t>LED FLUSHMOUNT</t>
  </si>
  <si>
    <t>6917-281-L.JPG</t>
  </si>
  <si>
    <t>6917-77-L</t>
  </si>
  <si>
    <t>6917-77-L.JPG</t>
  </si>
  <si>
    <t>6917-84-L</t>
  </si>
  <si>
    <t>6917-84-L.JPG</t>
  </si>
  <si>
    <t>6918-249-L</t>
  </si>
  <si>
    <t>6918-249-L.JPG</t>
  </si>
  <si>
    <t>6918-281-L</t>
  </si>
  <si>
    <t>6918-281-L.JPG</t>
  </si>
  <si>
    <t>6918-77-L</t>
  </si>
  <si>
    <t>6918-77-L.JPG</t>
  </si>
  <si>
    <t>6918-84-L</t>
  </si>
  <si>
    <t>6918-84-L.JPG</t>
  </si>
  <si>
    <t>6919-249</t>
  </si>
  <si>
    <t>6919-249.JPG</t>
  </si>
  <si>
    <t>6919-281</t>
  </si>
  <si>
    <t>6919-281.JPG</t>
  </si>
  <si>
    <t>6919-613</t>
  </si>
  <si>
    <t>DAVENTRY - 2 LIGHT FLUSH MOUNT</t>
  </si>
  <si>
    <t>A-19-,MED</t>
  </si>
  <si>
    <t>6919-613.JPG</t>
  </si>
  <si>
    <t>6919-77</t>
  </si>
  <si>
    <t>6919-77.JPG</t>
  </si>
  <si>
    <t>6919-84</t>
  </si>
  <si>
    <t>6919-84.JPG</t>
  </si>
  <si>
    <t>6961-284</t>
  </si>
  <si>
    <t>OVERLAND PARK - 1 LIGHT BATH</t>
  </si>
  <si>
    <t>6961-284.JPG</t>
  </si>
  <si>
    <t>6961-84</t>
  </si>
  <si>
    <t>6961-84.JPG</t>
  </si>
  <si>
    <t>STEEL +GLASS</t>
  </si>
  <si>
    <t>6962-284</t>
  </si>
  <si>
    <t>6962-284.JPG</t>
  </si>
  <si>
    <t>6962-84</t>
  </si>
  <si>
    <t>6962-84.JPG</t>
  </si>
  <si>
    <t>6963-284</t>
  </si>
  <si>
    <t>OVERLAND PARK - 3 LIGHT BATH</t>
  </si>
  <si>
    <t>6963-284.JPG</t>
  </si>
  <si>
    <t>6963-84</t>
  </si>
  <si>
    <t>6963-84.JPG</t>
  </si>
  <si>
    <t>6964-284</t>
  </si>
  <si>
    <t>OVERLAND PARK - 4 LIGHT BATH</t>
  </si>
  <si>
    <t>6964-284.JPG</t>
  </si>
  <si>
    <t>6964-84</t>
  </si>
  <si>
    <t>6964-84.JPG</t>
  </si>
  <si>
    <t>OPAL GLASS</t>
  </si>
  <si>
    <t>REPLACEMENT GLASS FOR F18-7009-22/44</t>
  </si>
  <si>
    <t>7009.JPG</t>
  </si>
  <si>
    <t>REPLACEMENT GLASS FOR F19-7010-22/44</t>
  </si>
  <si>
    <t>7010.JPG</t>
  </si>
  <si>
    <t>71162-84</t>
  </si>
  <si>
    <t>DOWNTOWN EDISON - WALL SCONCE</t>
  </si>
  <si>
    <t>71162-84.JPG</t>
  </si>
  <si>
    <t>71163-143C</t>
  </si>
  <si>
    <t>DOWNTOWN EDISON - 1 LIGHT WALL MOUNT</t>
  </si>
  <si>
    <t>OIL RUBBED BRONZE W/ GOLD HIGHLIGHTS</t>
  </si>
  <si>
    <t>71163-143C.JPG</t>
  </si>
  <si>
    <t>71163-143C-L</t>
  </si>
  <si>
    <t>1 LIGHT OUTDOOR WALL MOUNT</t>
  </si>
  <si>
    <t>BAYTREE LANE - LED OUTDOOR WALL MOUNT</t>
  </si>
  <si>
    <t>BAYTREE LANE</t>
  </si>
  <si>
    <t>OUTDOOR LED</t>
  </si>
  <si>
    <t>Z18,LED</t>
  </si>
  <si>
    <t>OIL RUBBED BRONZE W/ GOLD HIGH</t>
  </si>
  <si>
    <t>71163-143C-L.JPG</t>
  </si>
  <si>
    <t>ALUMINUM CONSTRUCTION</t>
  </si>
  <si>
    <t>71163-A144</t>
  </si>
  <si>
    <t>1 LIGHT  WALL MOUNT</t>
  </si>
  <si>
    <t>71163-A144.JPG</t>
  </si>
  <si>
    <t>71163-A144-L</t>
  </si>
  <si>
    <t>71163-A144-L.JPG</t>
  </si>
  <si>
    <t>ALUMINUM/GLASS</t>
  </si>
  <si>
    <t>WALL MOUNT</t>
  </si>
  <si>
    <t>BRUSHED ALUMINUM</t>
  </si>
  <si>
    <t>71166-91</t>
  </si>
  <si>
    <t>ANTIQUE BRONZE</t>
  </si>
  <si>
    <t>N/A</t>
  </si>
  <si>
    <t>71166-91.JPG</t>
  </si>
  <si>
    <t>BRASS/ALUMINUM</t>
  </si>
  <si>
    <t>71167-91</t>
  </si>
  <si>
    <t>71167-91.JPG</t>
  </si>
  <si>
    <t>ALUMINUM/BRASS</t>
  </si>
  <si>
    <t>71169-143C-L</t>
  </si>
  <si>
    <t>71169-143C-L.JPG</t>
  </si>
  <si>
    <t>71169-A144-L</t>
  </si>
  <si>
    <t>Z18,LED MODULE</t>
  </si>
  <si>
    <t>71169-A144-L.JPG</t>
  </si>
  <si>
    <t>71174-66</t>
  </si>
  <si>
    <t>3 LIGHT  FLUSH MOUNT</t>
  </si>
  <si>
    <t>3 LIGHT OUTDOOR FLUSH MOUNT</t>
  </si>
  <si>
    <t>71174-66.JPG</t>
  </si>
  <si>
    <t>DIE-CAST ALUMINUM</t>
  </si>
  <si>
    <t>71174-91</t>
  </si>
  <si>
    <t>71174-91.JPG</t>
  </si>
  <si>
    <t>71191-A357-PL</t>
  </si>
  <si>
    <t>DELANCY</t>
  </si>
  <si>
    <t>SEMI SPIRAL</t>
  </si>
  <si>
    <t>DOUBLE FRENCH SCAVO</t>
  </si>
  <si>
    <t>71191-A357-PL.JPG</t>
  </si>
  <si>
    <t>71191-PL</t>
  </si>
  <si>
    <t>ALUMINUM</t>
  </si>
  <si>
    <t>71196-A357-PL</t>
  </si>
  <si>
    <t>71196-A357-PL.JPG</t>
  </si>
  <si>
    <t>71196-PL</t>
  </si>
  <si>
    <t>71201-664</t>
  </si>
  <si>
    <t>OUTDOOR WALL MOUNT</t>
  </si>
  <si>
    <t>RADIAN</t>
  </si>
  <si>
    <t>PAINTED BRUSHED NICKEL</t>
  </si>
  <si>
    <t>71201-664.JPG</t>
  </si>
  <si>
    <t>ALUMINUM+GLASS</t>
  </si>
  <si>
    <t>71202-664</t>
  </si>
  <si>
    <t>71202-664.JPG</t>
  </si>
  <si>
    <t>71203-664</t>
  </si>
  <si>
    <t>RADIAN- 3 LIGHT WALL MOUNT</t>
  </si>
  <si>
    <t>71203-664.JPG</t>
  </si>
  <si>
    <t>71211-143C</t>
  </si>
  <si>
    <t>SOLIDA - 1 LIGHT WALL MOUNT</t>
  </si>
  <si>
    <t>SOLIDA</t>
  </si>
  <si>
    <t>71211-143C.JPG</t>
  </si>
  <si>
    <t>71212-143C</t>
  </si>
  <si>
    <t>SOLIDA - 3 LIGHT WALL MOUNT</t>
  </si>
  <si>
    <t>71212-143C.JPG</t>
  </si>
  <si>
    <t>ALUMINUM+STEEL</t>
  </si>
  <si>
    <t>71213-143C</t>
  </si>
  <si>
    <t>71213-143C.JPG</t>
  </si>
  <si>
    <t>71214-143C</t>
  </si>
  <si>
    <t>CHAIN HUNG LANTERN</t>
  </si>
  <si>
    <t>SOLIDA - 3 LIGHT CHAIN HUNG</t>
  </si>
  <si>
    <t>71214-143C.JPG</t>
  </si>
  <si>
    <t>71216-143C</t>
  </si>
  <si>
    <t>3 LIGHT OUTDOOR POST</t>
  </si>
  <si>
    <t>SOLIDA - 3 LIGHT POST MOUNT</t>
  </si>
  <si>
    <t>CLEAR SEEDY GLASS PANEL</t>
  </si>
  <si>
    <t>71216-143C.JPG</t>
  </si>
  <si>
    <t>71221-143</t>
  </si>
  <si>
    <t>HAVERFORD GROVE - 1 LIGHT WALL MOUNT</t>
  </si>
  <si>
    <t>HAVERFORD GROVE</t>
  </si>
  <si>
    <t>OIL RUBBED BRONZE</t>
  </si>
  <si>
    <t>CLEAR CRACKLED GLASS</t>
  </si>
  <si>
    <t>71221-143.JPG</t>
  </si>
  <si>
    <t>71222-143</t>
  </si>
  <si>
    <t>HAVERFORD GROVE - 3 LIGHT WALL MOUNT</t>
  </si>
  <si>
    <t>71222-143.JPG</t>
  </si>
  <si>
    <t>ALUMINUM+METAL</t>
  </si>
  <si>
    <t>71223-143</t>
  </si>
  <si>
    <t>HAVERFORD GROVE - 4 LIGHT WALL MOUNT</t>
  </si>
  <si>
    <t>71223-143.JPG</t>
  </si>
  <si>
    <t>71224-143</t>
  </si>
  <si>
    <t>OUTDOOR CHAIN HUNG</t>
  </si>
  <si>
    <t>71224-143.JPG</t>
  </si>
  <si>
    <t>71226-143</t>
  </si>
  <si>
    <t>OUTDOOR POST MOUNT</t>
  </si>
  <si>
    <t>71226-143.JPG</t>
  </si>
  <si>
    <t>71231-661</t>
  </si>
  <si>
    <t>ROND - 1 LIGHT WALL MOUNT</t>
  </si>
  <si>
    <t>ROND</t>
  </si>
  <si>
    <t>BLACK W/HONEY GOLD HIGHLIGHT</t>
  </si>
  <si>
    <t>71231-661.JPG</t>
  </si>
  <si>
    <t>ALUMINUM CONSTRUCTION + METAL</t>
  </si>
  <si>
    <t>71232-661</t>
  </si>
  <si>
    <t>E26,MED</t>
  </si>
  <si>
    <t>71232-661.JPG</t>
  </si>
  <si>
    <t>71241-295</t>
  </si>
  <si>
    <t>MANTIEL - 1 LIGHT WALL MOUNT</t>
  </si>
  <si>
    <t>MANTIEL</t>
  </si>
  <si>
    <t>SAND SILVER</t>
  </si>
  <si>
    <t>71241-295.JPG</t>
  </si>
  <si>
    <t>71241-66</t>
  </si>
  <si>
    <t>71241-66.JPG</t>
  </si>
  <si>
    <t>71242-295</t>
  </si>
  <si>
    <t>71242-295.JPG</t>
  </si>
  <si>
    <t>71242-66</t>
  </si>
  <si>
    <t>71242-66.JPG</t>
  </si>
  <si>
    <t>71251-295</t>
  </si>
  <si>
    <t>ESCUDILLA - 1 LIGHT WALL MOUNT</t>
  </si>
  <si>
    <t>ESCUDILLA</t>
  </si>
  <si>
    <t>71251-295.JPG</t>
  </si>
  <si>
    <t>71251-640</t>
  </si>
  <si>
    <t>ESCUDILLA - 1 LIGHT OUTDOOR WALL MOUNT</t>
  </si>
  <si>
    <t>RED GLASS</t>
  </si>
  <si>
    <t>71251-640.JPG</t>
  </si>
  <si>
    <t>71251-66</t>
  </si>
  <si>
    <t>71251-66.JPG</t>
  </si>
  <si>
    <t>71251-662</t>
  </si>
  <si>
    <t>TEXTURED BRONZE</t>
  </si>
  <si>
    <t>71251-662.JPG</t>
  </si>
  <si>
    <t>71251-663</t>
  </si>
  <si>
    <t>ESCUDILLA- 1 LIGHT WALL MOUNT</t>
  </si>
  <si>
    <t>PAINTED HONEY GOLD</t>
  </si>
  <si>
    <t>71251-663.JPG</t>
  </si>
  <si>
    <t>71252-78-L</t>
  </si>
  <si>
    <t>LED WALL MOUNT</t>
  </si>
  <si>
    <t>HARBISON - LED OUTDOOR WALL MOUNT</t>
  </si>
  <si>
    <t>HARBISON LED</t>
  </si>
  <si>
    <t>SILVER W/OXIDE FLECKS</t>
  </si>
  <si>
    <t>71252-78-L.JPG</t>
  </si>
  <si>
    <t>71252-79-L</t>
  </si>
  <si>
    <t>HARBISON - LED WALL MOUNT</t>
  </si>
  <si>
    <t>BRONZE W/COPPER FLECKS</t>
  </si>
  <si>
    <t>71252-79-L.JPG</t>
  </si>
  <si>
    <t>71253-78-L</t>
  </si>
  <si>
    <t>71253-78-L.JPG</t>
  </si>
  <si>
    <t>71253-79-L</t>
  </si>
  <si>
    <t>71253-79-L.JPG</t>
  </si>
  <si>
    <t>71821-143-L</t>
  </si>
  <si>
    <t>1 LIGHT OUTDOOR LED WALL MOUNT</t>
  </si>
  <si>
    <t>HANFORD POINTE</t>
  </si>
  <si>
    <t>L-AC10-MD770</t>
  </si>
  <si>
    <t>71821-143-L.JPG</t>
  </si>
  <si>
    <t>EVER-PRO POLYMER CONSTRUCTION</t>
  </si>
  <si>
    <t>71822-143-L</t>
  </si>
  <si>
    <t>71822-143-L.JPG</t>
  </si>
  <si>
    <t>EVER PRO POLYMER CONSTRUCTION</t>
  </si>
  <si>
    <t>71824-143-L</t>
  </si>
  <si>
    <t>1 LIGHT OUTDOOR LED CHAIN HUNG LANTERN</t>
  </si>
  <si>
    <t>HANFORD POINTE - LED OUTDOOR CHAIN HUNG</t>
  </si>
  <si>
    <t>71824-143-L.JPG</t>
  </si>
  <si>
    <t>71826-143-L</t>
  </si>
  <si>
    <t>1 LIGHT OUTDOOR LED POST MOUNT LANTERN</t>
  </si>
  <si>
    <t>HANFORD POINTE - LED OUTDOOR POST MOUNT</t>
  </si>
  <si>
    <t>71826-143-L.JPG</t>
  </si>
  <si>
    <t>72001-A138-PL</t>
  </si>
  <si>
    <t>1 LIGHT POCKET LANTERN</t>
  </si>
  <si>
    <t>ASPEN</t>
  </si>
  <si>
    <t>72001-A138-PL.JPG</t>
  </si>
  <si>
    <t>72001-PL</t>
  </si>
  <si>
    <t>72002-A138-PL</t>
  </si>
  <si>
    <t>2 LIGHT POCKET LANTERN</t>
  </si>
  <si>
    <t>72002-A138-PL.JPG</t>
  </si>
  <si>
    <t>72002-PL</t>
  </si>
  <si>
    <t>72020-A179-PL</t>
  </si>
  <si>
    <t>ANDRITA COURT</t>
  </si>
  <si>
    <t>TEXTURED FRENCH BRONZE</t>
  </si>
  <si>
    <t>72020-A179-PL.JPG</t>
  </si>
  <si>
    <t>72020-PL</t>
  </si>
  <si>
    <t>72021-A179-PL</t>
  </si>
  <si>
    <t>SEMISPIRAL26W,SELF-BALLASTGU24</t>
  </si>
  <si>
    <t>72021-A179-PL.JPG</t>
  </si>
  <si>
    <t>72021-PL</t>
  </si>
  <si>
    <t>72022-A179</t>
  </si>
  <si>
    <t>PEAR MIST GLASS</t>
  </si>
  <si>
    <t>72022-A179.JPG</t>
  </si>
  <si>
    <t>STEEL/CLOTH</t>
  </si>
  <si>
    <t>72022-A179-PL</t>
  </si>
  <si>
    <t>PEARL MIST</t>
  </si>
  <si>
    <t>72022-A179-PL.JPG</t>
  </si>
  <si>
    <t>72022-PL</t>
  </si>
  <si>
    <t>72023-A179-PL</t>
  </si>
  <si>
    <t>72023-A179-PL.JPG</t>
  </si>
  <si>
    <t>72023-PL</t>
  </si>
  <si>
    <t>72026-A179-PL</t>
  </si>
  <si>
    <t>PEARL MIST GLASS</t>
  </si>
  <si>
    <t>72026-A179-PL.JPG</t>
  </si>
  <si>
    <t>72026-PL</t>
  </si>
  <si>
    <t>72029-A179-PL</t>
  </si>
  <si>
    <t>1 LIGHT FLUSH MOUNT</t>
  </si>
  <si>
    <t>72029-A179-PL.JPG</t>
  </si>
  <si>
    <t>72029-PL</t>
  </si>
  <si>
    <t>72111-149</t>
  </si>
  <si>
    <t>WILSHIRE PARK - 1 LIGHT WALL MOUNT</t>
  </si>
  <si>
    <t>WILSHIRE PARK</t>
  </si>
  <si>
    <t>PORTSMOUTH BRONZE</t>
  </si>
  <si>
    <t>72111-149.JPG</t>
  </si>
  <si>
    <t>72112-149</t>
  </si>
  <si>
    <t>WILSHIRE PARK - 3 LIGHT WALL MOUNT</t>
  </si>
  <si>
    <t>72112-149.JPG</t>
  </si>
  <si>
    <t>72113-149</t>
  </si>
  <si>
    <t>4 LIGHT WALL MOUNT</t>
  </si>
  <si>
    <t>WILSHIRE PARK - 4 LIGHT WALL MOUNT</t>
  </si>
  <si>
    <t>CLEAR WATER GLSAS</t>
  </si>
  <si>
    <t>72113-149.JPG</t>
  </si>
  <si>
    <t>72114-149</t>
  </si>
  <si>
    <t>3 LIGHT CHAIN HUNG</t>
  </si>
  <si>
    <t>WILSHIRE PARK - 3 LIGHT CHAIN HUNG</t>
  </si>
  <si>
    <t>72114-149.JPG</t>
  </si>
  <si>
    <t>72116-149</t>
  </si>
  <si>
    <t>3 LIGHT POST MOUNT</t>
  </si>
  <si>
    <t>WILSHIRE PARK - 3 LIGHT POST MOUNT</t>
  </si>
  <si>
    <t>72116-149.JPG</t>
  </si>
  <si>
    <t>72121-144-PL</t>
  </si>
  <si>
    <t>COLVA - 1 LIGHT POCKET LANTERN</t>
  </si>
  <si>
    <t>COLVA</t>
  </si>
  <si>
    <t>72121-144-PL.JPG</t>
  </si>
  <si>
    <t>72121-PL</t>
  </si>
  <si>
    <t>STAINLESS/GLASS</t>
  </si>
  <si>
    <t>72164-179</t>
  </si>
  <si>
    <t>1 LIGHT CHAIN HUNG</t>
  </si>
  <si>
    <t>SETTLERS WAY - 1 LIGHT CHAIN HUNG</t>
  </si>
  <si>
    <t>SETTLERS WAY</t>
  </si>
  <si>
    <t>CLEAR SEEDED GLASS</t>
  </si>
  <si>
    <t>72164-179.JPG</t>
  </si>
  <si>
    <t>72170-189</t>
  </si>
  <si>
    <t>IRVINGTON MANOR - 2 LIGHT POCKET LANTERN</t>
  </si>
  <si>
    <t>IRVINGTON MANOR</t>
  </si>
  <si>
    <t>CHELESA BRONZE</t>
  </si>
  <si>
    <t>72170-189.JPG</t>
  </si>
  <si>
    <t>72170-189-L</t>
  </si>
  <si>
    <t>POCKET LANTERN</t>
  </si>
  <si>
    <t>IRVINGTON MANOR - LED OUTDOOR POCKET LANTERN</t>
  </si>
  <si>
    <t>GLASS -FRONT</t>
  </si>
  <si>
    <t>72170-189-L.JPG</t>
  </si>
  <si>
    <t>72171-189</t>
  </si>
  <si>
    <t>IRVINGTON MANOR - 1 LIGHT WALL MOUNT</t>
  </si>
  <si>
    <t>72171-189.JPG</t>
  </si>
  <si>
    <t>72171-189-L</t>
  </si>
  <si>
    <t>IRVINGTON MANOR - LED OUTDOOR WALL MOUNT</t>
  </si>
  <si>
    <t>72171-189-L.JPG</t>
  </si>
  <si>
    <t>72172-189</t>
  </si>
  <si>
    <t>IRVINGTON MANOR - 3 LIGHT WALL MOUNT</t>
  </si>
  <si>
    <t>72172-189.JPG</t>
  </si>
  <si>
    <t>72172-189-L</t>
  </si>
  <si>
    <t>72172-189-L.JPG</t>
  </si>
  <si>
    <t>72173-189</t>
  </si>
  <si>
    <t>IRVINGTON MANOR - 4 LIGHT WALL MOUNT</t>
  </si>
  <si>
    <t>72173-189.JPG</t>
  </si>
  <si>
    <t>72173-189-L</t>
  </si>
  <si>
    <t>72173-189-L.JPG</t>
  </si>
  <si>
    <t>72174-189</t>
  </si>
  <si>
    <t>3 LIGHT OUTDOOR CHAIN HUNG</t>
  </si>
  <si>
    <t>IRVINGTON MANOR - 3 LIGHT CHAIN HUNG</t>
  </si>
  <si>
    <t>72174-189.JPG</t>
  </si>
  <si>
    <t>ALUMINUM + GLASS</t>
  </si>
  <si>
    <t>72174-189-L</t>
  </si>
  <si>
    <t>OUTDOOR CHAIN HUNG LED</t>
  </si>
  <si>
    <t>IRVINGTON MANOR - LED OUTDOOR CHAIN HUNG</t>
  </si>
  <si>
    <t>72174-189-L.JPG</t>
  </si>
  <si>
    <t>72175-189</t>
  </si>
  <si>
    <t>IRVINGTON MANOR LARGE CHAIN HUNG</t>
  </si>
  <si>
    <t>72175-189.JPG</t>
  </si>
  <si>
    <t>72175-189-L</t>
  </si>
  <si>
    <t>OUTDOOR LED CHAIN HUNG</t>
  </si>
  <si>
    <t>IRVINGTON MANOR LED LARGE CHAIN HUNG</t>
  </si>
  <si>
    <t>72175-189-L.JPG</t>
  </si>
  <si>
    <t>72176-189</t>
  </si>
  <si>
    <t>IRVINGTON MANOR - 3 LIGHT POST MOUNT</t>
  </si>
  <si>
    <t>72176-189.JPG</t>
  </si>
  <si>
    <t>72176-189-L</t>
  </si>
  <si>
    <t>OUTDOOR LED POST MOUNT</t>
  </si>
  <si>
    <t>IRVINGTON MANOR - LED OUTDOOR POST MOUNT</t>
  </si>
  <si>
    <t>72176-189-L.JPG</t>
  </si>
  <si>
    <t>72177-189</t>
  </si>
  <si>
    <t>POST MOUNT</t>
  </si>
  <si>
    <t>IRVINGTON MANOR LARGE POST MOUNT</t>
  </si>
  <si>
    <t>72177-189.JPG</t>
  </si>
  <si>
    <t>72177-189-L</t>
  </si>
  <si>
    <t>LARGE LED POST MOUNT</t>
  </si>
  <si>
    <t>IRVINGTON MANOR LED LARGE POST</t>
  </si>
  <si>
    <t>72177-189-L.JPG</t>
  </si>
  <si>
    <t>72178-189</t>
  </si>
  <si>
    <t>OUTDOOR XL WALL MOUNT</t>
  </si>
  <si>
    <t>IRVINGTON MANOR XL WALL MOUNT</t>
  </si>
  <si>
    <t>72178-189.JPG</t>
  </si>
  <si>
    <t>72178-189-L</t>
  </si>
  <si>
    <t>LED OUTDOOR WALL MOUNT</t>
  </si>
  <si>
    <t>IRVINGTON MANOR LED XL WALL MOUNT</t>
  </si>
  <si>
    <t>72178-189-L.JPG</t>
  </si>
  <si>
    <t>72191-144</t>
  </si>
  <si>
    <t>1 LIGHT WALL LAMP</t>
  </si>
  <si>
    <t>VISTA DELMAR - 1 LIGHT OUTDOOR WALL MOUNT</t>
  </si>
  <si>
    <t>VISTA DELMAR</t>
  </si>
  <si>
    <t>72191-144.JPG</t>
  </si>
  <si>
    <t>72211-615B</t>
  </si>
  <si>
    <t>BAY CREST - 1 LIGHT OUTDOOR WALL MOUNT</t>
  </si>
  <si>
    <t>BAY CREST</t>
  </si>
  <si>
    <t>DORIAN BRONZE</t>
  </si>
  <si>
    <t>72211-615B.JPG</t>
  </si>
  <si>
    <t>72211-A144</t>
  </si>
  <si>
    <t>72211-A144.JPG</t>
  </si>
  <si>
    <t>72212-615B</t>
  </si>
  <si>
    <t>72212-615B.JPG</t>
  </si>
  <si>
    <t>72212-A144</t>
  </si>
  <si>
    <t>72212-A144.JPG</t>
  </si>
  <si>
    <t>72231-143C</t>
  </si>
  <si>
    <t>LYNNFIELD - 1 LIGHT WALL MOUNT</t>
  </si>
  <si>
    <t>LYNNFIELD</t>
  </si>
  <si>
    <t>72231-143C.JPG</t>
  </si>
  <si>
    <t>BRASS+ALUM+GLASS</t>
  </si>
  <si>
    <t>72232-143C</t>
  </si>
  <si>
    <t>RIBBED CLEAR SEEDED GLASS</t>
  </si>
  <si>
    <t>72232-143C.JPG</t>
  </si>
  <si>
    <t>72233-143C</t>
  </si>
  <si>
    <t>LYNNFIELD - 3 LIGHT WALL MOUNT</t>
  </si>
  <si>
    <t>72233-143C.JPG</t>
  </si>
  <si>
    <t>72234-143C</t>
  </si>
  <si>
    <t>LYNNFIELD - 1 LIGHT CHAIN HUNG</t>
  </si>
  <si>
    <t>72234-143C.JPG</t>
  </si>
  <si>
    <t>72236-143C</t>
  </si>
  <si>
    <t>LYNNFIELD - 1 LIGHT POST MOUNT</t>
  </si>
  <si>
    <t>72236-143C.JPG</t>
  </si>
  <si>
    <t>72251-66</t>
  </si>
  <si>
    <t>ARTISAN LANE - 1 LIGHT OUTDOOR WALL MOUNT</t>
  </si>
  <si>
    <t>ARTISAN LANE</t>
  </si>
  <si>
    <t>GU10 HALOGEN</t>
  </si>
  <si>
    <t>72251-66.JPG</t>
  </si>
  <si>
    <t>72252-66</t>
  </si>
  <si>
    <t>MR16,GU10 HALOGEN</t>
  </si>
  <si>
    <t>72252-66.JPG</t>
  </si>
  <si>
    <t>72253-66</t>
  </si>
  <si>
    <t>2 LIGHT OUTDOOR WALL MOUNT</t>
  </si>
  <si>
    <t>ARTISAN LANE - 2 LIGHT OUTDOOR WALL MOUNT</t>
  </si>
  <si>
    <t>MR16, GU10 HALOGEN</t>
  </si>
  <si>
    <t>72253-66.JPG</t>
  </si>
  <si>
    <t>72311-615B</t>
  </si>
  <si>
    <t>ADDISON PARK - 1 LIGHT OUTDOOR WALL MOUNT</t>
  </si>
  <si>
    <t>ADDISON PARK</t>
  </si>
  <si>
    <t>72311-615B.JPG</t>
  </si>
  <si>
    <t>72312-615B</t>
  </si>
  <si>
    <t>72312-615B.JPG</t>
  </si>
  <si>
    <t>72313-615B</t>
  </si>
  <si>
    <t>72313-615B.JPG</t>
  </si>
  <si>
    <t>72321-247</t>
  </si>
  <si>
    <t>SOARE - 1 LIGHT OUTDOOR WALL MOUNT</t>
  </si>
  <si>
    <t>SOARE</t>
  </si>
  <si>
    <t>TINTED SILVER</t>
  </si>
  <si>
    <t>72321-247.JPG</t>
  </si>
  <si>
    <t>72331-291</t>
  </si>
  <si>
    <t>TRAVESSA - 1 LIGHT OUTDOOR WALL MOUNT</t>
  </si>
  <si>
    <t>TRAVESSA</t>
  </si>
  <si>
    <t>ARCHITECTUAL BRONZE W/ COPPER HIGHLIGHTS</t>
  </si>
  <si>
    <t>CRACKLE</t>
  </si>
  <si>
    <t>72331-291.JPG</t>
  </si>
  <si>
    <t>72332-291</t>
  </si>
  <si>
    <t>TRAVESSA - 3 LIGHT OUTDOOR WALL MOUNT</t>
  </si>
  <si>
    <t>72332-291.JPG</t>
  </si>
  <si>
    <t>72336-291</t>
  </si>
  <si>
    <t>TRAVESSA - 3 LIGHT OUTDOOR POST MOUNT</t>
  </si>
  <si>
    <t>CLEAR CRACKLE</t>
  </si>
  <si>
    <t>72336-291.JPG</t>
  </si>
  <si>
    <t>72352-615B-PL</t>
  </si>
  <si>
    <t>STERLING HEIGHTS - 1 LIGHT OUTDOOR WALL MOUNT</t>
  </si>
  <si>
    <t>STERLING HEIGHTS</t>
  </si>
  <si>
    <t>72352-615B-PL.JPG</t>
  </si>
  <si>
    <t>72353-615B-PL</t>
  </si>
  <si>
    <t>72353-615B-PL.JPG</t>
  </si>
  <si>
    <t>72356-615B-PL</t>
  </si>
  <si>
    <t>STERLING HEIGHTS - 1 LIGHT OUTDOOR POST MOUNT</t>
  </si>
  <si>
    <t>72356-615B-PL.JPG</t>
  </si>
  <si>
    <t>72371-615B</t>
  </si>
  <si>
    <t>GEOX - 2 LIGHT OUTDOOR POCKET LANTERN</t>
  </si>
  <si>
    <t>GEOX</t>
  </si>
  <si>
    <t>72371-615B.JPG</t>
  </si>
  <si>
    <t>72372-615B</t>
  </si>
  <si>
    <t>4 LIGHT OUTDOOR WALL MOUNT</t>
  </si>
  <si>
    <t>GEOX - 4 LIGHT OUTDOOR POCKET LANTERN</t>
  </si>
  <si>
    <t>72372-615B.JPG</t>
  </si>
  <si>
    <t>72381-246</t>
  </si>
  <si>
    <t>WESTGATE - 1 LIGHT OUTDOOR WALL MOUNT</t>
  </si>
  <si>
    <t>WESTGATE</t>
  </si>
  <si>
    <t>ALDER BRONZE</t>
  </si>
  <si>
    <t>SEEDY</t>
  </si>
  <si>
    <t>72381-246.JPG</t>
  </si>
  <si>
    <t>72382-246</t>
  </si>
  <si>
    <t>72382-246.JPG</t>
  </si>
  <si>
    <t>72383-246</t>
  </si>
  <si>
    <t>WESTGATE - 2 LIGHT OUTDOOR WALL MOUNT</t>
  </si>
  <si>
    <t>72383-246.JPG</t>
  </si>
  <si>
    <t>72391-143C</t>
  </si>
  <si>
    <t>LAURISTON MANOR - LED OUTDOOR WALL MOUNT</t>
  </si>
  <si>
    <t>LAURISTON MANOR</t>
  </si>
  <si>
    <t>L-AC10-MODULE</t>
  </si>
  <si>
    <t>72391-143C.JPG</t>
  </si>
  <si>
    <t>DIE-CAST ALUMINUM+GLASS</t>
  </si>
  <si>
    <t>72392-143C</t>
  </si>
  <si>
    <t>72392-143C.JPG</t>
  </si>
  <si>
    <t>72393-143C</t>
  </si>
  <si>
    <t>72393-143C.JPG</t>
  </si>
  <si>
    <t>72396-143C</t>
  </si>
  <si>
    <t>1 LIGHT OUTDOOR LED POST MOUNT</t>
  </si>
  <si>
    <t>LAURISTON MANOR - LED OUTDOOR POST LIGHT</t>
  </si>
  <si>
    <t>72396-143C.JPG</t>
  </si>
  <si>
    <t>72397-143C</t>
  </si>
  <si>
    <t>72397-143C.JPG</t>
  </si>
  <si>
    <t>72398-609-L</t>
  </si>
  <si>
    <t>DANORUM - LED OUTDOOR WALL MOUNT</t>
  </si>
  <si>
    <t>DANORUM LED</t>
  </si>
  <si>
    <t>SILVER- ONE SIDE SAND BLASTED</t>
  </si>
  <si>
    <t>72398-609-L.JPG</t>
  </si>
  <si>
    <t>72398-66-L</t>
  </si>
  <si>
    <t>ONE SIDE SAND BLASTED</t>
  </si>
  <si>
    <t>72398-66-L.JPG</t>
  </si>
  <si>
    <t>72399-615B-L</t>
  </si>
  <si>
    <t>EVERTON RAIN - LED OUTDOOR POCKET LANTERN</t>
  </si>
  <si>
    <t>EVERTON</t>
  </si>
  <si>
    <t>ETCHED REEDED GLASS</t>
  </si>
  <si>
    <t>72399-615B-L.JPG</t>
  </si>
  <si>
    <t>72399-L</t>
  </si>
  <si>
    <t>72400-615B</t>
  </si>
  <si>
    <t>2 LIGHT OUTDOOR POCKET LANTERN</t>
  </si>
  <si>
    <t>EVERTON RAIN - 2 LIGHT POCKET LANTERN</t>
  </si>
  <si>
    <t>72400-615B.JPG</t>
  </si>
  <si>
    <t>72400-615B-L</t>
  </si>
  <si>
    <t>1 LT LED WALL MOUNT</t>
  </si>
  <si>
    <t>72400-615B-L.JPG</t>
  </si>
  <si>
    <t>72403-751-L</t>
  </si>
  <si>
    <t>1 LIGHT LED OUTDOOR WALL MOUNT</t>
  </si>
  <si>
    <t>ESPIRIT DEL SOL - LED OUTDOOR WALL MOUNT</t>
  </si>
  <si>
    <t>ESPIRIT DEL SOL</t>
  </si>
  <si>
    <t>GLIDED IRON WITH SILVER</t>
  </si>
  <si>
    <t>72403-751-L.JPG</t>
  </si>
  <si>
    <t>72403-L</t>
  </si>
  <si>
    <t>72404-751-L</t>
  </si>
  <si>
    <t>72404-751-L.JPG</t>
  </si>
  <si>
    <t>72404-L</t>
  </si>
  <si>
    <t>72411-51A-L</t>
  </si>
  <si>
    <t>WYNTERFIELD - LED OUTDOOR WALL MOUNT</t>
  </si>
  <si>
    <t>WYNTERFIELD</t>
  </si>
  <si>
    <t>BURNT RUST</t>
  </si>
  <si>
    <t>72411-51A-L.JPG</t>
  </si>
  <si>
    <t>72411-L</t>
  </si>
  <si>
    <t>72412-51A-L</t>
  </si>
  <si>
    <t>72412-51A-L.JPG</t>
  </si>
  <si>
    <t>72413-51A-L</t>
  </si>
  <si>
    <t>72413-51A-L.JPG</t>
  </si>
  <si>
    <t>72413-L</t>
  </si>
  <si>
    <t>72414-51A-L</t>
  </si>
  <si>
    <t>1 LIGHT OUTDOOR LED CHAIN HUNG</t>
  </si>
  <si>
    <t>WYNTERFIELD - LED OUTDOOR CHAIN HUNG</t>
  </si>
  <si>
    <t>72414-51A-L.JPG</t>
  </si>
  <si>
    <t>72420-212</t>
  </si>
  <si>
    <t>EDENSHIRE - 2 LIGHT POCKET LANTERN</t>
  </si>
  <si>
    <t>ERENSHIRE</t>
  </si>
  <si>
    <t>ENGLISH BRASS</t>
  </si>
  <si>
    <t>72420-212.JPG</t>
  </si>
  <si>
    <t>72421-212</t>
  </si>
  <si>
    <t>EDENSHIRE - 1 LIGHT WALL MOUNT</t>
  </si>
  <si>
    <t>72421-212.JPG</t>
  </si>
  <si>
    <t>72422-212</t>
  </si>
  <si>
    <t>EDENSHIRE - 3 LIGHT WALL MOUNT</t>
  </si>
  <si>
    <t>72422-212.JPG</t>
  </si>
  <si>
    <t>72423-212</t>
  </si>
  <si>
    <t>EDENSHIRE - 4 LIGHT WALL MOUNT</t>
  </si>
  <si>
    <t>72423-212.JPG</t>
  </si>
  <si>
    <t>72424-212</t>
  </si>
  <si>
    <t>EDENSHIRE - 3 LIGHT CHAIN HUNG</t>
  </si>
  <si>
    <t>72424-212.JPG</t>
  </si>
  <si>
    <t>72425-212</t>
  </si>
  <si>
    <t>4 LIGHT CHAIN HUNG</t>
  </si>
  <si>
    <t>72425-212.JPG</t>
  </si>
  <si>
    <t>72426-212</t>
  </si>
  <si>
    <t>EDENSHIRE - 3 LIGHT POST MOUNT</t>
  </si>
  <si>
    <t>72426-212.JPG</t>
  </si>
  <si>
    <t>72427-212</t>
  </si>
  <si>
    <t>72427-212.JPG</t>
  </si>
  <si>
    <t>BRASS+STEEL+GLASS</t>
  </si>
  <si>
    <t>72434-261</t>
  </si>
  <si>
    <t>EASTBURY - 4 LIGHT CHAIN HUNG</t>
  </si>
  <si>
    <t>EASTBURY</t>
  </si>
  <si>
    <t>COLONIAL BRASS</t>
  </si>
  <si>
    <t>72434-261.JPG</t>
  </si>
  <si>
    <t>72436-261</t>
  </si>
  <si>
    <t>4 LIGHT POST MOUNT</t>
  </si>
  <si>
    <t>EASTBURY - 4 LIGHT POST MOUNT</t>
  </si>
  <si>
    <t>72436-261.JPG</t>
  </si>
  <si>
    <t>72440-291-L</t>
  </si>
  <si>
    <t>GARRESTON POINTE - LED OUTDOOR WALL MOUNT</t>
  </si>
  <si>
    <t>GARRESTON POINTE</t>
  </si>
  <si>
    <t>L-AC14-MD950</t>
  </si>
  <si>
    <t>72440-291-L.JPG</t>
  </si>
  <si>
    <t>GLASS+ALUMINUM</t>
  </si>
  <si>
    <t>72441-291-L</t>
  </si>
  <si>
    <t>72441-291-L.JPG</t>
  </si>
  <si>
    <t>72451-143C</t>
  </si>
  <si>
    <t>KAMSTRA - 1 LIGHT WALL MOUNT</t>
  </si>
  <si>
    <t>KAMSTRA</t>
  </si>
  <si>
    <t>72451-143C.JPG</t>
  </si>
  <si>
    <t>72452-143C</t>
  </si>
  <si>
    <t>72452-143C.JPG</t>
  </si>
  <si>
    <t>ALUMINUM &amp; GLASS</t>
  </si>
  <si>
    <t>72453-143C</t>
  </si>
  <si>
    <t>72453-143C.JPG</t>
  </si>
  <si>
    <t>72454-143C</t>
  </si>
  <si>
    <t>1 LIGHT CHAIN HUNG LANTERN</t>
  </si>
  <si>
    <t>KAMSTRA - 1 LIGHT CHAIN HUNG</t>
  </si>
  <si>
    <t>72454-143C.JPG</t>
  </si>
  <si>
    <t>72456-143C</t>
  </si>
  <si>
    <t>KAMSTRA - 1 LIGHT POST MOUNT</t>
  </si>
  <si>
    <t>72456-143C.JPG</t>
  </si>
  <si>
    <t>72461-66</t>
  </si>
  <si>
    <t>CASSIDY PARK - 1 LIGHT WALL MOUNT</t>
  </si>
  <si>
    <t>CASSIDY PARK</t>
  </si>
  <si>
    <t>72461-66.JPG</t>
  </si>
  <si>
    <t>72462-66</t>
  </si>
  <si>
    <t>CASSIDY PARK - 2 LIGHT WALL MOUNT</t>
  </si>
  <si>
    <t>72462-66.JPG</t>
  </si>
  <si>
    <t>72463-66</t>
  </si>
  <si>
    <t>3 LIGHT OUTDOOR WALL MOUNT</t>
  </si>
  <si>
    <t>72463-66.JPG</t>
  </si>
  <si>
    <t>72464-66</t>
  </si>
  <si>
    <t>4 LIGHT OUTDOOR CHAIN HUNG LANTERN</t>
  </si>
  <si>
    <t>CASSIDY PARK - 3 LIGHT CHAIN HUNG</t>
  </si>
  <si>
    <t>72464-66.JPG</t>
  </si>
  <si>
    <t>72466-66</t>
  </si>
  <si>
    <t>CASSIDY PARK - 3 LIGHT POST MOUNT</t>
  </si>
  <si>
    <t>72466-66.JPG</t>
  </si>
  <si>
    <t>72471-66</t>
  </si>
  <si>
    <t>TRESCOTT - 1 LIGHT WALL MOUNT</t>
  </si>
  <si>
    <t>TRESCOTT</t>
  </si>
  <si>
    <t>72471-66.JPG</t>
  </si>
  <si>
    <t>72472-66</t>
  </si>
  <si>
    <t>72472-66.JPG</t>
  </si>
  <si>
    <t>ALU+GLASS</t>
  </si>
  <si>
    <t>72473-66</t>
  </si>
  <si>
    <t>72473-66.JPG</t>
  </si>
  <si>
    <t>72474-66</t>
  </si>
  <si>
    <t>TRESCOTT - 1 LIGHT CHAIN HUNG</t>
  </si>
  <si>
    <t>72474-66.JPG</t>
  </si>
  <si>
    <t>72476-66</t>
  </si>
  <si>
    <t>TRESCOTT - 1 LIGHT POST MOUNT</t>
  </si>
  <si>
    <t>72476-66.JPG</t>
  </si>
  <si>
    <t>72477-66</t>
  </si>
  <si>
    <t>72477-66.JPG</t>
  </si>
  <si>
    <t>ALUM+GLASS</t>
  </si>
  <si>
    <t>72481-143C</t>
  </si>
  <si>
    <t>MARQUEE - 1 LIGHT WALL MOUNT</t>
  </si>
  <si>
    <t>MARQUEE</t>
  </si>
  <si>
    <t>72481-143C.JPG</t>
  </si>
  <si>
    <t>72482-143C</t>
  </si>
  <si>
    <t>MARQUEE - 4 LIGHT WALL MOUNT</t>
  </si>
  <si>
    <t>72482-143C.JPG</t>
  </si>
  <si>
    <t>72483-143C</t>
  </si>
  <si>
    <t>72483-143C.JPG</t>
  </si>
  <si>
    <t>72484-143C</t>
  </si>
  <si>
    <t>MARQUEE - 4 LIGHT CHAIN HUNG</t>
  </si>
  <si>
    <t>72484-143C.JPG</t>
  </si>
  <si>
    <t>72486-143C</t>
  </si>
  <si>
    <t>MARQUEE - 4 LIGHT POST MOUNT</t>
  </si>
  <si>
    <t>72486-143C.JPG</t>
  </si>
  <si>
    <t>72487-143C</t>
  </si>
  <si>
    <t>MARQUE</t>
  </si>
  <si>
    <t>72487-143C.JPG</t>
  </si>
  <si>
    <t>72491-68</t>
  </si>
  <si>
    <t>SAN MARCOS - 1 LIGHT WALL MOUNT</t>
  </si>
  <si>
    <t>SAN MARCOS</t>
  </si>
  <si>
    <t>BLACK W/ANTIQUE COPPER ACCENTS</t>
  </si>
  <si>
    <t>72491-68.JPG</t>
  </si>
  <si>
    <t>72492-68</t>
  </si>
  <si>
    <t>ST-58</t>
  </si>
  <si>
    <t>72492-68.JPG</t>
  </si>
  <si>
    <t>72493-68</t>
  </si>
  <si>
    <t>72493-68.JPG</t>
  </si>
  <si>
    <t>72494-68</t>
  </si>
  <si>
    <t>SAN MARCOS - 1 LIGHT CHAIN HUNG</t>
  </si>
  <si>
    <t>72494-68.JPG</t>
  </si>
  <si>
    <t>72496-68</t>
  </si>
  <si>
    <t>1 LIGHT OUTDOOR POST MOUNT</t>
  </si>
  <si>
    <t>72496-68.JPG</t>
  </si>
  <si>
    <t>72501-615B-L</t>
  </si>
  <si>
    <t>SKYLINE - LED OUTDOOR WALL MOUNT</t>
  </si>
  <si>
    <t>SKYLINE</t>
  </si>
  <si>
    <t>Z13 LED</t>
  </si>
  <si>
    <t>72501-615B-L.JPG</t>
  </si>
  <si>
    <t>72501-615B-PL</t>
  </si>
  <si>
    <t>SKYLINE - 1 LIGHT WALL MOUNT</t>
  </si>
  <si>
    <t>72501-615B-PL.JPG</t>
  </si>
  <si>
    <t>72501-A144-L</t>
  </si>
  <si>
    <t>72501-A144-L.JPG</t>
  </si>
  <si>
    <t>72501-A144-PL</t>
  </si>
  <si>
    <t>72501-A144-PL.JPG</t>
  </si>
  <si>
    <t>72502-615B-L</t>
  </si>
  <si>
    <t>2 LIGHT OUTDOOR LED WALL MOUNT</t>
  </si>
  <si>
    <t>72502-615B-L.JPG</t>
  </si>
  <si>
    <t>72502-L</t>
  </si>
  <si>
    <t>72502-615B-PL</t>
  </si>
  <si>
    <t>SKYLINE - 2 LIGHT WALL MOUNT</t>
  </si>
  <si>
    <t>72502-615B-PL.JPG</t>
  </si>
  <si>
    <t>72502-A144-L</t>
  </si>
  <si>
    <t>72502-A144-L.JPG</t>
  </si>
  <si>
    <t>72502-A144-PL</t>
  </si>
  <si>
    <t>72502-A144-PL.JPG</t>
  </si>
  <si>
    <t>72521-246</t>
  </si>
  <si>
    <t>1 LIGHT OUTDOOR LIGHT</t>
  </si>
  <si>
    <t>SUNNYBROOK 1 LIGHT WALL MOUNT</t>
  </si>
  <si>
    <t>SUNNYBROOK</t>
  </si>
  <si>
    <t>72521-246.JPG</t>
  </si>
  <si>
    <t>72522-246</t>
  </si>
  <si>
    <t>4 LIGHT OUTDOOR WALL LIGHT</t>
  </si>
  <si>
    <t>SUNNYBROOK - 4 LIGHT OUTDOOR WALL MOUNT</t>
  </si>
  <si>
    <t>72522-246.JPG</t>
  </si>
  <si>
    <t>72523-246</t>
  </si>
  <si>
    <t>72523-246.JPG</t>
  </si>
  <si>
    <t>72524-246</t>
  </si>
  <si>
    <t>OUTDOOR CHAIN HUNG LANTERN</t>
  </si>
  <si>
    <t>SUNNYBROOK - 4 LIGHT OUTDOOR CHAIN HUNG</t>
  </si>
  <si>
    <t>72524-246.JPG</t>
  </si>
  <si>
    <t>72525-246</t>
  </si>
  <si>
    <t>4 LIGHT OUTDOOR CHAIN HUNG</t>
  </si>
  <si>
    <t>SUNNYBROOK LARGE CHAIN HUNG</t>
  </si>
  <si>
    <t>72525-246.JPG</t>
  </si>
  <si>
    <t>72526-246</t>
  </si>
  <si>
    <t>SUNNYBROOK - 4 LIGHT OUTDOOR POST MOUNT</t>
  </si>
  <si>
    <t>72526-246.JPG</t>
  </si>
  <si>
    <t>72527-246</t>
  </si>
  <si>
    <t>SUNNYBROOK LARGE POST</t>
  </si>
  <si>
    <t>72527-246.JPG</t>
  </si>
  <si>
    <t>72528-246</t>
  </si>
  <si>
    <t>SUNNYBROOK XL WALL MOUNT</t>
  </si>
  <si>
    <t>72528-246.JPG</t>
  </si>
  <si>
    <t>72541-593</t>
  </si>
  <si>
    <t>ASTRAPIA II - 2 LIGHT OUTDOOR WALL MOUNT</t>
  </si>
  <si>
    <t>B10,CAND</t>
  </si>
  <si>
    <t>72541-593.JPG</t>
  </si>
  <si>
    <t>72551-143C</t>
  </si>
  <si>
    <t>1 LIGHT OUTDOOR WALL LAMP</t>
  </si>
  <si>
    <t>HIGHLAND RIDGE</t>
  </si>
  <si>
    <t>72551-143C.JPG</t>
  </si>
  <si>
    <t>72552-143C</t>
  </si>
  <si>
    <t>3 LIGHT OUTDOOR WALL LAMP</t>
  </si>
  <si>
    <t>HIGHLAND RIDGE - 3 LIGHT WALL MOUNT</t>
  </si>
  <si>
    <t>72552-143C.JPG</t>
  </si>
  <si>
    <t>72553-143C</t>
  </si>
  <si>
    <t>4 LIGHT OUTDOOR WALL LAMP</t>
  </si>
  <si>
    <t>HIGHLAND RIDGE - 4 LIGHT WALL MOUNT</t>
  </si>
  <si>
    <t>72553-143C.JPG</t>
  </si>
  <si>
    <t>72554-143C</t>
  </si>
  <si>
    <t>HIGHLAND RIDGE - 4 LIGHT CHAIN HUNG</t>
  </si>
  <si>
    <t>72554-143C.JPG</t>
  </si>
  <si>
    <t>72556-143C</t>
  </si>
  <si>
    <t>3 LIGHT OUTDOOR POST LIGHT</t>
  </si>
  <si>
    <t>HIGHLAND RIDGE - 4 LIGHT POST MOUNT</t>
  </si>
  <si>
    <t>72556-143C.JPG</t>
  </si>
  <si>
    <t>72557-143C</t>
  </si>
  <si>
    <t>E12,CAND</t>
  </si>
  <si>
    <t>72557-143C.JPG</t>
  </si>
  <si>
    <t>72561-66</t>
  </si>
  <si>
    <t>LIBRE - 1 LIGHT WALL MOUNT</t>
  </si>
  <si>
    <t>LIBRE</t>
  </si>
  <si>
    <t>72561-66.JPG</t>
  </si>
  <si>
    <t>72562-66</t>
  </si>
  <si>
    <t>LIBRE - 3 LIGHT WALL MOUNT</t>
  </si>
  <si>
    <t>72562-66.JPG</t>
  </si>
  <si>
    <t>72563-66</t>
  </si>
  <si>
    <t>LIBRE - 4 LIGHT WALL MOUNT</t>
  </si>
  <si>
    <t>72563-66.JPG</t>
  </si>
  <si>
    <t>72564-66</t>
  </si>
  <si>
    <t>1 LIGHT OUTDOOR CHAIN HUNG</t>
  </si>
  <si>
    <t>LIBRE - 4 LIGHT CHAIN HUNG</t>
  </si>
  <si>
    <t>72564-66.JPG</t>
  </si>
  <si>
    <t>72566-66</t>
  </si>
  <si>
    <t>4 LIGHT OUTDOOR POST</t>
  </si>
  <si>
    <t>LIBRE - 4 LIGHT POST MOUNT</t>
  </si>
  <si>
    <t>72566-66.JPG</t>
  </si>
  <si>
    <t>72567-66</t>
  </si>
  <si>
    <t>LIBRE- 4 LIGHT WALL MOUNT</t>
  </si>
  <si>
    <t>72567-66.JPG</t>
  </si>
  <si>
    <t>ALUMINUM CONSTRUCTION + GLASS</t>
  </si>
  <si>
    <t>72571-143C</t>
  </si>
  <si>
    <t>MARLBORO - 1 LIGHT WALL MOUNT</t>
  </si>
  <si>
    <t>MARLBORO</t>
  </si>
  <si>
    <t>CLEAR CRACKLED</t>
  </si>
  <si>
    <t>72571-143C.JPG</t>
  </si>
  <si>
    <t>72572-143C</t>
  </si>
  <si>
    <t>MARLBORO - 3 LIGHT WALL MOUNT</t>
  </si>
  <si>
    <t>72572-143C.JPG</t>
  </si>
  <si>
    <t>72573-143C</t>
  </si>
  <si>
    <t>MARLBORO - 4 LIGHT WALL MOUNT</t>
  </si>
  <si>
    <t>72573-143C.JPG</t>
  </si>
  <si>
    <t>72574-143C</t>
  </si>
  <si>
    <t>4 LIGHT CHAIN HUNG LANTERN</t>
  </si>
  <si>
    <t>MARLBORO - 4 LIGHT CHAIN HUNG</t>
  </si>
  <si>
    <t>72574-143C.JPG</t>
  </si>
  <si>
    <t>72576-143C</t>
  </si>
  <si>
    <t>MARLBORO - 4 LIGHT POST MOUNT</t>
  </si>
  <si>
    <t>72576-143C.JPG</t>
  </si>
  <si>
    <t>72581-143C</t>
  </si>
  <si>
    <t>CASWAY - 1 LIGHT POCKET LANTERN</t>
  </si>
  <si>
    <t>CASWAY</t>
  </si>
  <si>
    <t>72581-143C.JPG</t>
  </si>
  <si>
    <t>72582-143C</t>
  </si>
  <si>
    <t>4 LIGHT POCKET LANTERN</t>
  </si>
  <si>
    <t>CASWAY - 4 LIGHT POCKET LANTERN</t>
  </si>
  <si>
    <t>72582-143C.JPG</t>
  </si>
  <si>
    <t>72583-143C</t>
  </si>
  <si>
    <t>5 LIGHT POCKET LANTERN</t>
  </si>
  <si>
    <t>CASWAY - 5 LIGHT POCKET LANTERN</t>
  </si>
  <si>
    <t>72583-143C.JPG</t>
  </si>
  <si>
    <t>72584-143C</t>
  </si>
  <si>
    <t>CASWAY - 4 LIGHT CHAIN HUNG</t>
  </si>
  <si>
    <t>72584-143C.JPG</t>
  </si>
  <si>
    <t>72586-143C</t>
  </si>
  <si>
    <t>72586-143C.JPG</t>
  </si>
  <si>
    <t>72591-143C</t>
  </si>
  <si>
    <t>MINER'S LOFT - 1 LIGHT WALL MOUNT</t>
  </si>
  <si>
    <t>MINER'S LOFT</t>
  </si>
  <si>
    <t>72591-143C.JPG</t>
  </si>
  <si>
    <t>ALUMINUM+BRASS</t>
  </si>
  <si>
    <t>72592-143C</t>
  </si>
  <si>
    <t>MINER'S LOFT - 4 LIGHT WALL MOUNT</t>
  </si>
  <si>
    <t>72592-143C.JPG</t>
  </si>
  <si>
    <t>72593-143C</t>
  </si>
  <si>
    <t>72593-143C.JPG</t>
  </si>
  <si>
    <t>72594-143C</t>
  </si>
  <si>
    <t>MINER'S LOFT - 4 LIGHT CHAIN HUNG</t>
  </si>
  <si>
    <t>72594-143C.JPG</t>
  </si>
  <si>
    <t>72596-143C</t>
  </si>
  <si>
    <t>MINER'S LOFT - 4 LIGHT POST MOUNT</t>
  </si>
  <si>
    <t>72596-143C.JPG</t>
  </si>
  <si>
    <t>72601-226</t>
  </si>
  <si>
    <t>BISTRO DAWN - 1 LIGHT WALL MOUNT</t>
  </si>
  <si>
    <t>BISTRO DAWN</t>
  </si>
  <si>
    <t>DAKOTA BRONZE</t>
  </si>
  <si>
    <t>72601-226.JPG</t>
  </si>
  <si>
    <t>72602-226</t>
  </si>
  <si>
    <t>72602-226.JPG</t>
  </si>
  <si>
    <t>72603-226</t>
  </si>
  <si>
    <t>BISTRO DAWN - 3 LIGHT WALL MOUNT</t>
  </si>
  <si>
    <t>72603-226.JPG</t>
  </si>
  <si>
    <t>72611-287G</t>
  </si>
  <si>
    <t>PINEVIEW SLOPE - 1 LIGHT WALL MOUNT</t>
  </si>
  <si>
    <t>PINEVIEW SLOPE</t>
  </si>
  <si>
    <t>SAND BRONZE W/GOLD</t>
  </si>
  <si>
    <t>72611-287G.JPG</t>
  </si>
  <si>
    <t>72611-295G</t>
  </si>
  <si>
    <t>OUTDOOR DARK SKY</t>
  </si>
  <si>
    <t>SAND SILVER W/GOLD</t>
  </si>
  <si>
    <t>72611-295G.JPG</t>
  </si>
  <si>
    <t>72611-66G</t>
  </si>
  <si>
    <t>BLACK W/GOLD</t>
  </si>
  <si>
    <t>72611-66G.JPG</t>
  </si>
  <si>
    <t>72621-615B</t>
  </si>
  <si>
    <t>SYCAMORE TRAIL - 1 LIGHT WALL MOUNT</t>
  </si>
  <si>
    <t>SYCAMORE TRAIL</t>
  </si>
  <si>
    <t>72621-615B.JPG</t>
  </si>
  <si>
    <t>72622-615B</t>
  </si>
  <si>
    <t>SYCAMORE TRAIL - 3 LIGHT WALL MOUNT</t>
  </si>
  <si>
    <t>72622-615B.JPG</t>
  </si>
  <si>
    <t>72623-615B</t>
  </si>
  <si>
    <t>SYCAMORE TRAIL - 4 LIGHT WALL MOUNT</t>
  </si>
  <si>
    <t>72623-615B.JPG</t>
  </si>
  <si>
    <t>72624-615B</t>
  </si>
  <si>
    <t>3 LIGHT OUTDOOR CHAIN HUNG LANTERN</t>
  </si>
  <si>
    <t>72624-615B.JPG</t>
  </si>
  <si>
    <t>72626-615B</t>
  </si>
  <si>
    <t>SYCAMORE TRAIL - 3 LIGHT POST MOUNT</t>
  </si>
  <si>
    <t>72626-615B.JPG</t>
  </si>
  <si>
    <t>72631-143C</t>
  </si>
  <si>
    <t>MARINER'S POINTE - 1 LIGHT WALL MOUNT</t>
  </si>
  <si>
    <t>MARINER'S POINTE</t>
  </si>
  <si>
    <t>72631-143C.JPG</t>
  </si>
  <si>
    <t>72632-143C</t>
  </si>
  <si>
    <t>MARINER'S POINTE - 3 LIGHT WALL MOUNT</t>
  </si>
  <si>
    <t>72632-143C.JPG</t>
  </si>
  <si>
    <t>72633-143C</t>
  </si>
  <si>
    <t>MARINER'S POINTE - 4 LIGHT WALL MOUNT</t>
  </si>
  <si>
    <t>72633-143C.JPG</t>
  </si>
  <si>
    <t>72634-143C</t>
  </si>
  <si>
    <t>3 LIGHT CHAIN HUNG LANTERN</t>
  </si>
  <si>
    <t>MARINER'S POINTE - 3 LIGHT CHAIN HUNG</t>
  </si>
  <si>
    <t>72634-143C.JPG</t>
  </si>
  <si>
    <t>72636-143C</t>
  </si>
  <si>
    <t>MARINER'S POINTE - 3 LIGHT POST MOUNT</t>
  </si>
  <si>
    <t>72636-143C.JPG</t>
  </si>
  <si>
    <t>72641-517-L</t>
  </si>
  <si>
    <t>ROCKETA - LED WALL MOUNT</t>
  </si>
  <si>
    <t>ROCKETA</t>
  </si>
  <si>
    <t>GU10 LED</t>
  </si>
  <si>
    <t>ARTISAN BLACK W/SILVER ACCENTS</t>
  </si>
  <si>
    <t>72641-517-L.JPG</t>
  </si>
  <si>
    <t>72641-L</t>
  </si>
  <si>
    <t>72641-545-L</t>
  </si>
  <si>
    <t>1 LIGHT OUTDOOR WALL MOUNT LED</t>
  </si>
  <si>
    <t>BURNT BRONZE W/COPPER ACCENTS</t>
  </si>
  <si>
    <t>72641-545-L.JPG</t>
  </si>
  <si>
    <t>72642-517-L</t>
  </si>
  <si>
    <t>72642-517-L.JPG</t>
  </si>
  <si>
    <t>72642-L</t>
  </si>
  <si>
    <t>72642-545-L</t>
  </si>
  <si>
    <t>72642-545-L.JPG</t>
  </si>
  <si>
    <t>72643-517-L</t>
  </si>
  <si>
    <t>72643-517-L.JPG</t>
  </si>
  <si>
    <t>72643-L</t>
  </si>
  <si>
    <t>72643-545-L</t>
  </si>
  <si>
    <t>72643-545-L.JPG</t>
  </si>
  <si>
    <t>72651-172</t>
  </si>
  <si>
    <t>ARCUS TRUTH - 1 LIGHT WALL MOUNT</t>
  </si>
  <si>
    <t>ARCUS TRUTH</t>
  </si>
  <si>
    <t>72651-172.JPG</t>
  </si>
  <si>
    <t>72652-172</t>
  </si>
  <si>
    <t>72652-172.JPG</t>
  </si>
  <si>
    <t>72653-172</t>
  </si>
  <si>
    <t>72653-172.JPG</t>
  </si>
  <si>
    <t>72662-515</t>
  </si>
  <si>
    <t>MEDIUM OUTDOOR WALL LIGHT</t>
  </si>
  <si>
    <t>CELTIC SHADOW</t>
  </si>
  <si>
    <t>TEXTURED BRONZE W/GOLD HIGHLIG</t>
  </si>
  <si>
    <t>72662-515.JPG</t>
  </si>
  <si>
    <t>72662-516</t>
  </si>
  <si>
    <t>CELTIC SHADOW - 1 LIGHT WALL MOUNT</t>
  </si>
  <si>
    <t>TEXTURED BRONZE W/SILVER HIGHL</t>
  </si>
  <si>
    <t>72662-516.JPG</t>
  </si>
  <si>
    <t>72662-574</t>
  </si>
  <si>
    <t>TEXTURED DARK BRONZE</t>
  </si>
  <si>
    <t>72662-574.JPG</t>
  </si>
  <si>
    <t>72663-515</t>
  </si>
  <si>
    <t>LARGE OUTDOOR WALL LIGHT</t>
  </si>
  <si>
    <t>72663-515.JPG</t>
  </si>
  <si>
    <t>72663-516</t>
  </si>
  <si>
    <t>72663-516.JPG</t>
  </si>
  <si>
    <t>72663-574</t>
  </si>
  <si>
    <t>72663-574.JPG</t>
  </si>
  <si>
    <t>72671-32</t>
  </si>
  <si>
    <t>KEYSER - 1 LIGHT WALL MOUNT</t>
  </si>
  <si>
    <t>KEYSER</t>
  </si>
  <si>
    <t>BLACK W/SILVER ACCENT</t>
  </si>
  <si>
    <t>72671-32.JPG</t>
  </si>
  <si>
    <t>72672-32</t>
  </si>
  <si>
    <t>72672-32.JPG</t>
  </si>
  <si>
    <t>72673-32</t>
  </si>
  <si>
    <t>72673-32.JPG</t>
  </si>
  <si>
    <t>72674-32</t>
  </si>
  <si>
    <t>KEYSER - 1 LIGHT CHAIN HUNG</t>
  </si>
  <si>
    <t>72674-32.JPG</t>
  </si>
  <si>
    <t>72676-32</t>
  </si>
  <si>
    <t>KEYSER - 1 LIGHT POST MOUNT</t>
  </si>
  <si>
    <t>72676-32.JPG</t>
  </si>
  <si>
    <t>72681-66</t>
  </si>
  <si>
    <t>1 LIGHT OUTDOOR SMALL WALL MOUNT</t>
  </si>
  <si>
    <t>LANSDALE - 1 LIGHT OUTDOOR WALL MOUNT</t>
  </si>
  <si>
    <t>LANSDALE</t>
  </si>
  <si>
    <t>72681-66.JPG</t>
  </si>
  <si>
    <t>72682-66</t>
  </si>
  <si>
    <t>1 LIGHT OUTDOOR MEDIUM WALL MOUNT</t>
  </si>
  <si>
    <t>72682-66.JPG</t>
  </si>
  <si>
    <t>72683-66</t>
  </si>
  <si>
    <t>1 LIGHT OUTDOOR LARGE WALL MOUNT</t>
  </si>
  <si>
    <t>72683-66.JPG</t>
  </si>
  <si>
    <t>72684-66</t>
  </si>
  <si>
    <t>1 LIGHT CHAIN HUNG OUTDOOR</t>
  </si>
  <si>
    <t>LANSDALE - 1 LIGHT OUTDOOR CHAIN HUNG</t>
  </si>
  <si>
    <t>72684-66.JPG</t>
  </si>
  <si>
    <t>72686-66</t>
  </si>
  <si>
    <t>LANSDALE - 1 LIGHT OUTDOOR POST MOUNT</t>
  </si>
  <si>
    <t>72686-66.JPG</t>
  </si>
  <si>
    <t>72691-226</t>
  </si>
  <si>
    <t>SOMERSET LANE - 1 LIGHT OUTDOOR WALL MOUNT</t>
  </si>
  <si>
    <t>SOMERSET LANE</t>
  </si>
  <si>
    <t>72691-226.JPG</t>
  </si>
  <si>
    <t>72692-226</t>
  </si>
  <si>
    <t>4 LIGHT OUTDOOR MEDIUM WALL MOUNT</t>
  </si>
  <si>
    <t>SOMERSET LANE - 4 LIGHT OUTDOOR WALL MOUNT</t>
  </si>
  <si>
    <t>72692-226.JPG</t>
  </si>
  <si>
    <t>72693-226</t>
  </si>
  <si>
    <t>4 LIGHT LARGE OUTDOOR WALL MOUNT</t>
  </si>
  <si>
    <t>B10.5, CAND.</t>
  </si>
  <si>
    <t>72693-226.JPG</t>
  </si>
  <si>
    <t>72696-226</t>
  </si>
  <si>
    <t>4 LIGHT OUTDOOR POST MOUNT</t>
  </si>
  <si>
    <t>SOMERSET LANE - 4 LIGHT OUTDOOR POST MOUNT</t>
  </si>
  <si>
    <t>72696-226.JPG</t>
  </si>
  <si>
    <t>72701-66A</t>
  </si>
  <si>
    <t>HALDER BRIDGE - 1 LIGHT OUTDOOR WALL MOUNT</t>
  </si>
  <si>
    <t>HALDER BRIDGE</t>
  </si>
  <si>
    <t>MATTE BLACK</t>
  </si>
  <si>
    <t>72701-66A.JPG</t>
  </si>
  <si>
    <t>ALUMINUM+STAINLESS STEEL</t>
  </si>
  <si>
    <t>72702-66A</t>
  </si>
  <si>
    <t>72702-66A.JPG</t>
  </si>
  <si>
    <t>72703-66A</t>
  </si>
  <si>
    <t>72703-66A.JPG</t>
  </si>
  <si>
    <t>72704-66A</t>
  </si>
  <si>
    <t>HALDER BRIDGE - 1 LIGHT OUTDOOR CHAIN HUNG</t>
  </si>
  <si>
    <t>72704-66A.JPG</t>
  </si>
  <si>
    <t>72706-66A</t>
  </si>
  <si>
    <t>HALDER BRIDGE - 1 LIGHT OUTDOOR POST MOUNT</t>
  </si>
  <si>
    <t>72706-66A.JPG</t>
  </si>
  <si>
    <t>72711-66G</t>
  </si>
  <si>
    <t>LANISTER COURT - 1 LIGHT OUTDOOR WALL MOUNT</t>
  </si>
  <si>
    <t>LANISTER COURT</t>
  </si>
  <si>
    <t>72711-66G.JPG</t>
  </si>
  <si>
    <t>72712-66G</t>
  </si>
  <si>
    <t>72712-66G.JPG</t>
  </si>
  <si>
    <t>72713-66G</t>
  </si>
  <si>
    <t>72713-66G.JPG</t>
  </si>
  <si>
    <t>72721-143C</t>
  </si>
  <si>
    <t>RANGELINE - 1 LIGHT OUTDOOR WALL MOUNT</t>
  </si>
  <si>
    <t>RANGELINE</t>
  </si>
  <si>
    <t>72721-143C.JPG</t>
  </si>
  <si>
    <t>72722-143C</t>
  </si>
  <si>
    <t>2 LIGHT OUTDOOR LIGHT</t>
  </si>
  <si>
    <t>RANGELINE - 2 LIGHT OUTDOOR WALL MOUNT</t>
  </si>
  <si>
    <t>72722-143C.JPG</t>
  </si>
  <si>
    <t>72723-143C</t>
  </si>
  <si>
    <t>RANGELINE - 4 LIGHT OUTDOOR WALL MOUNT</t>
  </si>
  <si>
    <t>B10</t>
  </si>
  <si>
    <t>72723-143C.JPG</t>
  </si>
  <si>
    <t>ALUMINIUM+GLASS</t>
  </si>
  <si>
    <t>72724-143C</t>
  </si>
  <si>
    <t>RANGELINE - 4 LIGHT OUTDOOR CHAIN HUNG</t>
  </si>
  <si>
    <t>72724-143C.JPG</t>
  </si>
  <si>
    <t>72726-143C</t>
  </si>
  <si>
    <t>RANGELINE - 4 LIGHT OUTDOOR POST MOUNT</t>
  </si>
  <si>
    <t>72726-143C.JPG</t>
  </si>
  <si>
    <t>72731-66G</t>
  </si>
  <si>
    <t>1 LIGHT OUTDOOR WALL LIGHT</t>
  </si>
  <si>
    <t>AVONLEA - 1 LIGHT OUTDOOR WALL MOUNT</t>
  </si>
  <si>
    <t>AVONLEA</t>
  </si>
  <si>
    <t>72731-66G.JPG</t>
  </si>
  <si>
    <t>STAINLESS STEEL+GLASS</t>
  </si>
  <si>
    <t>72732-66G</t>
  </si>
  <si>
    <t>72732-66G.JPG</t>
  </si>
  <si>
    <t>72733-66G</t>
  </si>
  <si>
    <t>A-19</t>
  </si>
  <si>
    <t>72733-66G.JPG</t>
  </si>
  <si>
    <t>72736-66G</t>
  </si>
  <si>
    <t>1 LIGHT OUTDOOR POST</t>
  </si>
  <si>
    <t>AVONLEA - 1 LIGHT OUTDOOR POST MOUNT</t>
  </si>
  <si>
    <t>72736-66G.JPG</t>
  </si>
  <si>
    <t>72741-143C-L</t>
  </si>
  <si>
    <t>OUTDOOR LED WALL MOUNT</t>
  </si>
  <si>
    <t>KITTNER - LED OUTDOOR WALL MOUNT</t>
  </si>
  <si>
    <t>KITTNER</t>
  </si>
  <si>
    <t>CLEAR REEDED GLASS</t>
  </si>
  <si>
    <t>72741-143C-L.JPG</t>
  </si>
  <si>
    <t>72741L</t>
  </si>
  <si>
    <t>72742-143C-L</t>
  </si>
  <si>
    <t>72742-143C-L.JPG</t>
  </si>
  <si>
    <t>72742L</t>
  </si>
  <si>
    <t>72743-143C-L</t>
  </si>
  <si>
    <t>OUTDOOE LED WALL MOUNT</t>
  </si>
  <si>
    <t>72743-143C-L.JPG</t>
  </si>
  <si>
    <t>72743L</t>
  </si>
  <si>
    <t>72751-66G</t>
  </si>
  <si>
    <t>CANTEBURY - 1 LIGHT OUTDOOR WALL MOUNT</t>
  </si>
  <si>
    <t>CANTEBURY</t>
  </si>
  <si>
    <t>72751-66G.JPG</t>
  </si>
  <si>
    <t>ALU.+GLASS</t>
  </si>
  <si>
    <t>72752-66G</t>
  </si>
  <si>
    <t>4 LIGHTS OUTDOOR WALL MOUNT</t>
  </si>
  <si>
    <t>CANTEBURY - 4 LIGHT OUTDOOR WALL MOUNT</t>
  </si>
  <si>
    <t>72752-66G.JPG</t>
  </si>
  <si>
    <t>72753-66G</t>
  </si>
  <si>
    <t>72753-66G.JPG</t>
  </si>
  <si>
    <t>72754-66G</t>
  </si>
  <si>
    <t>CANTEBURY - 4 LIGHT OUTDOOR CHAIN HUNG</t>
  </si>
  <si>
    <t>72754-66G.JPG</t>
  </si>
  <si>
    <t>72756-66G</t>
  </si>
  <si>
    <t>CANTEBURY - 4 LIGHT OUTDOOR POST MOUNT</t>
  </si>
  <si>
    <t>72756-66G.JPG</t>
  </si>
  <si>
    <t>72761-66-L</t>
  </si>
  <si>
    <t>TISH MILLS - LED OUTDOOR WALL MOUNT</t>
  </si>
  <si>
    <t>TISH MILLS</t>
  </si>
  <si>
    <t>FROSTED WHITE GLASS</t>
  </si>
  <si>
    <t>72761-66-L.JPG</t>
  </si>
  <si>
    <t>72761-L</t>
  </si>
  <si>
    <t>72762-66-L</t>
  </si>
  <si>
    <t>14W</t>
  </si>
  <si>
    <t>72762-66-L.JPG</t>
  </si>
  <si>
    <t>72762-L</t>
  </si>
  <si>
    <t>72763-66-L</t>
  </si>
  <si>
    <t>72763-66-L.JPG</t>
  </si>
  <si>
    <t>72763-L</t>
  </si>
  <si>
    <t>72771-66</t>
  </si>
  <si>
    <t>ROSECRANS - 1 LIGHT OUTDOOR WALL MOUNT</t>
  </si>
  <si>
    <t>ROSECRANS</t>
  </si>
  <si>
    <t>72771-66.JPG</t>
  </si>
  <si>
    <t>72772-66</t>
  </si>
  <si>
    <t>1 LIGHT OUTDDOR WALL MOUNT</t>
  </si>
  <si>
    <t>72772-66.JPG</t>
  </si>
  <si>
    <t>72773-66</t>
  </si>
  <si>
    <t>72773-66.JPG</t>
  </si>
  <si>
    <t>73091-189</t>
  </si>
  <si>
    <t>WILLOW POINTE</t>
  </si>
  <si>
    <t>73091-189.JPG</t>
  </si>
  <si>
    <t>73092-189</t>
  </si>
  <si>
    <t>WILLOW POINTE - 2 LIGHT WALL MOUNT</t>
  </si>
  <si>
    <t>73092-189.JPG</t>
  </si>
  <si>
    <t>73093-189</t>
  </si>
  <si>
    <t>WILLOW POINTE - 4 LIGHT WALL MOUNT</t>
  </si>
  <si>
    <t>73093-189.JPG</t>
  </si>
  <si>
    <t>73096-189</t>
  </si>
  <si>
    <t>WILLOW POINTE - 3 LIGHT POST MOUNT</t>
  </si>
  <si>
    <t>73096-189.JPG</t>
  </si>
  <si>
    <t>73101-143C-L</t>
  </si>
  <si>
    <t>TALERA - LED OUTDOOR WALL MOUNT</t>
  </si>
  <si>
    <t>TALERA</t>
  </si>
  <si>
    <t>73101-143C-L.JPG</t>
  </si>
  <si>
    <t>73102-143C-L</t>
  </si>
  <si>
    <t>73102-143C-L.JPG</t>
  </si>
  <si>
    <t>73103-143C-L</t>
  </si>
  <si>
    <t>73103-143C-L.JPG</t>
  </si>
  <si>
    <t>73106-143C-L</t>
  </si>
  <si>
    <t>TALERA - LED OUTDOOR POST MOUNT</t>
  </si>
  <si>
    <t>73106-143C-L.JPG</t>
  </si>
  <si>
    <t>734-355</t>
  </si>
  <si>
    <t>CASPIAN</t>
  </si>
  <si>
    <t>GOLDEN BRONZE</t>
  </si>
  <si>
    <t>734-355.JPG</t>
  </si>
  <si>
    <t>773-301</t>
  </si>
  <si>
    <t>BELLASERA</t>
  </si>
  <si>
    <t>CASTLEWOOD WALNUT W/SILVER HL</t>
  </si>
  <si>
    <t>IVORY CLOUD</t>
  </si>
  <si>
    <t>GC770</t>
  </si>
  <si>
    <t>773-301.JPG</t>
  </si>
  <si>
    <t>7900-166</t>
  </si>
  <si>
    <t>DIRECT BURIAL POST</t>
  </si>
  <si>
    <t>CORONA BRONZE</t>
  </si>
  <si>
    <t>7900-166.JPG</t>
  </si>
  <si>
    <t>7900-357</t>
  </si>
  <si>
    <t>7900-357.JPG</t>
  </si>
  <si>
    <t>7900-61</t>
  </si>
  <si>
    <t>VINTAGE RUST</t>
  </si>
  <si>
    <t>7900-61.JPG</t>
  </si>
  <si>
    <t>7900-66</t>
  </si>
  <si>
    <t>7900-66.JPG</t>
  </si>
  <si>
    <t>7900-91</t>
  </si>
  <si>
    <t>7900-91.JPG</t>
  </si>
  <si>
    <t>7900-94</t>
  </si>
  <si>
    <t>HERITAGE</t>
  </si>
  <si>
    <t>7900-94.JPG</t>
  </si>
  <si>
    <t>7901-407</t>
  </si>
  <si>
    <t>PRUSSIAN GOLD</t>
  </si>
  <si>
    <t>7901-407.JPG</t>
  </si>
  <si>
    <t>7901-66</t>
  </si>
  <si>
    <t xml:space="preserve">              #N/A</t>
  </si>
  <si>
    <t>7901-66.JPG</t>
  </si>
  <si>
    <t>7902-067</t>
  </si>
  <si>
    <t>POST WITH BASE</t>
  </si>
  <si>
    <t>POSTS AND MOUNTS</t>
  </si>
  <si>
    <t>RUSTIC BRONZE</t>
  </si>
  <si>
    <t>7902-067.JPG</t>
  </si>
  <si>
    <t>DIE CAST ALUMINUM</t>
  </si>
  <si>
    <t>7902-61</t>
  </si>
  <si>
    <t>7902-61.JPG</t>
  </si>
  <si>
    <t>7902-66</t>
  </si>
  <si>
    <t>7902-66.JPG</t>
  </si>
  <si>
    <t>7902-94</t>
  </si>
  <si>
    <t>7902-94.JPG</t>
  </si>
  <si>
    <t>7907-66</t>
  </si>
  <si>
    <t>7907-66.JPG</t>
  </si>
  <si>
    <t>CAST ALUMINUM</t>
  </si>
  <si>
    <t>7910-66</t>
  </si>
  <si>
    <t>PIER MOUNT</t>
  </si>
  <si>
    <t>7910-66.JPG</t>
  </si>
  <si>
    <t>SAND-CAST ALUMINUM</t>
  </si>
  <si>
    <t>7930-163</t>
  </si>
  <si>
    <t>AMARANTE GOLD</t>
  </si>
  <si>
    <t>7930-163.JPG</t>
  </si>
  <si>
    <t>7930-166</t>
  </si>
  <si>
    <t>7930-166.JPG</t>
  </si>
  <si>
    <t>7930-357</t>
  </si>
  <si>
    <t>7930-357.JPG</t>
  </si>
  <si>
    <t>7930-39</t>
  </si>
  <si>
    <t>SPANISH IRON</t>
  </si>
  <si>
    <t>7930-39.JPG</t>
  </si>
  <si>
    <t>7930-407</t>
  </si>
  <si>
    <t>7930-407.JPG</t>
  </si>
  <si>
    <t>7930-51</t>
  </si>
  <si>
    <t>RUST (CHEMICAL)</t>
  </si>
  <si>
    <t>7930-51.JPG</t>
  </si>
  <si>
    <t>7930-57</t>
  </si>
  <si>
    <t>ROMAN BRONZE</t>
  </si>
  <si>
    <t>7930-57.JPG</t>
  </si>
  <si>
    <t>7930-61</t>
  </si>
  <si>
    <t>7930-61.JPG</t>
  </si>
  <si>
    <t>7930-615B</t>
  </si>
  <si>
    <t>7930-615B.JPG</t>
  </si>
  <si>
    <t>7930-66</t>
  </si>
  <si>
    <t>7930-66.JPG</t>
  </si>
  <si>
    <t>7930-94</t>
  </si>
  <si>
    <t>7930-94.JPG</t>
  </si>
  <si>
    <t>7940-94</t>
  </si>
  <si>
    <t>SCROLL PIER MOUNT</t>
  </si>
  <si>
    <t>7940-94.JPG</t>
  </si>
  <si>
    <t>7971-12A-66</t>
  </si>
  <si>
    <t>REFELCTIVE LIGHTING BY MINKA - ARM 10"</t>
  </si>
  <si>
    <t>RLM</t>
  </si>
  <si>
    <t>7971-12A-66.JPG</t>
  </si>
  <si>
    <t>7971-12A</t>
  </si>
  <si>
    <t>7971-17A-66</t>
  </si>
  <si>
    <t>REFELCTIVE LIGHTING BY MINKA - ARM 14.5"</t>
  </si>
  <si>
    <t>7971-17A-66.JPG</t>
  </si>
  <si>
    <t>7971-17A</t>
  </si>
  <si>
    <t>7971-24A-66</t>
  </si>
  <si>
    <t>REFELCTIVE LIGHTING BY MINKA - ARM 23.75"</t>
  </si>
  <si>
    <t>7971-24A-66.JPG</t>
  </si>
  <si>
    <t>7971-24A</t>
  </si>
  <si>
    <t>7971-29A-66</t>
  </si>
  <si>
    <t>1 LIGHT OUTDOOR MOUNT</t>
  </si>
  <si>
    <t>7971-29A-66.JPG</t>
  </si>
  <si>
    <t>7972-15C-66</t>
  </si>
  <si>
    <t>REFELCTIVE LIGHTING BY MINKA - ARM 14.75"</t>
  </si>
  <si>
    <t>7972-15C-66.JPG</t>
  </si>
  <si>
    <t>7972-15C</t>
  </si>
  <si>
    <t>7972-22C-66</t>
  </si>
  <si>
    <t>7972-22C-66.JPG</t>
  </si>
  <si>
    <t>7972-22C</t>
  </si>
  <si>
    <t>STEEL / ALUMINUM</t>
  </si>
  <si>
    <t>7972-29C-66</t>
  </si>
  <si>
    <t>7972-29C-66.JPG</t>
  </si>
  <si>
    <t>STEEL/ALUMINUM</t>
  </si>
  <si>
    <t>7973-18B-66</t>
  </si>
  <si>
    <t>7973-18B-66.JPG</t>
  </si>
  <si>
    <t>7973-18B</t>
  </si>
  <si>
    <t>7973-24B-66</t>
  </si>
  <si>
    <t>7973-24B-66.JPG</t>
  </si>
  <si>
    <t>7973-24B</t>
  </si>
  <si>
    <t>7973-30B-66</t>
  </si>
  <si>
    <t>7973-30B-66.JPG</t>
  </si>
  <si>
    <t>7973-30B</t>
  </si>
  <si>
    <t>7980-8-517</t>
  </si>
  <si>
    <t>OUTDOOR METAL SHADE</t>
  </si>
  <si>
    <t>REFELCTIVE LIGHTING BY MINKA - SHADE 8"</t>
  </si>
  <si>
    <t>7980-8-517.JPG</t>
  </si>
  <si>
    <t>7980-8</t>
  </si>
  <si>
    <t>7981-9-78</t>
  </si>
  <si>
    <t>METAL SHADE</t>
  </si>
  <si>
    <t>REFELCTIVE LIGHTING BY MINKA - SHADE 8.25"</t>
  </si>
  <si>
    <t>7981-9-78.JPG</t>
  </si>
  <si>
    <t>7981-9</t>
  </si>
  <si>
    <t>7982-9-79</t>
  </si>
  <si>
    <t>1 LIGHT OUTDOOR SHADE</t>
  </si>
  <si>
    <t>REFELCTIVE LIGHTING BY MINKA - SHADE 7.25"</t>
  </si>
  <si>
    <t>7982-9-79.JPG</t>
  </si>
  <si>
    <t>7982-9</t>
  </si>
  <si>
    <t>7983-9-545</t>
  </si>
  <si>
    <t>OUTDOOR SHADE</t>
  </si>
  <si>
    <t>7983-9-545.JPG</t>
  </si>
  <si>
    <t>7983-9</t>
  </si>
  <si>
    <t>7984-14-143C</t>
  </si>
  <si>
    <t>REFELCTIVE LIGHTING BY MINKA - SHADE 14"</t>
  </si>
  <si>
    <t>7984-14-143C.JPG</t>
  </si>
  <si>
    <t>7984-14</t>
  </si>
  <si>
    <t>7984-18-143C</t>
  </si>
  <si>
    <t>REFELCTIVE LIGHTING BY MINKA - SHADE 18"</t>
  </si>
  <si>
    <t>7984-18-143C.JPG</t>
  </si>
  <si>
    <t>7984-18</t>
  </si>
  <si>
    <t>7985-14-79</t>
  </si>
  <si>
    <t>7985-14-79.JPG</t>
  </si>
  <si>
    <t>7985-14</t>
  </si>
  <si>
    <t>7985-18-30</t>
  </si>
  <si>
    <t>MATTE GOLD</t>
  </si>
  <si>
    <t>7985-18-30.JPG</t>
  </si>
  <si>
    <t>7985-30</t>
  </si>
  <si>
    <t>7986-14-172</t>
  </si>
  <si>
    <t>7986-14-172.JPG</t>
  </si>
  <si>
    <t>7986-14</t>
  </si>
  <si>
    <t>7986-14-30</t>
  </si>
  <si>
    <t>7986-14-30.JPG</t>
  </si>
  <si>
    <t>7986-18-172</t>
  </si>
  <si>
    <t>7986-18-172.JPG</t>
  </si>
  <si>
    <t>7986-18-30</t>
  </si>
  <si>
    <t>7986-18-30.JPG</t>
  </si>
  <si>
    <t>7986-18</t>
  </si>
  <si>
    <t>8101-A138</t>
  </si>
  <si>
    <t>KIRKHAM</t>
  </si>
  <si>
    <t>A-15,MED</t>
  </si>
  <si>
    <t>8101-A138.JPG</t>
  </si>
  <si>
    <t>8101-A138-L</t>
  </si>
  <si>
    <t>FROST</t>
  </si>
  <si>
    <t>8101-A138-L.JPG</t>
  </si>
  <si>
    <t>8101-L</t>
  </si>
  <si>
    <t>8102-A138</t>
  </si>
  <si>
    <t>8102-A138.JPG</t>
  </si>
  <si>
    <t>8102-A138-L</t>
  </si>
  <si>
    <t>8102-A138-L.JPG</t>
  </si>
  <si>
    <t>8102-L</t>
  </si>
  <si>
    <t>8106-A138</t>
  </si>
  <si>
    <t>8106-A138.JPG</t>
  </si>
  <si>
    <t>8106-A138-L</t>
  </si>
  <si>
    <t>1 LIGHT LED POST MOUNT</t>
  </si>
  <si>
    <t>8106-A138-L.JPG</t>
  </si>
  <si>
    <t>8106-L</t>
  </si>
  <si>
    <t>8121-A188-PL</t>
  </si>
  <si>
    <t>VANIRA PLACE</t>
  </si>
  <si>
    <t>WINDSOR RUST</t>
  </si>
  <si>
    <t>8121-A188-PL.JPG</t>
  </si>
  <si>
    <t>8121-PL</t>
  </si>
  <si>
    <t>8122-A188-PL</t>
  </si>
  <si>
    <t>WHITE DOUBLE FRENCH SCAVO</t>
  </si>
  <si>
    <t>8122-A188-PL.JPG</t>
  </si>
  <si>
    <t>8122-PL</t>
  </si>
  <si>
    <t>8126-A188-PL</t>
  </si>
  <si>
    <t>8126-A188-PL.JPG</t>
  </si>
  <si>
    <t>8126-PL</t>
  </si>
  <si>
    <t>8131-173-L</t>
  </si>
  <si>
    <t>CREST RIDGE - LED OUTDOOR WALL MOUNT</t>
  </si>
  <si>
    <t>CREST RIDGE</t>
  </si>
  <si>
    <t>FORGED SILVER</t>
  </si>
  <si>
    <t>8131-173-L.JPG</t>
  </si>
  <si>
    <t>8132-173-L</t>
  </si>
  <si>
    <t>8132-173-L.JPG</t>
  </si>
  <si>
    <t>8136-173-L</t>
  </si>
  <si>
    <t>1 LIGHT LED POST MOUNT LANTERN</t>
  </si>
  <si>
    <t>8136-173-L.JPG</t>
  </si>
  <si>
    <t>8154-568-L</t>
  </si>
  <si>
    <t>1 LIGHT OUTDOOR LED ROD HUNG LANTERN</t>
  </si>
  <si>
    <t>HOLBROOK - LED OUTDOOR ROD HUNG</t>
  </si>
  <si>
    <t>HOLBROOK</t>
  </si>
  <si>
    <t>FORGED STONE SILVER</t>
  </si>
  <si>
    <t>8154-568-L.JPG</t>
  </si>
  <si>
    <t>8161-615B-L</t>
  </si>
  <si>
    <t>HILLSDALE - LED OUTDOOR WALL MOUNT</t>
  </si>
  <si>
    <t>HILLSDALE</t>
  </si>
  <si>
    <t>8161-615B-L.JPG</t>
  </si>
  <si>
    <t>8162-615B-L</t>
  </si>
  <si>
    <t>8162-615B-L.JPG</t>
  </si>
  <si>
    <t>8164-615B-L</t>
  </si>
  <si>
    <t>HILLSDALE - 1 LIGHT CHAIN HUNG</t>
  </si>
  <si>
    <t>8164-615B-L.JPG</t>
  </si>
  <si>
    <t>8166-615B-L</t>
  </si>
  <si>
    <t>HILLSDALE - LED OUTDOOR POST MOUNT</t>
  </si>
  <si>
    <t>8166-615B-L.JPG</t>
  </si>
  <si>
    <t>SEGOVIA</t>
  </si>
  <si>
    <t>8206-61</t>
  </si>
  <si>
    <t>8206-61.JPG</t>
  </si>
  <si>
    <t>8206-61-PL</t>
  </si>
  <si>
    <t>8206-61-PL.JPG</t>
  </si>
  <si>
    <t>8206-PL</t>
  </si>
  <si>
    <t>8214-A61-PL</t>
  </si>
  <si>
    <t>MONTELLERO - 1 LIGHT OUTDOOR CHAIN HUNG</t>
  </si>
  <si>
    <t>MONTELLERO</t>
  </si>
  <si>
    <t>8214-A61-PL.JPG</t>
  </si>
  <si>
    <t>8214-PL</t>
  </si>
  <si>
    <t>823-167</t>
  </si>
  <si>
    <t>CLEAR W/WHITE PAINT INSIDE</t>
  </si>
  <si>
    <t>823-167.JPG</t>
  </si>
  <si>
    <t>823-77</t>
  </si>
  <si>
    <t>CLEAR GLASS W/WHITE PAINT INSIDE</t>
  </si>
  <si>
    <t>823-77.JPG</t>
  </si>
  <si>
    <t>823-84</t>
  </si>
  <si>
    <t>823-84.JPG</t>
  </si>
  <si>
    <t>8231-94-PL</t>
  </si>
  <si>
    <t>1 LT OUTDOOR WALL MOUNT</t>
  </si>
  <si>
    <t>AMARANTE</t>
  </si>
  <si>
    <t>8231-94-PL.JPG</t>
  </si>
  <si>
    <t>824-249</t>
  </si>
  <si>
    <t>824-249.JPG</t>
  </si>
  <si>
    <t>824-249-L</t>
  </si>
  <si>
    <t>824-249-L.JPG</t>
  </si>
  <si>
    <t>824-281</t>
  </si>
  <si>
    <t>824-281.JPG</t>
  </si>
  <si>
    <t>824-281-L</t>
  </si>
  <si>
    <t>824-281-L.JPG</t>
  </si>
  <si>
    <t>824-613</t>
  </si>
  <si>
    <t>824-613.JPG</t>
  </si>
  <si>
    <t>824-613-L</t>
  </si>
  <si>
    <t>824-613-L.JPG</t>
  </si>
  <si>
    <t>8251-61</t>
  </si>
  <si>
    <t>CRANSTON</t>
  </si>
  <si>
    <t>8251-61.JPG</t>
  </si>
  <si>
    <t>8251-94</t>
  </si>
  <si>
    <t>8251-94.JPG</t>
  </si>
  <si>
    <t>8252-61</t>
  </si>
  <si>
    <t>8252-61.JPG</t>
  </si>
  <si>
    <t>8252-94</t>
  </si>
  <si>
    <t>8252-94.JPG</t>
  </si>
  <si>
    <t>8253-61-PL</t>
  </si>
  <si>
    <t>8253-61-PL.JPG</t>
  </si>
  <si>
    <t>8253-PL</t>
  </si>
  <si>
    <t>8256-61</t>
  </si>
  <si>
    <t>8256-61.JPG</t>
  </si>
  <si>
    <t>8256-94</t>
  </si>
  <si>
    <t>8256-94.JPG</t>
  </si>
  <si>
    <t>826-249</t>
  </si>
  <si>
    <t>826-249.JPG</t>
  </si>
  <si>
    <t>826-249-L</t>
  </si>
  <si>
    <t>826-249-L.JPG</t>
  </si>
  <si>
    <t>826-281</t>
  </si>
  <si>
    <t>826-281.JPG</t>
  </si>
  <si>
    <t>826-281-L</t>
  </si>
  <si>
    <t>826-281-L.JPG</t>
  </si>
  <si>
    <t>826-613-L</t>
  </si>
  <si>
    <t>826-613-L.JPG</t>
  </si>
  <si>
    <t>8261-161</t>
  </si>
  <si>
    <t>MOSSORO</t>
  </si>
  <si>
    <t>MOSSORO WALNUT W/ SILVER HIGHLIGHTS</t>
  </si>
  <si>
    <t>8261-161.JPG</t>
  </si>
  <si>
    <t>8261-66-L</t>
  </si>
  <si>
    <t>8261-66-L.JPG</t>
  </si>
  <si>
    <t>8262-161</t>
  </si>
  <si>
    <t>8262-161.JPG</t>
  </si>
  <si>
    <t>8262-66-L</t>
  </si>
  <si>
    <t>8262-66-L.JPG</t>
  </si>
  <si>
    <t>8263-161</t>
  </si>
  <si>
    <t>8263-161.JPG</t>
  </si>
  <si>
    <t>8263-66-L</t>
  </si>
  <si>
    <t>8263-66-L.JPG</t>
  </si>
  <si>
    <t>8264-161</t>
  </si>
  <si>
    <t>8264-161.JPG</t>
  </si>
  <si>
    <t>8264-66-L</t>
  </si>
  <si>
    <t>8264-66-L.JPG</t>
  </si>
  <si>
    <t>8265-161</t>
  </si>
  <si>
    <t>8265-161.JPG</t>
  </si>
  <si>
    <t>8265-66-L</t>
  </si>
  <si>
    <t>8265-66-L.JPG</t>
  </si>
  <si>
    <t>2 LIGHT POST MOUNT</t>
  </si>
  <si>
    <t>8266-66-L</t>
  </si>
  <si>
    <t>1 LIGHT OUTDOOR POST LANTERN</t>
  </si>
  <si>
    <t>Z06 LED</t>
  </si>
  <si>
    <t>8266-66-L.JPG</t>
  </si>
  <si>
    <t>8267-161</t>
  </si>
  <si>
    <t>8267-161.JPG</t>
  </si>
  <si>
    <t>8267-66-L</t>
  </si>
  <si>
    <t>8267-66-L.JPG</t>
  </si>
  <si>
    <t>8268-161</t>
  </si>
  <si>
    <t>8268-161.JPG</t>
  </si>
  <si>
    <t>827-103-L</t>
  </si>
  <si>
    <t>X39, 32W LED BULB</t>
  </si>
  <si>
    <t>827-103-L.JPG</t>
  </si>
  <si>
    <t>827-L</t>
  </si>
  <si>
    <t>827-249-L</t>
  </si>
  <si>
    <t>Z10 LED</t>
  </si>
  <si>
    <t>827-249-L.JPG</t>
  </si>
  <si>
    <t>827-77-L</t>
  </si>
  <si>
    <t>FLUSH MOUNT- 3 LED LIGHT</t>
  </si>
  <si>
    <t>Z10, 30W LED BULB</t>
  </si>
  <si>
    <t>827-77-L.JPG</t>
  </si>
  <si>
    <t>827-84-L</t>
  </si>
  <si>
    <t>827-84-L.JPG</t>
  </si>
  <si>
    <t>828-86-PL</t>
  </si>
  <si>
    <t>1-LT FLUSH MOUNT</t>
  </si>
  <si>
    <t>PL FLUSH MOUNTS</t>
  </si>
  <si>
    <t>ENERGY STAR</t>
  </si>
  <si>
    <t>13W/ SPIRAL CFL</t>
  </si>
  <si>
    <t>TEXTURED WHITE</t>
  </si>
  <si>
    <t>828-86-PL.JPG</t>
  </si>
  <si>
    <t>828-PL</t>
  </si>
  <si>
    <t>8281-A61</t>
  </si>
  <si>
    <t>SAGE RIDGE</t>
  </si>
  <si>
    <t>8281-A61.JPG</t>
  </si>
  <si>
    <t>8282-A61</t>
  </si>
  <si>
    <t>8282-A61.JPG</t>
  </si>
  <si>
    <t>8283-A61</t>
  </si>
  <si>
    <t>8283-A61.JPG</t>
  </si>
  <si>
    <t>8284-A61</t>
  </si>
  <si>
    <t>8284-A61.JPG</t>
  </si>
  <si>
    <t>8286-A61</t>
  </si>
  <si>
    <t>8286-A61.JPG</t>
  </si>
  <si>
    <t>829-86</t>
  </si>
  <si>
    <t>829-86.JPG</t>
  </si>
  <si>
    <t>829-91-PL</t>
  </si>
  <si>
    <t>FROSTED MELON</t>
  </si>
  <si>
    <t>829-91-PL.JPG</t>
  </si>
  <si>
    <t>829-PL</t>
  </si>
  <si>
    <t>83-14</t>
  </si>
  <si>
    <t>83-14.JPG</t>
  </si>
  <si>
    <t>STEEL/ALABASTER DUST</t>
  </si>
  <si>
    <t>830-84-PL</t>
  </si>
  <si>
    <t>830-84-PL.JPG</t>
  </si>
  <si>
    <t>830-PL</t>
  </si>
  <si>
    <t>830-91-PL</t>
  </si>
  <si>
    <t>830-91-PL.JPG</t>
  </si>
  <si>
    <t>840-102-L</t>
  </si>
  <si>
    <t>840-102-L.JPG</t>
  </si>
  <si>
    <t>840-249</t>
  </si>
  <si>
    <t>840-249.JPG</t>
  </si>
  <si>
    <t>840-249-L</t>
  </si>
  <si>
    <t>840-249-L.JPG</t>
  </si>
  <si>
    <t>841-91</t>
  </si>
  <si>
    <t>841-91.JPG</t>
  </si>
  <si>
    <t>844-284</t>
  </si>
  <si>
    <t>A-19, MED BASE</t>
  </si>
  <si>
    <t>OFF-WHITE LINEN</t>
  </si>
  <si>
    <t>844-284.JPG</t>
  </si>
  <si>
    <t>845-108</t>
  </si>
  <si>
    <t>4 LIGHT FLUSH MOUNT</t>
  </si>
  <si>
    <t>845-108.JPG</t>
  </si>
  <si>
    <t>845-108-L</t>
  </si>
  <si>
    <t>4 LIGHT LED FLUSH MOUNT</t>
  </si>
  <si>
    <t>845-108-L.JPG</t>
  </si>
  <si>
    <t>845-84-L</t>
  </si>
  <si>
    <t>845-84-L.JPG</t>
  </si>
  <si>
    <t>846-104</t>
  </si>
  <si>
    <t>846-104.JPG</t>
  </si>
  <si>
    <t>846-104-L</t>
  </si>
  <si>
    <t>846-104-L.JPG</t>
  </si>
  <si>
    <t>846-105</t>
  </si>
  <si>
    <t>846-105.JPG</t>
  </si>
  <si>
    <t>846-105-L</t>
  </si>
  <si>
    <t>846-105-L.JPG</t>
  </si>
  <si>
    <t>8561-51</t>
  </si>
  <si>
    <t>BERKELEY</t>
  </si>
  <si>
    <t>8561-51.JPG</t>
  </si>
  <si>
    <t>BRASS</t>
  </si>
  <si>
    <t>8562-51</t>
  </si>
  <si>
    <t>8562-51.JPG</t>
  </si>
  <si>
    <t>8563-51</t>
  </si>
  <si>
    <t>8563-51.JPG</t>
  </si>
  <si>
    <t>8567-51</t>
  </si>
  <si>
    <t>4 LIGHT PIER MOUNT</t>
  </si>
  <si>
    <t>8567-51.JPG</t>
  </si>
  <si>
    <t>8581-51</t>
  </si>
  <si>
    <t>TOWNSEND</t>
  </si>
  <si>
    <t>8581-51.JPG</t>
  </si>
  <si>
    <t>860-84-PL</t>
  </si>
  <si>
    <t>FLOURESCENT CEILING FIXTURE</t>
  </si>
  <si>
    <t>T9-32W,CIRCULAR(G10Q,4-PIN)</t>
  </si>
  <si>
    <t>T9-22W,CIRCULAR(G10Q,4-PIN)</t>
  </si>
  <si>
    <t>860-84-PL.JPG</t>
  </si>
  <si>
    <t>860-PL</t>
  </si>
  <si>
    <t>8601-A179-PL</t>
  </si>
  <si>
    <t>HONEY OPAL ART GLASS</t>
  </si>
  <si>
    <t>8601-A179-PL.JPG</t>
  </si>
  <si>
    <t>8601-PL</t>
  </si>
  <si>
    <t>8602-A179</t>
  </si>
  <si>
    <t>SCOTTSDALE II</t>
  </si>
  <si>
    <t>8602-A179.JPG</t>
  </si>
  <si>
    <t>8602-A179-PL</t>
  </si>
  <si>
    <t>8602-A179-PL.JPG</t>
  </si>
  <si>
    <t>8602-PL</t>
  </si>
  <si>
    <t>8603-A179</t>
  </si>
  <si>
    <t>8603-A179.JPG</t>
  </si>
  <si>
    <t>8603-A179-PL</t>
  </si>
  <si>
    <t>HONEY OPAL ART</t>
  </si>
  <si>
    <t>8603-A179-PL.JPG</t>
  </si>
  <si>
    <t>8603-PL</t>
  </si>
  <si>
    <t>8605-A179</t>
  </si>
  <si>
    <t>HONLEY OPAL ART GLASS</t>
  </si>
  <si>
    <t>8605-A179.JPG</t>
  </si>
  <si>
    <t>8605-A179-PL</t>
  </si>
  <si>
    <t>SEMI-SPIRAL</t>
  </si>
  <si>
    <t>8605-A179-PL.JPG</t>
  </si>
  <si>
    <t>8605-PL</t>
  </si>
  <si>
    <t>861-84-PL</t>
  </si>
  <si>
    <t>F22W/T9C</t>
  </si>
  <si>
    <t>F32W/T9c</t>
  </si>
  <si>
    <t>861-84-PL.JPG</t>
  </si>
  <si>
    <t>861-PL</t>
  </si>
  <si>
    <t>8611-A61</t>
  </si>
  <si>
    <t>TAYLOR COURT</t>
  </si>
  <si>
    <t>8611-A61.JPG</t>
  </si>
  <si>
    <t>8612-A61</t>
  </si>
  <si>
    <t>8612-A61.JPG</t>
  </si>
  <si>
    <t>8613-A61</t>
  </si>
  <si>
    <t>8613-A61.JPG</t>
  </si>
  <si>
    <t>8614-A61</t>
  </si>
  <si>
    <t>8614-A61.JPG</t>
  </si>
  <si>
    <t>8616-A61</t>
  </si>
  <si>
    <t>8616-A61.JPG</t>
  </si>
  <si>
    <t>8617-A61</t>
  </si>
  <si>
    <t>8617-A61.JPG</t>
  </si>
  <si>
    <t>862-84-PL</t>
  </si>
  <si>
    <t>F32W/T9C</t>
  </si>
  <si>
    <t>F40W/T9C</t>
  </si>
  <si>
    <t>862-84-PL.JPG</t>
  </si>
  <si>
    <t>862-PL</t>
  </si>
  <si>
    <t>864-84-PL</t>
  </si>
  <si>
    <t>F32W/C12T8</t>
  </si>
  <si>
    <t>864-84-PL.JPG</t>
  </si>
  <si>
    <t>864-PL</t>
  </si>
  <si>
    <t>866-44-PL</t>
  </si>
  <si>
    <t>866-44-PL.JPG</t>
  </si>
  <si>
    <t>866-PL</t>
  </si>
  <si>
    <t>8690-1-61-PL</t>
  </si>
  <si>
    <t>HARRISON</t>
  </si>
  <si>
    <t>SEMIPSPIRAL13W,SELV-BALLASTGU24</t>
  </si>
  <si>
    <t>8690-1-61-PL.JPG</t>
  </si>
  <si>
    <t>8690-1-PL</t>
  </si>
  <si>
    <t>8690-61</t>
  </si>
  <si>
    <t>8690-61.JPG</t>
  </si>
  <si>
    <t>8690-66</t>
  </si>
  <si>
    <t>8690-66.JPG</t>
  </si>
  <si>
    <t>8691-61</t>
  </si>
  <si>
    <t>CLEAR BEVEL GLASS</t>
  </si>
  <si>
    <t>8691-61.JPG</t>
  </si>
  <si>
    <t>8691-66</t>
  </si>
  <si>
    <t>CLEAR BEVELED GLASS</t>
  </si>
  <si>
    <t>8691-66.JPG</t>
  </si>
  <si>
    <t>8692-61</t>
  </si>
  <si>
    <t>8692-61.JPG</t>
  </si>
  <si>
    <t>8692-66</t>
  </si>
  <si>
    <t>8692-66.JPG</t>
  </si>
  <si>
    <t>8693-61</t>
  </si>
  <si>
    <t>8693-61.JPG</t>
  </si>
  <si>
    <t>8693-66</t>
  </si>
  <si>
    <t>8693-66.JPG</t>
  </si>
  <si>
    <t>8694-61</t>
  </si>
  <si>
    <t>8694-61.JPG</t>
  </si>
  <si>
    <t>8694-66</t>
  </si>
  <si>
    <t>8694-66.JPG</t>
  </si>
  <si>
    <t>8695-61</t>
  </si>
  <si>
    <t>CLEAR BEVELED</t>
  </si>
  <si>
    <t>8695-61.JPG</t>
  </si>
  <si>
    <t>HEAVY DIE-CAST ALUMINUM</t>
  </si>
  <si>
    <t>8695-66</t>
  </si>
  <si>
    <t>8695-66.JPG</t>
  </si>
  <si>
    <t>8696-61</t>
  </si>
  <si>
    <t>8696-61.JPG</t>
  </si>
  <si>
    <t>8696-66</t>
  </si>
  <si>
    <t>8696-66.JPG</t>
  </si>
  <si>
    <t>8697-61</t>
  </si>
  <si>
    <t>8697-61.JPG</t>
  </si>
  <si>
    <t>8721-A615B</t>
  </si>
  <si>
    <t>HARVESTON MANOR - 1 LIGHT OUTDOOR WALL MOUNT</t>
  </si>
  <si>
    <t>HARVESTON MANOR</t>
  </si>
  <si>
    <t>8721-A615B.JPG</t>
  </si>
  <si>
    <t>8722-A615B</t>
  </si>
  <si>
    <t>8722-A615B.JPG</t>
  </si>
  <si>
    <t>8723-A615B</t>
  </si>
  <si>
    <t>HARVESTON MANOR - 3 LIGHT OUTDOOR WALL MOUNT</t>
  </si>
  <si>
    <t>8723-A615B.JPG</t>
  </si>
  <si>
    <t>8724-A615B</t>
  </si>
  <si>
    <t>HARVESTON MANOR - 3 LIGHT OUTDOOR CHAIN HUNG</t>
  </si>
  <si>
    <t>8724-A615B.JPG</t>
  </si>
  <si>
    <t>8726-A615B</t>
  </si>
  <si>
    <t>HARVESTON MANOR - 1 LIGHT OUTDOOR POST MOUNT</t>
  </si>
  <si>
    <t>8726-A615B.JPG</t>
  </si>
  <si>
    <t>8761-166</t>
  </si>
  <si>
    <t>MERRIMACK</t>
  </si>
  <si>
    <t>8761-166.JPG</t>
  </si>
  <si>
    <t>DIE CAST ALUMINUM/GLASS</t>
  </si>
  <si>
    <t>8761-166-PL</t>
  </si>
  <si>
    <t>8761-166-PL.JPG</t>
  </si>
  <si>
    <t>8761-PL</t>
  </si>
  <si>
    <t>8761-66-L</t>
  </si>
  <si>
    <t>CLEAR HAMMERED</t>
  </si>
  <si>
    <t>8761-66-L.JPG</t>
  </si>
  <si>
    <t>8761-L</t>
  </si>
  <si>
    <t>8762-166</t>
  </si>
  <si>
    <t>8762-166.JPG</t>
  </si>
  <si>
    <t>DIE-CAST ALUMINUM/GLASS</t>
  </si>
  <si>
    <t>8762-166-PL</t>
  </si>
  <si>
    <t>8762-166-PL.JPG</t>
  </si>
  <si>
    <t>8762-PL</t>
  </si>
  <si>
    <t>8762-66-L</t>
  </si>
  <si>
    <t>CLEAR HAMMERED GLASS</t>
  </si>
  <si>
    <t>8762-66-L.JPG</t>
  </si>
  <si>
    <t>8762-L</t>
  </si>
  <si>
    <t>8763-166</t>
  </si>
  <si>
    <t>8763-166.JPG</t>
  </si>
  <si>
    <t>8763-166-PL</t>
  </si>
  <si>
    <t>8763-166-PL.JPG</t>
  </si>
  <si>
    <t>8763-PL</t>
  </si>
  <si>
    <t>8763-66-L</t>
  </si>
  <si>
    <t>8763-66-L.JPG</t>
  </si>
  <si>
    <t>8763-L</t>
  </si>
  <si>
    <t>8764-166</t>
  </si>
  <si>
    <t>8764-166.JPG</t>
  </si>
  <si>
    <t>8764-66-L</t>
  </si>
  <si>
    <t>8764-66-L.JPG</t>
  </si>
  <si>
    <t>8764-L</t>
  </si>
  <si>
    <t>8765-166</t>
  </si>
  <si>
    <t>CLEAR HAMMER</t>
  </si>
  <si>
    <t>8765-166.JPG</t>
  </si>
  <si>
    <t>8766-166</t>
  </si>
  <si>
    <t>8766-166.JPG</t>
  </si>
  <si>
    <t>8766-66-L</t>
  </si>
  <si>
    <t>8766-66-L.JPG</t>
  </si>
  <si>
    <t>8766-L</t>
  </si>
  <si>
    <t>8769-166</t>
  </si>
  <si>
    <t>8769-166.JPG</t>
  </si>
  <si>
    <t>8810-57</t>
  </si>
  <si>
    <t>AMHERST</t>
  </si>
  <si>
    <t>8810-57.JPG</t>
  </si>
  <si>
    <t>BRASS/STEEL/GLASS</t>
  </si>
  <si>
    <t>8811-57</t>
  </si>
  <si>
    <t>8811-57.JPG</t>
  </si>
  <si>
    <t>8815-57</t>
  </si>
  <si>
    <t>8815-57.JPG</t>
  </si>
  <si>
    <t>8816-57</t>
  </si>
  <si>
    <t>8816-57.JPG</t>
  </si>
  <si>
    <t>8817-57</t>
  </si>
  <si>
    <t>8817-57.JPG</t>
  </si>
  <si>
    <t>BRASS/GLASS</t>
  </si>
  <si>
    <t>8840-94</t>
  </si>
  <si>
    <t>MORGAN PARK</t>
  </si>
  <si>
    <t>8840-94.JPG</t>
  </si>
  <si>
    <t>8841-94</t>
  </si>
  <si>
    <t>8841-94.JPG</t>
  </si>
  <si>
    <t>8845-94</t>
  </si>
  <si>
    <t>8845-94.JPG</t>
  </si>
  <si>
    <t>8846-94</t>
  </si>
  <si>
    <t>CLEAR STRAIGHT OPTIC</t>
  </si>
  <si>
    <t>8846-94.JPG</t>
  </si>
  <si>
    <t>8847-94</t>
  </si>
  <si>
    <t>8847-94.JPG</t>
  </si>
  <si>
    <t>8848-94</t>
  </si>
  <si>
    <t>CHAIN HUNG</t>
  </si>
  <si>
    <t>B10.5,MED</t>
  </si>
  <si>
    <t>8848-94.JPG</t>
  </si>
  <si>
    <t>METAL+ALUM+GLASS</t>
  </si>
  <si>
    <t>8880-A39</t>
  </si>
  <si>
    <t>MALLORCA</t>
  </si>
  <si>
    <t>CHAMPAGNE HAMMER</t>
  </si>
  <si>
    <t>8880-A39.JPG</t>
  </si>
  <si>
    <t>8880-A61</t>
  </si>
  <si>
    <t>8880-A61.JPG</t>
  </si>
  <si>
    <t>8881-A39</t>
  </si>
  <si>
    <t>8881-A39.JPG</t>
  </si>
  <si>
    <t>8881-A39-PL</t>
  </si>
  <si>
    <t>8881-A39-PL.JPG</t>
  </si>
  <si>
    <t>8881-PL</t>
  </si>
  <si>
    <t>8881-A61</t>
  </si>
  <si>
    <t>8881-A61.JPG</t>
  </si>
  <si>
    <t>8882-A39</t>
  </si>
  <si>
    <t>8882-A39.JPG</t>
  </si>
  <si>
    <t>8882-A39-PL</t>
  </si>
  <si>
    <t>SEMISPIRAL,SELF-BALLASTGU24</t>
  </si>
  <si>
    <t>8882-A39-PL.JPG</t>
  </si>
  <si>
    <t>8882-PL</t>
  </si>
  <si>
    <t>8882-A61</t>
  </si>
  <si>
    <t>CHAMPAGNE HAMMERED</t>
  </si>
  <si>
    <t>8882-A61.JPG</t>
  </si>
  <si>
    <t>8883-A39</t>
  </si>
  <si>
    <t>5 LIGHT WALL MOUNT</t>
  </si>
  <si>
    <t>8883-A39.JPG</t>
  </si>
  <si>
    <t>8884-A39</t>
  </si>
  <si>
    <t>5 LIGHT CHAIN HUNG</t>
  </si>
  <si>
    <t>8884-A39.JPG</t>
  </si>
  <si>
    <t>8884-A61</t>
  </si>
  <si>
    <t>8884-A61.JPG</t>
  </si>
  <si>
    <t>8885-A39</t>
  </si>
  <si>
    <t>8885-A39.JPG</t>
  </si>
  <si>
    <t>8885-A39-PL</t>
  </si>
  <si>
    <t>8885-A39-PL.JPG</t>
  </si>
  <si>
    <t>8885-PL</t>
  </si>
  <si>
    <t>8885-A61</t>
  </si>
  <si>
    <t>3 LIGHT POST</t>
  </si>
  <si>
    <t>8885-A61.JPG</t>
  </si>
  <si>
    <t>8886-A39</t>
  </si>
  <si>
    <t>8886-A39.JPG</t>
  </si>
  <si>
    <t>8887-A39</t>
  </si>
  <si>
    <t>8887-A39.JPG</t>
  </si>
  <si>
    <t>8887-A61</t>
  </si>
  <si>
    <t>8887-A61.JPG</t>
  </si>
  <si>
    <t>8889-A39</t>
  </si>
  <si>
    <t>8889-A39.JPG</t>
  </si>
  <si>
    <t>8889-A61</t>
  </si>
  <si>
    <t>8889-A61.JPG</t>
  </si>
  <si>
    <t>8900-94</t>
  </si>
  <si>
    <t>NEWPORT</t>
  </si>
  <si>
    <t>8900-94.JPG</t>
  </si>
  <si>
    <t>8901-94</t>
  </si>
  <si>
    <t>8901-94.JPG</t>
  </si>
  <si>
    <t>8902-94</t>
  </si>
  <si>
    <t>8902-94.JPG</t>
  </si>
  <si>
    <t>8904-94</t>
  </si>
  <si>
    <t>8904-94.JPG</t>
  </si>
  <si>
    <t>8905-94</t>
  </si>
  <si>
    <t>8905-94.JPG</t>
  </si>
  <si>
    <t>8906-94</t>
  </si>
  <si>
    <t>8906-94.JPG</t>
  </si>
  <si>
    <t>8907-94</t>
  </si>
  <si>
    <t>CLEAR STRIP GLASS</t>
  </si>
  <si>
    <t>8907-94.JPG</t>
  </si>
  <si>
    <t>8908-94</t>
  </si>
  <si>
    <t>8908-94.JPG</t>
  </si>
  <si>
    <t>8909-94</t>
  </si>
  <si>
    <t>8909-94.JPG</t>
  </si>
  <si>
    <t>893-84</t>
  </si>
  <si>
    <t>893-84.JPG</t>
  </si>
  <si>
    <t>893-84-PL</t>
  </si>
  <si>
    <t>P19 SEMISPIRAL 13W, SELF-BALLAST</t>
  </si>
  <si>
    <t>893-84-PL.JPG</t>
  </si>
  <si>
    <t>893-PL</t>
  </si>
  <si>
    <t>893-91-PL</t>
  </si>
  <si>
    <t>893-91-PL.JPG</t>
  </si>
  <si>
    <t>8930-95</t>
  </si>
  <si>
    <t>STRATFORD HALL</t>
  </si>
  <si>
    <t>HERITAGE W/ GOLD HIGHLIGHTS</t>
  </si>
  <si>
    <t>8930-95.JPG</t>
  </si>
  <si>
    <t>8931-95</t>
  </si>
  <si>
    <t>8931-95.JPG</t>
  </si>
  <si>
    <t>8932-95</t>
  </si>
  <si>
    <t>8932-95.JPG</t>
  </si>
  <si>
    <t>8933-95</t>
  </si>
  <si>
    <t>8933-95.JPG</t>
  </si>
  <si>
    <t>8934-95</t>
  </si>
  <si>
    <t>8934-95.JPG</t>
  </si>
  <si>
    <t>8935-95</t>
  </si>
  <si>
    <t>8935-95.JPG</t>
  </si>
  <si>
    <t>8936-95</t>
  </si>
  <si>
    <t>8936-95.JPG</t>
  </si>
  <si>
    <t>8937-95</t>
  </si>
  <si>
    <t>8937-95.JPG</t>
  </si>
  <si>
    <t>8990-61</t>
  </si>
  <si>
    <t>ARDMORE</t>
  </si>
  <si>
    <t>8990-61.JPG</t>
  </si>
  <si>
    <t>DIE CAST &amp; SAND CAST</t>
  </si>
  <si>
    <t>8990-66</t>
  </si>
  <si>
    <t>MOUTH BLOWN CLEAR HAMMERED</t>
  </si>
  <si>
    <t>8990-66.JPG</t>
  </si>
  <si>
    <t>8991-61</t>
  </si>
  <si>
    <t>8991-61.JPG</t>
  </si>
  <si>
    <t>DIE-CAST &amp; SAND-CAST</t>
  </si>
  <si>
    <t>8991-66</t>
  </si>
  <si>
    <t>8991-66.JPG</t>
  </si>
  <si>
    <t>8992-61</t>
  </si>
  <si>
    <t>8992-61.JPG</t>
  </si>
  <si>
    <t>8992-66</t>
  </si>
  <si>
    <t>8992-66.JPG</t>
  </si>
  <si>
    <t>8994-61</t>
  </si>
  <si>
    <t>8994-61.JPG</t>
  </si>
  <si>
    <t>8995-61</t>
  </si>
  <si>
    <t>8995-61.JPG</t>
  </si>
  <si>
    <t>8995-66</t>
  </si>
  <si>
    <t>8995-66.JPG</t>
  </si>
  <si>
    <t>8996-61</t>
  </si>
  <si>
    <t>8996-61.JPG</t>
  </si>
  <si>
    <t>DIE-CAST &amp; SAND CAST</t>
  </si>
  <si>
    <t>8997-61</t>
  </si>
  <si>
    <t>HAMMERED GLASS</t>
  </si>
  <si>
    <t>8997-61.JPG</t>
  </si>
  <si>
    <t>8997-66</t>
  </si>
  <si>
    <t>8997-66.JPG</t>
  </si>
  <si>
    <t>9010-66</t>
  </si>
  <si>
    <t>HANCOCK</t>
  </si>
  <si>
    <t>BENT CLEAR</t>
  </si>
  <si>
    <t>9010-66.JPG</t>
  </si>
  <si>
    <t>9011-66</t>
  </si>
  <si>
    <t>9011-66.JPG</t>
  </si>
  <si>
    <t>9016-66</t>
  </si>
  <si>
    <t>9016-66.JPG</t>
  </si>
  <si>
    <t>9018-66</t>
  </si>
  <si>
    <t>9018-66.JPG</t>
  </si>
  <si>
    <t>9060-66</t>
  </si>
  <si>
    <t>1 OUTDOOR LIGHT WALL MOUNT</t>
  </si>
  <si>
    <t>BAY HILL</t>
  </si>
  <si>
    <t>SEEDED GLASS</t>
  </si>
  <si>
    <t>9060-66.JPG</t>
  </si>
  <si>
    <t>9060-91</t>
  </si>
  <si>
    <t>9060-91.JPG</t>
  </si>
  <si>
    <t>9066-66</t>
  </si>
  <si>
    <t>9066-66.JPG</t>
  </si>
  <si>
    <t>9067-66</t>
  </si>
  <si>
    <t>9067-66.JPG</t>
  </si>
  <si>
    <t>9067-91</t>
  </si>
  <si>
    <t>9067-91.JPG</t>
  </si>
  <si>
    <t>9071-264</t>
  </si>
  <si>
    <t>COPPERTON - 2 LIGHT POCKET LANTERN</t>
  </si>
  <si>
    <t>COPPERTON</t>
  </si>
  <si>
    <t>MANHATTAN COPPER</t>
  </si>
  <si>
    <t>9071-264.JPG</t>
  </si>
  <si>
    <t>9072-264</t>
  </si>
  <si>
    <t>COPPERTON - 2 LIGHT WALL MOUNT</t>
  </si>
  <si>
    <t>9072-264.JPG</t>
  </si>
  <si>
    <t>9073-264</t>
  </si>
  <si>
    <t>3 LIGHT POCKET LANTERN</t>
  </si>
  <si>
    <t>COPPERTON - 3 LIGHT POCKET LANTERN</t>
  </si>
  <si>
    <t>9073-264.JPG</t>
  </si>
  <si>
    <t>9091-95</t>
  </si>
  <si>
    <t>9 LIGHT WALL MOUNT</t>
  </si>
  <si>
    <t>9091-95.JPG</t>
  </si>
  <si>
    <t>9094-95</t>
  </si>
  <si>
    <t>9 LIGHT CHAIN HUNG</t>
  </si>
  <si>
    <t>9094-95.JPG</t>
  </si>
  <si>
    <t>9151-A357</t>
  </si>
  <si>
    <t>ABBEY LANE</t>
  </si>
  <si>
    <t>MOUTH BLOWN CLEAR</t>
  </si>
  <si>
    <t>9151-A357.JPG</t>
  </si>
  <si>
    <t>9151-A357-PL</t>
  </si>
  <si>
    <t>9151-A357-PL.JPG</t>
  </si>
  <si>
    <t>9151-PL</t>
  </si>
  <si>
    <t>9152-A357</t>
  </si>
  <si>
    <t>9152-A357.JPG</t>
  </si>
  <si>
    <t>9152-A357-PL</t>
  </si>
  <si>
    <t>9152-A357-PL.JPG</t>
  </si>
  <si>
    <t>9152-PL</t>
  </si>
  <si>
    <t>ALUMINUM/GLASS/POLY</t>
  </si>
  <si>
    <t>9153-A357</t>
  </si>
  <si>
    <t>9153-A357.JPG</t>
  </si>
  <si>
    <t>9153-A357-PL</t>
  </si>
  <si>
    <t>9153-A357-PL.JPG</t>
  </si>
  <si>
    <t>9153-PL</t>
  </si>
  <si>
    <t>9154-A357</t>
  </si>
  <si>
    <t>9154-A357.JPG</t>
  </si>
  <si>
    <t>9154-A357-PL</t>
  </si>
  <si>
    <t>9154-A357-PL.JPG</t>
  </si>
  <si>
    <t>9154-PL</t>
  </si>
  <si>
    <t>9156-A357</t>
  </si>
  <si>
    <t>9156-A357.JPG</t>
  </si>
  <si>
    <t>9246-1-66-PL</t>
  </si>
  <si>
    <t>1 LT OUTDOOR POST MOUNT</t>
  </si>
  <si>
    <t>MONTALBO</t>
  </si>
  <si>
    <t>9246-1-66-PL.JPG</t>
  </si>
  <si>
    <t>9246-1-PL</t>
  </si>
  <si>
    <t>9246-66-PL</t>
  </si>
  <si>
    <t>SEMISPIRAL26W,SELF-BALLAST GU24</t>
  </si>
  <si>
    <t>9246-66-PL.JPG</t>
  </si>
  <si>
    <t>9246-PL</t>
  </si>
  <si>
    <t>9251-A199-PL</t>
  </si>
  <si>
    <t>LANDER HEIGHTS</t>
  </si>
  <si>
    <t>FORGED BRONZE</t>
  </si>
  <si>
    <t>SPANISH FIRE PIASTRA</t>
  </si>
  <si>
    <t>9251-A199-PL.JPG</t>
  </si>
  <si>
    <t>P9251-PL</t>
  </si>
  <si>
    <t>9281-171</t>
  </si>
  <si>
    <t>CROSSROADS POINT - 1 LIGHT OUTDOOR WALL MOUNT</t>
  </si>
  <si>
    <t>CROSSROADS POINT</t>
  </si>
  <si>
    <t>ARCHITECTUAL BRONZE</t>
  </si>
  <si>
    <t>9281-171.JPG</t>
  </si>
  <si>
    <t>9282-171</t>
  </si>
  <si>
    <t>CROSSROADS POINT - 2 LIGHT OUTDOOR WALL MOUNT</t>
  </si>
  <si>
    <t>9282-171.JPG</t>
  </si>
  <si>
    <t>9283-171</t>
  </si>
  <si>
    <t>CROSSROADS POINT - 4 LIGHT OUTDOOR WALL MOUNT</t>
  </si>
  <si>
    <t>9283-171.JPG</t>
  </si>
  <si>
    <t>9286-171</t>
  </si>
  <si>
    <t>CROSSROADS POINT - 3 LIGHT OUTDOOR POST MOUNT</t>
  </si>
  <si>
    <t>9286-171.JPG</t>
  </si>
  <si>
    <t>9306-171</t>
  </si>
  <si>
    <t>SOLARA HILLS - 1 LIGHT OUTDOOR POST MOUNT</t>
  </si>
  <si>
    <t>SOLARA HILLS</t>
  </si>
  <si>
    <t>LIQUID SILVER</t>
  </si>
  <si>
    <t>9306-171.JPG</t>
  </si>
  <si>
    <t>9314-586</t>
  </si>
  <si>
    <t>4 LT OUTDOOR CHAIN HUNG</t>
  </si>
  <si>
    <t>RUE VIEILLE - 4 LIGHT OUTDOOR CHAIN HUNG</t>
  </si>
  <si>
    <t>RUE VIEILLE</t>
  </si>
  <si>
    <t>9314-586.JPG</t>
  </si>
  <si>
    <t>SAND-CAST ALUMINUM+GLASS</t>
  </si>
  <si>
    <t>9316-586</t>
  </si>
  <si>
    <t>4 LT OUTDOOR POST MOUNT</t>
  </si>
  <si>
    <t>RUE VIEILLE - 4 LIGHT OUTDOOR POST MOUNT</t>
  </si>
  <si>
    <t>9316-586.JPG</t>
  </si>
  <si>
    <t>SAND CAST ALUMINUM+GLASS</t>
  </si>
  <si>
    <t>9321-585</t>
  </si>
  <si>
    <t>4 LT OUTDOOR WALL MOUNT</t>
  </si>
  <si>
    <t>BEXLEY MANOR - 4 LIGHT OUTDOOR WALL MOUNT</t>
  </si>
  <si>
    <t>BEXLEY MANOR</t>
  </si>
  <si>
    <t>BLACK W/GOLD HIGHLIGHTS</t>
  </si>
  <si>
    <t>CLEAR BEVELED BOUND GLASS</t>
  </si>
  <si>
    <t>9321-585.JPG</t>
  </si>
  <si>
    <t>9322-585</t>
  </si>
  <si>
    <t>9322-585.JPG</t>
  </si>
  <si>
    <t>9323-585</t>
  </si>
  <si>
    <t>6 LT OUTDOOR WALL MOUNT</t>
  </si>
  <si>
    <t>BEXLEY MANOR - 6 LIGHT OUTDOOR WALL MOUNT</t>
  </si>
  <si>
    <t>9323-585.JPG</t>
  </si>
  <si>
    <t>9324-585</t>
  </si>
  <si>
    <t>BEXLEY MANOR - 4 LIGHT OUTDOOR CHAIN HUNG</t>
  </si>
  <si>
    <t>9324-585.JPG</t>
  </si>
  <si>
    <t>9326-585</t>
  </si>
  <si>
    <t>BEXLEY MANOR - 4 LIGHT OUTDOOR POST MOUNT</t>
  </si>
  <si>
    <t>9326-585.JPG</t>
  </si>
  <si>
    <t>937-126</t>
  </si>
  <si>
    <t>AGED CHAMPAGNE</t>
  </si>
  <si>
    <t>937-126.JPG</t>
  </si>
  <si>
    <t>949-126</t>
  </si>
  <si>
    <t>949-126.JPG</t>
  </si>
  <si>
    <t>959-126</t>
  </si>
  <si>
    <t>959-126.JPG</t>
  </si>
  <si>
    <t>960-126</t>
  </si>
  <si>
    <t>960-126.JPG</t>
  </si>
  <si>
    <t>971-138</t>
  </si>
  <si>
    <t>971-138.JPG</t>
  </si>
  <si>
    <t>976-1-138</t>
  </si>
  <si>
    <t>976-1-138.JPG</t>
  </si>
  <si>
    <t>976-1</t>
  </si>
  <si>
    <t>977-1-138</t>
  </si>
  <si>
    <t>977-1-138.JPG</t>
  </si>
  <si>
    <t>977-1</t>
  </si>
  <si>
    <t>9801-143</t>
  </si>
  <si>
    <t>BAY VIEW</t>
  </si>
  <si>
    <t>9801-143.JPG</t>
  </si>
  <si>
    <t>9801-143-L</t>
  </si>
  <si>
    <t>1 LIGHT OUTDOOR LED POCKET LANTERN</t>
  </si>
  <si>
    <t>L-AC14-MODULE</t>
  </si>
  <si>
    <t>9801-143-L.JPG</t>
  </si>
  <si>
    <t>9801-143-PL</t>
  </si>
  <si>
    <t>9801-143-PL.JPG</t>
  </si>
  <si>
    <t>9801-PL</t>
  </si>
  <si>
    <t>9801-144</t>
  </si>
  <si>
    <t>9801-144.JPG</t>
  </si>
  <si>
    <t>9801-144-L</t>
  </si>
  <si>
    <t>9801-144-L.JPG</t>
  </si>
  <si>
    <t>STEEL + ALUMINUM ALLOY + GLASS</t>
  </si>
  <si>
    <t>9801-144-PL</t>
  </si>
  <si>
    <t>9801-144-PL.JPG</t>
  </si>
  <si>
    <t>9802-143</t>
  </si>
  <si>
    <t>9802-143.JPG</t>
  </si>
  <si>
    <t>9802-143-L</t>
  </si>
  <si>
    <t>L-AC19-MODULE</t>
  </si>
  <si>
    <t>9802-143-L.JPG</t>
  </si>
  <si>
    <t>STAINLESS STEEL+ALUMINUM ALLOY+GLASS</t>
  </si>
  <si>
    <t>9802-143-PL</t>
  </si>
  <si>
    <t>9802-143-PL.JPG</t>
  </si>
  <si>
    <t>9802-PL</t>
  </si>
  <si>
    <t>9802-144</t>
  </si>
  <si>
    <t>9802-144.JPG</t>
  </si>
  <si>
    <t>STAINLESS + GLASS</t>
  </si>
  <si>
    <t>9802-144-L</t>
  </si>
  <si>
    <t>9802-144-L.JPG</t>
  </si>
  <si>
    <t>STEEL+ALUMINUM ALLOW+GLASS</t>
  </si>
  <si>
    <t>9802-144-PL</t>
  </si>
  <si>
    <t>9802-144-PL.JPG</t>
  </si>
  <si>
    <t>9803-143</t>
  </si>
  <si>
    <t>9803-143.JPG</t>
  </si>
  <si>
    <t>9803-143-PL</t>
  </si>
  <si>
    <t>9803-143-PL.JPG</t>
  </si>
  <si>
    <t>9803-PL</t>
  </si>
  <si>
    <t>9803-144</t>
  </si>
  <si>
    <t>9803-144.JPG</t>
  </si>
  <si>
    <t>JAPANESE STAINLESS 304+GLASS</t>
  </si>
  <si>
    <t>9803-144-PL</t>
  </si>
  <si>
    <t>SEMI SPIRAL SELF BALLAST</t>
  </si>
  <si>
    <t>9803-144-PL.JPG</t>
  </si>
  <si>
    <t>9806-143</t>
  </si>
  <si>
    <t>9806-143.JPG</t>
  </si>
  <si>
    <t>9806-144</t>
  </si>
  <si>
    <t>9806-144.JPG</t>
  </si>
  <si>
    <t>9811-166</t>
  </si>
  <si>
    <t>DELSHIRE POINT - 1 LIGHT POCKET LANTERN</t>
  </si>
  <si>
    <t>DELSHIRE POINT</t>
  </si>
  <si>
    <t>9811-166.JPG</t>
  </si>
  <si>
    <t>9812-166</t>
  </si>
  <si>
    <t>9812-166.JPG</t>
  </si>
  <si>
    <t>CERAMIC - 1 LIGHT POCKET LANTERN</t>
  </si>
  <si>
    <t>9836.JPG</t>
  </si>
  <si>
    <t>STEEL/CERAMIC</t>
  </si>
  <si>
    <t>9851-30-L</t>
  </si>
  <si>
    <t>LED POCKET LANTERN</t>
  </si>
  <si>
    <t>GUILD - LED OUTDOOR POCKET LANTERN</t>
  </si>
  <si>
    <t>GUILD</t>
  </si>
  <si>
    <t>CLEAR BLASTING</t>
  </si>
  <si>
    <t>9851-30-L.JPG</t>
  </si>
  <si>
    <t>9852-30-L</t>
  </si>
  <si>
    <t>9852-30-L.JPG</t>
  </si>
  <si>
    <t>9909-1-66</t>
  </si>
  <si>
    <t>B10.5,CAND.</t>
  </si>
  <si>
    <t>9909-1-66.JPG</t>
  </si>
  <si>
    <t>9909-1</t>
  </si>
  <si>
    <t>ASA0819-31</t>
  </si>
  <si>
    <t>ROUND FABRIC SHADE</t>
  </si>
  <si>
    <t>ASA0819-31.JPG</t>
  </si>
  <si>
    <t>CM8222-177</t>
  </si>
  <si>
    <t>SILVER PATINA GLASS</t>
  </si>
  <si>
    <t>CM8222-177.JPG</t>
  </si>
  <si>
    <t>CM8222</t>
  </si>
  <si>
    <t>G1140-1</t>
  </si>
  <si>
    <t>HALF GLASS-RUSTIC SALVO</t>
  </si>
  <si>
    <t>G1140-1.JPG</t>
  </si>
  <si>
    <t>G1180</t>
  </si>
  <si>
    <t>G1180.JPG</t>
  </si>
  <si>
    <t>G1180-1</t>
  </si>
  <si>
    <t>VENETIAN SCAVO GLASS</t>
  </si>
  <si>
    <t>G1180-1.JPG</t>
  </si>
  <si>
    <t>G1182</t>
  </si>
  <si>
    <t>REPLACEMENT GLASS</t>
  </si>
  <si>
    <t>G1182.JPG</t>
  </si>
  <si>
    <t>G1183</t>
  </si>
  <si>
    <t>G1183.JPG</t>
  </si>
  <si>
    <t>G1184</t>
  </si>
  <si>
    <t>VENETIAL SCAVO GLASS</t>
  </si>
  <si>
    <t>G1184.JPG</t>
  </si>
  <si>
    <t>G12374</t>
  </si>
  <si>
    <t>ROUND SHADE</t>
  </si>
  <si>
    <t>G12374.JPG</t>
  </si>
  <si>
    <t>G1257</t>
  </si>
  <si>
    <t>G1257.JPG</t>
  </si>
  <si>
    <t>G1258</t>
  </si>
  <si>
    <t>G1258.JPG</t>
  </si>
  <si>
    <t>G1270</t>
  </si>
  <si>
    <t>G1270.JPG</t>
  </si>
  <si>
    <t>G1271</t>
  </si>
  <si>
    <t>G1271.JPG</t>
  </si>
  <si>
    <t>G1279-A</t>
  </si>
  <si>
    <t>G1279-A.JPG</t>
  </si>
  <si>
    <t>G1279-H</t>
  </si>
  <si>
    <t>G1279-H.JPG</t>
  </si>
  <si>
    <t>G1420</t>
  </si>
  <si>
    <t>ETCHED MARBLE GLASS</t>
  </si>
  <si>
    <t>G1420.JPG</t>
  </si>
  <si>
    <t>G1422</t>
  </si>
  <si>
    <t>G1422.JPG</t>
  </si>
  <si>
    <t>G1424</t>
  </si>
  <si>
    <t>G1424.JPG</t>
  </si>
  <si>
    <t>G1426</t>
  </si>
  <si>
    <t>G1426.JPG</t>
  </si>
  <si>
    <t>G1490</t>
  </si>
  <si>
    <t>ETCHED VANILLA GLASS</t>
  </si>
  <si>
    <t>G1490.JPG</t>
  </si>
  <si>
    <t>G1492</t>
  </si>
  <si>
    <t>G1492.JPG</t>
  </si>
  <si>
    <t>G1493</t>
  </si>
  <si>
    <t>G1493.JPG</t>
  </si>
  <si>
    <t>G1494</t>
  </si>
  <si>
    <t>G1494.JPG</t>
  </si>
  <si>
    <t>G1496</t>
  </si>
  <si>
    <t>G1496.JPG</t>
  </si>
  <si>
    <t>G1498-1</t>
  </si>
  <si>
    <t>G1498-1.JPG</t>
  </si>
  <si>
    <t>G1514</t>
  </si>
  <si>
    <t>CHAMPAGNE SCAVO</t>
  </si>
  <si>
    <t>G1514.JPG</t>
  </si>
  <si>
    <t>G1516</t>
  </si>
  <si>
    <t>CHAMPAGNE SCAVO GLASS</t>
  </si>
  <si>
    <t>G1516.JPG</t>
  </si>
  <si>
    <t>G1600</t>
  </si>
  <si>
    <t>AMBER PIASTRA GLASS</t>
  </si>
  <si>
    <t>G1600.JPG</t>
  </si>
  <si>
    <t>G1602</t>
  </si>
  <si>
    <t>G1602.JPG</t>
  </si>
  <si>
    <t>G1681</t>
  </si>
  <si>
    <t>G1681.JPG</t>
  </si>
  <si>
    <t>G1687</t>
  </si>
  <si>
    <t>G1687.JPG</t>
  </si>
  <si>
    <t>G1730</t>
  </si>
  <si>
    <t>G1730.JPG</t>
  </si>
  <si>
    <t>G1731</t>
  </si>
  <si>
    <t>G1731.JPG</t>
  </si>
  <si>
    <t>G1810</t>
  </si>
  <si>
    <t>G1810.JPG</t>
  </si>
  <si>
    <t>G1816</t>
  </si>
  <si>
    <t>LAMINA BLANCA GLASS</t>
  </si>
  <si>
    <t>G1816.JPG</t>
  </si>
  <si>
    <t>G1817</t>
  </si>
  <si>
    <t>G1817.JPG</t>
  </si>
  <si>
    <t>G1820-1</t>
  </si>
  <si>
    <t>G1820-1.JPG</t>
  </si>
  <si>
    <t>G1862</t>
  </si>
  <si>
    <t>G1862.JPG</t>
  </si>
  <si>
    <t>G1870</t>
  </si>
  <si>
    <t>G1870.JPG</t>
  </si>
  <si>
    <t>G1871</t>
  </si>
  <si>
    <t>G1871.JPG</t>
  </si>
  <si>
    <t>G1873</t>
  </si>
  <si>
    <t>G1873.JPG</t>
  </si>
  <si>
    <t>G2260</t>
  </si>
  <si>
    <t>G2260.JPG</t>
  </si>
  <si>
    <t>G2262</t>
  </si>
  <si>
    <t>G2262.JPG</t>
  </si>
  <si>
    <t>G2331</t>
  </si>
  <si>
    <t>G2331.JPG</t>
  </si>
  <si>
    <t>G249</t>
  </si>
  <si>
    <t>G249.JPG</t>
  </si>
  <si>
    <t>G2708-1</t>
  </si>
  <si>
    <t>ALABASTER DUST GLASS</t>
  </si>
  <si>
    <t>G2708-1.JPG</t>
  </si>
  <si>
    <t>G2708-3</t>
  </si>
  <si>
    <t>VENETIAN SCAVO BLASS</t>
  </si>
  <si>
    <t>G2708-3.JPG</t>
  </si>
  <si>
    <t>G2718-2</t>
  </si>
  <si>
    <t>G2718-2.JPG</t>
  </si>
  <si>
    <t>G2808-1</t>
  </si>
  <si>
    <t>IVORY CLOUD GLASS</t>
  </si>
  <si>
    <t>G2808-1.JPG</t>
  </si>
  <si>
    <t>G2808-2</t>
  </si>
  <si>
    <t>G2808-2.JPG</t>
  </si>
  <si>
    <t>G2818-4</t>
  </si>
  <si>
    <t>CASPIAN GLASS</t>
  </si>
  <si>
    <t>G2818-4.JPG</t>
  </si>
  <si>
    <t>G2901</t>
  </si>
  <si>
    <t>G2901.JPG</t>
  </si>
  <si>
    <t>G2911</t>
  </si>
  <si>
    <t>VESTIAGE</t>
  </si>
  <si>
    <t>G2911.JPG</t>
  </si>
  <si>
    <t>G2921</t>
  </si>
  <si>
    <t>G2921.JPG</t>
  </si>
  <si>
    <t>G2921-CVR</t>
  </si>
  <si>
    <t>G2921-CVR.JPG</t>
  </si>
  <si>
    <t>G2922</t>
  </si>
  <si>
    <t>G2922.JPG</t>
  </si>
  <si>
    <t>G2922-CVR</t>
  </si>
  <si>
    <t>G2922-CVR.JPG</t>
  </si>
  <si>
    <t>G2923</t>
  </si>
  <si>
    <t>G2923.JPG</t>
  </si>
  <si>
    <t>G2923-CVR</t>
  </si>
  <si>
    <t>G2923-CVR.JPG</t>
  </si>
  <si>
    <t>G2931</t>
  </si>
  <si>
    <t>CELICE</t>
  </si>
  <si>
    <t>G2931.JPG</t>
  </si>
  <si>
    <t>G2932</t>
  </si>
  <si>
    <t>G2932.JPG</t>
  </si>
  <si>
    <t>G2933</t>
  </si>
  <si>
    <t>G2933.JPG</t>
  </si>
  <si>
    <t>G2942</t>
  </si>
  <si>
    <t>LEVEL</t>
  </si>
  <si>
    <t>G2942.JPG</t>
  </si>
  <si>
    <t>G2943</t>
  </si>
  <si>
    <t>G2943.JPG</t>
  </si>
  <si>
    <t>G2944</t>
  </si>
  <si>
    <t>G2944.JPG</t>
  </si>
  <si>
    <t>G30500</t>
  </si>
  <si>
    <t>ROUND BELL</t>
  </si>
  <si>
    <t>G30500.JPG</t>
  </si>
  <si>
    <t>G3221</t>
  </si>
  <si>
    <t>G3221.JPG</t>
  </si>
  <si>
    <t>G3221-1</t>
  </si>
  <si>
    <t>ETCHED OPAL BLASS</t>
  </si>
  <si>
    <t>G3221-1.JPG</t>
  </si>
  <si>
    <t>G3231</t>
  </si>
  <si>
    <t>G3231.JPG</t>
  </si>
  <si>
    <t>G3241</t>
  </si>
  <si>
    <t>G3241.JPG</t>
  </si>
  <si>
    <t>G3251</t>
  </si>
  <si>
    <t>VARIEGATED GOLD WITH PEARLESCENCE</t>
  </si>
  <si>
    <t>G3251.JPG</t>
  </si>
  <si>
    <t>G3260</t>
  </si>
  <si>
    <t>G3260.JPG</t>
  </si>
  <si>
    <t>G3261</t>
  </si>
  <si>
    <t>ETCHED WHITE PAINTED INSIDE</t>
  </si>
  <si>
    <t>G3261.JPG</t>
  </si>
  <si>
    <t>G331</t>
  </si>
  <si>
    <t>G331.JPG</t>
  </si>
  <si>
    <t>G3311</t>
  </si>
  <si>
    <t>G3311.JPG</t>
  </si>
  <si>
    <t>G332</t>
  </si>
  <si>
    <t>G332.JPG</t>
  </si>
  <si>
    <t>G333</t>
  </si>
  <si>
    <t>G333.JPG</t>
  </si>
  <si>
    <t>G336</t>
  </si>
  <si>
    <t>SAND PIASTRA W/ AMBER ACCENTS GLASS</t>
  </si>
  <si>
    <t>G336.JPG</t>
  </si>
  <si>
    <t>G338</t>
  </si>
  <si>
    <t>SALTED AMBER PIASTRA GLASS</t>
  </si>
  <si>
    <t>G338.JPG</t>
  </si>
  <si>
    <t>WHITE PIASTRA GLASS</t>
  </si>
  <si>
    <t>G339-1</t>
  </si>
  <si>
    <t>G339-1.JPG</t>
  </si>
  <si>
    <t>G341</t>
  </si>
  <si>
    <t>G341.JPG</t>
  </si>
  <si>
    <t>G342</t>
  </si>
  <si>
    <t>G342.JPG</t>
  </si>
  <si>
    <t>G343</t>
  </si>
  <si>
    <t>G343.JPG</t>
  </si>
  <si>
    <t>G344</t>
  </si>
  <si>
    <t>G344.JPG</t>
  </si>
  <si>
    <t>G345</t>
  </si>
  <si>
    <t>FRENCH SCAVO GLASS</t>
  </si>
  <si>
    <t>G345.JPG</t>
  </si>
  <si>
    <t>G346</t>
  </si>
  <si>
    <t>G346.JPG</t>
  </si>
  <si>
    <t>G348</t>
  </si>
  <si>
    <t>G348.JPG</t>
  </si>
  <si>
    <t>G3571</t>
  </si>
  <si>
    <t>THE CAPE</t>
  </si>
  <si>
    <t>G3571.JPG</t>
  </si>
  <si>
    <t>G362A</t>
  </si>
  <si>
    <t>HONEY OPAL ART CLASS</t>
  </si>
  <si>
    <t>G362A.JPG</t>
  </si>
  <si>
    <t>G362B</t>
  </si>
  <si>
    <t>G362B.JPG</t>
  </si>
  <si>
    <t>G4105</t>
  </si>
  <si>
    <t>GLASS INNER OPEN ON TOP AND BOTTOM FOR 4103/5/9-172</t>
  </si>
  <si>
    <t>G4105.JPG</t>
  </si>
  <si>
    <t>G4105-1</t>
  </si>
  <si>
    <t>G4105-1.JPG</t>
  </si>
  <si>
    <t>G412</t>
  </si>
  <si>
    <t>G412.JPG</t>
  </si>
  <si>
    <t>G413</t>
  </si>
  <si>
    <t>G413.JPG</t>
  </si>
  <si>
    <t>G4221</t>
  </si>
  <si>
    <t>ECLANTE PEARL GLASS</t>
  </si>
  <si>
    <t>G4221.JPG</t>
  </si>
  <si>
    <t>G4229</t>
  </si>
  <si>
    <t>G4229.JPG</t>
  </si>
  <si>
    <t>VENATA DE ORO GLASS</t>
  </si>
  <si>
    <t>G4235</t>
  </si>
  <si>
    <t>G4235.JPG</t>
  </si>
  <si>
    <t>G4248</t>
  </si>
  <si>
    <t>ETCHED WHITE PAINT GLASS</t>
  </si>
  <si>
    <t>G4248.JPG</t>
  </si>
  <si>
    <t>G4267</t>
  </si>
  <si>
    <t>ETCHED WHITE PAINTED GLASS</t>
  </si>
  <si>
    <t>G4267.JPG</t>
  </si>
  <si>
    <t>G4277</t>
  </si>
  <si>
    <t>ETCHED GLASS WITH WHITE PAINT</t>
  </si>
  <si>
    <t>G4277.JPG</t>
  </si>
  <si>
    <t>G4280</t>
  </si>
  <si>
    <t>ETCHED GLAS WITH WHITE PAINT</t>
  </si>
  <si>
    <t>G4280.JPG</t>
  </si>
  <si>
    <t>G4282</t>
  </si>
  <si>
    <t>ETCHED GLASS WITH WHITE PAINT OUTSIDE</t>
  </si>
  <si>
    <t>G4282.JPG</t>
  </si>
  <si>
    <t>G4286</t>
  </si>
  <si>
    <t>G4286.JPG</t>
  </si>
  <si>
    <t>G4291</t>
  </si>
  <si>
    <t>CLEAR OUTSIDE ETCHED INSIDE</t>
  </si>
  <si>
    <t>G4291.JPG</t>
  </si>
  <si>
    <t>G4296-1B</t>
  </si>
  <si>
    <t>G4296-1B.JPG</t>
  </si>
  <si>
    <t>G4332</t>
  </si>
  <si>
    <t>DOVER MIST GLASS</t>
  </si>
  <si>
    <t>G4332.JPG</t>
  </si>
  <si>
    <t>G4336</t>
  </si>
  <si>
    <t>G4336.JPG</t>
  </si>
  <si>
    <t>G4365</t>
  </si>
  <si>
    <t>G4365.JPG</t>
  </si>
  <si>
    <t>G4391</t>
  </si>
  <si>
    <t>G4391.JPG</t>
  </si>
  <si>
    <t>G4392</t>
  </si>
  <si>
    <t>G4392.JPG</t>
  </si>
  <si>
    <t>G4397</t>
  </si>
  <si>
    <t>DEEP SPUMONTE LACE</t>
  </si>
  <si>
    <t>G4397.JPG</t>
  </si>
  <si>
    <t>G4461</t>
  </si>
  <si>
    <t>RP GLASS FOR 4460/1/6/8/9-273, 4460-84, 4460-647</t>
  </si>
  <si>
    <t>G4461.JPG</t>
  </si>
  <si>
    <t>G4472</t>
  </si>
  <si>
    <t>MOTTLED TOPAX GLASS</t>
  </si>
  <si>
    <t>G4472.JPG</t>
  </si>
  <si>
    <t>MOTTLED TOPAZ GLASS</t>
  </si>
  <si>
    <t>G4482</t>
  </si>
  <si>
    <t>G4482.JPG</t>
  </si>
  <si>
    <t>G4483</t>
  </si>
  <si>
    <t>G4483.JPG</t>
  </si>
  <si>
    <t>G4487</t>
  </si>
  <si>
    <t>G4487.JPG</t>
  </si>
  <si>
    <t>G4490</t>
  </si>
  <si>
    <t>ETCHED WHITE GLASS (INNDER)</t>
  </si>
  <si>
    <t>G4490.JPG</t>
  </si>
  <si>
    <t>G4503-B</t>
  </si>
  <si>
    <t>G4503-B.JPG</t>
  </si>
  <si>
    <t>G4740</t>
  </si>
  <si>
    <t>G4740.JPG</t>
  </si>
  <si>
    <t>G4746-B</t>
  </si>
  <si>
    <t>G4746-B.JPG</t>
  </si>
  <si>
    <t>G4747-1</t>
  </si>
  <si>
    <t>G4747-1.JPG</t>
  </si>
  <si>
    <t>G4861</t>
  </si>
  <si>
    <t>G4861.JPG</t>
  </si>
  <si>
    <t>G4867</t>
  </si>
  <si>
    <t>G4867.JPG</t>
  </si>
  <si>
    <t>G4870-1</t>
  </si>
  <si>
    <t>G4870-1.JPG</t>
  </si>
  <si>
    <t>G4870-2</t>
  </si>
  <si>
    <t>G4870-2.JPG</t>
  </si>
  <si>
    <t>G4871-1</t>
  </si>
  <si>
    <t>G4871-1.JPG</t>
  </si>
  <si>
    <t>G4871-2</t>
  </si>
  <si>
    <t>G4871-2.JPG</t>
  </si>
  <si>
    <t>G4871-3</t>
  </si>
  <si>
    <t>G4871-3.JPG</t>
  </si>
  <si>
    <t>G4872-1</t>
  </si>
  <si>
    <t>G4872-1.JPG</t>
  </si>
  <si>
    <t>G4872-1A</t>
  </si>
  <si>
    <t>G4872-1A.JPG</t>
  </si>
  <si>
    <t>G4872-2</t>
  </si>
  <si>
    <t>G4872-2.JPG</t>
  </si>
  <si>
    <t>G4872-2B</t>
  </si>
  <si>
    <t>G4872-2B.JPG</t>
  </si>
  <si>
    <t>G4872-B</t>
  </si>
  <si>
    <t>G4872-B.JPG</t>
  </si>
  <si>
    <t>G4873-1</t>
  </si>
  <si>
    <t>G4873-1.JPG</t>
  </si>
  <si>
    <t>G4873-1A</t>
  </si>
  <si>
    <t>G4873-1A.JPG</t>
  </si>
  <si>
    <t>G4873-B</t>
  </si>
  <si>
    <t>G4873-B.JPG</t>
  </si>
  <si>
    <t>G4874-1</t>
  </si>
  <si>
    <t>G4874-1.JPG</t>
  </si>
  <si>
    <t>G4874-1A</t>
  </si>
  <si>
    <t>G4874-1A.JPG</t>
  </si>
  <si>
    <t>G4874-B</t>
  </si>
  <si>
    <t>G4874-B.JPG</t>
  </si>
  <si>
    <t>G4875</t>
  </si>
  <si>
    <t>G4875.JPG</t>
  </si>
  <si>
    <t>G4876</t>
  </si>
  <si>
    <t>G4876.JPG</t>
  </si>
  <si>
    <t>G4878-1</t>
  </si>
  <si>
    <t>G4878-1.JPG</t>
  </si>
  <si>
    <t>G4878-2</t>
  </si>
  <si>
    <t>G4878-2.JPG</t>
  </si>
  <si>
    <t>G4879</t>
  </si>
  <si>
    <t>G4879.JPG</t>
  </si>
  <si>
    <t>G4931</t>
  </si>
  <si>
    <t>G4931.JPG</t>
  </si>
  <si>
    <t>G4932</t>
  </si>
  <si>
    <t>G4932.JPG</t>
  </si>
  <si>
    <t>G4972</t>
  </si>
  <si>
    <t>GLASS FOR 4972-269</t>
  </si>
  <si>
    <t>G4972.JPG</t>
  </si>
  <si>
    <t>G505</t>
  </si>
  <si>
    <t>ETCHED BLASS</t>
  </si>
  <si>
    <t>G505.JPG</t>
  </si>
  <si>
    <t>G5277</t>
  </si>
  <si>
    <t>G5277.JPG</t>
  </si>
  <si>
    <t>G542</t>
  </si>
  <si>
    <t>G542.JPG</t>
  </si>
  <si>
    <t>G5421</t>
  </si>
  <si>
    <t>G5421.JPG</t>
  </si>
  <si>
    <t>G543-1</t>
  </si>
  <si>
    <t>ETCHED SEEDY GLASS</t>
  </si>
  <si>
    <t>G543-1.JPG</t>
  </si>
  <si>
    <t>G549</t>
  </si>
  <si>
    <t>G549.JPG</t>
  </si>
  <si>
    <t>G5517</t>
  </si>
  <si>
    <t>G5517.JPG</t>
  </si>
  <si>
    <t>G5841</t>
  </si>
  <si>
    <t>G5841.JPG</t>
  </si>
  <si>
    <t>G5971</t>
  </si>
  <si>
    <t>RUSTIC SCAVO GLASS</t>
  </si>
  <si>
    <t>G5971.JPG</t>
  </si>
  <si>
    <t>G602-2</t>
  </si>
  <si>
    <t>G602-2.JPG</t>
  </si>
  <si>
    <t>G6051</t>
  </si>
  <si>
    <t>MOSAIC TILE GLASS</t>
  </si>
  <si>
    <t>G6051.JPG</t>
  </si>
  <si>
    <t>G6057</t>
  </si>
  <si>
    <t>G6057.JPG</t>
  </si>
  <si>
    <t>G6058</t>
  </si>
  <si>
    <t>G6058.JPG</t>
  </si>
  <si>
    <t>G6091</t>
  </si>
  <si>
    <t>G6091.JPG</t>
  </si>
  <si>
    <t>G6101</t>
  </si>
  <si>
    <t>INNER WHITE GLASS D3-1/4*H:5" OPEN ON TOP FOR 4101-172, 6101/2/3/4-172</t>
  </si>
  <si>
    <t>G6101.JPG</t>
  </si>
  <si>
    <t>G6101-1</t>
  </si>
  <si>
    <t>OUTER CLEAR GLASS D4-1/4"*H:6-1/8" FOR 4101-172, 6101/2/3/4-172</t>
  </si>
  <si>
    <t>G6101-1.JPG</t>
  </si>
  <si>
    <t>G6131-1</t>
  </si>
  <si>
    <t>VENETIAN SCAVO INSIDE</t>
  </si>
  <si>
    <t>G6131-1.JPG</t>
  </si>
  <si>
    <t>G6151</t>
  </si>
  <si>
    <t>ETCHED GLASS WITH WHITE INSIDE</t>
  </si>
  <si>
    <t>G6151.JPG</t>
  </si>
  <si>
    <t>G6158</t>
  </si>
  <si>
    <t>G6158.JPG</t>
  </si>
  <si>
    <t>G6162</t>
  </si>
  <si>
    <t>G6162.JPG</t>
  </si>
  <si>
    <t>G6163</t>
  </si>
  <si>
    <t>G6163.JPG</t>
  </si>
  <si>
    <t>G6164</t>
  </si>
  <si>
    <t>G6164.JPG</t>
  </si>
  <si>
    <t>G6181</t>
  </si>
  <si>
    <t>G6181.JPG</t>
  </si>
  <si>
    <t>G6181-1</t>
  </si>
  <si>
    <t>G6181-1.JPG</t>
  </si>
  <si>
    <t>G6211</t>
  </si>
  <si>
    <t>G6211.JPG</t>
  </si>
  <si>
    <t>G6221</t>
  </si>
  <si>
    <t>OUTSIDE CLEAR/INSIDE ETCHED</t>
  </si>
  <si>
    <t>G6221.JPG</t>
  </si>
  <si>
    <t>G6231-1</t>
  </si>
  <si>
    <t>G6231-1.JPG</t>
  </si>
  <si>
    <t>G6247</t>
  </si>
  <si>
    <t>BRUSHED CARAMEL SILK GLASS</t>
  </si>
  <si>
    <t>G6247.JPG</t>
  </si>
  <si>
    <t>G6248</t>
  </si>
  <si>
    <t>G6248.JPG</t>
  </si>
  <si>
    <t>G6249</t>
  </si>
  <si>
    <t>G6249.JPG</t>
  </si>
  <si>
    <t>G6291-1</t>
  </si>
  <si>
    <t>G6291-1.JPG</t>
  </si>
  <si>
    <t>G6331</t>
  </si>
  <si>
    <t>G6331.JPG</t>
  </si>
  <si>
    <t>G6357-A</t>
  </si>
  <si>
    <t>G6357-A.JPG</t>
  </si>
  <si>
    <t>G6357-A1</t>
  </si>
  <si>
    <t>BROMPTON</t>
  </si>
  <si>
    <t>G6357-A1.JPG</t>
  </si>
  <si>
    <t>G6358</t>
  </si>
  <si>
    <t>G6358.JPG</t>
  </si>
  <si>
    <t>G6362-A</t>
  </si>
  <si>
    <t>CLEAR GLASS WITH ETCHED OPAL INSIDE</t>
  </si>
  <si>
    <t>G6362-A.JPG</t>
  </si>
  <si>
    <t>G6362-B</t>
  </si>
  <si>
    <t>G6362-B.JPG</t>
  </si>
  <si>
    <t>G6371</t>
  </si>
  <si>
    <t>G6371.JPG</t>
  </si>
  <si>
    <t>G6372</t>
  </si>
  <si>
    <t>G6372.JPG</t>
  </si>
  <si>
    <t>G6381</t>
  </si>
  <si>
    <t>G6381.JPG</t>
  </si>
  <si>
    <t>G6390</t>
  </si>
  <si>
    <t>DEEP SPUMONTE LACE GLASS</t>
  </si>
  <si>
    <t>G6390.JPG</t>
  </si>
  <si>
    <t>G6391</t>
  </si>
  <si>
    <t>G6391.JPG</t>
  </si>
  <si>
    <t>G6391-CVR</t>
  </si>
  <si>
    <t>G6391-CVR.JPG</t>
  </si>
  <si>
    <t>G6431</t>
  </si>
  <si>
    <t>G6431.JPG</t>
  </si>
  <si>
    <t>G6432</t>
  </si>
  <si>
    <t>G6432.JPG</t>
  </si>
  <si>
    <t>G6440</t>
  </si>
  <si>
    <t>G6440.JPG</t>
  </si>
  <si>
    <t>G6441</t>
  </si>
  <si>
    <t>G6441.JPG</t>
  </si>
  <si>
    <t>G6442</t>
  </si>
  <si>
    <t>ETCHED WITH WHITE INSIDE</t>
  </si>
  <si>
    <t>G6442.JPG</t>
  </si>
  <si>
    <t>G6448</t>
  </si>
  <si>
    <t>G6448.JPG</t>
  </si>
  <si>
    <t>G6451</t>
  </si>
  <si>
    <t>G6451.JPG</t>
  </si>
  <si>
    <t>G6460</t>
  </si>
  <si>
    <t>G6460.JPG</t>
  </si>
  <si>
    <t>G6461</t>
  </si>
  <si>
    <t>G6461.JPG</t>
  </si>
  <si>
    <t>G6471</t>
  </si>
  <si>
    <t>G6471.JPG</t>
  </si>
  <si>
    <t>G6481</t>
  </si>
  <si>
    <t>G6481.JPG</t>
  </si>
  <si>
    <t>G6491</t>
  </si>
  <si>
    <t>ETCH WHITE GLASS</t>
  </si>
  <si>
    <t>G6491.JPG</t>
  </si>
  <si>
    <t>G6492</t>
  </si>
  <si>
    <t>G6492.JPG</t>
  </si>
  <si>
    <t>G6493</t>
  </si>
  <si>
    <t>G6493.JPG</t>
  </si>
  <si>
    <t>G6494</t>
  </si>
  <si>
    <t>G6494.JPG</t>
  </si>
  <si>
    <t>G6522</t>
  </si>
  <si>
    <t>CLEAR WITH ETCH AND WHITE INSIDE</t>
  </si>
  <si>
    <t>G6522.JPG</t>
  </si>
  <si>
    <t>G6523</t>
  </si>
  <si>
    <t>G6523.JPG</t>
  </si>
  <si>
    <t>G6740</t>
  </si>
  <si>
    <t>G6740.JPG</t>
  </si>
  <si>
    <t>G6810</t>
  </si>
  <si>
    <t>G6810.JPG</t>
  </si>
  <si>
    <t>G682</t>
  </si>
  <si>
    <t>G682.JPG</t>
  </si>
  <si>
    <t>G683-B</t>
  </si>
  <si>
    <t>G683-B.JPG</t>
  </si>
  <si>
    <t>G684</t>
  </si>
  <si>
    <t>G684.JPG</t>
  </si>
  <si>
    <t>G687</t>
  </si>
  <si>
    <t>G687.JPG</t>
  </si>
  <si>
    <t>G687-D</t>
  </si>
  <si>
    <t>G687-D.JPG</t>
  </si>
  <si>
    <t>G6872</t>
  </si>
  <si>
    <t>G6872.JPG</t>
  </si>
  <si>
    <t>G6873</t>
  </si>
  <si>
    <t>G6873.JPG</t>
  </si>
  <si>
    <t>G6874</t>
  </si>
  <si>
    <t>ETCHED GLASS WITH WHITE PAINT OUTSUDE</t>
  </si>
  <si>
    <t>G6874.JPG</t>
  </si>
  <si>
    <t>G71153</t>
  </si>
  <si>
    <t>ACID ETCHED GLASS</t>
  </si>
  <si>
    <t>REPLACEMENT GLASS FOR 71153-44/91/94-PL</t>
  </si>
  <si>
    <t>G71153.JPG</t>
  </si>
  <si>
    <t>G71154A</t>
  </si>
  <si>
    <t>ACID ETCHED GLASS (BOTTOM)</t>
  </si>
  <si>
    <t>G71154A.JPG</t>
  </si>
  <si>
    <t>G71154B</t>
  </si>
  <si>
    <t>ACID ETCHED GLASS (SIDE)</t>
  </si>
  <si>
    <t>G71154B.JPG</t>
  </si>
  <si>
    <t>G71164-A</t>
  </si>
  <si>
    <t>G71164-A.JPG</t>
  </si>
  <si>
    <t>G71191</t>
  </si>
  <si>
    <t>DOUBLE FRENCH SCAVO GLASS</t>
  </si>
  <si>
    <t>G71191.JPG</t>
  </si>
  <si>
    <t>G71193A</t>
  </si>
  <si>
    <t>G71193A.JPG</t>
  </si>
  <si>
    <t>G71196A</t>
  </si>
  <si>
    <t>G71196A.JPG</t>
  </si>
  <si>
    <t>G71196B</t>
  </si>
  <si>
    <t>G71196B.JPG</t>
  </si>
  <si>
    <t>G71197A</t>
  </si>
  <si>
    <t>DOUBLE FRENCO SCAVO GLASS</t>
  </si>
  <si>
    <t>G71197A.JPG</t>
  </si>
  <si>
    <t>G71198A</t>
  </si>
  <si>
    <t>G71198A.JPG</t>
  </si>
  <si>
    <t>G71198B</t>
  </si>
  <si>
    <t>G71198B.JPG</t>
  </si>
  <si>
    <t>G71199A</t>
  </si>
  <si>
    <t>G71199A.JPG</t>
  </si>
  <si>
    <t>G71199B</t>
  </si>
  <si>
    <t>G71199B.JPG</t>
  </si>
  <si>
    <t>G71199C</t>
  </si>
  <si>
    <t>OLD VERSION SIDE GLASS FOR 71199-A357-PL</t>
  </si>
  <si>
    <t>G71199C.JPG</t>
  </si>
  <si>
    <t>G72001</t>
  </si>
  <si>
    <t>G72001.JPG</t>
  </si>
  <si>
    <t>G72002</t>
  </si>
  <si>
    <t>G72002.JPG</t>
  </si>
  <si>
    <t>G72011</t>
  </si>
  <si>
    <t>G72011.JPG</t>
  </si>
  <si>
    <t>G72011-1</t>
  </si>
  <si>
    <t>AMBER ART GLASS</t>
  </si>
  <si>
    <t>G72011-1.JPG</t>
  </si>
  <si>
    <t>G72012</t>
  </si>
  <si>
    <t>G72012.JPG</t>
  </si>
  <si>
    <t>G72020</t>
  </si>
  <si>
    <t>G72020.JPG</t>
  </si>
  <si>
    <t>G72021</t>
  </si>
  <si>
    <t>G72021.JPG</t>
  </si>
  <si>
    <t>G72022</t>
  </si>
  <si>
    <t>G72022.JPG</t>
  </si>
  <si>
    <t>G72023</t>
  </si>
  <si>
    <t>G72023.JPG</t>
  </si>
  <si>
    <t>G72029</t>
  </si>
  <si>
    <t>G72029.JPG</t>
  </si>
  <si>
    <t>G72031-A</t>
  </si>
  <si>
    <t>SUNSET PATINA GLASS (FRONT)</t>
  </si>
  <si>
    <t>G72031-A.JPG</t>
  </si>
  <si>
    <t>G72031-B</t>
  </si>
  <si>
    <t>SUNSET PATINA GLASS (SIDE)</t>
  </si>
  <si>
    <t>G72031-B.JPG</t>
  </si>
  <si>
    <t>G72041</t>
  </si>
  <si>
    <t>G72041.JPG</t>
  </si>
  <si>
    <t>G72051</t>
  </si>
  <si>
    <t>ETCHED WATER GLASS</t>
  </si>
  <si>
    <t>G72051.JPG</t>
  </si>
  <si>
    <t>G72052</t>
  </si>
  <si>
    <t>G72052.JPG</t>
  </si>
  <si>
    <t>G72066</t>
  </si>
  <si>
    <t>RIB GLASS WITH WHITE SAND PASTE INSIDE</t>
  </si>
  <si>
    <t>G72066.JPG</t>
  </si>
  <si>
    <t>G72071</t>
  </si>
  <si>
    <t>DOUBLE FRENCH SCAVO TWIST &amp; LOCK GLASS</t>
  </si>
  <si>
    <t>G72071.JPG</t>
  </si>
  <si>
    <t>G72072</t>
  </si>
  <si>
    <t>G72072.JPG</t>
  </si>
  <si>
    <t>G72081</t>
  </si>
  <si>
    <t>ETCHED GLASS WITH WHITE PAINT INSIDE</t>
  </si>
  <si>
    <t>G72081.JPG</t>
  </si>
  <si>
    <t>G72082</t>
  </si>
  <si>
    <t>G72082.JPG</t>
  </si>
  <si>
    <t>G72091A</t>
  </si>
  <si>
    <t>G72091A.JPG</t>
  </si>
  <si>
    <t>G72091B</t>
  </si>
  <si>
    <t>G72091B.JPG</t>
  </si>
  <si>
    <t>G72101</t>
  </si>
  <si>
    <t>G72101.JPG</t>
  </si>
  <si>
    <t>G72102</t>
  </si>
  <si>
    <t>G72102.JPG</t>
  </si>
  <si>
    <t>G72106</t>
  </si>
  <si>
    <t>G72106.JPG</t>
  </si>
  <si>
    <t>G72121A</t>
  </si>
  <si>
    <t>PAINTED WHITE INSIDE GLASS</t>
  </si>
  <si>
    <t>G72121A.JPG</t>
  </si>
  <si>
    <t>G72121B</t>
  </si>
  <si>
    <t>G72121B.JPG</t>
  </si>
  <si>
    <t>G72122A</t>
  </si>
  <si>
    <t>G72122A.JPG</t>
  </si>
  <si>
    <t>G72122B</t>
  </si>
  <si>
    <t>G72122B.JPG</t>
  </si>
  <si>
    <t>G72131</t>
  </si>
  <si>
    <t>VANILLA GLASS</t>
  </si>
  <si>
    <t>G72131.JPG</t>
  </si>
  <si>
    <t>G72132</t>
  </si>
  <si>
    <t>G72132.JPG</t>
  </si>
  <si>
    <t>G72133</t>
  </si>
  <si>
    <t>G72133.JPG</t>
  </si>
  <si>
    <t>G72151-A</t>
  </si>
  <si>
    <t>G72151-A.JPG</t>
  </si>
  <si>
    <t>G72152-A</t>
  </si>
  <si>
    <t>G72152-A.JPG</t>
  </si>
  <si>
    <t>G72153-A</t>
  </si>
  <si>
    <t>G72153-A.JPG</t>
  </si>
  <si>
    <t>G72154</t>
  </si>
  <si>
    <t>G72154.JPG</t>
  </si>
  <si>
    <t>G72156</t>
  </si>
  <si>
    <t>G72156.JPG</t>
  </si>
  <si>
    <t>G72160</t>
  </si>
  <si>
    <t>G72160.JPG</t>
  </si>
  <si>
    <t>G72167</t>
  </si>
  <si>
    <t>G72167.JPG</t>
  </si>
  <si>
    <t>G72168</t>
  </si>
  <si>
    <t>G72168.JPG</t>
  </si>
  <si>
    <t>G72181</t>
  </si>
  <si>
    <t>G72181.JPG</t>
  </si>
  <si>
    <t>G72182</t>
  </si>
  <si>
    <t>G72182.JPG</t>
  </si>
  <si>
    <t>G72186</t>
  </si>
  <si>
    <t>G72186.JPG</t>
  </si>
  <si>
    <t>G72191</t>
  </si>
  <si>
    <t>G72191.JPG</t>
  </si>
  <si>
    <t>G72192</t>
  </si>
  <si>
    <t>G72192.JPG</t>
  </si>
  <si>
    <t>G72201</t>
  </si>
  <si>
    <t>LIGHT DOUBLE FRENCH SCAVO GLASS</t>
  </si>
  <si>
    <t>G72201.JPG</t>
  </si>
  <si>
    <t>G72251</t>
  </si>
  <si>
    <t>G72251.JPG</t>
  </si>
  <si>
    <t>G72253</t>
  </si>
  <si>
    <t>G72253.JPG</t>
  </si>
  <si>
    <t>G72261</t>
  </si>
  <si>
    <t>CLEAR SEEDY BLASS</t>
  </si>
  <si>
    <t>G72261.JPG</t>
  </si>
  <si>
    <t>G72262</t>
  </si>
  <si>
    <t>G72262.JPG</t>
  </si>
  <si>
    <t>G72271</t>
  </si>
  <si>
    <t>SANDBLAST INSIDE GLASS PANEL</t>
  </si>
  <si>
    <t>G72271.JPG</t>
  </si>
  <si>
    <t>G72272</t>
  </si>
  <si>
    <t>SANDBLAST INSIDE GLAS PANEL</t>
  </si>
  <si>
    <t>G72272.JPG</t>
  </si>
  <si>
    <t>G72281</t>
  </si>
  <si>
    <t>G72281.JPG</t>
  </si>
  <si>
    <t>G72282</t>
  </si>
  <si>
    <t>G72282.JPG</t>
  </si>
  <si>
    <t>G72292</t>
  </si>
  <si>
    <t>G72292.JPG</t>
  </si>
  <si>
    <t>G72301</t>
  </si>
  <si>
    <t>G72301.JPG</t>
  </si>
  <si>
    <t>G72302</t>
  </si>
  <si>
    <t>G72302.JPG</t>
  </si>
  <si>
    <t>G7500-CVR</t>
  </si>
  <si>
    <t>G7500-CVR.JPG</t>
  </si>
  <si>
    <t>G8000-CVR</t>
  </si>
  <si>
    <t>TEMPERED SAND BLAST GL</t>
  </si>
  <si>
    <t>G8000-CVR.JPG</t>
  </si>
  <si>
    <t>G8191</t>
  </si>
  <si>
    <t>TELFORD GLASS</t>
  </si>
  <si>
    <t>G8191.JPG</t>
  </si>
  <si>
    <t>G8199</t>
  </si>
  <si>
    <t>G8199.JPG</t>
  </si>
  <si>
    <t>G8201</t>
  </si>
  <si>
    <t>CLEAR OPTIC GLASS</t>
  </si>
  <si>
    <t>GLASS FOR 8201-61/94</t>
  </si>
  <si>
    <t>G8201.JPG</t>
  </si>
  <si>
    <t>G8201-1</t>
  </si>
  <si>
    <t>ETCHED OPTIC GLASS</t>
  </si>
  <si>
    <t>G8201-1.JPG</t>
  </si>
  <si>
    <t>G8202</t>
  </si>
  <si>
    <t>GLASS FOR 8202/8206-61/94</t>
  </si>
  <si>
    <t>G8202.JPG</t>
  </si>
  <si>
    <t>G8202-2</t>
  </si>
  <si>
    <t>G8202-2.JPG</t>
  </si>
  <si>
    <t>G8209</t>
  </si>
  <si>
    <t>CLEAR OPTIC</t>
  </si>
  <si>
    <t>G8209.JPG</t>
  </si>
  <si>
    <t>G8209-1</t>
  </si>
  <si>
    <t>G8209-1.JPG</t>
  </si>
  <si>
    <t>G8210-1</t>
  </si>
  <si>
    <t>ACID ETCHED</t>
  </si>
  <si>
    <t>G8210-1.JPG</t>
  </si>
  <si>
    <t>G8212-1</t>
  </si>
  <si>
    <t>G8212-1.JPG</t>
  </si>
  <si>
    <t>G8217</t>
  </si>
  <si>
    <t>G8217.JPG</t>
  </si>
  <si>
    <t>G8231</t>
  </si>
  <si>
    <t>OPTIC GLASS</t>
  </si>
  <si>
    <t>G8231.JPG</t>
  </si>
  <si>
    <t>G8231-1</t>
  </si>
  <si>
    <t>ACID ETCHED OPTIC GLASS</t>
  </si>
  <si>
    <t>G8231-1.JPG</t>
  </si>
  <si>
    <t>G8233</t>
  </si>
  <si>
    <t>G8233.JPG</t>
  </si>
  <si>
    <t>G8233-1</t>
  </si>
  <si>
    <t>G8233-1.JPG</t>
  </si>
  <si>
    <t>G8251-1</t>
  </si>
  <si>
    <t>ACID WOOD GLASS</t>
  </si>
  <si>
    <t>G8251-1.JPG</t>
  </si>
  <si>
    <t>CLEAR WOOD</t>
  </si>
  <si>
    <t>G8252-1</t>
  </si>
  <si>
    <t>G8252-1.JPG</t>
  </si>
  <si>
    <t>G8253</t>
  </si>
  <si>
    <t>G8253.JPG</t>
  </si>
  <si>
    <t>G8253-1</t>
  </si>
  <si>
    <t>G8253-1.JPG</t>
  </si>
  <si>
    <t>G8261</t>
  </si>
  <si>
    <t>CLEAR GLASS NO BEVEL</t>
  </si>
  <si>
    <t>G8261.JPG</t>
  </si>
  <si>
    <t>G8262</t>
  </si>
  <si>
    <t>G8262.JPG</t>
  </si>
  <si>
    <t>G8263</t>
  </si>
  <si>
    <t>G8263.JPG</t>
  </si>
  <si>
    <t>G8267</t>
  </si>
  <si>
    <t>G8267.JPG</t>
  </si>
  <si>
    <t>G8272</t>
  </si>
  <si>
    <t>G8272.JPG</t>
  </si>
  <si>
    <t>G8273</t>
  </si>
  <si>
    <t>G8273.JPG</t>
  </si>
  <si>
    <t>G828</t>
  </si>
  <si>
    <t>FROSTED MELLON GLASS</t>
  </si>
  <si>
    <t>G828.JPG</t>
  </si>
  <si>
    <t>G8293</t>
  </si>
  <si>
    <t>G8293.JPG</t>
  </si>
  <si>
    <t>G83</t>
  </si>
  <si>
    <t>G83.JPG</t>
  </si>
  <si>
    <t>G830</t>
  </si>
  <si>
    <t>G830.JPG</t>
  </si>
  <si>
    <t>G839</t>
  </si>
  <si>
    <t>RP GLS 839-91, 839-84</t>
  </si>
  <si>
    <t>G839.JPG</t>
  </si>
  <si>
    <t>G842</t>
  </si>
  <si>
    <t>G842.JPG</t>
  </si>
  <si>
    <t>G8560-B1</t>
  </si>
  <si>
    <t>G8560-B1.JPG</t>
  </si>
  <si>
    <t>G8561-1</t>
  </si>
  <si>
    <t>G8561-1.JPG</t>
  </si>
  <si>
    <t>G8562</t>
  </si>
  <si>
    <t>G8562.JPG</t>
  </si>
  <si>
    <t>G8562-1</t>
  </si>
  <si>
    <t>G8562-1.JPG</t>
  </si>
  <si>
    <t>G8563</t>
  </si>
  <si>
    <t>G8563.JPG</t>
  </si>
  <si>
    <t>G8563-1</t>
  </si>
  <si>
    <t>G8563-1.JPG</t>
  </si>
  <si>
    <t>G8601A</t>
  </si>
  <si>
    <t>HONEY OPEL ART GLASS</t>
  </si>
  <si>
    <t>FRONT GLASS 6-3/4X4" 8601/23091</t>
  </si>
  <si>
    <t>G8601A.JPG</t>
  </si>
  <si>
    <t>G8601B</t>
  </si>
  <si>
    <t>G8601B.JPG</t>
  </si>
  <si>
    <t>G8603A</t>
  </si>
  <si>
    <t>G8603A.JPG</t>
  </si>
  <si>
    <t>G8605</t>
  </si>
  <si>
    <t>HONEY OPAL GLASS</t>
  </si>
  <si>
    <t>G8605.JPG</t>
  </si>
  <si>
    <t>G8609A</t>
  </si>
  <si>
    <t>G8609A.JPG</t>
  </si>
  <si>
    <t>G8610</t>
  </si>
  <si>
    <t>G8610.JPG</t>
  </si>
  <si>
    <t>G8610-1</t>
  </si>
  <si>
    <t>REPLACEMENT GLASS FOR 8210/13/14/16-61-PL</t>
  </si>
  <si>
    <t>G8610-1.JPG</t>
  </si>
  <si>
    <t>G8611</t>
  </si>
  <si>
    <t>GLASS FOR 8611-61</t>
  </si>
  <si>
    <t>G8611.JPG</t>
  </si>
  <si>
    <t>G8612</t>
  </si>
  <si>
    <t>GLASS FOR 8612/8617-61</t>
  </si>
  <si>
    <t>G8612.JPG</t>
  </si>
  <si>
    <t>G8617</t>
  </si>
  <si>
    <t>G8617.JPG</t>
  </si>
  <si>
    <t>G8619</t>
  </si>
  <si>
    <t>G8619.JPG</t>
  </si>
  <si>
    <t>G8690A</t>
  </si>
  <si>
    <t>G8690A.JPG</t>
  </si>
  <si>
    <t>G8690B</t>
  </si>
  <si>
    <t>G8690B.JPG</t>
  </si>
  <si>
    <t>G8691A</t>
  </si>
  <si>
    <t>CLEAR BEVEL BLASS</t>
  </si>
  <si>
    <t>G8691A.JPG</t>
  </si>
  <si>
    <t>G8691A-1A</t>
  </si>
  <si>
    <t>DOUBLE FRENCH SCAVO WITHOUT SHADING</t>
  </si>
  <si>
    <t>G8691A-1A.JPG</t>
  </si>
  <si>
    <t>G8691B</t>
  </si>
  <si>
    <t>G8691B.JPG</t>
  </si>
  <si>
    <t>G8691B-1A</t>
  </si>
  <si>
    <t>G8691B-1A.JPG</t>
  </si>
  <si>
    <t>G8692A</t>
  </si>
  <si>
    <t>RL GL 8692-61,8696-61 4 PF LG</t>
  </si>
  <si>
    <t>G8692A.JPG</t>
  </si>
  <si>
    <t>G8692A-1A</t>
  </si>
  <si>
    <t>REPLACEMENT GLASS FOR 8692-1-61-PL</t>
  </si>
  <si>
    <t>G8692A-1A.JPG</t>
  </si>
  <si>
    <t>G8692B</t>
  </si>
  <si>
    <t>RPL GL 8692-61,8696-61 4 PF SM</t>
  </si>
  <si>
    <t>G8692B.JPG</t>
  </si>
  <si>
    <t>G8693A</t>
  </si>
  <si>
    <t>RPL GLASS 8693-61, 8694-61</t>
  </si>
  <si>
    <t>G8693A.JPG</t>
  </si>
  <si>
    <t>G8693B</t>
  </si>
  <si>
    <t>G8693B.JPG</t>
  </si>
  <si>
    <t>G8697A</t>
  </si>
  <si>
    <t>G8697A.JPG</t>
  </si>
  <si>
    <t>G8697A-1A</t>
  </si>
  <si>
    <t>REPLACEMENT GLASS FOR 8697-1-61-PL</t>
  </si>
  <si>
    <t>G8697A-1A.JPG</t>
  </si>
  <si>
    <t>G8697B</t>
  </si>
  <si>
    <t>G8697B.JPG</t>
  </si>
  <si>
    <t>G8697B-1A</t>
  </si>
  <si>
    <t>G8697B-1A.JPG</t>
  </si>
  <si>
    <t>G8697C</t>
  </si>
  <si>
    <t>G8697C.JPG</t>
  </si>
  <si>
    <t>G8697C-1A</t>
  </si>
  <si>
    <t>G8697C-1A.JPG</t>
  </si>
  <si>
    <t>G8698A</t>
  </si>
  <si>
    <t>G8698A.JPG</t>
  </si>
  <si>
    <t>G8698B</t>
  </si>
  <si>
    <t>G8698B.JPG</t>
  </si>
  <si>
    <t>G8698C</t>
  </si>
  <si>
    <t>G8698C.JPG</t>
  </si>
  <si>
    <t>G8698C-1A</t>
  </si>
  <si>
    <t>REPLACEMENT GLASS FOR 8698-1-61-PL</t>
  </si>
  <si>
    <t>G8698C-1A.JPG</t>
  </si>
  <si>
    <t>G8700-C1</t>
  </si>
  <si>
    <t>G8700-C1.JPG</t>
  </si>
  <si>
    <t>G8700-C2</t>
  </si>
  <si>
    <t>G8700-C2.JPG</t>
  </si>
  <si>
    <t>G8701</t>
  </si>
  <si>
    <t>WATER</t>
  </si>
  <si>
    <t>G8701.JPG</t>
  </si>
  <si>
    <t>G8702A</t>
  </si>
  <si>
    <t>G8702A.JPG</t>
  </si>
  <si>
    <t>G8702B</t>
  </si>
  <si>
    <t>G8702B.JPG</t>
  </si>
  <si>
    <t>G8703A</t>
  </si>
  <si>
    <t>RPL GL 8703-41,8706-41 7 P FIX</t>
  </si>
  <si>
    <t>G8703A.JPG</t>
  </si>
  <si>
    <t>G8703B</t>
  </si>
  <si>
    <t>G8703B.JPG</t>
  </si>
  <si>
    <t>G8709A</t>
  </si>
  <si>
    <t>G8709A.JPG</t>
  </si>
  <si>
    <t>G8709B</t>
  </si>
  <si>
    <t>G8709B.JPG</t>
  </si>
  <si>
    <t>G8711</t>
  </si>
  <si>
    <t>TEXTURED GLASS</t>
  </si>
  <si>
    <t>G8711.JPG</t>
  </si>
  <si>
    <t>G8721</t>
  </si>
  <si>
    <t>G8721.JPG</t>
  </si>
  <si>
    <t>G8722</t>
  </si>
  <si>
    <t>G8722.JPG</t>
  </si>
  <si>
    <t>G8723-A</t>
  </si>
  <si>
    <t>G8723-A.JPG</t>
  </si>
  <si>
    <t>G8724-CVR</t>
  </si>
  <si>
    <t>GLASS SHIELD</t>
  </si>
  <si>
    <t>G8724-CVR.JPG</t>
  </si>
  <si>
    <t>G8751</t>
  </si>
  <si>
    <t>CHAMPAGNE HAMMER GLASS</t>
  </si>
  <si>
    <t>G8751.JPG</t>
  </si>
  <si>
    <t>G8761</t>
  </si>
  <si>
    <t>G8761.JPG</t>
  </si>
  <si>
    <t>G8761-1</t>
  </si>
  <si>
    <t>WHITE DOUBLE FRENCH GLASS</t>
  </si>
  <si>
    <t>G8761-1.JPG</t>
  </si>
  <si>
    <t>G8762</t>
  </si>
  <si>
    <t>G8762.JPG</t>
  </si>
  <si>
    <t>G8762-1</t>
  </si>
  <si>
    <t>G8762-1.JPG</t>
  </si>
  <si>
    <t>G8763</t>
  </si>
  <si>
    <t>REPLACEMENT GLASS FOR 8763/4/5-166</t>
  </si>
  <si>
    <t>G8763.JPG</t>
  </si>
  <si>
    <t>G8763-1</t>
  </si>
  <si>
    <t>G8763-1.JPG</t>
  </si>
  <si>
    <t>G8769</t>
  </si>
  <si>
    <t>CLEAR HAMMER GLASS</t>
  </si>
  <si>
    <t>G8769.JPG</t>
  </si>
  <si>
    <t>G8790A</t>
  </si>
  <si>
    <t>G8790A.JPG</t>
  </si>
  <si>
    <t>G8790B</t>
  </si>
  <si>
    <t>G8790B.JPG</t>
  </si>
  <si>
    <t>G8791A</t>
  </si>
  <si>
    <t>G8791A.JPG</t>
  </si>
  <si>
    <t>G8792B</t>
  </si>
  <si>
    <t>G8792B.JPG</t>
  </si>
  <si>
    <t>G8793A</t>
  </si>
  <si>
    <t>G8793A.JPG</t>
  </si>
  <si>
    <t>G8793B</t>
  </si>
  <si>
    <t>CLEAR HAMMERED BLASS</t>
  </si>
  <si>
    <t>G8793B.JPG</t>
  </si>
  <si>
    <t>G8797C</t>
  </si>
  <si>
    <t>G8797C.JPG</t>
  </si>
  <si>
    <t>G8798A</t>
  </si>
  <si>
    <t>G8798A.JPG</t>
  </si>
  <si>
    <t>G8798C</t>
  </si>
  <si>
    <t>G8798C.JPG</t>
  </si>
  <si>
    <t>G8799A</t>
  </si>
  <si>
    <t>G8799A.JPG</t>
  </si>
  <si>
    <t>G8799B</t>
  </si>
  <si>
    <t>G8799B.JPG</t>
  </si>
  <si>
    <t>G8810</t>
  </si>
  <si>
    <t>G8810.JPG</t>
  </si>
  <si>
    <t>G8811</t>
  </si>
  <si>
    <t>G8811.JPG</t>
  </si>
  <si>
    <t>G8812</t>
  </si>
  <si>
    <t>G8812.JPG</t>
  </si>
  <si>
    <t>G8820</t>
  </si>
  <si>
    <t>G8820.JPG</t>
  </si>
  <si>
    <t>G8829</t>
  </si>
  <si>
    <t>G8829.JPG</t>
  </si>
  <si>
    <t>CLEAR STRAIGHT OPTIC GLASS</t>
  </si>
  <si>
    <t>G8840-H</t>
  </si>
  <si>
    <t>G8840-H.JPG</t>
  </si>
  <si>
    <t>G8841</t>
  </si>
  <si>
    <t>G8841.JPG</t>
  </si>
  <si>
    <t>G8841-H</t>
  </si>
  <si>
    <t>G8841-H.JPG</t>
  </si>
  <si>
    <t>G8842-H</t>
  </si>
  <si>
    <t>G8842-H.JPG</t>
  </si>
  <si>
    <t>G8843</t>
  </si>
  <si>
    <t>G8843.JPG</t>
  </si>
  <si>
    <t>G8880</t>
  </si>
  <si>
    <t>CHAMPAGNE HAMMERED GLASS</t>
  </si>
  <si>
    <t>G8880.JPG</t>
  </si>
  <si>
    <t>G8880-1</t>
  </si>
  <si>
    <t>G8880-1.JPG</t>
  </si>
  <si>
    <t>G8881</t>
  </si>
  <si>
    <t>G8881.JPG</t>
  </si>
  <si>
    <t>G8881-1</t>
  </si>
  <si>
    <t>G8881-1.JPG</t>
  </si>
  <si>
    <t>G8882</t>
  </si>
  <si>
    <t>RP GS 8882-39,8886-39 1P FIX</t>
  </si>
  <si>
    <t>G8882.JPG</t>
  </si>
  <si>
    <t>G8882-1</t>
  </si>
  <si>
    <t>G8882-1.JPG</t>
  </si>
  <si>
    <t>G8882-D</t>
  </si>
  <si>
    <t>CHAMPAGNE WATER GLASS</t>
  </si>
  <si>
    <t>G8882-D.JPG</t>
  </si>
  <si>
    <t>G8883</t>
  </si>
  <si>
    <t>RP GLS 8883-39,8884-39 1P FIX</t>
  </si>
  <si>
    <t>G8883.JPG</t>
  </si>
  <si>
    <t>G8883-1</t>
  </si>
  <si>
    <t>G8883-1.JPG</t>
  </si>
  <si>
    <t>G8889</t>
  </si>
  <si>
    <t>G8889.JPG</t>
  </si>
  <si>
    <t>G8901</t>
  </si>
  <si>
    <t>G8901.JPG</t>
  </si>
  <si>
    <t>G8903</t>
  </si>
  <si>
    <t>G8903.JPG</t>
  </si>
  <si>
    <t>G8905</t>
  </si>
  <si>
    <t>G8905.JPG</t>
  </si>
  <si>
    <t>G891</t>
  </si>
  <si>
    <t>G891.JPG</t>
  </si>
  <si>
    <t>G892-1</t>
  </si>
  <si>
    <t>AGED CHAMPAGNE GLASS</t>
  </si>
  <si>
    <t>G892-1.JPG</t>
  </si>
  <si>
    <t>G893</t>
  </si>
  <si>
    <t>G893.JPG</t>
  </si>
  <si>
    <t>G893-1</t>
  </si>
  <si>
    <t>G893-1.JPG</t>
  </si>
  <si>
    <t>G8930A</t>
  </si>
  <si>
    <t>G8930A.JPG</t>
  </si>
  <si>
    <t>G8930B</t>
  </si>
  <si>
    <t>G8930B.JPG</t>
  </si>
  <si>
    <t>G8931A</t>
  </si>
  <si>
    <t>G8931A.JPG</t>
  </si>
  <si>
    <t>G8931B</t>
  </si>
  <si>
    <t>G8931B.JPG</t>
  </si>
  <si>
    <t>G8932A</t>
  </si>
  <si>
    <t>G8932A.JPG</t>
  </si>
  <si>
    <t>G8932B</t>
  </si>
  <si>
    <t>G8932B.JPG</t>
  </si>
  <si>
    <t>G8933A</t>
  </si>
  <si>
    <t>G8933A.JPG</t>
  </si>
  <si>
    <t>G8933B</t>
  </si>
  <si>
    <t>G8933B.JPG</t>
  </si>
  <si>
    <t>G8988-1</t>
  </si>
  <si>
    <t>G8988-1.JPG</t>
  </si>
  <si>
    <t>G8989</t>
  </si>
  <si>
    <t>G8989.JPG</t>
  </si>
  <si>
    <t>G8989-1</t>
  </si>
  <si>
    <t>G8989-1.JPG</t>
  </si>
  <si>
    <t>G9010</t>
  </si>
  <si>
    <t>BENT SEEDED GLASS</t>
  </si>
  <si>
    <t>G9010.JPG</t>
  </si>
  <si>
    <t>G9011</t>
  </si>
  <si>
    <t>G9011.JPG</t>
  </si>
  <si>
    <t>G9060</t>
  </si>
  <si>
    <t>G9060.JPG</t>
  </si>
  <si>
    <t>G9066</t>
  </si>
  <si>
    <t>G9066.JPG</t>
  </si>
  <si>
    <t>G9080-A</t>
  </si>
  <si>
    <t>GLASS FOR 9080/9081-407 FRONT</t>
  </si>
  <si>
    <t>G9080-A.JPG</t>
  </si>
  <si>
    <t>G9080-A1</t>
  </si>
  <si>
    <t>G9080-A1.JPG</t>
  </si>
  <si>
    <t>G9080-B1</t>
  </si>
  <si>
    <t>G9080-B1.JPG</t>
  </si>
  <si>
    <t>G9081-B</t>
  </si>
  <si>
    <t>GLASS FOR 9081/9082-407</t>
  </si>
  <si>
    <t>G9081-B.JPG</t>
  </si>
  <si>
    <t>G9082-A</t>
  </si>
  <si>
    <t>GLASS FOR 9082-407</t>
  </si>
  <si>
    <t>G9082-A.JPG</t>
  </si>
  <si>
    <t>G9082-A1</t>
  </si>
  <si>
    <t>G9082-A1.JPG</t>
  </si>
  <si>
    <t>G9082-B</t>
  </si>
  <si>
    <t>G9082-B.JPG</t>
  </si>
  <si>
    <t>G9083-A</t>
  </si>
  <si>
    <t>GLASS FOR 9083-407</t>
  </si>
  <si>
    <t>G9083-A.JPG</t>
  </si>
  <si>
    <t>G9083-A1</t>
  </si>
  <si>
    <t>G9083-A1.JPG</t>
  </si>
  <si>
    <t>G9083-B</t>
  </si>
  <si>
    <t>GLASS FOR 9083-407 SIDE</t>
  </si>
  <si>
    <t>G9083-B.JPG</t>
  </si>
  <si>
    <t>G9083-B1</t>
  </si>
  <si>
    <t>G9083-B1.JPG</t>
  </si>
  <si>
    <t>G9087-B1</t>
  </si>
  <si>
    <t>G9087-B1.JPG</t>
  </si>
  <si>
    <t>G9088-A</t>
  </si>
  <si>
    <t>GLASS FOR 9088-407</t>
  </si>
  <si>
    <t>G9088-A.JPG</t>
  </si>
  <si>
    <t>G9088-B</t>
  </si>
  <si>
    <t>G9088-B.JPG</t>
  </si>
  <si>
    <t>G9089-A</t>
  </si>
  <si>
    <t>CLEAR BEVELED GLASS (FRONT PANEL)</t>
  </si>
  <si>
    <t>G9089-A.JPG</t>
  </si>
  <si>
    <t>G9091-A</t>
  </si>
  <si>
    <t>RPL GLASS 9091-95, 9094-95</t>
  </si>
  <si>
    <t>G9091-A.JPG</t>
  </si>
  <si>
    <t>G9091-B</t>
  </si>
  <si>
    <t>G9091-B.JPG</t>
  </si>
  <si>
    <t>G9100-A</t>
  </si>
  <si>
    <t>AMBER MIST GLASS (FRONT)</t>
  </si>
  <si>
    <t>G9100-A.JPG</t>
  </si>
  <si>
    <t>G9100-B</t>
  </si>
  <si>
    <t>AMBER MIST GLASS (SIDE)</t>
  </si>
  <si>
    <t>G9100-B.JPG</t>
  </si>
  <si>
    <t>G9101-C</t>
  </si>
  <si>
    <t>AMBER MIST GLASS (RIGHT)</t>
  </si>
  <si>
    <t>G9101-C.JPG</t>
  </si>
  <si>
    <t>G9102-A</t>
  </si>
  <si>
    <t>G9102-A.JPG</t>
  </si>
  <si>
    <t>G9103-A</t>
  </si>
  <si>
    <t>G9103-A.JPG</t>
  </si>
  <si>
    <t>G9110-1</t>
  </si>
  <si>
    <t>SALON SCAVO GLASS</t>
  </si>
  <si>
    <t>G9110-1.JPG</t>
  </si>
  <si>
    <t>G9111-1</t>
  </si>
  <si>
    <t>G9111-1.JPG</t>
  </si>
  <si>
    <t>G9112-1</t>
  </si>
  <si>
    <t>G9112-1.JPG</t>
  </si>
  <si>
    <t>G9113-1</t>
  </si>
  <si>
    <t>G9113-1.JPG</t>
  </si>
  <si>
    <t>G9142-1</t>
  </si>
  <si>
    <t>G9142-1.JPG</t>
  </si>
  <si>
    <t>G9147</t>
  </si>
  <si>
    <t>G9147.JPG</t>
  </si>
  <si>
    <t>G9151</t>
  </si>
  <si>
    <t>MOUTH BLOWN SEEDED GLASS FOR 9151-357</t>
  </si>
  <si>
    <t>G9151.JPG</t>
  </si>
  <si>
    <t>G9151-1</t>
  </si>
  <si>
    <t>DOUBLE FRENCO SCAVO</t>
  </si>
  <si>
    <t>G9151-1.JPG</t>
  </si>
  <si>
    <t>G9152</t>
  </si>
  <si>
    <t>MOUTH BLOWN SEEDED GLASS FOR 9152/9156-357</t>
  </si>
  <si>
    <t>G9152.JPG</t>
  </si>
  <si>
    <t>G9152-1</t>
  </si>
  <si>
    <t>G9152-1.JPG</t>
  </si>
  <si>
    <t>G9153</t>
  </si>
  <si>
    <t>G9153.JPG</t>
  </si>
  <si>
    <t>G9153-1</t>
  </si>
  <si>
    <t>G9153-1.JPG</t>
  </si>
  <si>
    <t>G9157-1</t>
  </si>
  <si>
    <t>G9157-1.JPG</t>
  </si>
  <si>
    <t>G9157-A</t>
  </si>
  <si>
    <t>G9157-A.JPG</t>
  </si>
  <si>
    <t>G9180A</t>
  </si>
  <si>
    <t>AVORIO MEZZO GLASS (FRONT)</t>
  </si>
  <si>
    <t>G9180A.JPG</t>
  </si>
  <si>
    <t>G9180B</t>
  </si>
  <si>
    <t>AVORIO MEZZO GLASS (LEFT SIDE)</t>
  </si>
  <si>
    <t>G9180B.JPG</t>
  </si>
  <si>
    <t>G9180B-1</t>
  </si>
  <si>
    <t>AVORIO MEZZO GLASS (CORNER)</t>
  </si>
  <si>
    <t>G9180B-1.JPG</t>
  </si>
  <si>
    <t>G9180C</t>
  </si>
  <si>
    <t>AVORIO MEZZO GLASS</t>
  </si>
  <si>
    <t>G9180C.JPG</t>
  </si>
  <si>
    <t>G9180D</t>
  </si>
  <si>
    <t>AVORIO MEZZO GLASS (DECO CENTER)</t>
  </si>
  <si>
    <t>G9180D.JPG</t>
  </si>
  <si>
    <t>G9181A</t>
  </si>
  <si>
    <t>G9181A.JPG</t>
  </si>
  <si>
    <t>G9181B</t>
  </si>
  <si>
    <t>AVORIO MEZZO GLASS (SIDE)</t>
  </si>
  <si>
    <t>G9181B.JPG</t>
  </si>
  <si>
    <t>G9182A</t>
  </si>
  <si>
    <t>G9182A.JPG</t>
  </si>
  <si>
    <t>G9182B</t>
  </si>
  <si>
    <t>G9182B.JPG</t>
  </si>
  <si>
    <t>G9182C</t>
  </si>
  <si>
    <t>G9182C.JPG</t>
  </si>
  <si>
    <t>G9183A</t>
  </si>
  <si>
    <t>G9183A.JPG</t>
  </si>
  <si>
    <t>G9183B</t>
  </si>
  <si>
    <t>G9183B.JPG</t>
  </si>
  <si>
    <t>G9183C</t>
  </si>
  <si>
    <t>G9183C.JPG</t>
  </si>
  <si>
    <t>G9200-A</t>
  </si>
  <si>
    <t>G9200-A.JPG</t>
  </si>
  <si>
    <t>G9200-B</t>
  </si>
  <si>
    <t>G9200-B.JPG</t>
  </si>
  <si>
    <t>G9201</t>
  </si>
  <si>
    <t>G9201.JPG</t>
  </si>
  <si>
    <t>G9202</t>
  </si>
  <si>
    <t>G9202.JPG</t>
  </si>
  <si>
    <t>G9211-A</t>
  </si>
  <si>
    <t>DOUBLE FRENCH SCAVO GLASS (OUTSIDE)</t>
  </si>
  <si>
    <t>G9211-A.JPG</t>
  </si>
  <si>
    <t>G9211-CVR</t>
  </si>
  <si>
    <t>CLEAR SEEDED GLASS (BULB COVER)</t>
  </si>
  <si>
    <t>OLD2-1/2D 9211/13/14/16-067-PL</t>
  </si>
  <si>
    <t>G9211-CVR.JPG</t>
  </si>
  <si>
    <t>G9213-A</t>
  </si>
  <si>
    <t>DOUBLE BRANCH SCAVO GLASS (INNER/SIDE)</t>
  </si>
  <si>
    <t>G9213-A.JPG</t>
  </si>
  <si>
    <t>G9221</t>
  </si>
  <si>
    <t>G9221.JPG</t>
  </si>
  <si>
    <t>G9222</t>
  </si>
  <si>
    <t>G9222.JPG</t>
  </si>
  <si>
    <t>G9223</t>
  </si>
  <si>
    <t>G9223.JPG</t>
  </si>
  <si>
    <t>G9230</t>
  </si>
  <si>
    <t>G9230.JPG</t>
  </si>
  <si>
    <t>G9237</t>
  </si>
  <si>
    <t>G9237.JPG</t>
  </si>
  <si>
    <t>G9237-1</t>
  </si>
  <si>
    <t>CLEAR SEEDY GLASS (GLASS PANEL ON BODY)</t>
  </si>
  <si>
    <t>G9237-1.JPG</t>
  </si>
  <si>
    <t>G9239</t>
  </si>
  <si>
    <t>G9239.JPG</t>
  </si>
  <si>
    <t>G9240</t>
  </si>
  <si>
    <t>SUMMER WHEAT GLASS</t>
  </si>
  <si>
    <t>G9240.JPG</t>
  </si>
  <si>
    <t>G9241</t>
  </si>
  <si>
    <t>G9241.JPG</t>
  </si>
  <si>
    <t>G9241-CVR</t>
  </si>
  <si>
    <t>G9241-CVR.JPG</t>
  </si>
  <si>
    <t>G9243</t>
  </si>
  <si>
    <t>G9243.JPG</t>
  </si>
  <si>
    <t>G9244-CVR</t>
  </si>
  <si>
    <t>SUMMER WHEAT SHADE SHIELD (HEXAGON)</t>
  </si>
  <si>
    <t>G9244-CVR.JPG</t>
  </si>
  <si>
    <t>G9246-CVR</t>
  </si>
  <si>
    <t>SHADE SHIELD (HEXAGON)</t>
  </si>
  <si>
    <t>G9246-CVR.JPG</t>
  </si>
  <si>
    <t>G9249-A</t>
  </si>
  <si>
    <t>SUMMER WHEAT GLASS (SIDE)</t>
  </si>
  <si>
    <t>G9249-A.JPG</t>
  </si>
  <si>
    <t>G9249-B</t>
  </si>
  <si>
    <t>SUMMER WHEAT GLASS (BOTTOM)</t>
  </si>
  <si>
    <t>G9249-B.JPG</t>
  </si>
  <si>
    <t>G9251</t>
  </si>
  <si>
    <t>SPANISH FIRE PIASTRA GLASS</t>
  </si>
  <si>
    <t>G9251.JPG</t>
  </si>
  <si>
    <t>G9252</t>
  </si>
  <si>
    <t>G9252.JPG</t>
  </si>
  <si>
    <t>G9253</t>
  </si>
  <si>
    <t>G9253.JPG</t>
  </si>
  <si>
    <t>G9271</t>
  </si>
  <si>
    <t>G9271.JPG</t>
  </si>
  <si>
    <t>G9272</t>
  </si>
  <si>
    <t>G9272.JPG</t>
  </si>
  <si>
    <t>G9291</t>
  </si>
  <si>
    <t>G9291.JPG</t>
  </si>
  <si>
    <t>G9292</t>
  </si>
  <si>
    <t>G9292.JPG</t>
  </si>
  <si>
    <t>G962-1</t>
  </si>
  <si>
    <t>TONED SPUMONTI STRATO</t>
  </si>
  <si>
    <t>G962-1.JPG</t>
  </si>
  <si>
    <t>G962-2</t>
  </si>
  <si>
    <t>TONED SPUMONTE STRATO GLASS</t>
  </si>
  <si>
    <t>G962-2.JPG</t>
  </si>
  <si>
    <t>G966-1</t>
  </si>
  <si>
    <t>TONED SPUMONTE STRATO</t>
  </si>
  <si>
    <t>G966-1.JPG</t>
  </si>
  <si>
    <t>G967-1</t>
  </si>
  <si>
    <t>TONED STRATO SPUMONTE</t>
  </si>
  <si>
    <t>G967-1.JPG</t>
  </si>
  <si>
    <t>G9801</t>
  </si>
  <si>
    <t>G9801.JPG</t>
  </si>
  <si>
    <t>G9802</t>
  </si>
  <si>
    <t>G9802.JPG</t>
  </si>
  <si>
    <t>G9806</t>
  </si>
  <si>
    <t>G9806.JPG</t>
  </si>
  <si>
    <t>G9901</t>
  </si>
  <si>
    <t>G9901.JPG</t>
  </si>
  <si>
    <t>G9909</t>
  </si>
  <si>
    <t>G9909.JPG</t>
  </si>
  <si>
    <t>G9909-1</t>
  </si>
  <si>
    <t>G9909-1.JPG</t>
  </si>
  <si>
    <t>G9909C</t>
  </si>
  <si>
    <t>CLEAR HAMMER PLATING GLASS</t>
  </si>
  <si>
    <t>G9909C.JPG</t>
  </si>
  <si>
    <t>G9909H</t>
  </si>
  <si>
    <t>G9909H.JPG</t>
  </si>
  <si>
    <t>G9920</t>
  </si>
  <si>
    <t>PC GLASS</t>
  </si>
  <si>
    <t>G9920.JPG</t>
  </si>
  <si>
    <t>G9928</t>
  </si>
  <si>
    <t>MATTE GLASS</t>
  </si>
  <si>
    <t>G9928.JPG</t>
  </si>
  <si>
    <t>GC4841</t>
  </si>
  <si>
    <t>GC4841.JPG</t>
  </si>
  <si>
    <t>GC4843-1</t>
  </si>
  <si>
    <t>GC4843-1.JPG</t>
  </si>
  <si>
    <t>GC4843-P</t>
  </si>
  <si>
    <t>GC4843-P.JPG</t>
  </si>
  <si>
    <t>GC4844-1</t>
  </si>
  <si>
    <t>GC4844-1.JPG</t>
  </si>
  <si>
    <t>GC4845-1</t>
  </si>
  <si>
    <t>GC4845-1.JPG</t>
  </si>
  <si>
    <t>GC4845-P</t>
  </si>
  <si>
    <t>GC4845-P.JPG</t>
  </si>
  <si>
    <t>GC4846-1</t>
  </si>
  <si>
    <t>GC4846-1.JPG</t>
  </si>
  <si>
    <t>GC4847-1</t>
  </si>
  <si>
    <t>GC4847-1.JPG</t>
  </si>
  <si>
    <t>GC4847-2</t>
  </si>
  <si>
    <t>GC4847-2.JPG</t>
  </si>
  <si>
    <t>GC4847-P</t>
  </si>
  <si>
    <t>GC4847-P.JPG</t>
  </si>
  <si>
    <t>GC4848-1</t>
  </si>
  <si>
    <t>GC4848-1.JPG</t>
  </si>
  <si>
    <t>GC4848-2</t>
  </si>
  <si>
    <t>GC4848-2.JPG</t>
  </si>
  <si>
    <t>GC4849-1</t>
  </si>
  <si>
    <t>GC4849-1.JPG</t>
  </si>
  <si>
    <t>GC4849-2</t>
  </si>
  <si>
    <t>GC4849-2.JPG</t>
  </si>
  <si>
    <t>GC4849-P</t>
  </si>
  <si>
    <t>GC4849-P.JPG</t>
  </si>
  <si>
    <t>GC6841-1</t>
  </si>
  <si>
    <t>GC6841-1.JPG</t>
  </si>
  <si>
    <t>GC6842-1</t>
  </si>
  <si>
    <t>GC6842-1.JPG</t>
  </si>
  <si>
    <t>GC6991-1</t>
  </si>
  <si>
    <t>GC6991-1.JPG</t>
  </si>
  <si>
    <t>GC6991-2</t>
  </si>
  <si>
    <t>COGNAC GLASS D16X50H FOR 4993/4/5/6/9-271, 6991/2/3/4-271</t>
  </si>
  <si>
    <t>GC6991-2.JPG</t>
  </si>
  <si>
    <t>GD11H-A</t>
  </si>
  <si>
    <t>GD11H-A.JPG</t>
  </si>
  <si>
    <t>GD14H-A</t>
  </si>
  <si>
    <t>GD14H-A.JPG</t>
  </si>
  <si>
    <t>GD14H-B2</t>
  </si>
  <si>
    <t>GD14H-B2.JPG</t>
  </si>
  <si>
    <t>GKCI-1-467</t>
  </si>
  <si>
    <t>IN-LINE CONNECTOR</t>
  </si>
  <si>
    <t>CONNECTOR FOR 4215-467  4115-467</t>
  </si>
  <si>
    <t>GK LIGHTRAIL</t>
  </si>
  <si>
    <t>GKCI-1-467.JPG</t>
  </si>
  <si>
    <t>GKLR148-467</t>
  </si>
  <si>
    <t>FLEX RAIL</t>
  </si>
  <si>
    <t>4FT RAIL 120V FLEX TRACK FOR 4115-467  4215-467</t>
  </si>
  <si>
    <t>GKLR148-467.JPG</t>
  </si>
  <si>
    <t>GKPF050-467</t>
  </si>
  <si>
    <t>CANOPY &amp; LOW VOLTAGE POWER FEED</t>
  </si>
  <si>
    <t>CANOPY &amp; LOW VOLTAGE PWR FEED FOR 4115/4215-467</t>
  </si>
  <si>
    <t>GKPF050-467.JPG</t>
  </si>
  <si>
    <t>GKST1002-467</t>
  </si>
  <si>
    <t>STANDOFF</t>
  </si>
  <si>
    <t>STANDOFF FOR 4115-467  4215-467</t>
  </si>
  <si>
    <t>GKST1002-467.JPG</t>
  </si>
  <si>
    <t>PG5111</t>
  </si>
  <si>
    <t>CARAMEL ART GLASS</t>
  </si>
  <si>
    <t>PG5111.JPG</t>
  </si>
  <si>
    <t>RS4390</t>
  </si>
  <si>
    <t>RS4390.JPG</t>
  </si>
  <si>
    <t>RS4490</t>
  </si>
  <si>
    <t>BEIGE LINED SHADE</t>
  </si>
  <si>
    <t>RS4490.JPG</t>
  </si>
  <si>
    <t>RS4493</t>
  </si>
  <si>
    <t>BEIGE SHADE</t>
  </si>
  <si>
    <t>RS4493.JPG</t>
  </si>
  <si>
    <t>RS4494</t>
  </si>
  <si>
    <t>RS4494.JPG</t>
  </si>
  <si>
    <t>RS4499</t>
  </si>
  <si>
    <t>FABRID</t>
  </si>
  <si>
    <t>RS4499.JPG</t>
  </si>
  <si>
    <t>RSA0816-2</t>
  </si>
  <si>
    <t>FABRIC SHADE</t>
  </si>
  <si>
    <t>077-CHROME</t>
  </si>
  <si>
    <t>RSA0816-2.JPG</t>
  </si>
  <si>
    <t>RSA1219-1</t>
  </si>
  <si>
    <t>OVAL SHADE</t>
  </si>
  <si>
    <t>HAND-PAINTED PAPER</t>
  </si>
  <si>
    <t>RSA1219-1.JPG</t>
  </si>
  <si>
    <t>RSA1221</t>
  </si>
  <si>
    <t>OVAL FABRIC SHADE</t>
  </si>
  <si>
    <t>RSA1221.JPG</t>
  </si>
  <si>
    <t>RSA1419</t>
  </si>
  <si>
    <t>RSA1419.JPG</t>
  </si>
  <si>
    <t>SA0724-8</t>
  </si>
  <si>
    <t>PIPED BELL-COOKIE</t>
  </si>
  <si>
    <t>SHADE FOR 10245-354</t>
  </si>
  <si>
    <t>354-FLORENTINE</t>
  </si>
  <si>
    <t>FLORAL-CREAM-RVOY</t>
  </si>
  <si>
    <t>SA0724-8.JPG</t>
  </si>
  <si>
    <t>SH1960</t>
  </si>
  <si>
    <t>SH1960.JPG</t>
  </si>
  <si>
    <t>GLASS SHADE</t>
  </si>
  <si>
    <t>SH3131</t>
  </si>
  <si>
    <t>BEIGE SHADE WITH PLEATS</t>
  </si>
  <si>
    <t>SH3131.JPG</t>
  </si>
  <si>
    <t>SH4104</t>
  </si>
  <si>
    <t>REPLACEMENT SHADE</t>
  </si>
  <si>
    <t>SH4104.JPG</t>
  </si>
  <si>
    <t>SH4107</t>
  </si>
  <si>
    <t>SH4107.JPG</t>
  </si>
  <si>
    <t>SH4244</t>
  </si>
  <si>
    <t>WHITE CLOTH SHADE</t>
  </si>
  <si>
    <t>SH4244.JPG</t>
  </si>
  <si>
    <t>SH4272</t>
  </si>
  <si>
    <t>044 WHITE</t>
  </si>
  <si>
    <t>SH4272.JPG</t>
  </si>
  <si>
    <t>SH4352</t>
  </si>
  <si>
    <t>SH4352.JPG</t>
  </si>
  <si>
    <t>SH4353</t>
  </si>
  <si>
    <t>SH4353.JPG</t>
  </si>
  <si>
    <t>W30-1-167B</t>
  </si>
  <si>
    <t>ROD</t>
  </si>
  <si>
    <t>W30-1-167B.JPG</t>
  </si>
  <si>
    <t>W5271-84</t>
  </si>
  <si>
    <t>RICHLIEU</t>
  </si>
  <si>
    <t>W5271-84.JPG</t>
  </si>
  <si>
    <t>W5271</t>
  </si>
  <si>
    <t>WG400-EG</t>
  </si>
  <si>
    <t>4 INCH RECESSED GLASS TRIM</t>
  </si>
  <si>
    <t>WG400-EG.JPG</t>
  </si>
  <si>
    <t>WG400</t>
  </si>
  <si>
    <t>WG400-P</t>
  </si>
  <si>
    <t>WG400-P.JPG</t>
  </si>
  <si>
    <t>WG400-RR</t>
  </si>
  <si>
    <t>WG400-RR.JPG</t>
  </si>
  <si>
    <t>WG400-SY</t>
  </si>
  <si>
    <t>WG400-SY.JPG</t>
  </si>
  <si>
    <t>WG500-P</t>
  </si>
  <si>
    <t>WG500-P.JPG</t>
  </si>
  <si>
    <t>WG500</t>
  </si>
  <si>
    <t>WG500-SY</t>
  </si>
  <si>
    <t>WG500-SY.JPG</t>
  </si>
  <si>
    <t>MINKA LAVERY AND THE GREAT OUTDOORS UNILATERAL MINIMUM ADVERTISED PRICE EFFECTIVE NOVEMBER 18, 2018</t>
  </si>
  <si>
    <t>RP PRCHMT SHADE</t>
  </si>
  <si>
    <t>SWIRL MARBLE GLASS</t>
  </si>
  <si>
    <t>RAIDEN™ - 1 LIGHT MINI PENDANT</t>
  </si>
  <si>
    <t>RAIDEN™ - 3 LIGHT PENDANT</t>
  </si>
  <si>
    <t>RAIDEN™ - 3 LIGHT MINI CHANDELIER</t>
  </si>
  <si>
    <t>RAIDEN™ - 6 LIGHT CHANDELIER</t>
  </si>
  <si>
    <t>RAIDEN™ - 8 LIGHT CHANDELIER</t>
  </si>
  <si>
    <t>RAIDEN™ - 12 LIGHT CHANDELIER</t>
  </si>
  <si>
    <t>LINEAGE™ - 1 LIGHT WALL SCONCE</t>
  </si>
  <si>
    <t>LINEAGE™ - 1 LIGHT MINI PENDANT</t>
  </si>
  <si>
    <t>LINEAGE™ - 4 LIGHT ISLAND</t>
  </si>
  <si>
    <t>LINEAGE™ - 2 LIGHT SEMI FLISH</t>
  </si>
  <si>
    <t>ILLUMINATI™ - 1 LIGHT MINI PENDANT</t>
  </si>
  <si>
    <t>ILLUMINATI™ - 4 LIGHT PENDANT</t>
  </si>
  <si>
    <t>ILLUMINATI™ - 5 LIGHT CHANDELIER</t>
  </si>
  <si>
    <t>ILLUMINATI™ - 6 LIGHT CHANDELIER</t>
  </si>
  <si>
    <t>ILLUMINATI™ - 9 LIGHT CHANDELIER</t>
  </si>
  <si>
    <t>ILLUMINATI™ - 15 LIGHT CHANDELIER</t>
  </si>
  <si>
    <t>PARADOX™ - 2 LIGHT WALL SCONCE</t>
  </si>
  <si>
    <t>PARADOX™ - 1 LIGHT MINI PENDANT</t>
  </si>
  <si>
    <t>PARADOX™ - 3 LIGHT MINI CHANDELIER</t>
  </si>
  <si>
    <t>PARADOX™ - 3 LIGHT SEMI FLUSH</t>
  </si>
  <si>
    <t>PARADOX™ - 5 LIGHT CHANDELIER</t>
  </si>
  <si>
    <t>PARADOX™ - 3 LIGHT PENDANT</t>
  </si>
  <si>
    <t>PARADOX™ - 9 LIGHT CHANDELIER</t>
  </si>
  <si>
    <t>PARADOX™ - BEVELED MIRROR</t>
  </si>
  <si>
    <t>SALON GRAND™ - 1 LIGHT MINI PENDANT</t>
  </si>
  <si>
    <t>SALON GRAND™ - 1 LIGHT WALL SCONCE</t>
  </si>
  <si>
    <t>CALAVERA™ - 3 LIGHT SEMI FLUSH</t>
  </si>
  <si>
    <t>ASTON COURT™ - 1 LIGHT MINI PENDANT</t>
  </si>
  <si>
    <t>ASTON COURT™ - 5 LIGHT CHANDELIER</t>
  </si>
  <si>
    <t>ASTON COURT™ - 3 LIGHT PENDANT</t>
  </si>
  <si>
    <t>ASTON COURT™ - CEILING MEDALLION</t>
  </si>
  <si>
    <t>ASTON COURT™ - 2 LIGHT FLUSH MOUNT</t>
  </si>
  <si>
    <t>ASTON COURT™ - 3 LIGHT SEMI FLUSH</t>
  </si>
  <si>
    <t>TOFINO™ - 1 LIGHT MINI PENDANT</t>
  </si>
  <si>
    <t>AGILIS™ - 1 LIGHT MINI PENDANT</t>
  </si>
  <si>
    <t>AGILIS™ - 3 LIGHT MINI CHANDELIER</t>
  </si>
  <si>
    <t>AGILIS™ - 5 LIGHT CHANDELIER</t>
  </si>
  <si>
    <t>AGILIS™ - 2 LIGHT SEMI FLUSH</t>
  </si>
  <si>
    <t xml:space="preserve"> 5  LIGHT FLUSH MOUNT</t>
  </si>
  <si>
    <t>BELCARO  - CEILING MEDALLION</t>
  </si>
  <si>
    <t>ASPEN  II   - 1 LIGHT WALL SCONCE</t>
  </si>
  <si>
    <t>ASPEN  II   - 1 LIGHT WALL SCONE</t>
  </si>
  <si>
    <t>ASPEN  II   - 2 LIGHT WALL SCONCE</t>
  </si>
  <si>
    <t>ATRIO- 3 LIGHT PENDANT</t>
  </si>
  <si>
    <t xml:space="preserve">SEMI FLUSH </t>
  </si>
  <si>
    <t xml:space="preserve">1 LIGHT MINI PENDANT </t>
  </si>
  <si>
    <t>BRAIDEN - 3 LIGHT WALL SCONCE</t>
  </si>
  <si>
    <t>BRAIDEN - 1 LIGHT MINI PENDANT</t>
  </si>
  <si>
    <t>BRAIDEN - 2 LIGHT WALL SCONCE</t>
  </si>
  <si>
    <t>BRAIDEN- 4 LIGHT PENDANT</t>
  </si>
  <si>
    <t>BRAIDEN - 5 LIGHT PENDANT</t>
  </si>
  <si>
    <t>BRAIDEN - 3 LIGHT SEMI FLUSH</t>
  </si>
  <si>
    <t>BRAIDEN- 9 LIGHT PENDANT</t>
  </si>
  <si>
    <t xml:space="preserve">BRAIDEN - 3 LIGHT BATH </t>
  </si>
  <si>
    <t>BRAIDEN - 4 LIGHT BATH</t>
  </si>
  <si>
    <t>BRAIDEN - 8 LIGHT ISLAND</t>
  </si>
  <si>
    <t>BRAIDEN - 10 LIGHT ISLAND</t>
  </si>
  <si>
    <t xml:space="preserve">PALERMO - 3 LIGHT WALL SCONCE </t>
  </si>
  <si>
    <t xml:space="preserve">PALERMO - 2 LIGHT WALL SCONCE </t>
  </si>
  <si>
    <t xml:space="preserve">PALERMO - 4 LIGHT BATH </t>
  </si>
  <si>
    <t xml:space="preserve">BEACON TRACE - 4 LIGHT PENDANT </t>
  </si>
  <si>
    <t xml:space="preserve">BEACON TRACE - 6 LIGHT PENDANT </t>
  </si>
  <si>
    <t xml:space="preserve"> BEACON TRACE - 6 LIGHT PENDANT</t>
  </si>
  <si>
    <t xml:space="preserve">BEACON TRACE - 8 LIGHT PENDANT </t>
  </si>
  <si>
    <t xml:space="preserve">BEACON TRACE - 10 LIGHT PENDANT </t>
  </si>
  <si>
    <t>REPL GLS 902-08</t>
  </si>
  <si>
    <t>REPL GLS 900-08</t>
  </si>
  <si>
    <t>ASTON COURT  - 6 INCH RECESSED TRIM</t>
  </si>
  <si>
    <t>ILLUMINATI  - 6 INCH RECESSED TRIM</t>
  </si>
  <si>
    <t>SALON GRAND  - 6 INCH RECESSED TRIM</t>
  </si>
  <si>
    <t>DRURY  - 3 LIGHT BATH</t>
  </si>
  <si>
    <t>DRURY  - 4 LIGHT BATH</t>
  </si>
  <si>
    <t>ARRONDIR  - 2 LIGHT BATH</t>
  </si>
  <si>
    <t>ARRONDIR  - 4 LIGHT BATH</t>
  </si>
  <si>
    <t>AINSLEY COURT- 1 LIGHT BATH</t>
  </si>
  <si>
    <t>AINSLEY COURT -2 LIGHT BATH</t>
  </si>
  <si>
    <t>AINSLEY COURT- 3 LIGHT BATH</t>
  </si>
  <si>
    <t>AINSLEY COURT- 4 LIGHT BATH</t>
  </si>
  <si>
    <t>AINSLEY COURT- 5 LIGHT CHANDELIER</t>
  </si>
  <si>
    <t>AINSLEY COURT- 6 ISLAND LIGHT</t>
  </si>
  <si>
    <t>VIA CAPRI 2 LIGHT BATH</t>
  </si>
  <si>
    <t>STUDIO 5  - 3 LIGHT BATH</t>
  </si>
  <si>
    <t>MAGINOT -  3 LIGHT LED BATH</t>
  </si>
  <si>
    <t xml:space="preserve">STUDIO 5 - 9 LIGHT CHANDELIER </t>
  </si>
  <si>
    <t xml:space="preserve">STUDIO 5 - 12 LIGHT CHANDELIER </t>
  </si>
  <si>
    <t>VIA CAPRI- 4 LIGHT PENDANT</t>
  </si>
  <si>
    <t>VIA CAPRI- 6 LIGHT CHANDELIER</t>
  </si>
  <si>
    <t>LEEWARD  BATH - 1 LIGHT BATH</t>
  </si>
  <si>
    <t>CASHELMARA  - 1 LIGHT BATH</t>
  </si>
  <si>
    <t>CASHELMARA  - 2 LIGHT BATH</t>
  </si>
  <si>
    <t>CASHELMARA  - 3 LIGHT BATH</t>
  </si>
  <si>
    <t>CASHELMARA  - 4 LIGHT BATH</t>
  </si>
  <si>
    <t xml:space="preserve"> SHADOWGLEN -  1 LIGHT MINI PENDANT</t>
  </si>
  <si>
    <t xml:space="preserve">SHADOWGLEN - 3 LIGHT PENDANT </t>
  </si>
  <si>
    <t>AUDREY'S POINT -  2 LIGHT BATH</t>
  </si>
  <si>
    <t xml:space="preserve">3 LIGHT PENDANT </t>
  </si>
  <si>
    <t>AUDREY'S POINT - 3 LIGHT PENDANT (CONVERTIBLE TO SEMI FLUSH)</t>
  </si>
  <si>
    <t xml:space="preserve">4 LIGHT PENDANT </t>
  </si>
  <si>
    <t>AUDREY'S POINT - 4 LIGHT PENDANT (CONVERTIBLE TO SEMI FLUSH)</t>
  </si>
  <si>
    <t>SAVANNAH ROW -  4 LIGHT SEMI FLUSH</t>
  </si>
  <si>
    <t>MONICO - 1 LIGHT BATH</t>
  </si>
  <si>
    <t>MONICO - 2 LIGHT BATH</t>
  </si>
  <si>
    <t>MONICO - 3 LIGHT BATH</t>
  </si>
  <si>
    <t xml:space="preserve">TYSON'S GATE - 1 LIGHT WALL SCONCE </t>
  </si>
  <si>
    <t xml:space="preserve">TYSON'S GATE - 10 LIGHT PENDANT </t>
  </si>
  <si>
    <t xml:space="preserve">CULTURE CHIC - 4 LIGHT PENDANT </t>
  </si>
  <si>
    <t>CULTURE CHIC  - SEMI FLUSH</t>
  </si>
  <si>
    <t xml:space="preserve">VORTIC FLOW - 3 LIGHT WALL SCONCE </t>
  </si>
  <si>
    <t xml:space="preserve">VORTIC FLOW - 8 LIGHT PENDANT </t>
  </si>
  <si>
    <t xml:space="preserve">VORTIC FLOW - 10 LIGHT PENDANT </t>
  </si>
  <si>
    <t>NOTE  BATH - 2 LIGHT BATH</t>
  </si>
  <si>
    <t>TILBURY -  2 LIGHT BATH</t>
  </si>
  <si>
    <t>COMBO 2CANDLE/1CHARGER</t>
  </si>
  <si>
    <t>ECLANT  - 1 LIGHT BATH</t>
  </si>
  <si>
    <t xml:space="preserve"> CANDLE HOLDERS</t>
  </si>
  <si>
    <t>ARLINGTON BROOKE LED BATH</t>
  </si>
  <si>
    <t>JM CANDLE HOLDERS</t>
  </si>
  <si>
    <t>ASTRAPIA - MINI PENDANT</t>
  </si>
  <si>
    <t xml:space="preserve">ASTRAPIA - WALL SCONCE </t>
  </si>
  <si>
    <t xml:space="preserve">ASTRAPIA - FOYER PENDANT </t>
  </si>
  <si>
    <t>ASTRAPIA - FOYER PENDANT</t>
  </si>
  <si>
    <t>ASTRAPIA - ISLAND LIGHT</t>
  </si>
  <si>
    <t>ASTRAPIA - SEMI FLUSH</t>
  </si>
  <si>
    <t>ASTRAPIA - PENDANT</t>
  </si>
  <si>
    <t xml:space="preserve">GWENDOLYN PLACE - DRUM PENDANT </t>
  </si>
  <si>
    <t>CLARTE  - 1 LIGHT MINI PENDANT</t>
  </si>
  <si>
    <t>CLARTE  - 3 LIGHT PENDANT</t>
  </si>
  <si>
    <t>CLARTE  - 3 LIGHT WALL SCONCE</t>
  </si>
  <si>
    <t>CLARTE  - 6 LIGHT PENDANT</t>
  </si>
  <si>
    <t>CLARTE  - 3 LIGHT SEMI FLUSH</t>
  </si>
  <si>
    <t>CLARTE  - 5 LIGHT OVAL PENDANT</t>
  </si>
  <si>
    <t>CLARTE  - 6 LIGHT OVAL PENDANT</t>
  </si>
  <si>
    <t xml:space="preserve">4 LIGHT MINI CHANDELIER </t>
  </si>
  <si>
    <t>WEST LIBERTY -  4 LIGHT SEMI FLUSH MOUNT (CONVERTIBLE TO MINI CHANDELIER)</t>
  </si>
  <si>
    <t>WEST LIBERTY - ISLAND LIGHT</t>
  </si>
  <si>
    <t xml:space="preserve">5 LIGHT PENDANT </t>
  </si>
  <si>
    <t>LAUREL ESTATE - 4 LIGHT PENDANT (CONVERTIBLE TO SEMI FLUSH)</t>
  </si>
  <si>
    <t xml:space="preserve">POSH HORIZON - 2 LIGHT WALL SCONCE </t>
  </si>
  <si>
    <t xml:space="preserve">POSH HORIZON - 4 LIGHT ISLAND </t>
  </si>
  <si>
    <t xml:space="preserve">POSH HORIZON - 4 LIGHT SEMI FLUSH </t>
  </si>
  <si>
    <t xml:space="preserve">POSH HORIZON - 5 LIGHT PENDANT </t>
  </si>
  <si>
    <t xml:space="preserve">POSH HORIZON - 4 LIGHT PENDANT </t>
  </si>
  <si>
    <t xml:space="preserve">POSH HORIZON - 8 LIGHT PENDANT </t>
  </si>
  <si>
    <t xml:space="preserve">POSH HORIZON - 12 LIGHT PENDANT </t>
  </si>
  <si>
    <t xml:space="preserve">TYSON'S GATE - 4 LIGHT SEMI FLUSH </t>
  </si>
  <si>
    <t xml:space="preserve">TYSON'S GATE - 4 LIGHT PENDANT </t>
  </si>
  <si>
    <t xml:space="preserve">TYSON'S GATE - 3 LIGHT BATH </t>
  </si>
  <si>
    <t xml:space="preserve">TYSON'S GATE - 5 LIGHT BATH </t>
  </si>
  <si>
    <t xml:space="preserve">TYSON'S GATE - 6 LIGHT BATH </t>
  </si>
  <si>
    <t xml:space="preserve">TYSON'S GATE - 6 LIGHT PENDANT </t>
  </si>
  <si>
    <t xml:space="preserve">TYSON'S GATE - 8 LIGHT PENDANT </t>
  </si>
  <si>
    <t xml:space="preserve">TYSON'S GATE - 6 LIGHT ISLAND </t>
  </si>
  <si>
    <t xml:space="preserve">TANNEHILL - 2 LIGHT WALL SCONCE </t>
  </si>
  <si>
    <t xml:space="preserve">TANNEHILL - 1 LIGHT BATH </t>
  </si>
  <si>
    <t xml:space="preserve">TANNEHILL - 2 LIGHT BATH </t>
  </si>
  <si>
    <t xml:space="preserve">TANNEHILL - 4 LIGHT BATH </t>
  </si>
  <si>
    <t xml:space="preserve">TANNEHILL - 5 LIGHT CHANDELIER </t>
  </si>
  <si>
    <t xml:space="preserve">TANNEHILL - 6 LIGHT ISLAND </t>
  </si>
  <si>
    <t xml:space="preserve">TANNEHILL - 4 LIGHT SEMI FLUSH </t>
  </si>
  <si>
    <t xml:space="preserve">TANNEHILL - 9 LIGHT CHANDELIER </t>
  </si>
  <si>
    <t xml:space="preserve">TANNEHILL - 12 LIGHT CHANDELIER </t>
  </si>
  <si>
    <t xml:space="preserve">MADDOX ROE - 1 LIGHT WALL SCONCE </t>
  </si>
  <si>
    <t xml:space="preserve">MADDOX ROE - 1 LIGHT BATH </t>
  </si>
  <si>
    <t xml:space="preserve">MADDOX ROE - 2 LIGHT BATH </t>
  </si>
  <si>
    <t xml:space="preserve">MADDOX ROE - 3 LIGHT BATH </t>
  </si>
  <si>
    <t xml:space="preserve">MADDOX ROE - 4 LIGHT SEMI FLUSH </t>
  </si>
  <si>
    <t xml:space="preserve">MADDOX ROE - 6 LIGHT ISLAND </t>
  </si>
  <si>
    <t xml:space="preserve">MADDOX - 4 LIGHT CHANDELIER </t>
  </si>
  <si>
    <t xml:space="preserve">MADDOX ROE - 6 LIGHT CHANDELIER </t>
  </si>
  <si>
    <t xml:space="preserve">MADDOX ROE - 10 LIGHT CHANDELIER </t>
  </si>
  <si>
    <t xml:space="preserve">MADDOX ROE - 14 LIGHT CHANDELIER </t>
  </si>
  <si>
    <t xml:space="preserve">PENDANT </t>
  </si>
  <si>
    <t xml:space="preserve">CRITERIUM - 3 LIGHT PENDANT </t>
  </si>
  <si>
    <t xml:space="preserve">CRITERIUM - 6 LIGHT ISLAND </t>
  </si>
  <si>
    <t xml:space="preserve">CRITERIUM - 4 LIGHT PENDANT </t>
  </si>
  <si>
    <t xml:space="preserve">CRITERIUM - 6 LIGHT PENDANT </t>
  </si>
  <si>
    <t xml:space="preserve">BRIDLEWOOD - 1 LIGHT MINI PENDANT </t>
  </si>
  <si>
    <t xml:space="preserve">BRIDLEWOOD - 1 LIGHT BATH </t>
  </si>
  <si>
    <t xml:space="preserve">BRIDLEWOOD - 3 LIGHT BATH </t>
  </si>
  <si>
    <t xml:space="preserve">BRIDLEWOOD - 4 LIGHT BATH </t>
  </si>
  <si>
    <t xml:space="preserve">BRIDLEWOOD - 5 LIGHT ISLAND </t>
  </si>
  <si>
    <t xml:space="preserve">BRIDLEWOOD - 6 LIGHT CHANDELIER </t>
  </si>
  <si>
    <t xml:space="preserve">BRIDLEWOOD - 4 LIGHT SEMI FLUSH </t>
  </si>
  <si>
    <t xml:space="preserve">BRIDLEWOOD - 8 LIGHT CHANDELIER </t>
  </si>
  <si>
    <t xml:space="preserve">BRIDLEWOOD - 9 LIGHT CHANDELIER </t>
  </si>
  <si>
    <t xml:space="preserve">BRIDLEWOOD - 4 LIGHT PENDANT </t>
  </si>
  <si>
    <t xml:space="preserve">BRIDLEWOOD - 12 LIGHT CHANDELIER </t>
  </si>
  <si>
    <t xml:space="preserve">ELYTON - 5 LIGHT ISLAND </t>
  </si>
  <si>
    <t xml:space="preserve">ELYTON - 12 LIGHT CHANDELIER </t>
  </si>
  <si>
    <t xml:space="preserve">ELYTON - 1 LIGHT MINI PENDANT </t>
  </si>
  <si>
    <t xml:space="preserve">ELYTON - 1 LIGHT BATH </t>
  </si>
  <si>
    <t xml:space="preserve">ELYTON - 2 LIGHT BATH </t>
  </si>
  <si>
    <t xml:space="preserve">ELYTON - 3 LIGHT BATH </t>
  </si>
  <si>
    <t xml:space="preserve">ELYTON - 4 LIGHT BATH </t>
  </si>
  <si>
    <t xml:space="preserve">ELYTON - 5 LIGHT CHANDELIER </t>
  </si>
  <si>
    <t xml:space="preserve">ELYTON - 4 LIGHT SEMI FLUSH </t>
  </si>
  <si>
    <t xml:space="preserve">ELYTON - 4 LIGHT PENDANT </t>
  </si>
  <si>
    <t xml:space="preserve">ELYTON - 9 LIGHT CHANDELIER </t>
  </si>
  <si>
    <t xml:space="preserve">CULIGHTURE CHIC - 2 LIGHT WALL SCONCE </t>
  </si>
  <si>
    <t xml:space="preserve">CULIGHTURE CHIC - 3 LIGHT BATH </t>
  </si>
  <si>
    <t xml:space="preserve">CULIGHTURE CHIC - 8 LIGHT PENDANT </t>
  </si>
  <si>
    <t xml:space="preserve">CULIGHTURE CHIC - 10 LIGHT ISLAND </t>
  </si>
  <si>
    <t xml:space="preserve">VORTIC FLOW - 1 LIGHT MINI PENDANT </t>
  </si>
  <si>
    <t xml:space="preserve">VORTIC FLOW - 6 LIGHT PENDANT </t>
  </si>
  <si>
    <t xml:space="preserve">VORTIC FLOW - 5 LIGHT PENDANT (CONVERTIBLE TO SEMI FLUSH) </t>
  </si>
  <si>
    <t xml:space="preserve">VORTIC FLOW - 8 LIGHT ISLAND </t>
  </si>
  <si>
    <t xml:space="preserve">VORTIC FLOW - 18 LIGHT CHANDELIER </t>
  </si>
  <si>
    <t xml:space="preserve">MARSDEN COMMONS - 2 LIGHT BATH </t>
  </si>
  <si>
    <t xml:space="preserve">MARSDEN COMMONS - 3 LIGHT BATH </t>
  </si>
  <si>
    <t xml:space="preserve">MARSDEN COMMONS - 4 LIGHT BATH </t>
  </si>
  <si>
    <t xml:space="preserve">MARSDEN COMMONS - 5 LIGHT BATH </t>
  </si>
  <si>
    <t xml:space="preserve">MARSDEN COMMONS - 1 LIGHT MINI PENDANT </t>
  </si>
  <si>
    <t xml:space="preserve">MARSDEN COMMONS - 3 LIGHT PENDANT </t>
  </si>
  <si>
    <t xml:space="preserve">MARSDEN COMMONS - 4 LIGHT PENDANT </t>
  </si>
  <si>
    <t xml:space="preserve">MARSDEN COMMONS - 6 LIGHT ISLAND </t>
  </si>
  <si>
    <t xml:space="preserve">MARSDEN COMMONS - 4 LIGHT SEMI FLUSH </t>
  </si>
  <si>
    <t xml:space="preserve">MARSDEN COMMONS - 6 LIGHT CHANDELIER </t>
  </si>
  <si>
    <t xml:space="preserve">SAFRA - 1 LIGHT BATH </t>
  </si>
  <si>
    <t xml:space="preserve">SAFRA - 2 LIGHT BATH </t>
  </si>
  <si>
    <t xml:space="preserve">SAFRA - 3 LIGHT BATH </t>
  </si>
  <si>
    <t xml:space="preserve">SAFRA - 1 LIGHT MINI PENDANT </t>
  </si>
  <si>
    <t xml:space="preserve">SAFRA - 3 LIGHT SEMI FLUSH </t>
  </si>
  <si>
    <t xml:space="preserve">SAFRA - 4 LIGHT PENDANT </t>
  </si>
  <si>
    <t xml:space="preserve">SAFRA - 5 LIGHT CHANDELIER </t>
  </si>
  <si>
    <t xml:space="preserve">SAFRA - 6 LIGHT PENDANT </t>
  </si>
  <si>
    <t xml:space="preserve">SAFRA - 9 LIGHT CHANDELIER </t>
  </si>
  <si>
    <t>ASTON COURT  - 2 LIGHT PIN-UP WALL SCONCE</t>
  </si>
  <si>
    <t>ASTON COURT  - 1 LIGHT WALL SCONCE</t>
  </si>
  <si>
    <t>ASTON COURT  - 1 LIGHT MINI PENDANT</t>
  </si>
  <si>
    <t>ASTON COURT  - 12 LIGHT CHANDELIER</t>
  </si>
  <si>
    <t>ASTON COURT  - 21 LIGHT CHANDELIER</t>
  </si>
  <si>
    <t xml:space="preserve">KEELEY CALLE - 4 LIGHT PENDANT </t>
  </si>
  <si>
    <t xml:space="preserve">KEELEY CALLE - 4 LIGHT ISLAND </t>
  </si>
  <si>
    <t xml:space="preserve">KEELEY CALLE - 5 LIGHT PENDANT </t>
  </si>
  <si>
    <t xml:space="preserve">KEELEY CALLE - 4 LIGHT SEMI FLUSH </t>
  </si>
  <si>
    <t xml:space="preserve">JUPITER'S CANOPY - 4 LIGHT PENDANT (CONVERTIBLE TO SEMI FLUSH) </t>
  </si>
  <si>
    <t>JUPITER'S CANOPY - 4 LIGHT PENDANT (CONVERTIBLE TO FLUSH MOUNT)</t>
  </si>
  <si>
    <t xml:space="preserve">JUPITER'S CANOPY - 4 LIGHT PENDANT </t>
  </si>
  <si>
    <t>12 LT 3 TIER FOYER</t>
  </si>
  <si>
    <t xml:space="preserve">JUPITER'S CANOPY - 3 TIER 12 LIGHT PENDANT </t>
  </si>
  <si>
    <t xml:space="preserve">JUPITER'S CANOPY - 6 LIGHT ISLAND </t>
  </si>
  <si>
    <t xml:space="preserve">JUPITER'S CANOPY - 8 LIGHT PENDANT </t>
  </si>
  <si>
    <t xml:space="preserve">JUPITER'S CANOPY - 4 LIGHT FLUSH MOUNT </t>
  </si>
  <si>
    <t xml:space="preserve">CONSPIRE - 1 LIGHT BATH </t>
  </si>
  <si>
    <t xml:space="preserve">CONSPIRE - 2 LIGHT BATH </t>
  </si>
  <si>
    <t xml:space="preserve">CONSPIRE - 3 LIGHT BATH </t>
  </si>
  <si>
    <t xml:space="preserve">CONSPIRE - 4 LIGHT BATH </t>
  </si>
  <si>
    <t xml:space="preserve">GLORIETTA - 1 LIGHT BATH </t>
  </si>
  <si>
    <t xml:space="preserve">GLORIETTA - 2 LIGHT BATH </t>
  </si>
  <si>
    <t xml:space="preserve">GLORIETTA - 3 LIGHT BATH </t>
  </si>
  <si>
    <t xml:space="preserve">GLORIETTA - 4 LIGHT BATH </t>
  </si>
  <si>
    <t xml:space="preserve">CONCENTUS - 2 LIGHT BATH </t>
  </si>
  <si>
    <t xml:space="preserve">CONCENTUS - 3 LIGHT BATH </t>
  </si>
  <si>
    <t xml:space="preserve">CONCENTUS - 5 LIGHT BATH </t>
  </si>
  <si>
    <t xml:space="preserve">CONCENTUS - 6 LIGHT BATH </t>
  </si>
  <si>
    <t xml:space="preserve">ECHO RADIANCE - 6 LIGHT SEMI FLUSH </t>
  </si>
  <si>
    <t xml:space="preserve">ECHO RADIANCE - 2 LIGHT WALL SCONCE </t>
  </si>
  <si>
    <t xml:space="preserve">ECHO RADIANCE - 4 LIGHT BATH </t>
  </si>
  <si>
    <t xml:space="preserve">ECHO RADIANCE - 5 LIGHT BATH </t>
  </si>
  <si>
    <t xml:space="preserve">ECHO RADIANCE - 8 LIGHT BATH </t>
  </si>
  <si>
    <t xml:space="preserve">ECHO RADIANCE - 6 LIGHT PENDANT </t>
  </si>
  <si>
    <t xml:space="preserve">ECHO RADIANCE - 8 LIGHT PEDANT </t>
  </si>
  <si>
    <t xml:space="preserve">ECHO RADIANCE - 10 LIGHT CHANDELIER </t>
  </si>
  <si>
    <t xml:space="preserve">ECHO RADIANCE - 14 LIGHT CHANDELIER </t>
  </si>
  <si>
    <t xml:space="preserve">ECHO RADIANCE - 24 LIGHT 3 TIER CHANDELIER </t>
  </si>
  <si>
    <t>WYNDMERE - 1 LIGHT PENDANT</t>
  </si>
  <si>
    <t>WYNDMERE - 4 LIGHT FOYER</t>
  </si>
  <si>
    <t>WYNDMERE - 3 LIGHT ISLAND</t>
  </si>
  <si>
    <t>WYNDMERE - 4 LIGHT CHANDELIER</t>
  </si>
  <si>
    <t>WYNDMERE - 6 LIGHT FOYER</t>
  </si>
  <si>
    <t>WYNDMERE - 6 LIGHT CHANDELIER</t>
  </si>
  <si>
    <t>WYNDMERE - 9 LIGHT CHANDELIER</t>
  </si>
  <si>
    <t>WELLINGTON AVE. -1 LIGHT MINI PENDANT</t>
  </si>
  <si>
    <t>TILBURY -  3 LIGHT PENDANT</t>
  </si>
  <si>
    <t>TILBURY -  6 LIGHT PENDANT</t>
  </si>
  <si>
    <t xml:space="preserve"> MIRROR</t>
  </si>
  <si>
    <t xml:space="preserve">DOWNTOWN EDISON - 3 LIGHT BATH </t>
  </si>
  <si>
    <t>PARADOX  - 2 LIGHT BATH</t>
  </si>
  <si>
    <t>PARADOX  - 3 LIGHT BATH</t>
  </si>
  <si>
    <t>PARADOX  - 4 LIGHT BATH</t>
  </si>
  <si>
    <t>PARADOX  - 5 LIGHT BATH</t>
  </si>
  <si>
    <t xml:space="preserve">LED WALL SCONCE </t>
  </si>
  <si>
    <t>SALON GRAND  - 1 LIGHT BATH</t>
  </si>
  <si>
    <t xml:space="preserve">SALON GRAND  - 3 LIGHT BATH </t>
  </si>
  <si>
    <t>MISSION RIDGE  - 2 LIGHT BATH</t>
  </si>
  <si>
    <t>MISSION RIDGE  BATH - 3 LIGHT BATH</t>
  </si>
  <si>
    <t>MISSION RIDGE   - 4 LIGHT BATH</t>
  </si>
  <si>
    <t>ASTON COURT  - 1 LIGHT BATH</t>
  </si>
  <si>
    <t>ASTON COURT  - 2 LIGHT BATH</t>
  </si>
  <si>
    <t xml:space="preserve">2 LIGHT BATH </t>
  </si>
  <si>
    <t>RAIDEN  - 2 LIGHT BATH</t>
  </si>
  <si>
    <t>RAIDEN  - 3 LIGHT BATH</t>
  </si>
  <si>
    <t>RAIDEN  - 4 LIGHT BATH</t>
  </si>
  <si>
    <t xml:space="preserve">2 LIGHT WALL SCONCE </t>
  </si>
  <si>
    <t>ILLUMINATI  - 1 LIGHT WALL SCONCE</t>
  </si>
  <si>
    <t>ILLUMINATI  - 2 LIGHT BATH</t>
  </si>
  <si>
    <t>ILLUMINATI  - 3 LIGHT BATH</t>
  </si>
  <si>
    <t>ILLUMINATI  - 4 LIGHT BATH</t>
  </si>
  <si>
    <t>ILLUMINATI  - 3 LIGHT SEMI FLUSH</t>
  </si>
  <si>
    <t xml:space="preserve">3 LIGHT FLUSH MOUNT </t>
  </si>
  <si>
    <t xml:space="preserve">5 LIGHT FLUSH MOUNT </t>
  </si>
  <si>
    <t>CLARTE  - 2 LIGHT WALL SCONCE</t>
  </si>
  <si>
    <t>CLARTE  - 1 LIGHT BATH</t>
  </si>
  <si>
    <t>CLARTE  - 2 LIGHT BATH</t>
  </si>
  <si>
    <t>CLARTE  - 3 LIGHT BATH</t>
  </si>
  <si>
    <t>CLARTE  - 4 LIGHT BATH</t>
  </si>
  <si>
    <t>1 LIGHT WALL SCONCE JAN/10</t>
  </si>
  <si>
    <t>HYLLCASTLE  - 2 LIGHT BATH</t>
  </si>
  <si>
    <t>MARCHE   - 1 LIGHT BATH</t>
  </si>
  <si>
    <t>MARCHE   - 4 LIGHT BATH</t>
  </si>
  <si>
    <t>ASTON COURT  - 3 LIGHT BATH</t>
  </si>
  <si>
    <t>ASTON COURT  - 4 LIGHT BATH</t>
  </si>
  <si>
    <t>TOFINO  - 1 LIGHT BATH</t>
  </si>
  <si>
    <t>TOFINO  - 2 LIGHT BATH</t>
  </si>
  <si>
    <t>TOFINO  - 3 LIGHT BATH</t>
  </si>
  <si>
    <t>TOFINO  - 1 LIGHT WALL SCONCE</t>
  </si>
  <si>
    <t>CALAVERA  - 1 LIGHT WALL SCONCE</t>
  </si>
  <si>
    <t>AGILIS  - 1 LIGHT WALL SCONCE</t>
  </si>
  <si>
    <t>AGILIS  - 1 LIGHT BATH</t>
  </si>
  <si>
    <t>AGILIS  - 2 LIGHT BATH</t>
  </si>
  <si>
    <t>AGILIS  - 3 LIGHT BATH</t>
  </si>
  <si>
    <t>AGILIS  - 4 LIGHT BATH</t>
  </si>
  <si>
    <t>CALAVERA  - 3 LIGHT PENDANT</t>
  </si>
  <si>
    <t>CALAVERA  - 5 LIGHT PENDANT</t>
  </si>
  <si>
    <t>CALAVERA  - 3 LIGHT SEMI FLUSH</t>
  </si>
  <si>
    <t xml:space="preserve">2 LIGHT FLUSH MOUNT </t>
  </si>
  <si>
    <t>OVERLAND PARK -2 LIGHT BATH</t>
  </si>
  <si>
    <t xml:space="preserve">OVERLAND PARK - 2 LIGHT BATH </t>
  </si>
  <si>
    <t xml:space="preserve">OVERLAND PARK - 4 LIGHT BATH </t>
  </si>
  <si>
    <t xml:space="preserve">BAYTREE LANE - LED OUTDOOR WALL MOUNT </t>
  </si>
  <si>
    <t>WYNDMERE  - 1 LIGHT OUTDOOR WALL MOUNT</t>
  </si>
  <si>
    <t>DELANCY  - 1 LIGHT OUTDOOR WALL MOUNT</t>
  </si>
  <si>
    <t>DELANCY  - 1 LIGHT OUTDOOR POST MOUNT</t>
  </si>
  <si>
    <t>HAVERFORD GROVE- 3 LIGHT CHAIN HUNG</t>
  </si>
  <si>
    <t>HAVERFORD GROVE -3 LIGHT POST MOUNT</t>
  </si>
  <si>
    <t>HANFORD POINTE - LED OUTDOOR  WALL MOUNT</t>
  </si>
  <si>
    <t xml:space="preserve">ASPEN II - 1 LIGHT POCKET LANTERN </t>
  </si>
  <si>
    <t xml:space="preserve">ASPEN II - 2 LIGHT POCKET LANTERN </t>
  </si>
  <si>
    <t>ANDRITA COURT  - 1 LIGHT POCKET LANTERN</t>
  </si>
  <si>
    <t>ANDRITA COURT - 1 LIGHT OUTDOOR WALL MOUNT</t>
  </si>
  <si>
    <t>ANDRITA COURT  - 1 LIGHT WALL MOUNT</t>
  </si>
  <si>
    <t>ANDRITA COURT  - 1 LIGHT POST MOUNT</t>
  </si>
  <si>
    <t>ANDRITA COURT  - 1 LIGHT  FLUSH MOUNT</t>
  </si>
  <si>
    <t>DANORUM - LED OUTDOOR  WALL MOUNT</t>
  </si>
  <si>
    <t>CASSIDY PARK - 3 WALL MOUNT</t>
  </si>
  <si>
    <t>XL WALL LAMP</t>
  </si>
  <si>
    <t xml:space="preserve">SAN MARCOS - 1 LIGHT WALL MOUNT </t>
  </si>
  <si>
    <t xml:space="preserve">SAN MARCOS - 1 LIGHT POST MOUNT </t>
  </si>
  <si>
    <t>HIGHLAND RIDGE -1 LIGHT WALL MOUNT</t>
  </si>
  <si>
    <t xml:space="preserve">CASWAY - 4 LIGHT POST MOUNT </t>
  </si>
  <si>
    <t xml:space="preserve">BISTRO DAWN - 2 LIGHT WALL MOUNT </t>
  </si>
  <si>
    <t xml:space="preserve">SYCAMORE TRAIL - 3 LIGHT CHAIN HUNG </t>
  </si>
  <si>
    <t>WILLOW POINTE - 1 LIGHT  WALL MOUNT</t>
  </si>
  <si>
    <t>CASPIAN  - 1 LIGHT WALL SCONCE</t>
  </si>
  <si>
    <t>BELLASERA  - 3 LIGHT PENDANT</t>
  </si>
  <si>
    <t xml:space="preserve">DIRECT BURIAL POST </t>
  </si>
  <si>
    <t xml:space="preserve">POST WITH BASE </t>
  </si>
  <si>
    <t xml:space="preserve">PIER MOUNT </t>
  </si>
  <si>
    <t>REFELCTIVE LIGHTING BY MINKA - ARM 29"</t>
  </si>
  <si>
    <t>REFELCTIVE LIGHTING BY MINKA - ARM 22"</t>
  </si>
  <si>
    <t>REFELCTIVE LIGHTING BY MINKA - ARM 18"</t>
  </si>
  <si>
    <t>REFELCTIVE LIGHTING BY MINKA - ARM 24"</t>
  </si>
  <si>
    <t>REFELCTIVE LIGHTING BY MINKA - ARM 30"</t>
  </si>
  <si>
    <t>KIRKHAM  - 1 LIGHT WALL MOUNT</t>
  </si>
  <si>
    <t>KIRKHAM  - LED OUTDOOR WALL MOUNT</t>
  </si>
  <si>
    <t>KIRKHAM  - 1 LIGHT POST MOUNT</t>
  </si>
  <si>
    <t>KIRKHAM  - LED OUTDOOR POST MOUNT</t>
  </si>
  <si>
    <t>VANIRA PLACE  - 1 LIGHT WALL MOUNT</t>
  </si>
  <si>
    <t>VANIRA PLACE  - 1 LIGHT POST MOUNT</t>
  </si>
  <si>
    <t>CREST RIDGE - LED OUTDOOR  POST MOUNT</t>
  </si>
  <si>
    <t>SEGOVIA  - 1 LIGHT OUTDOOR POST MOUNT</t>
  </si>
  <si>
    <t>AMARANTE  - 1 LIGHT OUTDOOR WALL MOUNT</t>
  </si>
  <si>
    <t>CRANSTON  - 1 LIGHT OUTDOOR WALL MOUNT</t>
  </si>
  <si>
    <t>CRANSTON  - 1 LIGHT WALL MOUNT</t>
  </si>
  <si>
    <t>CRANSTON  - 1 LIGHT OUTDOOR POST MOUNT</t>
  </si>
  <si>
    <t>MOSSORO  - 1 LIGHT OUTDOOR WALL MOUNT</t>
  </si>
  <si>
    <t>MOSSORO LED 1-LITE BRACKET/SEEDED GLASS</t>
  </si>
  <si>
    <t>MOSSORO  - 2 LIGHT OUTDOOR WALL MOUNT</t>
  </si>
  <si>
    <t>MOSSORO  - 3 LIGHT OUTDOOR WALL MOUNT</t>
  </si>
  <si>
    <t>MOSSORO  -1 LIGHT  WALL MOUNT</t>
  </si>
  <si>
    <t>MOSSORO  - 3 LIGHT OUTDOOR CHAIN HUNG</t>
  </si>
  <si>
    <t>MOSSORO  - 1 LIGHT OUTDOOR CHAIN HUNG</t>
  </si>
  <si>
    <t>MOSSORO  - 4 LIGHT OUTDOOR POST MOUNT</t>
  </si>
  <si>
    <t>MOSSORO  - 1 LIGHT POST MOUNT</t>
  </si>
  <si>
    <t xml:space="preserve">LED FLUSH MOUNT </t>
  </si>
  <si>
    <t xml:space="preserve">MOSSORO  - 1 LIGHT POST MOUNT </t>
  </si>
  <si>
    <t>MOSSORO  - 4 LIGHT WALL MOUNT</t>
  </si>
  <si>
    <t>MOSSORO  - 1 LIGHT WALL MOUNT</t>
  </si>
  <si>
    <t>MOSSORO  - 4 LIGHT CHAIN HUNG</t>
  </si>
  <si>
    <t>SAGE RIDGE  - 1 LIGHT WALL MOUNT</t>
  </si>
  <si>
    <t>SAGE RIDGE  - 1 LIGHT CHAIN HUNG</t>
  </si>
  <si>
    <t>SAGE RIDGE  - 1 LIGHT POST MOUNT</t>
  </si>
  <si>
    <t>CALAVERA  - 8 LIGHT PENDANT</t>
  </si>
  <si>
    <t>PACIFICA  - 1 LIGHT WALL SCONCE</t>
  </si>
  <si>
    <t>BERKELEY  - 1 LIGHT OUTDOOR WALL MOUNT</t>
  </si>
  <si>
    <t>BERKELEY  - 3 LIGHT OUTDOOR WALL MOUNT</t>
  </si>
  <si>
    <t>BERKELEY  - 4 LIGHT OUTDOOR WALL MOUNT</t>
  </si>
  <si>
    <t>BERKELEY  - 4 LIGHT OUTDOOR COLUMN MOUNT</t>
  </si>
  <si>
    <t>TOWNSEND  - 1 LIGHT OUTDOOR WALL MOUNT</t>
  </si>
  <si>
    <t>SCOTTSDALE  II - 1 LIGHT POCKET LANTERN</t>
  </si>
  <si>
    <t>SCOTTSDALE II - 1 LIGHT OUTDOOR WALL MOUNT</t>
  </si>
  <si>
    <t>TRANSITIONAL - 1 LIGHT OUTDOOR POST</t>
  </si>
  <si>
    <t>SCOTTSDALE  II - 1 LIGHT OUTDOOR POST MOUNT</t>
  </si>
  <si>
    <t>TAYLOR COURT  - 1 LIGHT WALL MOUNT</t>
  </si>
  <si>
    <t>TAYLOR COURT  - 2 LIGHT WALL MOUNT</t>
  </si>
  <si>
    <t>TAYLOR COURT  - 3 LIGHT WALL MOUNT</t>
  </si>
  <si>
    <t>TAYLOR COURT  - 3 LIGHT CHAIN HUNG</t>
  </si>
  <si>
    <t>TAYLOR COURT  - 3 LIGHT POST MOUNT</t>
  </si>
  <si>
    <t>HARRISON  - 1 LIGHT OUTDOOR WALL MOUNT</t>
  </si>
  <si>
    <t>HARRISON  - 2 LIGHT OUTDOOR WALL MOUNT</t>
  </si>
  <si>
    <t>HARRISON  - 3 LIGHT OUTDOOR WALL MOUNT</t>
  </si>
  <si>
    <t>HARRISON  - 4 LIGHT OUTDOOR WALL MOUNT</t>
  </si>
  <si>
    <t>HARRISON  - 4 LIGHT OUTDOOR CHAIN HUNG</t>
  </si>
  <si>
    <t>HARRISON  - 3 LIGHT OUTDOOR POST MOUNT</t>
  </si>
  <si>
    <t>HARRISON  - 1 LIGHT OUTDOOR POCKET LANTERN</t>
  </si>
  <si>
    <t>MERRIMACK  - 1 LIGHT OUTDOOR WALL MOUNT</t>
  </si>
  <si>
    <t>MERRIMACK  - 1 LIGHT WALL MOUNT</t>
  </si>
  <si>
    <t>MERRIMACK  - LED OUTDOOR WALL MOUNT</t>
  </si>
  <si>
    <t>MERRIMACK  - 3 LIGHT OUTDOOR WALL MOUNT</t>
  </si>
  <si>
    <t>MERRIMACK  - 3 LIGHT CHAIN HUNG</t>
  </si>
  <si>
    <t>MERRIMACK  - LED OUTDOOR CHAIN HUNG</t>
  </si>
  <si>
    <t>MERRIMACK  - 3 LIGHT POST MOUNT</t>
  </si>
  <si>
    <t>MERRIMACK  - 1 LIGHT POST MOUNT</t>
  </si>
  <si>
    <t>MERRIMACK  - LED OUTDOOR  POST MOUNT</t>
  </si>
  <si>
    <t>MERRIMACK  - 2 LIGHT OUTDOOR FLUSH MOUNT</t>
  </si>
  <si>
    <t>AMHERST  - 1 LIGHT OUTDOOR WALL MOUNT</t>
  </si>
  <si>
    <t>AMHERST  - 3 LIGHT OUTDOOR WALL MOUNT</t>
  </si>
  <si>
    <t>AMHERST  - 4 LIGHT OUTDOOR POST MOUNT</t>
  </si>
  <si>
    <t>MORGAN PARK  - 1 LIGHT OUTDOOR WALL MOUNT</t>
  </si>
  <si>
    <t>MORGAN PARK  - 2 LIGHT OUTDOOR WALL MOUNT</t>
  </si>
  <si>
    <t>MORGAN PARK  - 1 LIGHT OUTDOOR POST MOUNT</t>
  </si>
  <si>
    <t>MORGAN PARK  - 3 LIGHT OUTDOOR POST MOUNT</t>
  </si>
  <si>
    <t>MORGAN PARK OUTDOOR 3 LT</t>
  </si>
  <si>
    <t>MALLORCA  - 1 LIGHT OUTDOOR WALL MOUNT</t>
  </si>
  <si>
    <t>MALLORCA  - 2 LIGHT OUTDOOR WALL MOUNT</t>
  </si>
  <si>
    <t>MALLORCA  - 4 LIGHT OUTDOOR WALL MOUNT</t>
  </si>
  <si>
    <t>MALLORCA  - 5 LIGHT OUTDOOR WALL MOUNT</t>
  </si>
  <si>
    <t>MALLORCA  - 5 LIGHT OUTDOOR CHAIN HUNG</t>
  </si>
  <si>
    <t>MALLORCA  - 3 LIGHT OUTDOOR POST MOUNT</t>
  </si>
  <si>
    <t xml:space="preserve">MALLORCA  - 1 LIGHT OUTDOOR POST MOUNT </t>
  </si>
  <si>
    <t xml:space="preserve">MALLORCA  - 3 LIGHT OUTDOOR POST MOUNT </t>
  </si>
  <si>
    <t>MALLORCA  - 4 LIGHT OUTDOOR POST MOUNT</t>
  </si>
  <si>
    <t>MALLORCA  - 2 LIGHT OUTDOOR POCKET LANTERN</t>
  </si>
  <si>
    <t>MALLORCA  - 3 LIGHT OUTDOOR FLUSH MOUNT</t>
  </si>
  <si>
    <t>NEWPORT  - 2 LIGHT OUTDOOR WALL MOUNT</t>
  </si>
  <si>
    <t>NEWPORT  - 3 LIGHT OUTDOOR WALL MOUNT</t>
  </si>
  <si>
    <t>NEWPORT  - 4 LIGHT OUTDOOR CHAIN HUNG</t>
  </si>
  <si>
    <t>NEWPORT  - 4 LIGHT OUTDOOR POST MOUNT</t>
  </si>
  <si>
    <t>NEWPORT  - 4 LIGHT OUTDOOR WALL MOUNT</t>
  </si>
  <si>
    <t>NEWPORT  - 3 LIGHT OUTDOOR POST MOUNT</t>
  </si>
  <si>
    <t>STRATFORD HALL  - 1 LIGHT OUTDOOR WALL MOUNT</t>
  </si>
  <si>
    <t>STRATFORD HALL  - 2 LIGHT OUTDOOR WALL MOUNT</t>
  </si>
  <si>
    <t>STRATFORD HALL  - 4 LIGHT OUTDOOR WALL MOUNT</t>
  </si>
  <si>
    <t>STRATFORD HALL  - 5 LIGHT OUTDOOR WALL MOUNT</t>
  </si>
  <si>
    <t>STRATFORD HALL  - 5 LIGHT OUTDOOR CHAIN HUNG</t>
  </si>
  <si>
    <t>STRATFORD HALL  - 2 LIGHT OUTDOOR POST MOUNT</t>
  </si>
  <si>
    <t>STRATFORD HALL  - 4 LIGHT OUTDOOR POST MOUNT</t>
  </si>
  <si>
    <t>PARADOX  - 3 LIGHT FLUSH MOUNT</t>
  </si>
  <si>
    <t>PARADOX  - 3-LIGHT FLUSH MOUNT</t>
  </si>
  <si>
    <t>3-LIGHT FLUSH MOUNT</t>
  </si>
  <si>
    <t>ARDMORE  - 1 LIGHT OUTDOOR WALL MOUNT</t>
  </si>
  <si>
    <t>ARDMORE  - 2 LIGHT OUTDOOR WALL MOUNT</t>
  </si>
  <si>
    <t>ARDMORE  - 3 LIGHT OUTDOOR WALL MOUNT</t>
  </si>
  <si>
    <t>ARDMORE  - 5 LIGHT OUTDOOR CHAIN HUNG</t>
  </si>
  <si>
    <t>ARDMORE  - 2 LIGHT OUTDOOR POST MOUNT</t>
  </si>
  <si>
    <t>ARDMORE  - 3 LIGHT OUTDOOR POST MOUNT</t>
  </si>
  <si>
    <t>HANCOCK  - 1 LIGHT OUTDOOR WALL MOUNT</t>
  </si>
  <si>
    <t>HANCOCK  - 3 LIGHT OUTDOOR WALL MOUNT</t>
  </si>
  <si>
    <t>HANCOCK  - 3 LIGHT OUTDOOR POST MOUNT</t>
  </si>
  <si>
    <t>BAY HILL  - 1 LIGHT OUTDOOR WALL MOUNT</t>
  </si>
  <si>
    <t>BAY HILL  - 1 LIGHT OUTDOOR POST MOUNT</t>
  </si>
  <si>
    <t>STRATFORD HALL  - 6 + 3 LIGHT OUTDOOR WALL MOUNT</t>
  </si>
  <si>
    <t>STRATFORD HALL  - 6 + 3 LIGHT OUTDOOR CHAIN HUNG</t>
  </si>
  <si>
    <t>ABBEY LANE  - 1 LIGHT WALL MOUNT</t>
  </si>
  <si>
    <t>ABBEY LANE  - 2 LIGHT OUTDOOR WALL MOUNT</t>
  </si>
  <si>
    <t>ABBEY LANE  - 1 LIGHT OUTDOOR WALL MOUNT</t>
  </si>
  <si>
    <t>ABBEY LANE  - 3 LIGHT OUTDOOR WALL MOUNT</t>
  </si>
  <si>
    <t>ABBEY LANE  - 3 LIGHT OUTDOOR CHAIN HUNG</t>
  </si>
  <si>
    <t>ABBEY LANE  - 1 LIGHT OUTDOOR CHAIN HUNG</t>
  </si>
  <si>
    <t>ABBEY LANE  - 2 LIGHT OUTDOOR POST LANTERN</t>
  </si>
  <si>
    <t>MONTALBO  - 1 LIGHT OUTDOOR POST MOUNT</t>
  </si>
  <si>
    <t>LANDER HEIGHTS  - 1 LIGHT OUTDOOR WALL MOUNT</t>
  </si>
  <si>
    <t xml:space="preserve">BEXLEY MANOR - 4 LIGHT OUTDOOR WALL MOUNT </t>
  </si>
  <si>
    <t>BELCARO  - 3 LIGHT PENDANT</t>
  </si>
  <si>
    <t>BELCARO  - 3 LIGHT SEMI-FLUSH</t>
  </si>
  <si>
    <t>BELCARO  - 3 LIGHT FLUSH MOUNT</t>
  </si>
  <si>
    <t>BELCARO  - 1 LIGHT FLUSH MOUNT</t>
  </si>
  <si>
    <t>ASPEN  II - 1 LIGHT WALL SCONCE</t>
  </si>
  <si>
    <t>ASPEN  II - 1 LIGHT FLUSH MOUNT</t>
  </si>
  <si>
    <t>ASPEN  II - 1 LIGHT MINI PENDANT</t>
  </si>
  <si>
    <t>BAY VIEW  - 1 LIGHT OUTDOOR POCKET LANTERN</t>
  </si>
  <si>
    <t>BAY VIEW  LED OUTDOOR POCKET LANTERN</t>
  </si>
  <si>
    <t>BAY VIEW  - LED OUTDOOR  POCKET LANTERN</t>
  </si>
  <si>
    <t>BAY VIEW  - 2 LIGHT OUTDOOR POCKET LANTERN</t>
  </si>
  <si>
    <t>BAY VIEW - LED OUTDOOR POCKET LANTERN</t>
  </si>
  <si>
    <t>BAY VIEW  - 1 LIGHT OUTDOOR POST MOUNT</t>
  </si>
  <si>
    <t>ARDMORE  - 2 LIGHT OUTDOOR FLUSH MOUNT</t>
  </si>
  <si>
    <t>RP FOR T10670/20670-126</t>
  </si>
  <si>
    <t>ILLUMINATI  - CEILING MEDALLION</t>
  </si>
  <si>
    <t>RP GLS FOR 1971-138</t>
  </si>
  <si>
    <t>REP GLASS FOR 1180-84</t>
  </si>
  <si>
    <t>RP GLS FOR 1180-357</t>
  </si>
  <si>
    <t>REP GLASS FOR 1182-357</t>
  </si>
  <si>
    <t>REP GLAS FOR 1183-357</t>
  </si>
  <si>
    <t>RP FOR 1184-357</t>
  </si>
  <si>
    <t>REPL GLASS / 12374 &amp; 22374-77</t>
  </si>
  <si>
    <t>RP FOR 1257-357</t>
  </si>
  <si>
    <t>RP FOR 1258-357</t>
  </si>
  <si>
    <t>REP GLASS FOR 1270-357</t>
  </si>
  <si>
    <t>RP GLASS 1271/4-357/ 10350-357</t>
  </si>
  <si>
    <t>REP GLASS FOR 1272-357</t>
  </si>
  <si>
    <t>REP GLASS FOR 6271-357</t>
  </si>
  <si>
    <t>RP FOR 1420-84 / 1420-84-PL</t>
  </si>
  <si>
    <t>RP FOR 1422-84 / 1422-84-PL</t>
  </si>
  <si>
    <t>RP FOR 1424-84 / 1424-84-PL</t>
  </si>
  <si>
    <t>RP FOR 1426-84 / 1426-84-PL</t>
  </si>
  <si>
    <t>RP GLASS FOR 1490-A357-PL</t>
  </si>
  <si>
    <t>RP GLASS FOR 1492-A357-PL</t>
  </si>
  <si>
    <t>RP SHADE FOR 1493-357</t>
  </si>
  <si>
    <t>RP GLASS FOR 1494-357 / 1494-252</t>
  </si>
  <si>
    <t>RP 1496-357-PL &amp; 1496-252-PL</t>
  </si>
  <si>
    <t>RP FOR 1498-357 1498-252</t>
  </si>
  <si>
    <t>RP FOR 1514-126</t>
  </si>
  <si>
    <t>RP FOR 1516-126</t>
  </si>
  <si>
    <t>RP FOR 1600-487</t>
  </si>
  <si>
    <t>RP FOR 1602-487</t>
  </si>
  <si>
    <t>REP GLASS FOR 1681-14</t>
  </si>
  <si>
    <t>REP GLASS FOR 1687-14</t>
  </si>
  <si>
    <t>RP FOR 1730-167 / 1730-613</t>
  </si>
  <si>
    <t>RP FOR 1731/3/4/5/8/9-167 / 1731/3/4/5/8/9-613 / 6731/2/3/4-1-613/6731/2/3/-167</t>
  </si>
  <si>
    <t>RP FOR 1810-66 / 1810-84</t>
  </si>
  <si>
    <t>RP GLASS FOR 1816-66 / 1816-84</t>
  </si>
  <si>
    <t>RP GLASS FOR 1817-66 / 1817-84</t>
  </si>
  <si>
    <t>RP GLASS 1820-1-84/ 1820-1-267C FROSTED W/ WHITE INSIDE</t>
  </si>
  <si>
    <t>RP FOR 1862-66</t>
  </si>
  <si>
    <t>RP FOR 1870-66</t>
  </si>
  <si>
    <t>RP FOR 1871-66</t>
  </si>
  <si>
    <t>RP FOR 1873-66</t>
  </si>
  <si>
    <t>GLASS D308/H222MM FOR 2260-84</t>
  </si>
  <si>
    <t>GLASS D333/H199MM FOR 2262-84</t>
  </si>
  <si>
    <t>RP GLASS FOR 2331-77</t>
  </si>
  <si>
    <t>REPL.GLASS 249</t>
  </si>
  <si>
    <t>RP FOR 2708-77/84/37B TRIM GLASS</t>
  </si>
  <si>
    <t>RP FOR 2728-357 &amp; 6188-357</t>
  </si>
  <si>
    <t>RP FOR 2718-63 &amp; 5468-63</t>
  </si>
  <si>
    <t>RP FOR 2808-301</t>
  </si>
  <si>
    <t>RP FOR 2808-126 &amp; 5948-126</t>
  </si>
  <si>
    <t>RP FOR 2858-355 &amp; 6728-355</t>
  </si>
  <si>
    <t>ETCHED OPAL GLASS 180/130/32 FOR 2901/2/3-1-613-L</t>
  </si>
  <si>
    <t>ETCHED OPAL GLASS 161/128/32 FOR 2911/2/3-281-L</t>
  </si>
  <si>
    <t>WHITE SCREEN PRINT GLASS 206/118/54 FOR 2921-77-L</t>
  </si>
  <si>
    <t>CLEAR GLASS 201/77.50/3.0 FOR 2921-77-L</t>
  </si>
  <si>
    <t>WHITE SCREEN PRINT GLASS 610/118/54 FOR 2922-77-L</t>
  </si>
  <si>
    <t>CLEAR GLASS 605/77.50/3.0 FOR 2922-77-L</t>
  </si>
  <si>
    <t>WHITE SCREEN PRINT GLASS 762/118/54 FOR 2923-77-L</t>
  </si>
  <si>
    <t>CLEAR GLASS 757/77.50/3.0 FOR 2923-77-L</t>
  </si>
  <si>
    <t>WHITE SCREEN PRINT GLASS 209/131/3 FOR 2931-84-L</t>
  </si>
  <si>
    <t>WHITE SCREEN PRINT GLASS 390/131/3 FOR 2932-84-L</t>
  </si>
  <si>
    <t>WHITE SCREEN PRINT GLASS 588/131/3 FOR 2933-84-L</t>
  </si>
  <si>
    <t>WHITE SCREEN PRINT GLASS 403/108/66 FOR 2942-248-L, 2942-84-L</t>
  </si>
  <si>
    <t>WHITE SCREEN PRINT GLASS 631.50/108/66 FOR 2943-248-L, 2943-84-L</t>
  </si>
  <si>
    <t>WHITE SCREEN PRINT GLASS 758.5/108/66 FOR 2944-248-L, 2944-84-L</t>
  </si>
  <si>
    <t>RP FOR T30500-477</t>
  </si>
  <si>
    <t>RP FOR 3221/2/4-77 / 3221/4-37C WHITE</t>
  </si>
  <si>
    <t>RP FOR 322X-37C TIGER GLASS</t>
  </si>
  <si>
    <t>RP FOR 3231-77</t>
  </si>
  <si>
    <t>RP FOR 3241/2/3/4-77</t>
  </si>
  <si>
    <t>RP FOR 325X-208</t>
  </si>
  <si>
    <t>RP FOR 3260-77</t>
  </si>
  <si>
    <t>RP FOR ADAMAS FAMILY</t>
  </si>
  <si>
    <t>REP GLASS FOR 331</t>
  </si>
  <si>
    <t>RP FOR 331X-84</t>
  </si>
  <si>
    <t>REP GLASS FOR 332-37</t>
  </si>
  <si>
    <t>REP GLASS FOR 333</t>
  </si>
  <si>
    <t>RP FOR 336</t>
  </si>
  <si>
    <t>RP FOR 338</t>
  </si>
  <si>
    <t>RP FOR 339-1</t>
  </si>
  <si>
    <t>REP GLASS FOR 341-357/ 341-172/ 341-248 / 341-84/ 341-357-PL</t>
  </si>
  <si>
    <t>RP GLASS FOR 342-357/ 342-172/ 342-248/ 342-84 / 342-357-PL</t>
  </si>
  <si>
    <t>REP GLASS FOR 343-84</t>
  </si>
  <si>
    <t>RP GLASS FOR 344-84 / 344-84-PL</t>
  </si>
  <si>
    <t>RP GLASS FOR 345-37B / 345-37B-PL</t>
  </si>
  <si>
    <t>REP GLASS FOR 346-14</t>
  </si>
  <si>
    <t>RP FOR 348-37B</t>
  </si>
  <si>
    <t>REPL GLASS SHADE FOR 4571/3/4/5-583 &amp; 3571/2/3/4-583 DIA6-3/8"XH7-</t>
  </si>
  <si>
    <t>RP LARGE FRONT FOR 362-357</t>
  </si>
  <si>
    <t>RP SM SIDE FOR 362-357</t>
  </si>
  <si>
    <t>RP OUTER CLEAR GLASS D5"/H:6" FOR 4103/5/9-172</t>
  </si>
  <si>
    <t>RP GLS FOR 412</t>
  </si>
  <si>
    <t>REPLACEMENT GLS FOR 413</t>
  </si>
  <si>
    <t>RP GLASS FOR 4221/2/3/4-84</t>
  </si>
  <si>
    <t>RP GLASS FOR 4229-296 / 4229-84 2STEPS HAND PAINT GLS</t>
  </si>
  <si>
    <t>RP GLASS FOR 4235/4238/4239-288 VENATA DE ORO</t>
  </si>
  <si>
    <t>RP FOR 4248-77</t>
  </si>
  <si>
    <t>RP FOR 4267-77</t>
  </si>
  <si>
    <t>RP FOR 4277-77</t>
  </si>
  <si>
    <t>RP GLASS FOR 4280-77</t>
  </si>
  <si>
    <t>RP GLASS FOR 4282-77 / 4282-647</t>
  </si>
  <si>
    <t>RP FOR 4286-77</t>
  </si>
  <si>
    <t>RP GLASS D6-1/4"XH4-1/4" 6290/4291/4295/4299 -84 HAND PAINT</t>
  </si>
  <si>
    <t>RP GLASS FOR 4297-1-84/ 4297-1-281 FROSTED GLASS</t>
  </si>
  <si>
    <t>RP GLASS FOR 4332-561 DOVER MIST</t>
  </si>
  <si>
    <t>RP GLASS FOR 4336/4339-561 DOVER MIST</t>
  </si>
  <si>
    <t>RP GLASS 4365-281 / 4365-249 / 4365-613 OPAL</t>
  </si>
  <si>
    <t>RP GLASS FOR 4391-573</t>
  </si>
  <si>
    <t>RP GLASS FOR 4392-573   6 7/8" X 11 1/8" X 1 3/8"</t>
  </si>
  <si>
    <t>RP GLASS FOR 4397-573</t>
  </si>
  <si>
    <t>RP GLASS FOR 4472-298</t>
  </si>
  <si>
    <t>RP GLASS FOR 4482-167B</t>
  </si>
  <si>
    <t>RP GLASS FOR 4483-167B</t>
  </si>
  <si>
    <t>RP GLASS FOR 4487-167B</t>
  </si>
  <si>
    <t>RP INNER GLASS FOR 4490/1/3/4/9-298 ETCHED WHITE</t>
  </si>
  <si>
    <t>RP GLS BOTTOM BOWL 4503-292 ETCHED WHITE</t>
  </si>
  <si>
    <t>RP FOR 4740-206</t>
  </si>
  <si>
    <t>RP FOR 4746-206 W652MM/T4MM DOWN GLASS PANEL</t>
  </si>
  <si>
    <t>RP FOR 4747-206</t>
  </si>
  <si>
    <t>ETCHED WHITE GLASS D6-1/8"/5-1/8" FOR 4861-279, 5860/1/2/3/4-279</t>
  </si>
  <si>
    <t>ETCHED WHITE D10"/1-1/4" FOR 4867-279</t>
  </si>
  <si>
    <t>CLEAR SEEDY GLASS W192/145/3.0T FOR 4870-283 (FRONT GLS)</t>
  </si>
  <si>
    <t>CLEAR SEEDY GLASS W102/145/3.0T FOR 4870-283 (SIDE GLS)</t>
  </si>
  <si>
    <t>CLEAR SEEDY GLASS W155/119/3.0T FOR 4871-283 (FRONT GLS)</t>
  </si>
  <si>
    <t>CLEAR SEEDY GLASS W138/119/3.0T FOR 4871-283 (SIDE GLS)</t>
  </si>
  <si>
    <t>CLEAR GLASS WITH WHITE IN SIDE W100/195/3.0T  FOR 4871-283 (INNER FRONT &amp; SIDE)</t>
  </si>
  <si>
    <t>CLEAR SEEDY GLASS W423/75/3.0T FOR 4872-283 (FRONT GLS)</t>
  </si>
  <si>
    <t>CLEAR GLASS WITH WHITE IN SIDE W343/115/3.0T FOR 4872-283 (INNER FRONT)</t>
  </si>
  <si>
    <t>CLEAR SEEDY GLASS W127/75/3.0T FOR 4872/3/4-283 (SIDE GLS)</t>
  </si>
  <si>
    <t>CLEAR GLASS W92/115/3.0T WITH WHITE IN SIDE FOR 4872/3/4-283 (INNER SIDE)</t>
  </si>
  <si>
    <t>CLEAR GLASS WITH WHITE IN SIDE FOR 4872-283 (BOTTOM)</t>
  </si>
  <si>
    <t>CLEAR SEEDY GLASS W600/75/3.0T FOR 4873-283 (FRONT GLS)</t>
  </si>
  <si>
    <t>CLEAR GLASS WITH WHITE IN SIDE W520*115*3.0T FOR 4873-283 (INNER FRONT)</t>
  </si>
  <si>
    <t>CLEAR GLASS WITH WHITE IN SIDE W520*90*3.0T FOR 4873-283 (BOTTOM)</t>
  </si>
  <si>
    <t>CLEAR SEEDY GLASS W752*75*3.0T FOR 4874-283 (FRONT GLS)</t>
  </si>
  <si>
    <t>CLEAR GLASS WITH WHITE IN SIDE W672*115*3.0T FOR 4874-1A</t>
  </si>
  <si>
    <t>CLEAR GLASS WITH WHITE IN SIDE W672*87*3.0T FOR 4874-283 (BOTTOM)</t>
  </si>
  <si>
    <t>CLEAR SEEDY GLASS W379X192X3.0T FOR 4875-283</t>
  </si>
  <si>
    <t>CLEAR SEEDY GLASS W265*142*3.0T FOR 4876-283</t>
  </si>
  <si>
    <t>CLEAR SEEDY FRONT GLASS W797*192*3.0T 4878-283</t>
  </si>
  <si>
    <t>CLEAR SEEDY SIDE GLASS W365X192X3.0T FOR 4878-283</t>
  </si>
  <si>
    <t>CLEAR SEEDY GLASS W177*141*3.0T FOR 4879-283</t>
  </si>
  <si>
    <t>RP FOR 4931/33/39/35-281</t>
  </si>
  <si>
    <t>RP FOR 4962-84/4932-281</t>
  </si>
  <si>
    <t>REPL.GLASS 505-84</t>
  </si>
  <si>
    <t>RP FOR 5277-77</t>
  </si>
  <si>
    <t>REP GLASS FOR 542-08</t>
  </si>
  <si>
    <t>RP FOR 1421/5421/2/3/4-84</t>
  </si>
  <si>
    <t>REP GLASS FOR 543-14</t>
  </si>
  <si>
    <t>REP GLASS FOR 549</t>
  </si>
  <si>
    <t>RP FOR 5517-126</t>
  </si>
  <si>
    <t>REP GLASS FOR 5841-77 FAMILY</t>
  </si>
  <si>
    <t>REP GLASS FOR 5971-138</t>
  </si>
  <si>
    <t>RP GLASS FOR 602-267 ETCHED OPAL</t>
  </si>
  <si>
    <t>RP FOR 6051/2/3/4-77</t>
  </si>
  <si>
    <t>RP FOR 6057-77</t>
  </si>
  <si>
    <t>RP FOR 6058-77</t>
  </si>
  <si>
    <t>RP FOR 609X-178</t>
  </si>
  <si>
    <t>RP FOR 6134-357</t>
  </si>
  <si>
    <t>RP FOR 6151/6152/6153/6153/6154-244</t>
  </si>
  <si>
    <t>RP FOR 6158-244</t>
  </si>
  <si>
    <t>RP FOR 6162-84-PL</t>
  </si>
  <si>
    <t>RP FOR 6163-84-PL</t>
  </si>
  <si>
    <t>RP FOR 6164-84-PL</t>
  </si>
  <si>
    <t>RP GLS FOR 6181-4/1186/8-357</t>
  </si>
  <si>
    <t>RP GLS FOR 6181-4/1186/8-84</t>
  </si>
  <si>
    <t>RP FOR 6211/6212-77</t>
  </si>
  <si>
    <t>RP GLS FOR 6221/2/3/4-84</t>
  </si>
  <si>
    <t>RP GLASS FOR 6231-288 VENATA DE ORO</t>
  </si>
  <si>
    <t>RP GLASS FOR 6247-267B BRUSHED CARAMEL SILK</t>
  </si>
  <si>
    <t>RP GLASS FOR 6248-267B BRUSHED CARAMEL SILK</t>
  </si>
  <si>
    <t>RP GLASS FOR 6249-267B BRUSHED CARAMEL SILK</t>
  </si>
  <si>
    <t>RP GLASS D12"XH4-3/4" FOR 6291-84 HAND PAINT</t>
  </si>
  <si>
    <t>RP GLASS FOR 6331/2/3/4-561 DOVER MIST</t>
  </si>
  <si>
    <t>RP FOR 1349/1352-177</t>
  </si>
  <si>
    <t>RP GLASS FOR 4331/3-561 DOVE MIST</t>
  </si>
  <si>
    <t>RP FOR 6358-177</t>
  </si>
  <si>
    <t>RP GLASS 6360/6362/6363/6364 -281 CLEAR</t>
  </si>
  <si>
    <t>RP GLASS 6360/6362/6363/6364 -281 OPAL GLASS</t>
  </si>
  <si>
    <t>RP FOR 6371-77</t>
  </si>
  <si>
    <t>RP FOR 6372-77</t>
  </si>
  <si>
    <t>RP FOR 6381/6382/6383/6384-77</t>
  </si>
  <si>
    <t>RP GLASS FOR 6390-573  9" X 13 1/4" X 13"</t>
  </si>
  <si>
    <t>RP GLASS FOR 6391/2/3/4-573  8 1/8" X 4 5/8" X 1 5/8"</t>
  </si>
  <si>
    <t>RP 7 1/2" DIFFUSER FOR 6391-573 FROSTED</t>
  </si>
  <si>
    <t>RP GLASS FOR 6431-77/267</t>
  </si>
  <si>
    <t>RP GLASS FOR 6432-77/267 ETCHED OPAL</t>
  </si>
  <si>
    <t>RP GLASS FOR 6440-267-PL ETCHED OPAL</t>
  </si>
  <si>
    <t>RP GLASS FOR 6441-267-PL ETCHED OPAL</t>
  </si>
  <si>
    <t>RP GLASS FOR 6442-267-PL ETCHED WHITE</t>
  </si>
  <si>
    <t>RP GLASS FOR 6448-267-PL ETCHED WHITE</t>
  </si>
  <si>
    <t>RP GLASS FOR 6451/2/3/4-84/267 ETCHED OPAL</t>
  </si>
  <si>
    <t>RP GLASS FOR 6460-273</t>
  </si>
  <si>
    <t>RP GLASS FOR 6461/2/3/4-273</t>
  </si>
  <si>
    <t>RP GLASS FOR 6471/4471/6/9-298</t>
  </si>
  <si>
    <t>RP GLASS FOR 6481/2/3/4/4484-167B</t>
  </si>
  <si>
    <t>RP GLASS FOR 6491-84/167B CLEAR W/ WHITE BLASTED GLS SHADE</t>
  </si>
  <si>
    <t>RP GLASS FOR 6492-84/167B CLEAR W/WHITE BLASTED GLS SHADE</t>
  </si>
  <si>
    <t>RP GLASS FOR 6493-84/167B CLEAR W/WHITE BLASTED SHADE</t>
  </si>
  <si>
    <t>RP GLASS FOR 6494-84-167B CLEAR W/WHITE BLASTED GLS SHADE</t>
  </si>
  <si>
    <t>RP GLASS FOR 6522-77/267 RIBBED WITH WHITE PAINT</t>
  </si>
  <si>
    <t>RP GLASS 6523-77/267 RIBBED WITH WHITE PAINT</t>
  </si>
  <si>
    <t>RP FOR 6740-206 &amp; 4750-206</t>
  </si>
  <si>
    <t>RP FOR 1811/1813/1815/1818-66/84 // 6810/1/2/3/4-66/84</t>
  </si>
  <si>
    <t>REPLACEMENT GLASS 682-14 / 688-14</t>
  </si>
  <si>
    <t>RP GLASS 683-14</t>
  </si>
  <si>
    <t>RP GLASS 684-14</t>
  </si>
  <si>
    <t>RP GLASS 687-14</t>
  </si>
  <si>
    <t>RP FOR 6872-66</t>
  </si>
  <si>
    <t>RP FOR 6873-66-PL</t>
  </si>
  <si>
    <t>RP FOR 6874-66-PL</t>
  </si>
  <si>
    <t>RP GLASS 681-14</t>
  </si>
  <si>
    <t>RP GLASS FOR 71154-61-PL 71154-91-PL AND 71154-94-PL</t>
  </si>
  <si>
    <t>RP GLASS FOR 71154-61-PL 71154-91-PL</t>
  </si>
  <si>
    <t>RP GLASS FOR 71164-91-PL</t>
  </si>
  <si>
    <t>REPLACMNT GLS FOR 71191-357-PL</t>
  </si>
  <si>
    <t>REPLCMNT GLS FOR 71193-357-PL</t>
  </si>
  <si>
    <t>REPLCMNT GLS FOR 71196-357-PL</t>
  </si>
  <si>
    <t>REPLCMENT GLS FOR 71196-357-PL</t>
  </si>
  <si>
    <t>REPLCMNT GLS FOR 71197-357-PL</t>
  </si>
  <si>
    <t>FRONT PANEL GLS FOR 71198-357-PL</t>
  </si>
  <si>
    <t>SIDE PANEL GLS FOR 71198-357-PL</t>
  </si>
  <si>
    <t>BOTTOM GLS FOR 71199-A357-PL</t>
  </si>
  <si>
    <t>SIDE GLS FOR 71199-A357-PL</t>
  </si>
  <si>
    <t>RP GLASS FOR 72001-A138-PL</t>
  </si>
  <si>
    <t>RP GLASS 72002-A138-PL</t>
  </si>
  <si>
    <t>RP FOR 72011-A173-PL</t>
  </si>
  <si>
    <t>RP GLASS FOR 72011-A615B-PL</t>
  </si>
  <si>
    <t>RP GLASS FOR 72012-173-PL</t>
  </si>
  <si>
    <t>RP GLASS 72020-179-PL</t>
  </si>
  <si>
    <t>RP GLASS FOR 72021-179-PL</t>
  </si>
  <si>
    <t>RP GLASS FOR 72022-179-PL</t>
  </si>
  <si>
    <t>RP GLASS FOR 72023/26-A179-PL</t>
  </si>
  <si>
    <t>RP GLASS FOR 72029-A179-PL</t>
  </si>
  <si>
    <t>RP GLASS FOR 72031-179-PL</t>
  </si>
  <si>
    <t>RP FOR 72031-179-PL</t>
  </si>
  <si>
    <t>RP GLASS 72041-66-PL</t>
  </si>
  <si>
    <t>RP GLASS FOR 72051-203-PL</t>
  </si>
  <si>
    <t>RP GLASS FOR 72052-203-PL</t>
  </si>
  <si>
    <t>RP GLASS FOR 72066-173-PL</t>
  </si>
  <si>
    <t>RP GLASS FOR 72071-489-PL</t>
  </si>
  <si>
    <t>RP GLASS FOR 72072-489-PL/72076-489-PL</t>
  </si>
  <si>
    <t>RP GLASS FOR 72081-143-PL</t>
  </si>
  <si>
    <t>RP GLASS FOR 72082-143-PL</t>
  </si>
  <si>
    <t>RP FOR 72091-357-PL DOUBLE FRENCH SCAVO</t>
  </si>
  <si>
    <t>RP FOR 72101-357-PL</t>
  </si>
  <si>
    <t>RP FOR 72102-357-PL</t>
  </si>
  <si>
    <t>RP FOR 72106-357-PL</t>
  </si>
  <si>
    <t>RP GLS 72121-144-PL</t>
  </si>
  <si>
    <t>RP GLASS FOR 72121-144-PL</t>
  </si>
  <si>
    <t>RP FOR 72122-144-PL</t>
  </si>
  <si>
    <t>RP FOR 72131-357-PL</t>
  </si>
  <si>
    <t>RP FOR 72132-357-PL</t>
  </si>
  <si>
    <t>RP FOR 72133-357-PL</t>
  </si>
  <si>
    <t>RP 72151-66-PL FRONT GLASS</t>
  </si>
  <si>
    <t>RP 72152-66-PL FRONT GLASS</t>
  </si>
  <si>
    <t>RP 72153-66-PL FRONT PANEL</t>
  </si>
  <si>
    <t>RP 72154-66-PL</t>
  </si>
  <si>
    <t>RP 72156-66-PL</t>
  </si>
  <si>
    <t>RP FOR 72160-251-PL</t>
  </si>
  <si>
    <t>RP FOR 72167-251-PL</t>
  </si>
  <si>
    <t>RP FOR 72168-251-PL</t>
  </si>
  <si>
    <t>RP FOR 72181-179-PL</t>
  </si>
  <si>
    <t>RP FOR 72182-179-PL</t>
  </si>
  <si>
    <t>RP 72186-179-PL</t>
  </si>
  <si>
    <t>RP GLS 72191-144</t>
  </si>
  <si>
    <t>RP GLAS G72192/196-144</t>
  </si>
  <si>
    <t>RP GLS 72201-171</t>
  </si>
  <si>
    <t>RP GLS 72251-66</t>
  </si>
  <si>
    <t>RP GLS 72253-66</t>
  </si>
  <si>
    <t>RP GLS 72261-189</t>
  </si>
  <si>
    <t>RP GLS 72262-189</t>
  </si>
  <si>
    <t>RP GLS 72271-66</t>
  </si>
  <si>
    <t>RP GLS 72272-66</t>
  </si>
  <si>
    <t>RP GLS 72281-66</t>
  </si>
  <si>
    <t>RP GLS 72282-66</t>
  </si>
  <si>
    <t>RP GLS 72292-291 AND 72294-291</t>
  </si>
  <si>
    <t>RP GLS 72301-291</t>
  </si>
  <si>
    <t>RP GLS 72302/6-291</t>
  </si>
  <si>
    <t>RP GLASS FOR 7500-151-PL/7500-61-PL/7500-94-PL</t>
  </si>
  <si>
    <t>RP FOR 8000-161-PL</t>
  </si>
  <si>
    <t>REPLCEMNT GLS FOR 8191-164</t>
  </si>
  <si>
    <t>RP GLASS FOR 8199-164</t>
  </si>
  <si>
    <t>REPLCMNT GLS FOR 8201-61/94-PL</t>
  </si>
  <si>
    <t>RPLCNT GLS FR 8202/06-61/94-PL</t>
  </si>
  <si>
    <t>RP FOR 8209-61</t>
  </si>
  <si>
    <t>RP GLASS FOR 8209-94-PL/8209-61-PL</t>
  </si>
  <si>
    <t>RP GLASS FOR 8210/8213/8214 8216-61-PL</t>
  </si>
  <si>
    <t>RP GLASS FOR 8212-61-PL</t>
  </si>
  <si>
    <t>RP GLASS FO R8217-61-PL</t>
  </si>
  <si>
    <t>REP GLASS FOR 8231-163/94</t>
  </si>
  <si>
    <t>REP GLASS FOR 8231-163/94-PL</t>
  </si>
  <si>
    <t>REP GLASS FOR 8233-163/94</t>
  </si>
  <si>
    <t>REP GLASS FOR 8233/34-163/94-PL</t>
  </si>
  <si>
    <t>REPLCMNT GLS FOR 8251-61/94-PL</t>
  </si>
  <si>
    <t>RPLCMT GLS FR 8252-61/94-PL</t>
  </si>
  <si>
    <t>RPLCMNT GLS FOR 8253/54-61/94</t>
  </si>
  <si>
    <t>RPLCNT GLS FR 8253/54-61/94-PL</t>
  </si>
  <si>
    <t>REPLACEMNT GLS FOR 8261-161</t>
  </si>
  <si>
    <t>REPLACEMNT GLS FOR 8262/66-161</t>
  </si>
  <si>
    <t>REPLCEMNT GLS FOR 8263/64-161</t>
  </si>
  <si>
    <t>RP FOR 8267-161/8265-161/8268-161</t>
  </si>
  <si>
    <t>REPLACEMENT GLS FOR 8272-357</t>
  </si>
  <si>
    <t>RPLCMNT GLS FOR 8273/74/76-357</t>
  </si>
  <si>
    <t>RP GLASS FOR 828-84  828-84-PL 828-86 828-91</t>
  </si>
  <si>
    <t>RPL GLASS 8293/8294/8296-91</t>
  </si>
  <si>
    <t>REPL GLS FOR 83-14</t>
  </si>
  <si>
    <t>RP GLS 830-84 830-84-PL  830-86  830-91</t>
  </si>
  <si>
    <t>REP. GLS FOR 842-91</t>
  </si>
  <si>
    <t>REPLCMNT GLS FOR 8560-51-PL</t>
  </si>
  <si>
    <t>REPLCMNT GLS FOR 8561-51-PL</t>
  </si>
  <si>
    <t>REPL. GLASS FOR 8562 SERIES</t>
  </si>
  <si>
    <t>REPLCMNT GLS FOR 8562-51-PL</t>
  </si>
  <si>
    <t>REPL GLASS FOR 8563/8560-51-86</t>
  </si>
  <si>
    <t>REPLCMNT GLS FOR 8560/63-51-PL AND 8566/67-51-PL</t>
  </si>
  <si>
    <t>REPL SIDE GLASS 6-3/4X3-1/2" FOR 8601</t>
  </si>
  <si>
    <t>REPL FRONT GLASS FOR 8603</t>
  </si>
  <si>
    <t>RPL GLASS FOR 8605-A179-PL</t>
  </si>
  <si>
    <t>HONEY OPAL BOTTOM GLASS 7-1/8X5-3/8"</t>
  </si>
  <si>
    <t>GLS FOR 8610/8613/8614/8616/18</t>
  </si>
  <si>
    <t>RP GLASS 8617-61</t>
  </si>
  <si>
    <t>RP GLASS SHADE FOR 8619-A61</t>
  </si>
  <si>
    <t>RPL GLASS 8690-61</t>
  </si>
  <si>
    <t>RPL GLASS 8691-61/8695-61 LG</t>
  </si>
  <si>
    <t>REPLACEMENT GLAS FOR 8691-1-61/94-PL</t>
  </si>
  <si>
    <t>RPL GLASS 8691-61/8695-61 SM</t>
  </si>
  <si>
    <t>RP SMALL GLS FOR 8691-1-61-PL</t>
  </si>
  <si>
    <t>RPL GL 8697-61 LARGE/1 PER FIX</t>
  </si>
  <si>
    <t>RPL GL 8697-61 MED/2 PER FIX</t>
  </si>
  <si>
    <t>REPLACEMENT GLASS 8697-1-61-PL</t>
  </si>
  <si>
    <t>RPL GL 8697-61 SMALL/2 PER FIX</t>
  </si>
  <si>
    <t>RP GLASS FOR 8697-1-61-PL</t>
  </si>
  <si>
    <t>RPL GL 8698-61 1 PER FIX LRG</t>
  </si>
  <si>
    <t>RPL GL 8698-61 2 PER FIX MED</t>
  </si>
  <si>
    <t>RPL GLASS 8698-61 SM 2 PER FIX</t>
  </si>
  <si>
    <t>RP GLASS BACK LEFT 8700-41</t>
  </si>
  <si>
    <t>RP GLASS BACK RIGHT 8700-41</t>
  </si>
  <si>
    <t>RPL GLASS 8701-41 8 PER FIX</t>
  </si>
  <si>
    <t>RP GL 8702-41/8700-4 L/R F</t>
  </si>
  <si>
    <t>RP GL 8702-41/8700-41 CENT 1PC</t>
  </si>
  <si>
    <t>RPL GL DOOR 8703/8706-41 1PC</t>
  </si>
  <si>
    <t>RPL GLASS 8709-41 8 PER FIX</t>
  </si>
  <si>
    <t>REPL GLASS FOR 8711/16/17 .01</t>
  </si>
  <si>
    <t>REPLACEMENT GLS FOR 8721-615B</t>
  </si>
  <si>
    <t>REPLACEMENT GLS FOR 8722-A615B &amp; 8726-A615B</t>
  </si>
  <si>
    <t>RP FOR 8723/4/5/7-A</t>
  </si>
  <si>
    <t>RP DIFFUSER 8724-615B</t>
  </si>
  <si>
    <t>REPLACEMNT GLS FOR 8751-161</t>
  </si>
  <si>
    <t>REPLACEMNT GLS FOR 8761-166</t>
  </si>
  <si>
    <t>RP FOR 8761-166-PL</t>
  </si>
  <si>
    <t>REPLCMNT GLS FOR 8762/66-166</t>
  </si>
  <si>
    <t>RP FOR 8762-166-PL</t>
  </si>
  <si>
    <t>RP FOR 8763/4/5-166-PL</t>
  </si>
  <si>
    <t>REPLCMENT GLS FOR 8769-166</t>
  </si>
  <si>
    <t>RP GL (LARGER PC) 8790-32</t>
  </si>
  <si>
    <t>RP GL (SMALLER PC) 8790-32</t>
  </si>
  <si>
    <t>RP GLS (LARGER PC) 8791/95-32</t>
  </si>
  <si>
    <t>RP GLS (SMALLER PC) 8792/96-32</t>
  </si>
  <si>
    <t>RP GLS (LARGER PC) 8793/94-32</t>
  </si>
  <si>
    <t>RP GLS (SMALLER PC) 8793/94-32</t>
  </si>
  <si>
    <t>RP GLS (SMALLEST PC) 8797-32</t>
  </si>
  <si>
    <t>RP GLS (LARGEST PC) 8798-32</t>
  </si>
  <si>
    <t>RP GLS (SMALLEST PC) 8798-161</t>
  </si>
  <si>
    <t>REPL GLASS FOR 8799-161 CLEAR/ BEVEL GLASS</t>
  </si>
  <si>
    <t>REPL GLASS FOR 8799-161 CLEAR/BEVEL GLASS</t>
  </si>
  <si>
    <t>REP GLASS 8810-57</t>
  </si>
  <si>
    <t>REP.GLASS 8810-57</t>
  </si>
  <si>
    <t>REP GLASS 8811/15-57</t>
  </si>
  <si>
    <t>REP.GLASS 8811/15-57</t>
  </si>
  <si>
    <t>REP GLS 8812/16/18/-57</t>
  </si>
  <si>
    <t>REP.GLS 8812/16/18/-57</t>
  </si>
  <si>
    <t>CLEAR SEEDY REPLACEMENT GLASS</t>
  </si>
  <si>
    <t>CLEAR SEEDY RPL GLASS 9159-357</t>
  </si>
  <si>
    <t>RP CLEAR HAMMER GLS-8990/97/99-61</t>
  </si>
  <si>
    <t>CLEAR STRAIGHT OPTIC REPL GLAS 8841-94</t>
  </si>
  <si>
    <t>CLEAR HAMMER GLS-8991/95-61</t>
  </si>
  <si>
    <t>CLEAR HAMMER GLS-8992/8996-61/8992-66</t>
  </si>
  <si>
    <t>CLEAR STRAIGHT OPTIC REPL GLAS 8844-94</t>
  </si>
  <si>
    <t>RPL GLASS 8880-39 1 PER FIX / 8880-A61</t>
  </si>
  <si>
    <t>REP GLASS FOR 8880-A39-PL</t>
  </si>
  <si>
    <t>RPL GLS 8881-39/8885-39 1P FIX</t>
  </si>
  <si>
    <t>REP GLASS FOR 8881-39-PL</t>
  </si>
  <si>
    <t>REP GLASS FOR 8882-39-PL</t>
  </si>
  <si>
    <t>RPL GLASS 8887-39</t>
  </si>
  <si>
    <t>REP GLASS FOR 8883-39-PL</t>
  </si>
  <si>
    <t>RP GLASS FOR 8889-A39</t>
  </si>
  <si>
    <t>REPL.GLS 8901/8902-94</t>
  </si>
  <si>
    <t>REPL.GLS 8903/4/6/8-94</t>
  </si>
  <si>
    <t>RPL GLS 8905-94/8900-94</t>
  </si>
  <si>
    <t>RP GLS 891-84/91 / 891-84-PL</t>
  </si>
  <si>
    <t>RP FOR 892-126/357</t>
  </si>
  <si>
    <t>RP GLS 893-84/91 / 893-84-PL  893-91-PL</t>
  </si>
  <si>
    <t>REPL TOP GLASS FOR 8930</t>
  </si>
  <si>
    <t>REPL BOTTOM GLS FOR 8930</t>
  </si>
  <si>
    <t>RP FOR 893-126/357</t>
  </si>
  <si>
    <t>REPL TOP GLASS FOR 8931</t>
  </si>
  <si>
    <t>REPL BOTTOM GLS FOR 8931</t>
  </si>
  <si>
    <t>REPL TOP GLASS FOR 8932</t>
  </si>
  <si>
    <t>REPL BOTTOM GLS FOR 8932</t>
  </si>
  <si>
    <t>REPL TOP GLASS FOR 8933A</t>
  </si>
  <si>
    <t>REPL BOTTOM GLS FOR 8933</t>
  </si>
  <si>
    <t>RP GLASS 8988-61-PL</t>
  </si>
  <si>
    <t>RP GLASS FOR 8989-61</t>
  </si>
  <si>
    <t>RP GLASS FOR 8989-61-PL</t>
  </si>
  <si>
    <t>REPLACEM'T GLASS 9010/17-66/78</t>
  </si>
  <si>
    <t>REPLACM'T GLS 9011/16/18-66/78</t>
  </si>
  <si>
    <t>REPL GLASS FOR 9060 SERIES</t>
  </si>
  <si>
    <t>REPL GLASS FOR 9066</t>
  </si>
  <si>
    <t>REP GLASS FOR 9080-407-PL (4-3/4"+3-5/8")/7-7/8"X5MM</t>
  </si>
  <si>
    <t>REP GLASS FOR 9080-407-PL (3"+2-3/8")/7-7/8"X5MM</t>
  </si>
  <si>
    <t>REP GLASS FOR 9082-407-PL</t>
  </si>
  <si>
    <t>REP GLASS FOR 9083-407-PL</t>
  </si>
  <si>
    <t>REP GLASS FOR 9087-407-PL</t>
  </si>
  <si>
    <t>RP FRONT PANEL FOR 9089-407</t>
  </si>
  <si>
    <t>RP FOR 9100-275</t>
  </si>
  <si>
    <t>RP FOR 9101-275</t>
  </si>
  <si>
    <t>RP GLS FRONT/BACK FOR 9102-275</t>
  </si>
  <si>
    <t>RP 9103-275 FRONT/BACK</t>
  </si>
  <si>
    <t>REP GLASS FOR 9110-198B-PL</t>
  </si>
  <si>
    <t>REP GLASS FOR 9111-198B-PL</t>
  </si>
  <si>
    <t>REP GLASS FOR 9112-198B-PL</t>
  </si>
  <si>
    <t>REP GLASS FOR 9113-198B-PL</t>
  </si>
  <si>
    <t>DBL FRENCH SCAVO GLASS FOR 9142-407-PL</t>
  </si>
  <si>
    <t>RP GLASS FOR 9147-407/9145-407</t>
  </si>
  <si>
    <t>DBL FRENCH SCAVO GLASS FOR 9151-357-PL</t>
  </si>
  <si>
    <t>DBL FRENCH SCAVO GLASS FOR 9152/9156-357-PL</t>
  </si>
  <si>
    <t>RPL GLASS 9153/9154-A357</t>
  </si>
  <si>
    <t>RPLCMNT GLS FOR 9153/54-357-PL</t>
  </si>
  <si>
    <t>RP GLASS FOR 9157-357-PL</t>
  </si>
  <si>
    <t>RP GLASS FOR 9150-357</t>
  </si>
  <si>
    <t>RP GLASS FOR 9180-184-PL</t>
  </si>
  <si>
    <t>RP FOR 9180/6-184-PL CENTER COLOR DECO GLASS (1-1/2"/1-1/2"/1/2")</t>
  </si>
  <si>
    <t>RP GLASS FOR 9181-184-PL</t>
  </si>
  <si>
    <t>RP FOR 9181-184-PL</t>
  </si>
  <si>
    <t>RP GLASS FOR 9182-184-PL</t>
  </si>
  <si>
    <t>RP GLASS 9183/6-184-PL (FRONT GLASS (6-3/8"/4-1/4")/9-7/8"/3T)</t>
  </si>
  <si>
    <t>RP GLASS 9183/6-184-PL SIDE GLASS ((8-1/8"/2-3/8")/9-7/8"/3T)</t>
  </si>
  <si>
    <t>RP GLASS 9183/6-184-PL CORNER GLASS ((1-3/4"/1-1/8")/9-7/8"/3T)</t>
  </si>
  <si>
    <t>RP FOR 9200-067-PL</t>
  </si>
  <si>
    <t>RP FOR 9201-067-PL</t>
  </si>
  <si>
    <t>RP FOR 9202-067-PL</t>
  </si>
  <si>
    <t>RP FOR 9211-067-PL</t>
  </si>
  <si>
    <t>RP FOR 9213-067-PL</t>
  </si>
  <si>
    <t>RP GLS 9221-256</t>
  </si>
  <si>
    <t>RP GLS 9222-256</t>
  </si>
  <si>
    <t>RP GLS 9223/4/6-256</t>
  </si>
  <si>
    <t>RP GLASS FOR 9230-161</t>
  </si>
  <si>
    <t>RP BTM GLASS FOR 9237-161</t>
  </si>
  <si>
    <t>RP TOP GLASS FOR 9230/9237-161</t>
  </si>
  <si>
    <t>REPLACEMNT GLS FOR 9239-161</t>
  </si>
  <si>
    <t>RP FOR 9240-66-PL</t>
  </si>
  <si>
    <t>RP FOR 9241-66-PL</t>
  </si>
  <si>
    <t>RP GLS FOR 9241-1-66-PL</t>
  </si>
  <si>
    <t>RP GLASS FOR 9244-66-PL</t>
  </si>
  <si>
    <t>RP DIFFUSSER FOR 9244-66-PL</t>
  </si>
  <si>
    <t>RP FOR 9246-1-66-PL</t>
  </si>
  <si>
    <t>RP GLASS FOR 9249-66-PL</t>
  </si>
  <si>
    <t>RP GLASS FOR 9251-A199-PL</t>
  </si>
  <si>
    <t>RP GLASS 9252-A199-PL</t>
  </si>
  <si>
    <t>RP GLASS OF 9253/54/56-A199-PL</t>
  </si>
  <si>
    <t>RP GLS 9271-277</t>
  </si>
  <si>
    <t>RP GLS 9272-277</t>
  </si>
  <si>
    <t>RP GLS 9291/5-357 WITH METAL CAP</t>
  </si>
  <si>
    <t>RP GLS 9292-357 WITH METAL CAP</t>
  </si>
  <si>
    <t>RP GLASS FOR 962-243</t>
  </si>
  <si>
    <t>RP FOR 1962-243</t>
  </si>
  <si>
    <t>RP POLY SHADE FOR 966-243</t>
  </si>
  <si>
    <t>RP GLASS 967-243</t>
  </si>
  <si>
    <t>RPL GLASS 9801-143/144 AND 9801-143/144-PL</t>
  </si>
  <si>
    <t>RPL GLASS 9802-143/144  9802-143/144-PL</t>
  </si>
  <si>
    <t>RPL GLASS 9806-143/144 AND 9806-143-144-PL</t>
  </si>
  <si>
    <t>RP GLASS FOR 9901-61</t>
  </si>
  <si>
    <t>RP YP GLS STRAIGHT OPTIC 9909-94</t>
  </si>
  <si>
    <t>REP GLASS FOR 9909-94-PL</t>
  </si>
  <si>
    <t>REPLACEMNT GLS FOR 9909-161</t>
  </si>
  <si>
    <t>RP GLS FOR 9909-61/9909-1-66</t>
  </si>
  <si>
    <t>USE G9920-1.</t>
  </si>
  <si>
    <t>RP GLASS FOR 9928-44/66-PL</t>
  </si>
  <si>
    <t>CLEAR GLASS 22/22/12MM FOR 4841/3/4/5/6/7/8/9-276, 6841/2/3/4/5-276</t>
  </si>
  <si>
    <t>CLEAR GLASS D16/L473MM FOR 4843-276</t>
  </si>
  <si>
    <t>CLEAR GLASS D12/L65MM FOR 4843/4-276</t>
  </si>
  <si>
    <t>CLEAR GLASS D12/L754MM FOR 4844-276</t>
  </si>
  <si>
    <t>CLEAR GLASS D16/L825MM FOR 4845-276</t>
  </si>
  <si>
    <t>CLEAR GLASS D12/L97MM FOR 4845/6/8-276</t>
  </si>
  <si>
    <t>CLEAR GLASS D16/L665MM FOR 4846-276</t>
  </si>
  <si>
    <t>CLEAR GLASS D12/L274MM FOR 4847-276</t>
  </si>
  <si>
    <t>CLEAR GLASS D12/L242MM FOR 4847-276</t>
  </si>
  <si>
    <t>CLEAR GLASS D12/L24 FOR 4847-276</t>
  </si>
  <si>
    <t>CLEAR GLASS D12/L306MM FOR 4848-276</t>
  </si>
  <si>
    <t>CLEAR GLASS D16/L600MM FOR 4848-276</t>
  </si>
  <si>
    <t>CLEAR GLASS D12/L1074MM FOR 4849-276</t>
  </si>
  <si>
    <t>CLEAR GLASS D16/L760MM FOR 4849-276</t>
  </si>
  <si>
    <t>CLEAR GLASS D12/L172MM FOR 4849-276</t>
  </si>
  <si>
    <t>CLEAR GLASS D16/L248MM FOR 6841-276</t>
  </si>
  <si>
    <t>CLEAR GLASS D12/L133MM FOR 6842/3/4/5-276</t>
  </si>
  <si>
    <t>COGNAC GLASS D16X36H FOR 4993/4/5/6/9-271 6991/2/3/4-271</t>
  </si>
  <si>
    <t>CLEAR GLASS D11-1/2"/T:3MM FOR 4107-172</t>
  </si>
  <si>
    <t>CLEAR GLASS D14-1/2"/T:3MM FOR 4104-172</t>
  </si>
  <si>
    <t>CLEAR/SAND GLASS 172MM/345MM FOR 4964-284</t>
  </si>
  <si>
    <t>RP FOR 5112/5113/5114-617</t>
  </si>
  <si>
    <t>RP SHADE FOR 4390-2-573</t>
  </si>
  <si>
    <t>RP SHADE FOR 4490-298 FABRIC WHITE LINEN/BEIGE LINEN</t>
  </si>
  <si>
    <t>RP SHADE FOR 4493-298 FABRIC WHITE LINEN/BEIGE LINEN</t>
  </si>
  <si>
    <t>RP SHADE FOR 4494-298 FABRIC WHITE LINEN/BEIGE LINEN</t>
  </si>
  <si>
    <t>RP SHADE FOR 4499-298 FABRIC WHITE LINEN/BEIGE LINEN</t>
  </si>
  <si>
    <t>RP FOR 12200-0</t>
  </si>
  <si>
    <t>RP FOR 12190-0</t>
  </si>
  <si>
    <t>REPL SHADE / 12337-216</t>
  </si>
  <si>
    <t>RP FOR 12339-216</t>
  </si>
  <si>
    <t>RP FOR 1745/6/8/9-206  6753-206</t>
  </si>
  <si>
    <t>RP FOR 3131-77 / 3132-77</t>
  </si>
  <si>
    <t>WHITE FABRIC D19/5" FOR 4104-172</t>
  </si>
  <si>
    <t>WHITE FABRIC D15"/H:4-1/2" FOR 4107-172</t>
  </si>
  <si>
    <t>RP FOR 424X-77</t>
  </si>
  <si>
    <t>RP FOR 4273-77</t>
  </si>
  <si>
    <t>REPL SHADE FOR 4352-593</t>
  </si>
  <si>
    <t>REPL SHADE FOR 4353-593</t>
  </si>
  <si>
    <t>RP ROD 4481-167B</t>
  </si>
  <si>
    <t>4" RECESSED EFFETRE TRIM</t>
  </si>
  <si>
    <t>4" RECESSED EFFETRE  TRIM</t>
  </si>
  <si>
    <t>2 LT TABLE LAMP</t>
  </si>
  <si>
    <t>POLY TABLE LAMP</t>
  </si>
  <si>
    <t>ALABASTER GLASS</t>
  </si>
  <si>
    <t xml:space="preserve">ASPEN  II </t>
  </si>
  <si>
    <t xml:space="preserve">ILLUMINATI </t>
  </si>
  <si>
    <t xml:space="preserve">FIELDALE LODGE </t>
  </si>
  <si>
    <t>NOTE  BATH</t>
  </si>
  <si>
    <t>ARCUS TRUTH -1LT OUTDOOR WALL LAMP</t>
  </si>
  <si>
    <t>CELTIC SHADOW - MEDIUM OUTDOOR WALL LIGHT</t>
  </si>
  <si>
    <t>PACIFICA</t>
  </si>
  <si>
    <t/>
  </si>
  <si>
    <t>AMBIENCE</t>
  </si>
  <si>
    <t>WELLINGTON AVE.</t>
  </si>
  <si>
    <t>PENDANT BLOW OUTS</t>
  </si>
  <si>
    <t>LED LIGHT</t>
  </si>
  <si>
    <t>CHANDELIER BLOW OUT</t>
  </si>
  <si>
    <t>LAMPS BLOW OUT</t>
  </si>
  <si>
    <t>ENERGY BLOW OUT</t>
  </si>
  <si>
    <t>WALL SCONCE BLOW OUT</t>
  </si>
  <si>
    <t>BATH BLOW OUT</t>
  </si>
  <si>
    <t>OUTDOOR BLOW OUT</t>
  </si>
  <si>
    <t>FAN BLOW OUT</t>
  </si>
  <si>
    <t>A21, MED</t>
  </si>
  <si>
    <t>A-19 MED.</t>
  </si>
  <si>
    <t>A-19 MEDIUM</t>
  </si>
  <si>
    <t>A-19, MED. BASE</t>
  </si>
  <si>
    <t>A-19,MED.</t>
  </si>
  <si>
    <t>T8-32W,G13,FLUORESCENT</t>
  </si>
  <si>
    <t>B10.5, CANDELABRA</t>
  </si>
  <si>
    <t>GU24 SPIRAL CFL</t>
  </si>
  <si>
    <t>SEMI SPIRAL 13W SELF BALLAST GU24</t>
  </si>
  <si>
    <t>DIP-DYED BRUSHED PAINTING+POLISHED NICKEL</t>
  </si>
  <si>
    <t>WALNUT+BLACK</t>
  </si>
  <si>
    <t>WALNUT+BRUSHED NICKEL</t>
  </si>
  <si>
    <t>WALNUT+BLACK+BRUSHED NICKEL</t>
  </si>
  <si>
    <t>MULTI</t>
  </si>
  <si>
    <t>BLACK &amp; WHITE</t>
  </si>
  <si>
    <t>GRAY</t>
  </si>
  <si>
    <t>GREEN</t>
  </si>
  <si>
    <t>MULTI-COLORED</t>
  </si>
  <si>
    <t>CREAM/BLACK</t>
  </si>
  <si>
    <t>DARK CHOCOLATE</t>
  </si>
  <si>
    <t>CHARTREUSE</t>
  </si>
  <si>
    <t>ANTIQUE SILVER</t>
  </si>
  <si>
    <t>YELLOW</t>
  </si>
  <si>
    <t>BROWN/GREY</t>
  </si>
  <si>
    <t>WOOD+SILVER</t>
  </si>
  <si>
    <t>CLEAR/BROWN INSIDE</t>
  </si>
  <si>
    <t>GOLD &amp; BROWN</t>
  </si>
  <si>
    <t>CLEAR W/GRASS</t>
  </si>
  <si>
    <t>PURPLE</t>
  </si>
  <si>
    <t>CREAM</t>
  </si>
  <si>
    <t>RED MERCURY</t>
  </si>
  <si>
    <t>BROMZE</t>
  </si>
  <si>
    <t>DARK ANTIQUE BRASS</t>
  </si>
  <si>
    <t>CHARLESTON SILVER</t>
  </si>
  <si>
    <t>HARVARD COURT BRONZE W/LIBERTY</t>
  </si>
  <si>
    <t>DARK BRONZE W/MOSAIC GOLD INTE</t>
  </si>
  <si>
    <t>IL TERRACE GOLD LEAF</t>
  </si>
  <si>
    <t>IRON ORE W/GOLD DUST HIGHLIGHT</t>
  </si>
  <si>
    <t>PARCHMENT</t>
  </si>
  <si>
    <t>PLEATED FABRIC</t>
  </si>
  <si>
    <t>TAN LINEN</t>
  </si>
  <si>
    <t>GREY</t>
  </si>
  <si>
    <t>HAND PAINTED BLACK &amp; WHITE</t>
  </si>
  <si>
    <t>LIGHT GREEN</t>
  </si>
  <si>
    <t>MAHAGONY</t>
  </si>
  <si>
    <t>DARK GREEN</t>
  </si>
  <si>
    <t>BLK OUTSIDE/GOLD INNER</t>
  </si>
  <si>
    <t>CINNABAR</t>
  </si>
  <si>
    <t>MCFEE SAND</t>
  </si>
  <si>
    <t>LIGHT GRAY</t>
  </si>
  <si>
    <t>LIGHT CREAM LINEN100</t>
  </si>
  <si>
    <t>LIGHT CREAM LINEN</t>
  </si>
  <si>
    <t>BURLAP</t>
  </si>
  <si>
    <t>PURE WHITE LINEN</t>
  </si>
  <si>
    <t>OFF-WHITE FAUX SILK</t>
  </si>
  <si>
    <t>EXCAVATION GLASS</t>
  </si>
  <si>
    <t>ETCHED VANILLA</t>
  </si>
  <si>
    <t>SALON SCAVO(TM) GLASS</t>
  </si>
  <si>
    <t>ALABASTER DUST(TM) SHADE</t>
  </si>
  <si>
    <t>OLD WORLD PATINA GLASS</t>
  </si>
  <si>
    <t>RIBBED CLEAR GLASS</t>
  </si>
  <si>
    <t>FLUTED PIASTRA GLASS</t>
  </si>
  <si>
    <t>ETCHED OPAL GLASS W/ EIDOLON KRYSTAL(TM) ACCENTS</t>
  </si>
  <si>
    <t>DUSTY IRIS GLASS</t>
  </si>
  <si>
    <t>ETCHED WHITE SEEDED</t>
  </si>
  <si>
    <t>ETCHED/CLEAR GLASS</t>
  </si>
  <si>
    <t>RIBBED FROSTED GLASS</t>
  </si>
  <si>
    <t>RIBBED OPAL GLASS</t>
  </si>
  <si>
    <t>DEEP SPUMANTE LACE GLASS</t>
  </si>
  <si>
    <t>WHITE IRIS GLASS</t>
  </si>
  <si>
    <t>INSIDE RIBBED W/ WHITE GLASS</t>
  </si>
  <si>
    <t>WHITE ACRYLIC</t>
  </si>
  <si>
    <t>ETCHED GLASS BOX - PLEAT</t>
  </si>
  <si>
    <t>MABRE GRABAR(TM) GLASS</t>
  </si>
  <si>
    <t>ALABASTER DUST? SHADE</t>
  </si>
  <si>
    <t>WHITE GLASS</t>
  </si>
  <si>
    <t>BEVEL BEND</t>
  </si>
  <si>
    <t>CLEAR SEEDY GLASS PANELS</t>
  </si>
  <si>
    <t>SEEDED CLEAR GLASS PANELS</t>
  </si>
  <si>
    <t>CASPIAN(TM) GLASS</t>
  </si>
  <si>
    <t>STRAIGHT ETCHED</t>
  </si>
  <si>
    <t>ETCHED DRIFTWOOD</t>
  </si>
  <si>
    <t>FROSTED MELON GLASS</t>
  </si>
  <si>
    <t>HONEY OPAL</t>
  </si>
  <si>
    <t>CHAMPAGNE</t>
  </si>
  <si>
    <t>CLEAR BEVELED PANELS</t>
  </si>
  <si>
    <t>CLEAR BEVELED PANEL</t>
  </si>
  <si>
    <t>SUMMER WHEAT</t>
  </si>
  <si>
    <t>EMERALD GREEN TRIM</t>
  </si>
  <si>
    <t>PINK GLASS TRIM</t>
  </si>
  <si>
    <t>RED GLASS TRIM</t>
  </si>
  <si>
    <t>YELLOW GLASS TRIM</t>
  </si>
  <si>
    <t>EIDOLON KRYSTAL</t>
  </si>
  <si>
    <t>GC3431,1.5"LX.88"WX.5"T, 28PCS</t>
  </si>
  <si>
    <t>WOOD+STEEL</t>
  </si>
  <si>
    <t>STEEL+WOOD</t>
  </si>
  <si>
    <t>PORCELAIN</t>
  </si>
  <si>
    <t>GLASS+STEEL</t>
  </si>
  <si>
    <t>ACRYLIC+METAL</t>
  </si>
  <si>
    <t>CERAMIC/STEEL</t>
  </si>
  <si>
    <t>CERAMIC/POLY</t>
  </si>
  <si>
    <t>STEEL + GLASS + FABRIC</t>
  </si>
  <si>
    <t>STEEL + WOOD</t>
  </si>
  <si>
    <t>WOOD + CHROME</t>
  </si>
  <si>
    <t>STEEL + GLASS + ZINC ALLOY</t>
  </si>
  <si>
    <t>ALUMINUM + GLASS + STEEL</t>
  </si>
  <si>
    <t>BRASS + GLASS + ALUMINUM + STEEL</t>
  </si>
  <si>
    <t>BRASS + GLASS</t>
  </si>
  <si>
    <t>SOLID BRASS &amp; GLASS</t>
  </si>
  <si>
    <t>COPPER</t>
  </si>
  <si>
    <t>COPPER&amp; GLASS</t>
  </si>
  <si>
    <t>COPPER &amp; 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</si>
</sst>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5" fontId="0" fillId="0" borderId="0" xfId="0" applyNumberFormat="1"/>
    <xf numFmtId="14" fontId="0" fillId="0" borderId="0" xfId="0" applyNumberFormat="1"/>
    <xf numFmtId="0" fontId="2" fillId="0" borderId="0" xfId="0" applyFont="1"/>
    <xf numFmtId="0" fontId="3" fillId="0" borderId="0" xfId="0" applyFont="1" applyFill="1" applyAlignment="1">
      <alignment horizontal="left"/>
    </xf>
    <xf numFmtId="0" fontId="0" fillId="0" borderId="0" xfId="0" applyFont="1"/>
    <xf numFmtId="164" fontId="0" fillId="0" borderId="0" xfId="0" applyNumberFormat="1" applyFont="1"/>
    <xf numFmtId="0" fontId="0" fillId="0" borderId="0" xfId="0" applyFont="1" applyFill="1"/>
    <xf numFmtId="164" fontId="0" fillId="0" borderId="0" xfId="1" applyNumberFormat="1" applyFont="1"/>
    <xf numFmtId="164" fontId="2" fillId="0" borderId="0" xfId="0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updated ALA rpt  081419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209"/>
  <sheetViews>
    <sheetView tabSelected="1" zoomScale="90" zoomScaleNormal="90" workbookViewId="0">
      <pane xSplit="1" ySplit="2" topLeftCell="BB3" activePane="bottomRight" state="frozen"/>
      <selection pane="topRight" activeCell="B1" sqref="B1"/>
      <selection pane="bottomLeft" activeCell="A2" sqref="A2"/>
      <selection pane="bottomRight" activeCell="R9" sqref="R9"/>
    </sheetView>
  </sheetViews>
  <sheetFormatPr defaultRowHeight="15" x14ac:dyDescent="0.25"/>
  <cols>
    <col min="1" max="1" width="16.5703125" customWidth="1"/>
    <col min="2" max="2" width="24.140625" customWidth="1"/>
    <col min="3" max="3" width="52.28515625" customWidth="1"/>
    <col min="4" max="4" width="52.7109375" customWidth="1"/>
    <col min="5" max="5" width="31.5703125" customWidth="1"/>
    <col min="6" max="6" width="28" customWidth="1"/>
    <col min="7" max="7" width="14.42578125" customWidth="1"/>
    <col min="8" max="8" width="15.28515625" customWidth="1"/>
    <col min="9" max="9" width="11" customWidth="1"/>
    <col min="10" max="10" width="15.42578125" style="10" customWidth="1"/>
    <col min="11" max="11" width="11" style="10" customWidth="1"/>
    <col min="12" max="12" width="9.5703125" style="10" customWidth="1"/>
    <col min="13" max="13" width="5.7109375" customWidth="1"/>
    <col min="14" max="14" width="10.5703125" style="10" customWidth="1"/>
    <col min="15" max="15" width="6.42578125" customWidth="1"/>
    <col min="16" max="16" width="11.28515625" style="10" customWidth="1"/>
    <col min="17" max="17" width="6.28515625" bestFit="1" customWidth="1"/>
    <col min="18" max="18" width="11.140625" bestFit="1" customWidth="1"/>
    <col min="19" max="19" width="6.85546875" bestFit="1" customWidth="1"/>
    <col min="20" max="20" width="7" bestFit="1" customWidth="1"/>
    <col min="21" max="21" width="6.42578125" bestFit="1" customWidth="1"/>
    <col min="22" max="22" width="8" bestFit="1" customWidth="1"/>
    <col min="23" max="23" width="7.42578125" bestFit="1" customWidth="1"/>
    <col min="24" max="24" width="15.42578125" bestFit="1" customWidth="1"/>
    <col min="25" max="25" width="13.28515625" bestFit="1" customWidth="1"/>
    <col min="26" max="26" width="13.42578125" bestFit="1" customWidth="1"/>
    <col min="27" max="27" width="12.7109375" bestFit="1" customWidth="1"/>
    <col min="28" max="28" width="16.7109375" bestFit="1" customWidth="1"/>
    <col min="29" max="29" width="12.7109375" bestFit="1" customWidth="1"/>
    <col min="30" max="30" width="8.7109375" bestFit="1" customWidth="1"/>
    <col min="31" max="31" width="16" bestFit="1" customWidth="1"/>
    <col min="32" max="32" width="34.5703125" bestFit="1" customWidth="1"/>
    <col min="33" max="33" width="12.5703125" bestFit="1" customWidth="1"/>
    <col min="34" max="34" width="17" bestFit="1" customWidth="1"/>
    <col min="35" max="35" width="28.85546875" bestFit="1" customWidth="1"/>
    <col min="36" max="36" width="14.28515625" bestFit="1" customWidth="1"/>
    <col min="37" max="37" width="13.28515625" bestFit="1" customWidth="1"/>
    <col min="38" max="38" width="15.7109375" bestFit="1" customWidth="1"/>
    <col min="39" max="40" width="4.42578125" bestFit="1" customWidth="1"/>
    <col min="41" max="41" width="3.140625" bestFit="1" customWidth="1"/>
    <col min="42" max="42" width="11.5703125" bestFit="1" customWidth="1"/>
    <col min="43" max="43" width="6.42578125" bestFit="1" customWidth="1"/>
    <col min="44" max="44" width="11" bestFit="1" customWidth="1"/>
    <col min="45" max="45" width="19.42578125" bestFit="1" customWidth="1"/>
    <col min="46" max="46" width="8" bestFit="1" customWidth="1"/>
    <col min="47" max="47" width="14.5703125" bestFit="1" customWidth="1"/>
    <col min="48" max="48" width="33.5703125" bestFit="1" customWidth="1"/>
    <col min="49" max="49" width="8.85546875" bestFit="1" customWidth="1"/>
    <col min="50" max="50" width="44.140625" bestFit="1" customWidth="1"/>
    <col min="51" max="51" width="15.5703125" bestFit="1" customWidth="1"/>
    <col min="52" max="52" width="16" bestFit="1" customWidth="1"/>
    <col min="53" max="53" width="13.85546875" bestFit="1" customWidth="1"/>
    <col min="54" max="54" width="26" bestFit="1" customWidth="1"/>
    <col min="55" max="55" width="51.7109375" bestFit="1" customWidth="1"/>
    <col min="56" max="56" width="31.85546875" bestFit="1" customWidth="1"/>
    <col min="57" max="57" width="15.7109375" bestFit="1" customWidth="1"/>
    <col min="58" max="58" width="20.42578125" bestFit="1" customWidth="1"/>
    <col min="59" max="59" width="8.42578125" bestFit="1" customWidth="1"/>
    <col min="60" max="60" width="4.85546875" bestFit="1" customWidth="1"/>
    <col min="61" max="61" width="7.42578125" bestFit="1" customWidth="1"/>
    <col min="62" max="62" width="14.28515625" bestFit="1" customWidth="1"/>
    <col min="63" max="63" width="20.5703125" bestFit="1" customWidth="1"/>
    <col min="64" max="64" width="14.28515625" bestFit="1" customWidth="1"/>
    <col min="65" max="65" width="15.5703125" bestFit="1" customWidth="1"/>
    <col min="66" max="66" width="16" bestFit="1" customWidth="1"/>
    <col min="67" max="67" width="18.5703125" bestFit="1" customWidth="1"/>
    <col min="68" max="68" width="16.140625" bestFit="1" customWidth="1"/>
    <col min="69" max="69" width="21.7109375" bestFit="1" customWidth="1"/>
    <col min="70" max="70" width="19.140625" bestFit="1" customWidth="1"/>
    <col min="71" max="71" width="19.28515625" bestFit="1" customWidth="1"/>
    <col min="72" max="72" width="18.7109375" bestFit="1" customWidth="1"/>
    <col min="73" max="74" width="17.28515625" bestFit="1" customWidth="1"/>
    <col min="75" max="75" width="15.140625" bestFit="1" customWidth="1"/>
    <col min="76" max="76" width="10.85546875" bestFit="1" customWidth="1"/>
    <col min="77" max="77" width="16.42578125" bestFit="1" customWidth="1"/>
    <col min="78" max="78" width="33.5703125" bestFit="1" customWidth="1"/>
    <col min="79" max="79" width="19.140625" bestFit="1" customWidth="1"/>
    <col min="80" max="80" width="44.140625" bestFit="1" customWidth="1"/>
    <col min="81" max="81" width="4.5703125" bestFit="1" customWidth="1"/>
    <col min="82" max="82" width="5.7109375" bestFit="1" customWidth="1"/>
    <col min="83" max="83" width="5.85546875" bestFit="1" customWidth="1"/>
    <col min="84" max="84" width="10" bestFit="1" customWidth="1"/>
    <col min="85" max="85" width="11.140625" bestFit="1" customWidth="1"/>
    <col min="86" max="86" width="3.140625" bestFit="1" customWidth="1"/>
    <col min="87" max="87" width="13.5703125" bestFit="1" customWidth="1"/>
    <col min="88" max="88" width="17.28515625" bestFit="1" customWidth="1"/>
    <col min="89" max="89" width="15.5703125" bestFit="1" customWidth="1"/>
    <col min="90" max="90" width="10.140625" bestFit="1" customWidth="1"/>
    <col min="91" max="91" width="9.85546875" bestFit="1" customWidth="1"/>
    <col min="92" max="92" width="39.85546875" bestFit="1" customWidth="1"/>
    <col min="93" max="93" width="10.7109375" bestFit="1" customWidth="1"/>
    <col min="94" max="94" width="11.28515625" bestFit="1" customWidth="1"/>
  </cols>
  <sheetData>
    <row r="1" spans="1:94" s="5" customFormat="1" ht="15.75" x14ac:dyDescent="0.25">
      <c r="A1" s="4" t="s">
        <v>6498</v>
      </c>
      <c r="J1" s="8"/>
      <c r="K1" s="8"/>
      <c r="L1" s="6"/>
      <c r="N1" s="6"/>
      <c r="P1" s="8"/>
      <c r="R1" s="6"/>
      <c r="W1" s="7"/>
      <c r="Y1" s="7"/>
      <c r="Z1" s="7"/>
      <c r="AA1" s="7"/>
      <c r="AB1" s="7"/>
    </row>
    <row r="2" spans="1:94" s="3" customForma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9" t="s">
        <v>9</v>
      </c>
      <c r="K2" s="9" t="s">
        <v>10</v>
      </c>
      <c r="L2" s="9" t="s">
        <v>11</v>
      </c>
      <c r="M2" s="3" t="s">
        <v>12</v>
      </c>
      <c r="N2" s="9" t="s">
        <v>13</v>
      </c>
      <c r="O2" s="3" t="s">
        <v>14</v>
      </c>
      <c r="P2" s="9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3" t="s">
        <v>51</v>
      </c>
      <c r="BA2" s="3" t="s">
        <v>52</v>
      </c>
      <c r="BB2" s="3" t="s">
        <v>53</v>
      </c>
      <c r="BC2" s="3" t="s">
        <v>54</v>
      </c>
      <c r="BD2" s="3" t="s">
        <v>55</v>
      </c>
      <c r="BE2" s="3" t="s">
        <v>56</v>
      </c>
      <c r="BF2" s="3" t="s">
        <v>57</v>
      </c>
      <c r="BG2" s="3" t="s">
        <v>58</v>
      </c>
      <c r="BH2" s="3" t="s">
        <v>59</v>
      </c>
      <c r="BI2" s="3" t="s">
        <v>60</v>
      </c>
      <c r="BJ2" s="3" t="s">
        <v>61</v>
      </c>
      <c r="BK2" s="3" t="s">
        <v>62</v>
      </c>
      <c r="BL2" s="3" t="s">
        <v>63</v>
      </c>
      <c r="BM2" s="3" t="s">
        <v>64</v>
      </c>
      <c r="BN2" s="3" t="s">
        <v>65</v>
      </c>
      <c r="BO2" s="3" t="s">
        <v>66</v>
      </c>
      <c r="BP2" s="3" t="s">
        <v>67</v>
      </c>
      <c r="BQ2" s="3" t="s">
        <v>68</v>
      </c>
      <c r="BR2" s="3" t="s">
        <v>69</v>
      </c>
      <c r="BS2" s="3" t="s">
        <v>70</v>
      </c>
      <c r="BT2" s="3" t="s">
        <v>71</v>
      </c>
      <c r="BU2" s="3" t="s">
        <v>72</v>
      </c>
      <c r="BV2" s="3" t="s">
        <v>73</v>
      </c>
      <c r="BW2" s="3" t="s">
        <v>74</v>
      </c>
      <c r="BX2" s="3" t="s">
        <v>75</v>
      </c>
      <c r="BY2" s="3" t="s">
        <v>76</v>
      </c>
      <c r="BZ2" s="3" t="s">
        <v>77</v>
      </c>
      <c r="CA2" s="3" t="s">
        <v>78</v>
      </c>
      <c r="CB2" s="3" t="s">
        <v>79</v>
      </c>
      <c r="CC2" s="3" t="s">
        <v>80</v>
      </c>
      <c r="CD2" s="3" t="s">
        <v>81</v>
      </c>
      <c r="CE2" s="3" t="s">
        <v>82</v>
      </c>
      <c r="CF2" s="3" t="s">
        <v>83</v>
      </c>
      <c r="CG2" s="3" t="s">
        <v>84</v>
      </c>
      <c r="CH2" s="3" t="s">
        <v>85</v>
      </c>
      <c r="CI2" s="3" t="s">
        <v>86</v>
      </c>
      <c r="CJ2" s="3" t="s">
        <v>87</v>
      </c>
      <c r="CK2" s="3" t="s">
        <v>88</v>
      </c>
      <c r="CL2" s="3" t="s">
        <v>89</v>
      </c>
      <c r="CM2" s="3" t="s">
        <v>90</v>
      </c>
      <c r="CN2" s="3" t="s">
        <v>91</v>
      </c>
      <c r="CO2" s="3" t="s">
        <v>92</v>
      </c>
      <c r="CP2" s="3" t="s">
        <v>93</v>
      </c>
    </row>
    <row r="3" spans="1:94" x14ac:dyDescent="0.25">
      <c r="A3">
        <v>333</v>
      </c>
      <c r="B3" t="str">
        <f xml:space="preserve"> "" &amp; 747396016856</f>
        <v>747396016856</v>
      </c>
      <c r="C3" t="s">
        <v>230</v>
      </c>
      <c r="D3" t="s">
        <v>230</v>
      </c>
      <c r="E3" t="s">
        <v>7528</v>
      </c>
      <c r="F3" t="s">
        <v>473</v>
      </c>
      <c r="G3">
        <v>1</v>
      </c>
      <c r="H3">
        <v>1</v>
      </c>
      <c r="I3" t="s">
        <v>97</v>
      </c>
      <c r="J3" s="10">
        <v>42</v>
      </c>
      <c r="K3" s="10">
        <v>126</v>
      </c>
      <c r="L3" s="10">
        <v>0</v>
      </c>
      <c r="N3" s="10">
        <v>0</v>
      </c>
      <c r="O3" t="s">
        <v>99</v>
      </c>
      <c r="P3" s="10">
        <v>84.95</v>
      </c>
      <c r="S3">
        <v>12.25</v>
      </c>
      <c r="T3">
        <v>15.5</v>
      </c>
      <c r="U3">
        <v>9.25</v>
      </c>
      <c r="V3">
        <v>4</v>
      </c>
      <c r="W3">
        <v>3.09</v>
      </c>
      <c r="X3">
        <v>1</v>
      </c>
      <c r="Y3">
        <v>6.5</v>
      </c>
      <c r="Z3">
        <v>15.5</v>
      </c>
      <c r="AA3">
        <v>12</v>
      </c>
      <c r="AB3">
        <v>0.7</v>
      </c>
      <c r="AC3">
        <v>4.8499999999999996</v>
      </c>
      <c r="AE3">
        <v>1</v>
      </c>
      <c r="AF3" t="s">
        <v>308</v>
      </c>
      <c r="AG3">
        <v>60</v>
      </c>
      <c r="AK3" t="s">
        <v>98</v>
      </c>
      <c r="AM3" t="s">
        <v>98</v>
      </c>
      <c r="AN3" t="s">
        <v>99</v>
      </c>
      <c r="AO3" t="s">
        <v>98</v>
      </c>
      <c r="AP3" t="s">
        <v>100</v>
      </c>
      <c r="AQ3" t="s">
        <v>101</v>
      </c>
      <c r="AV3" t="s">
        <v>98</v>
      </c>
      <c r="AX3" t="s">
        <v>7528</v>
      </c>
      <c r="AZ3" t="s">
        <v>392</v>
      </c>
      <c r="BB3" t="s">
        <v>200</v>
      </c>
      <c r="BC3" t="s">
        <v>1417</v>
      </c>
      <c r="BD3" t="s">
        <v>7528</v>
      </c>
      <c r="BF3" t="s">
        <v>1418</v>
      </c>
      <c r="BG3" t="s">
        <v>98</v>
      </c>
      <c r="BH3" t="s">
        <v>99</v>
      </c>
      <c r="BI3" t="s">
        <v>98</v>
      </c>
      <c r="BK3" t="s">
        <v>127</v>
      </c>
      <c r="BL3" t="s">
        <v>236</v>
      </c>
      <c r="BR3">
        <v>5.88</v>
      </c>
      <c r="BT3">
        <v>4.63</v>
      </c>
      <c r="CA3">
        <v>333</v>
      </c>
      <c r="CB3" t="s">
        <v>7528</v>
      </c>
      <c r="CL3" t="s">
        <v>99</v>
      </c>
      <c r="CM3" t="s">
        <v>98</v>
      </c>
      <c r="CN3" t="s">
        <v>1419</v>
      </c>
      <c r="CO3" s="1">
        <v>39311</v>
      </c>
      <c r="CP3" s="1">
        <v>43633</v>
      </c>
    </row>
    <row r="4" spans="1:94" x14ac:dyDescent="0.25">
      <c r="A4">
        <v>350</v>
      </c>
      <c r="B4" t="str">
        <f xml:space="preserve"> "" &amp; 747396002590</f>
        <v>747396002590</v>
      </c>
      <c r="C4" t="s">
        <v>230</v>
      </c>
      <c r="D4" t="s">
        <v>230</v>
      </c>
      <c r="E4" t="s">
        <v>7528</v>
      </c>
      <c r="F4" t="s">
        <v>232</v>
      </c>
      <c r="G4">
        <v>1</v>
      </c>
      <c r="H4">
        <v>1</v>
      </c>
      <c r="I4" t="s">
        <v>97</v>
      </c>
      <c r="J4" s="10">
        <v>24</v>
      </c>
      <c r="K4" s="10">
        <v>72</v>
      </c>
      <c r="L4" s="10">
        <v>0</v>
      </c>
      <c r="N4" s="10">
        <v>0</v>
      </c>
      <c r="O4" t="s">
        <v>99</v>
      </c>
      <c r="P4" s="10">
        <v>49.95</v>
      </c>
      <c r="S4">
        <v>5.5</v>
      </c>
      <c r="U4">
        <v>12.5</v>
      </c>
      <c r="V4">
        <v>6</v>
      </c>
      <c r="W4">
        <v>2.73</v>
      </c>
      <c r="X4">
        <v>1</v>
      </c>
      <c r="Y4">
        <v>7</v>
      </c>
      <c r="Z4">
        <v>14.25</v>
      </c>
      <c r="AA4">
        <v>7.75</v>
      </c>
      <c r="AB4">
        <v>0.44700000000000001</v>
      </c>
      <c r="AC4">
        <v>3.53</v>
      </c>
      <c r="AE4">
        <v>1</v>
      </c>
      <c r="AF4" t="s">
        <v>598</v>
      </c>
      <c r="AG4">
        <v>100</v>
      </c>
      <c r="AK4" t="s">
        <v>98</v>
      </c>
      <c r="AM4" t="s">
        <v>98</v>
      </c>
      <c r="AN4" t="s">
        <v>99</v>
      </c>
      <c r="AO4" t="s">
        <v>98</v>
      </c>
      <c r="AP4" t="s">
        <v>100</v>
      </c>
      <c r="AQ4" t="s">
        <v>101</v>
      </c>
      <c r="AV4" t="s">
        <v>98</v>
      </c>
      <c r="AX4" t="s">
        <v>1579</v>
      </c>
      <c r="AZ4" t="s">
        <v>392</v>
      </c>
      <c r="BB4" t="s">
        <v>1580</v>
      </c>
      <c r="BC4" t="s">
        <v>1581</v>
      </c>
      <c r="BD4" t="s">
        <v>7528</v>
      </c>
      <c r="BF4" t="s">
        <v>1582</v>
      </c>
      <c r="BG4" t="s">
        <v>98</v>
      </c>
      <c r="BH4" t="s">
        <v>98</v>
      </c>
      <c r="BI4" t="s">
        <v>98</v>
      </c>
      <c r="BK4" t="s">
        <v>127</v>
      </c>
      <c r="BL4" t="s">
        <v>236</v>
      </c>
      <c r="BM4">
        <v>12.38</v>
      </c>
      <c r="BN4">
        <v>5.5</v>
      </c>
      <c r="CA4">
        <v>350</v>
      </c>
      <c r="CB4" t="s">
        <v>1579</v>
      </c>
      <c r="CL4" t="s">
        <v>99</v>
      </c>
      <c r="CM4" t="s">
        <v>98</v>
      </c>
      <c r="CN4" t="s">
        <v>1580</v>
      </c>
      <c r="CO4" s="1">
        <v>37217</v>
      </c>
      <c r="CP4" s="1">
        <v>43633</v>
      </c>
    </row>
    <row r="5" spans="1:94" x14ac:dyDescent="0.25">
      <c r="A5">
        <v>412</v>
      </c>
      <c r="B5" t="str">
        <f xml:space="preserve"> "" &amp; 747396663241</f>
        <v>747396663241</v>
      </c>
      <c r="C5" t="s">
        <v>230</v>
      </c>
      <c r="D5" t="s">
        <v>230</v>
      </c>
      <c r="E5" t="s">
        <v>7528</v>
      </c>
      <c r="F5" t="s">
        <v>232</v>
      </c>
      <c r="G5">
        <v>1</v>
      </c>
      <c r="H5">
        <v>1</v>
      </c>
      <c r="I5" t="s">
        <v>97</v>
      </c>
      <c r="J5" s="10">
        <v>26</v>
      </c>
      <c r="K5" s="10">
        <v>78</v>
      </c>
      <c r="L5" s="10">
        <v>0</v>
      </c>
      <c r="N5" s="10">
        <v>0</v>
      </c>
      <c r="O5" t="s">
        <v>99</v>
      </c>
      <c r="P5" s="10">
        <v>49.95</v>
      </c>
      <c r="S5">
        <v>5.5</v>
      </c>
      <c r="T5">
        <v>10.5</v>
      </c>
      <c r="U5">
        <v>8</v>
      </c>
      <c r="V5">
        <v>4</v>
      </c>
      <c r="W5">
        <v>1.32</v>
      </c>
      <c r="X5">
        <v>0</v>
      </c>
      <c r="Y5">
        <v>6</v>
      </c>
      <c r="Z5">
        <v>10.5</v>
      </c>
      <c r="AA5">
        <v>5.5</v>
      </c>
      <c r="AB5">
        <v>0.20100000000000001</v>
      </c>
      <c r="AC5">
        <v>1.79</v>
      </c>
      <c r="AE5">
        <v>1</v>
      </c>
      <c r="AF5" t="s">
        <v>1864</v>
      </c>
      <c r="AG5">
        <v>60</v>
      </c>
      <c r="AK5" t="s">
        <v>98</v>
      </c>
      <c r="AM5" t="s">
        <v>98</v>
      </c>
      <c r="AN5" t="s">
        <v>99</v>
      </c>
      <c r="AO5" t="s">
        <v>98</v>
      </c>
      <c r="AP5" t="s">
        <v>100</v>
      </c>
      <c r="AQ5" t="s">
        <v>101</v>
      </c>
      <c r="AV5" t="s">
        <v>98</v>
      </c>
      <c r="AX5" t="s">
        <v>117</v>
      </c>
      <c r="AZ5" t="s">
        <v>124</v>
      </c>
      <c r="BB5" t="s">
        <v>235</v>
      </c>
      <c r="BC5" t="s">
        <v>363</v>
      </c>
      <c r="BD5" t="s">
        <v>7528</v>
      </c>
      <c r="BF5" t="s">
        <v>1865</v>
      </c>
      <c r="BG5" t="s">
        <v>98</v>
      </c>
      <c r="BH5" t="s">
        <v>99</v>
      </c>
      <c r="BI5" t="s">
        <v>98</v>
      </c>
      <c r="BK5" t="s">
        <v>127</v>
      </c>
      <c r="BL5" t="s">
        <v>236</v>
      </c>
      <c r="BM5">
        <v>4.25</v>
      </c>
      <c r="BN5">
        <v>4.25</v>
      </c>
      <c r="CA5">
        <v>412</v>
      </c>
      <c r="CB5" t="s">
        <v>117</v>
      </c>
      <c r="CL5" t="s">
        <v>99</v>
      </c>
      <c r="CM5" t="s">
        <v>98</v>
      </c>
      <c r="CN5" t="s">
        <v>237</v>
      </c>
      <c r="CO5" s="1">
        <v>42573</v>
      </c>
      <c r="CP5" s="1">
        <v>43633</v>
      </c>
    </row>
    <row r="6" spans="1:94" x14ac:dyDescent="0.25">
      <c r="A6">
        <v>1920</v>
      </c>
      <c r="B6" t="str">
        <f xml:space="preserve"> "" &amp; 747396019567</f>
        <v>747396019567</v>
      </c>
      <c r="C6" t="s">
        <v>6499</v>
      </c>
      <c r="D6" t="s">
        <v>626</v>
      </c>
      <c r="E6" t="s">
        <v>7528</v>
      </c>
      <c r="F6" t="s">
        <v>627</v>
      </c>
      <c r="G6">
        <v>1</v>
      </c>
      <c r="H6">
        <v>1</v>
      </c>
      <c r="I6" t="s">
        <v>97</v>
      </c>
      <c r="J6" s="10">
        <v>7</v>
      </c>
      <c r="K6" s="10">
        <v>21</v>
      </c>
      <c r="L6" s="10">
        <v>0</v>
      </c>
      <c r="N6" s="10">
        <v>0</v>
      </c>
      <c r="S6">
        <v>4.25</v>
      </c>
      <c r="T6">
        <v>7</v>
      </c>
      <c r="U6">
        <v>7</v>
      </c>
      <c r="W6">
        <v>0.44</v>
      </c>
      <c r="X6">
        <v>1</v>
      </c>
      <c r="Y6">
        <v>6</v>
      </c>
      <c r="Z6">
        <v>7</v>
      </c>
      <c r="AA6">
        <v>7</v>
      </c>
      <c r="AB6">
        <v>0.17</v>
      </c>
      <c r="AC6">
        <v>0.7</v>
      </c>
      <c r="AF6" t="s">
        <v>7528</v>
      </c>
      <c r="AK6" t="s">
        <v>98</v>
      </c>
      <c r="AM6" t="s">
        <v>98</v>
      </c>
      <c r="AN6" t="s">
        <v>98</v>
      </c>
      <c r="AO6" t="s">
        <v>98</v>
      </c>
      <c r="AP6" t="s">
        <v>100</v>
      </c>
      <c r="AQ6" t="s">
        <v>101</v>
      </c>
      <c r="AV6" t="s">
        <v>98</v>
      </c>
      <c r="AX6" t="s">
        <v>628</v>
      </c>
      <c r="AZ6" t="s">
        <v>7528</v>
      </c>
      <c r="BB6" t="s">
        <v>629</v>
      </c>
      <c r="BC6" t="s">
        <v>628</v>
      </c>
      <c r="BD6" t="s">
        <v>7528</v>
      </c>
      <c r="BF6" t="s">
        <v>630</v>
      </c>
      <c r="BG6" t="s">
        <v>98</v>
      </c>
      <c r="BH6" t="s">
        <v>98</v>
      </c>
      <c r="BI6" t="s">
        <v>98</v>
      </c>
      <c r="BK6" t="s">
        <v>7528</v>
      </c>
      <c r="BL6" t="s">
        <v>7528</v>
      </c>
      <c r="CB6" t="s">
        <v>628</v>
      </c>
      <c r="CL6" t="s">
        <v>98</v>
      </c>
      <c r="CM6" t="s">
        <v>98</v>
      </c>
      <c r="CN6" t="s">
        <v>629</v>
      </c>
      <c r="CO6" s="1">
        <v>40283</v>
      </c>
      <c r="CP6" s="1">
        <v>43633</v>
      </c>
    </row>
    <row r="7" spans="1:94" x14ac:dyDescent="0.25">
      <c r="A7">
        <v>1933</v>
      </c>
      <c r="B7" t="str">
        <f xml:space="preserve"> "" &amp; 747396043296</f>
        <v>747396043296</v>
      </c>
      <c r="C7" t="s">
        <v>631</v>
      </c>
      <c r="D7" t="s">
        <v>632</v>
      </c>
      <c r="E7" t="s">
        <v>7528</v>
      </c>
      <c r="F7" t="s">
        <v>627</v>
      </c>
      <c r="G7">
        <v>1</v>
      </c>
      <c r="H7">
        <v>1</v>
      </c>
      <c r="I7" t="s">
        <v>97</v>
      </c>
      <c r="J7" s="10">
        <v>9.9499999999999993</v>
      </c>
      <c r="K7" s="10">
        <v>29.85</v>
      </c>
      <c r="L7" s="10">
        <v>0</v>
      </c>
      <c r="N7" s="10">
        <v>0</v>
      </c>
      <c r="W7">
        <v>0.83</v>
      </c>
      <c r="X7">
        <v>1</v>
      </c>
      <c r="AC7">
        <v>0.91</v>
      </c>
      <c r="AF7" t="s">
        <v>7528</v>
      </c>
      <c r="AK7" t="s">
        <v>98</v>
      </c>
      <c r="AM7" t="s">
        <v>98</v>
      </c>
      <c r="AN7" t="s">
        <v>98</v>
      </c>
      <c r="AO7" t="s">
        <v>98</v>
      </c>
      <c r="AP7" t="s">
        <v>100</v>
      </c>
      <c r="AQ7" t="s">
        <v>101</v>
      </c>
      <c r="AV7" t="s">
        <v>98</v>
      </c>
      <c r="AX7" t="s">
        <v>7528</v>
      </c>
      <c r="AZ7" t="s">
        <v>7528</v>
      </c>
      <c r="BB7" t="s">
        <v>7528</v>
      </c>
      <c r="BC7" t="s">
        <v>7528</v>
      </c>
      <c r="BD7" t="s">
        <v>7528</v>
      </c>
      <c r="BF7" t="s">
        <v>633</v>
      </c>
      <c r="BG7" t="s">
        <v>98</v>
      </c>
      <c r="BH7" t="s">
        <v>98</v>
      </c>
      <c r="BI7" t="s">
        <v>98</v>
      </c>
      <c r="BK7" t="s">
        <v>7528</v>
      </c>
      <c r="BL7" t="s">
        <v>7528</v>
      </c>
      <c r="CB7" t="s">
        <v>7528</v>
      </c>
      <c r="CL7" t="s">
        <v>98</v>
      </c>
      <c r="CM7" t="s">
        <v>98</v>
      </c>
      <c r="CN7" t="s">
        <v>7528</v>
      </c>
      <c r="CO7" s="1">
        <v>40256</v>
      </c>
      <c r="CP7" s="1">
        <v>43595</v>
      </c>
    </row>
    <row r="8" spans="1:94" x14ac:dyDescent="0.25">
      <c r="A8">
        <v>2562</v>
      </c>
      <c r="B8" t="str">
        <f xml:space="preserve"> "" &amp; 747396018607</f>
        <v>747396018607</v>
      </c>
      <c r="C8" t="s">
        <v>941</v>
      </c>
      <c r="D8" t="s">
        <v>942</v>
      </c>
      <c r="E8" t="s">
        <v>7528</v>
      </c>
      <c r="F8" t="s">
        <v>627</v>
      </c>
      <c r="G8">
        <v>1</v>
      </c>
      <c r="H8">
        <v>1</v>
      </c>
      <c r="I8" t="s">
        <v>97</v>
      </c>
      <c r="J8" s="10">
        <v>6.25</v>
      </c>
      <c r="K8" s="10">
        <v>18.75</v>
      </c>
      <c r="L8" s="10">
        <v>0</v>
      </c>
      <c r="N8" s="10">
        <v>0</v>
      </c>
      <c r="S8">
        <v>4.88</v>
      </c>
      <c r="T8">
        <v>5</v>
      </c>
      <c r="U8">
        <v>5</v>
      </c>
      <c r="W8">
        <v>1.1000000000000001</v>
      </c>
      <c r="X8">
        <v>1</v>
      </c>
      <c r="Y8">
        <v>12.5</v>
      </c>
      <c r="Z8">
        <v>18.25</v>
      </c>
      <c r="AA8">
        <v>9.5</v>
      </c>
      <c r="AB8">
        <v>1.254</v>
      </c>
      <c r="AC8">
        <v>1.24</v>
      </c>
      <c r="AF8" t="s">
        <v>7528</v>
      </c>
      <c r="AK8" t="s">
        <v>98</v>
      </c>
      <c r="AM8" t="s">
        <v>98</v>
      </c>
      <c r="AN8" t="s">
        <v>98</v>
      </c>
      <c r="AO8" t="s">
        <v>98</v>
      </c>
      <c r="AP8" t="s">
        <v>100</v>
      </c>
      <c r="AQ8" t="s">
        <v>101</v>
      </c>
      <c r="AV8" t="s">
        <v>98</v>
      </c>
      <c r="AX8" t="s">
        <v>7528</v>
      </c>
      <c r="AZ8" t="s">
        <v>7528</v>
      </c>
      <c r="BB8" t="s">
        <v>7528</v>
      </c>
      <c r="BC8" t="s">
        <v>7528</v>
      </c>
      <c r="BD8" t="s">
        <v>7528</v>
      </c>
      <c r="BF8" t="s">
        <v>943</v>
      </c>
      <c r="BG8" t="s">
        <v>98</v>
      </c>
      <c r="BH8" t="s">
        <v>98</v>
      </c>
      <c r="BI8" t="s">
        <v>98</v>
      </c>
      <c r="BK8" t="s">
        <v>7528</v>
      </c>
      <c r="BL8" t="s">
        <v>7528</v>
      </c>
      <c r="CB8" t="s">
        <v>7528</v>
      </c>
      <c r="CL8" t="s">
        <v>98</v>
      </c>
      <c r="CM8" t="s">
        <v>98</v>
      </c>
      <c r="CN8" t="s">
        <v>7528</v>
      </c>
      <c r="CO8" s="1">
        <v>39497</v>
      </c>
      <c r="CP8" s="1">
        <v>43595</v>
      </c>
    </row>
    <row r="9" spans="1:94" x14ac:dyDescent="0.25">
      <c r="A9">
        <v>2568</v>
      </c>
      <c r="B9" t="str">
        <f xml:space="preserve"> "" &amp; 747396018638</f>
        <v>747396018638</v>
      </c>
      <c r="C9" t="s">
        <v>6500</v>
      </c>
      <c r="D9" t="s">
        <v>944</v>
      </c>
      <c r="E9" t="s">
        <v>7528</v>
      </c>
      <c r="F9" t="s">
        <v>627</v>
      </c>
      <c r="G9">
        <v>1</v>
      </c>
      <c r="H9">
        <v>1</v>
      </c>
      <c r="I9" t="s">
        <v>97</v>
      </c>
      <c r="J9" s="10">
        <v>4.5</v>
      </c>
      <c r="K9" s="10">
        <v>13.5</v>
      </c>
      <c r="L9" s="10">
        <v>0</v>
      </c>
      <c r="N9" s="10">
        <v>0</v>
      </c>
      <c r="W9">
        <v>0.88</v>
      </c>
      <c r="X9">
        <v>1</v>
      </c>
      <c r="Y9">
        <v>7.5</v>
      </c>
      <c r="Z9">
        <v>20.25</v>
      </c>
      <c r="AA9">
        <v>16.75</v>
      </c>
      <c r="AB9">
        <v>1.472</v>
      </c>
      <c r="AC9">
        <v>1.05</v>
      </c>
      <c r="AF9" t="s">
        <v>7528</v>
      </c>
      <c r="AK9" t="s">
        <v>98</v>
      </c>
      <c r="AM9" t="s">
        <v>98</v>
      </c>
      <c r="AN9" t="s">
        <v>98</v>
      </c>
      <c r="AO9" t="s">
        <v>98</v>
      </c>
      <c r="AP9" t="s">
        <v>100</v>
      </c>
      <c r="AQ9" t="s">
        <v>101</v>
      </c>
      <c r="AV9" t="s">
        <v>98</v>
      </c>
      <c r="AX9" t="s">
        <v>7528</v>
      </c>
      <c r="AZ9" t="s">
        <v>7528</v>
      </c>
      <c r="BB9" t="s">
        <v>7528</v>
      </c>
      <c r="BC9" t="s">
        <v>7528</v>
      </c>
      <c r="BD9" t="s">
        <v>7528</v>
      </c>
      <c r="BF9" t="s">
        <v>945</v>
      </c>
      <c r="BG9" t="s">
        <v>98</v>
      </c>
      <c r="BH9" t="s">
        <v>98</v>
      </c>
      <c r="BI9" t="s">
        <v>98</v>
      </c>
      <c r="BK9" t="s">
        <v>7528</v>
      </c>
      <c r="BL9" t="s">
        <v>7528</v>
      </c>
      <c r="CB9" t="s">
        <v>7528</v>
      </c>
      <c r="CL9" t="s">
        <v>98</v>
      </c>
      <c r="CM9" t="s">
        <v>98</v>
      </c>
      <c r="CN9" t="s">
        <v>7528</v>
      </c>
      <c r="CO9" s="1">
        <v>40259</v>
      </c>
      <c r="CP9" s="1">
        <v>43633</v>
      </c>
    </row>
    <row r="10" spans="1:94" x14ac:dyDescent="0.25">
      <c r="A10">
        <v>7009</v>
      </c>
      <c r="B10" t="str">
        <f xml:space="preserve"> "" &amp; 747396040424</f>
        <v>747396040424</v>
      </c>
      <c r="C10" t="s">
        <v>3172</v>
      </c>
      <c r="D10" t="s">
        <v>3173</v>
      </c>
      <c r="E10" t="s">
        <v>7528</v>
      </c>
      <c r="F10" t="s">
        <v>627</v>
      </c>
      <c r="G10">
        <v>1</v>
      </c>
      <c r="H10">
        <v>1</v>
      </c>
      <c r="I10" t="s">
        <v>97</v>
      </c>
      <c r="J10" s="10">
        <v>2.5</v>
      </c>
      <c r="K10" s="10">
        <v>7.5</v>
      </c>
      <c r="L10" s="10">
        <v>0</v>
      </c>
      <c r="N10" s="10">
        <v>0</v>
      </c>
      <c r="S10">
        <v>3.75</v>
      </c>
      <c r="U10">
        <v>7.38</v>
      </c>
      <c r="W10">
        <v>0.53</v>
      </c>
      <c r="X10">
        <v>1</v>
      </c>
      <c r="AC10">
        <v>1.06</v>
      </c>
      <c r="AF10" t="s">
        <v>7528</v>
      </c>
      <c r="AK10" t="s">
        <v>98</v>
      </c>
      <c r="AM10" t="s">
        <v>98</v>
      </c>
      <c r="AN10" t="s">
        <v>98</v>
      </c>
      <c r="AO10" t="s">
        <v>98</v>
      </c>
      <c r="AP10" t="s">
        <v>100</v>
      </c>
      <c r="AQ10" t="s">
        <v>101</v>
      </c>
      <c r="AV10" t="s">
        <v>98</v>
      </c>
      <c r="AX10" t="s">
        <v>7528</v>
      </c>
      <c r="AZ10" t="s">
        <v>7528</v>
      </c>
      <c r="BB10" t="s">
        <v>7528</v>
      </c>
      <c r="BC10" t="s">
        <v>7528</v>
      </c>
      <c r="BD10" t="s">
        <v>7528</v>
      </c>
      <c r="BF10" t="s">
        <v>3174</v>
      </c>
      <c r="BG10" t="s">
        <v>98</v>
      </c>
      <c r="BH10" t="s">
        <v>98</v>
      </c>
      <c r="BI10" t="s">
        <v>98</v>
      </c>
      <c r="BK10" t="s">
        <v>7528</v>
      </c>
      <c r="BL10" t="s">
        <v>7528</v>
      </c>
      <c r="CB10" t="s">
        <v>7528</v>
      </c>
      <c r="CL10" t="s">
        <v>98</v>
      </c>
      <c r="CM10" t="s">
        <v>98</v>
      </c>
      <c r="CN10" t="s">
        <v>7528</v>
      </c>
      <c r="CO10" s="1">
        <v>40323</v>
      </c>
      <c r="CP10" s="1">
        <v>43633</v>
      </c>
    </row>
    <row r="11" spans="1:94" x14ac:dyDescent="0.25">
      <c r="A11">
        <v>7010</v>
      </c>
      <c r="B11" t="str">
        <f xml:space="preserve"> "" &amp; 747396040431</f>
        <v>747396040431</v>
      </c>
      <c r="C11" t="s">
        <v>3172</v>
      </c>
      <c r="D11" t="s">
        <v>3175</v>
      </c>
      <c r="E11" t="s">
        <v>7528</v>
      </c>
      <c r="F11" t="s">
        <v>627</v>
      </c>
      <c r="G11">
        <v>1</v>
      </c>
      <c r="H11">
        <v>1</v>
      </c>
      <c r="I11" t="s">
        <v>97</v>
      </c>
      <c r="J11" s="10">
        <v>4.95</v>
      </c>
      <c r="K11" s="10">
        <v>14.85</v>
      </c>
      <c r="L11" s="10">
        <v>0</v>
      </c>
      <c r="N11" s="10">
        <v>0</v>
      </c>
      <c r="S11">
        <v>4.25</v>
      </c>
      <c r="U11">
        <v>9.25</v>
      </c>
      <c r="W11">
        <v>1</v>
      </c>
      <c r="X11">
        <v>1</v>
      </c>
      <c r="Y11">
        <v>15.25</v>
      </c>
      <c r="Z11">
        <v>19.75</v>
      </c>
      <c r="AA11">
        <v>19.75</v>
      </c>
      <c r="AB11">
        <v>3.4420000000000002</v>
      </c>
      <c r="AC11">
        <v>1.46</v>
      </c>
      <c r="AF11" t="s">
        <v>7528</v>
      </c>
      <c r="AK11" t="s">
        <v>98</v>
      </c>
      <c r="AM11" t="s">
        <v>98</v>
      </c>
      <c r="AN11" t="s">
        <v>98</v>
      </c>
      <c r="AO11" t="s">
        <v>98</v>
      </c>
      <c r="AP11" t="s">
        <v>100</v>
      </c>
      <c r="AQ11" t="s">
        <v>101</v>
      </c>
      <c r="AV11" t="s">
        <v>98</v>
      </c>
      <c r="AX11" t="s">
        <v>7528</v>
      </c>
      <c r="AZ11" t="s">
        <v>7528</v>
      </c>
      <c r="BB11" t="s">
        <v>7528</v>
      </c>
      <c r="BC11" t="s">
        <v>7528</v>
      </c>
      <c r="BD11" t="s">
        <v>7528</v>
      </c>
      <c r="BF11" t="s">
        <v>3176</v>
      </c>
      <c r="BG11" t="s">
        <v>98</v>
      </c>
      <c r="BH11" t="s">
        <v>98</v>
      </c>
      <c r="BI11" t="s">
        <v>98</v>
      </c>
      <c r="BK11" t="s">
        <v>7528</v>
      </c>
      <c r="BL11" t="s">
        <v>7528</v>
      </c>
      <c r="CB11" t="s">
        <v>7528</v>
      </c>
      <c r="CL11" t="s">
        <v>98</v>
      </c>
      <c r="CM11" t="s">
        <v>98</v>
      </c>
      <c r="CN11" t="s">
        <v>7528</v>
      </c>
      <c r="CO11" s="1">
        <v>39821</v>
      </c>
      <c r="CP11" s="1">
        <v>43633</v>
      </c>
    </row>
    <row r="12" spans="1:94" x14ac:dyDescent="0.25">
      <c r="A12">
        <v>9836</v>
      </c>
      <c r="B12" t="str">
        <f xml:space="preserve"> "" &amp; 747396041995</f>
        <v>747396041995</v>
      </c>
      <c r="C12" t="s">
        <v>3349</v>
      </c>
      <c r="D12" t="s">
        <v>5123</v>
      </c>
      <c r="E12" t="s">
        <v>7528</v>
      </c>
      <c r="F12" t="s">
        <v>2823</v>
      </c>
      <c r="G12">
        <v>1</v>
      </c>
      <c r="H12">
        <v>1</v>
      </c>
      <c r="I12" t="s">
        <v>97</v>
      </c>
      <c r="J12" s="10">
        <v>27</v>
      </c>
      <c r="K12" s="10">
        <v>81</v>
      </c>
      <c r="L12" s="10">
        <v>0</v>
      </c>
      <c r="N12" s="10">
        <v>0</v>
      </c>
      <c r="O12" t="s">
        <v>99</v>
      </c>
      <c r="P12" s="10">
        <v>54.95</v>
      </c>
      <c r="S12">
        <v>9.25</v>
      </c>
      <c r="T12">
        <v>12</v>
      </c>
      <c r="U12">
        <v>8</v>
      </c>
      <c r="V12">
        <v>5.5</v>
      </c>
      <c r="W12">
        <v>3.09</v>
      </c>
      <c r="X12">
        <v>1</v>
      </c>
      <c r="Y12">
        <v>7.5</v>
      </c>
      <c r="Z12">
        <v>12</v>
      </c>
      <c r="AA12">
        <v>10.5</v>
      </c>
      <c r="AB12">
        <v>0.54700000000000004</v>
      </c>
      <c r="AC12">
        <v>3.97</v>
      </c>
      <c r="AE12">
        <v>1</v>
      </c>
      <c r="AF12" t="s">
        <v>233</v>
      </c>
      <c r="AG12">
        <v>100</v>
      </c>
      <c r="AK12" t="s">
        <v>98</v>
      </c>
      <c r="AM12" t="s">
        <v>98</v>
      </c>
      <c r="AN12" t="s">
        <v>98</v>
      </c>
      <c r="AO12" t="s">
        <v>99</v>
      </c>
      <c r="AP12" t="s">
        <v>100</v>
      </c>
      <c r="AQ12" t="s">
        <v>101</v>
      </c>
      <c r="AV12" t="s">
        <v>98</v>
      </c>
      <c r="AX12" t="s">
        <v>1579</v>
      </c>
      <c r="AZ12" t="s">
        <v>102</v>
      </c>
      <c r="BB12" t="s">
        <v>7528</v>
      </c>
      <c r="BC12" t="s">
        <v>7528</v>
      </c>
      <c r="BD12" t="s">
        <v>7528</v>
      </c>
      <c r="BF12" t="s">
        <v>5124</v>
      </c>
      <c r="BG12" t="s">
        <v>99</v>
      </c>
      <c r="BH12" t="s">
        <v>98</v>
      </c>
      <c r="BI12" t="s">
        <v>98</v>
      </c>
      <c r="BJ12" t="s">
        <v>99</v>
      </c>
      <c r="BK12" t="s">
        <v>453</v>
      </c>
      <c r="BL12" t="s">
        <v>7528</v>
      </c>
      <c r="BM12">
        <v>8</v>
      </c>
      <c r="BN12">
        <v>9</v>
      </c>
      <c r="CB12" t="s">
        <v>1579</v>
      </c>
      <c r="CL12" t="s">
        <v>99</v>
      </c>
      <c r="CM12" t="s">
        <v>98</v>
      </c>
      <c r="CN12" t="s">
        <v>5125</v>
      </c>
      <c r="CO12" s="1">
        <v>39442</v>
      </c>
      <c r="CP12" s="1">
        <v>43633</v>
      </c>
    </row>
    <row r="13" spans="1:94" x14ac:dyDescent="0.25">
      <c r="A13" t="s">
        <v>94</v>
      </c>
      <c r="B13" t="str">
        <f xml:space="preserve"> "" &amp; 840253053381</f>
        <v>840253053381</v>
      </c>
      <c r="C13" t="s">
        <v>95</v>
      </c>
      <c r="D13" t="s">
        <v>95</v>
      </c>
      <c r="E13" t="s">
        <v>7528</v>
      </c>
      <c r="F13" t="s">
        <v>96</v>
      </c>
      <c r="G13">
        <v>1</v>
      </c>
      <c r="H13">
        <v>1</v>
      </c>
      <c r="I13" t="s">
        <v>97</v>
      </c>
      <c r="J13" s="10">
        <v>50</v>
      </c>
      <c r="K13" s="10">
        <v>150</v>
      </c>
      <c r="L13" s="10">
        <v>0</v>
      </c>
      <c r="N13" s="10">
        <v>0</v>
      </c>
      <c r="S13">
        <v>32</v>
      </c>
      <c r="T13">
        <v>18</v>
      </c>
      <c r="U13">
        <v>10</v>
      </c>
      <c r="W13">
        <v>9.26</v>
      </c>
      <c r="Y13">
        <v>17.88</v>
      </c>
      <c r="Z13">
        <v>27.38</v>
      </c>
      <c r="AA13">
        <v>15</v>
      </c>
      <c r="AB13">
        <v>4.25</v>
      </c>
      <c r="AC13">
        <v>13.67</v>
      </c>
      <c r="AE13">
        <v>1</v>
      </c>
      <c r="AF13" t="s">
        <v>282</v>
      </c>
      <c r="AG13">
        <v>100</v>
      </c>
      <c r="AK13" t="s">
        <v>98</v>
      </c>
      <c r="AM13" t="s">
        <v>98</v>
      </c>
      <c r="AN13" t="s">
        <v>98</v>
      </c>
      <c r="AO13" t="s">
        <v>99</v>
      </c>
      <c r="AP13" t="s">
        <v>100</v>
      </c>
      <c r="AQ13" t="s">
        <v>101</v>
      </c>
      <c r="AV13" t="s">
        <v>98</v>
      </c>
      <c r="AX13" t="s">
        <v>7549</v>
      </c>
      <c r="AZ13" t="s">
        <v>102</v>
      </c>
      <c r="BB13" t="s">
        <v>197</v>
      </c>
      <c r="BC13" t="s">
        <v>285</v>
      </c>
      <c r="BD13" t="s">
        <v>7528</v>
      </c>
      <c r="BF13" t="s">
        <v>103</v>
      </c>
      <c r="BG13" t="s">
        <v>98</v>
      </c>
      <c r="BH13" t="s">
        <v>98</v>
      </c>
      <c r="BI13" t="s">
        <v>98</v>
      </c>
      <c r="BK13" t="s">
        <v>110</v>
      </c>
      <c r="BL13" t="s">
        <v>7528</v>
      </c>
      <c r="CA13">
        <v>10031</v>
      </c>
      <c r="CB13" t="s">
        <v>7528</v>
      </c>
      <c r="CL13" t="s">
        <v>98</v>
      </c>
      <c r="CM13" t="s">
        <v>98</v>
      </c>
      <c r="CN13" t="s">
        <v>7634</v>
      </c>
      <c r="CO13" s="1">
        <v>40532</v>
      </c>
      <c r="CP13" s="1">
        <v>43633</v>
      </c>
    </row>
    <row r="14" spans="1:94" x14ac:dyDescent="0.25">
      <c r="A14" t="s">
        <v>104</v>
      </c>
      <c r="B14" t="str">
        <f xml:space="preserve"> "" &amp; 840253053404</f>
        <v>840253053404</v>
      </c>
      <c r="C14" t="s">
        <v>95</v>
      </c>
      <c r="D14" t="s">
        <v>95</v>
      </c>
      <c r="E14" t="s">
        <v>7528</v>
      </c>
      <c r="F14" t="s">
        <v>96</v>
      </c>
      <c r="G14">
        <v>1</v>
      </c>
      <c r="H14">
        <v>1</v>
      </c>
      <c r="I14" t="s">
        <v>97</v>
      </c>
      <c r="J14" s="10">
        <v>50</v>
      </c>
      <c r="K14" s="10">
        <v>150</v>
      </c>
      <c r="L14" s="10">
        <v>0</v>
      </c>
      <c r="N14" s="10">
        <v>0</v>
      </c>
      <c r="S14">
        <v>32</v>
      </c>
      <c r="T14">
        <v>18</v>
      </c>
      <c r="U14">
        <v>10</v>
      </c>
      <c r="W14">
        <v>9.0399999999999991</v>
      </c>
      <c r="Y14">
        <v>21.63</v>
      </c>
      <c r="Z14">
        <v>27.5</v>
      </c>
      <c r="AA14">
        <v>11.63</v>
      </c>
      <c r="AB14">
        <v>4.0030000000000001</v>
      </c>
      <c r="AC14">
        <v>13.45</v>
      </c>
      <c r="AE14">
        <v>1</v>
      </c>
      <c r="AF14" t="s">
        <v>282</v>
      </c>
      <c r="AG14">
        <v>100</v>
      </c>
      <c r="AK14" t="s">
        <v>98</v>
      </c>
      <c r="AM14" t="s">
        <v>98</v>
      </c>
      <c r="AN14" t="s">
        <v>98</v>
      </c>
      <c r="AO14" t="s">
        <v>99</v>
      </c>
      <c r="AP14" t="s">
        <v>100</v>
      </c>
      <c r="AQ14" t="s">
        <v>101</v>
      </c>
      <c r="AV14" t="s">
        <v>98</v>
      </c>
      <c r="AX14" t="s">
        <v>7550</v>
      </c>
      <c r="AZ14" t="s">
        <v>102</v>
      </c>
      <c r="BB14" t="s">
        <v>197</v>
      </c>
      <c r="BC14" t="s">
        <v>285</v>
      </c>
      <c r="BD14" t="s">
        <v>7528</v>
      </c>
      <c r="BF14" t="s">
        <v>105</v>
      </c>
      <c r="BG14" t="s">
        <v>98</v>
      </c>
      <c r="BH14" t="s">
        <v>98</v>
      </c>
      <c r="BI14" t="s">
        <v>98</v>
      </c>
      <c r="BK14" t="s">
        <v>110</v>
      </c>
      <c r="BL14" t="s">
        <v>7528</v>
      </c>
      <c r="CA14">
        <v>10033</v>
      </c>
      <c r="CB14" t="s">
        <v>7528</v>
      </c>
      <c r="CL14" t="s">
        <v>98</v>
      </c>
      <c r="CM14" t="s">
        <v>98</v>
      </c>
      <c r="CN14" t="s">
        <v>7634</v>
      </c>
      <c r="CO14" s="1">
        <v>40533</v>
      </c>
      <c r="CP14" s="1">
        <v>43633</v>
      </c>
    </row>
    <row r="15" spans="1:94" x14ac:dyDescent="0.25">
      <c r="A15" t="s">
        <v>106</v>
      </c>
      <c r="B15" t="str">
        <f xml:space="preserve"> "" &amp; 840253053435</f>
        <v>840253053435</v>
      </c>
      <c r="C15" t="s">
        <v>95</v>
      </c>
      <c r="D15" t="s">
        <v>95</v>
      </c>
      <c r="E15" t="s">
        <v>7528</v>
      </c>
      <c r="F15" t="s">
        <v>96</v>
      </c>
      <c r="G15">
        <v>1</v>
      </c>
      <c r="H15">
        <v>1</v>
      </c>
      <c r="I15" t="s">
        <v>97</v>
      </c>
      <c r="J15" s="10">
        <v>50</v>
      </c>
      <c r="K15" s="10">
        <v>150</v>
      </c>
      <c r="L15" s="10">
        <v>0</v>
      </c>
      <c r="N15" s="10">
        <v>0</v>
      </c>
      <c r="S15">
        <v>31</v>
      </c>
      <c r="T15">
        <v>18</v>
      </c>
      <c r="U15">
        <v>10</v>
      </c>
      <c r="W15">
        <v>8.82</v>
      </c>
      <c r="Y15">
        <v>19.88</v>
      </c>
      <c r="Z15">
        <v>26.75</v>
      </c>
      <c r="AA15">
        <v>11.63</v>
      </c>
      <c r="AB15">
        <v>3.5790000000000002</v>
      </c>
      <c r="AC15">
        <v>13.23</v>
      </c>
      <c r="AE15">
        <v>1</v>
      </c>
      <c r="AF15" t="s">
        <v>282</v>
      </c>
      <c r="AG15">
        <v>100</v>
      </c>
      <c r="AK15" t="s">
        <v>98</v>
      </c>
      <c r="AM15" t="s">
        <v>98</v>
      </c>
      <c r="AN15" t="s">
        <v>98</v>
      </c>
      <c r="AO15" t="s">
        <v>99</v>
      </c>
      <c r="AP15" t="s">
        <v>100</v>
      </c>
      <c r="AQ15" t="s">
        <v>101</v>
      </c>
      <c r="AV15" t="s">
        <v>98</v>
      </c>
      <c r="AX15" t="s">
        <v>7550</v>
      </c>
      <c r="AZ15" t="s">
        <v>102</v>
      </c>
      <c r="BB15" t="s">
        <v>197</v>
      </c>
      <c r="BC15" t="s">
        <v>7580</v>
      </c>
      <c r="BD15" t="s">
        <v>7528</v>
      </c>
      <c r="BF15" t="s">
        <v>107</v>
      </c>
      <c r="BG15" t="s">
        <v>98</v>
      </c>
      <c r="BH15" t="s">
        <v>98</v>
      </c>
      <c r="BI15" t="s">
        <v>98</v>
      </c>
      <c r="BK15" t="s">
        <v>110</v>
      </c>
      <c r="BL15" t="s">
        <v>7528</v>
      </c>
      <c r="CA15">
        <v>10036</v>
      </c>
      <c r="CB15" t="s">
        <v>7528</v>
      </c>
      <c r="CL15" t="s">
        <v>98</v>
      </c>
      <c r="CM15" t="s">
        <v>98</v>
      </c>
      <c r="CN15" t="s">
        <v>294</v>
      </c>
      <c r="CO15" s="1">
        <v>40533</v>
      </c>
      <c r="CP15" s="1">
        <v>43633</v>
      </c>
    </row>
    <row r="16" spans="1:94" x14ac:dyDescent="0.25">
      <c r="A16" t="s">
        <v>108</v>
      </c>
      <c r="B16" t="str">
        <f xml:space="preserve"> "" &amp; 840253053442</f>
        <v>840253053442</v>
      </c>
      <c r="C16" t="s">
        <v>95</v>
      </c>
      <c r="D16" t="s">
        <v>95</v>
      </c>
      <c r="E16" t="s">
        <v>7528</v>
      </c>
      <c r="F16" t="s">
        <v>96</v>
      </c>
      <c r="G16">
        <v>1</v>
      </c>
      <c r="H16">
        <v>1</v>
      </c>
      <c r="I16" t="s">
        <v>97</v>
      </c>
      <c r="J16" s="10">
        <v>69.95</v>
      </c>
      <c r="K16" s="10">
        <v>209.85</v>
      </c>
      <c r="L16" s="10">
        <v>0</v>
      </c>
      <c r="N16" s="10">
        <v>0</v>
      </c>
      <c r="S16">
        <v>29.25</v>
      </c>
      <c r="T16">
        <v>11.25</v>
      </c>
      <c r="U16">
        <v>8.75</v>
      </c>
      <c r="W16">
        <v>5.73</v>
      </c>
      <c r="Y16">
        <v>16.5</v>
      </c>
      <c r="Z16">
        <v>32.630000000000003</v>
      </c>
      <c r="AA16">
        <v>11.25</v>
      </c>
      <c r="AB16">
        <v>3.5049999999999999</v>
      </c>
      <c r="AC16">
        <v>9.6999999999999993</v>
      </c>
      <c r="AE16">
        <v>1</v>
      </c>
      <c r="AF16" t="s">
        <v>282</v>
      </c>
      <c r="AG16">
        <v>100</v>
      </c>
      <c r="AK16" t="s">
        <v>98</v>
      </c>
      <c r="AM16" t="s">
        <v>98</v>
      </c>
      <c r="AN16" t="s">
        <v>98</v>
      </c>
      <c r="AO16" t="s">
        <v>99</v>
      </c>
      <c r="AP16" t="s">
        <v>100</v>
      </c>
      <c r="AQ16" t="s">
        <v>101</v>
      </c>
      <c r="AV16" t="s">
        <v>98</v>
      </c>
      <c r="AX16" t="s">
        <v>302</v>
      </c>
      <c r="AZ16" t="s">
        <v>102</v>
      </c>
      <c r="BB16" t="s">
        <v>197</v>
      </c>
      <c r="BC16" t="s">
        <v>7580</v>
      </c>
      <c r="BD16" t="s">
        <v>7528</v>
      </c>
      <c r="BF16" t="s">
        <v>109</v>
      </c>
      <c r="BG16" t="s">
        <v>98</v>
      </c>
      <c r="BH16" t="s">
        <v>98</v>
      </c>
      <c r="BI16" t="s">
        <v>98</v>
      </c>
      <c r="BK16" t="s">
        <v>110</v>
      </c>
      <c r="BL16" t="s">
        <v>7528</v>
      </c>
      <c r="CA16" t="s">
        <v>108</v>
      </c>
      <c r="CB16" t="s">
        <v>7528</v>
      </c>
      <c r="CL16" t="s">
        <v>98</v>
      </c>
      <c r="CM16" t="s">
        <v>98</v>
      </c>
      <c r="CN16" t="s">
        <v>294</v>
      </c>
      <c r="CO16" s="1">
        <v>40756</v>
      </c>
      <c r="CP16" s="1">
        <v>43633</v>
      </c>
    </row>
    <row r="17" spans="1:94" x14ac:dyDescent="0.25">
      <c r="A17" t="s">
        <v>111</v>
      </c>
      <c r="B17" t="str">
        <f xml:space="preserve"> "" &amp; 840253053459</f>
        <v>840253053459</v>
      </c>
      <c r="C17" t="s">
        <v>112</v>
      </c>
      <c r="D17" t="s">
        <v>95</v>
      </c>
      <c r="E17" t="s">
        <v>7528</v>
      </c>
      <c r="F17" t="s">
        <v>7531</v>
      </c>
      <c r="G17">
        <v>1</v>
      </c>
      <c r="H17">
        <v>1</v>
      </c>
      <c r="I17" t="s">
        <v>97</v>
      </c>
      <c r="J17" s="10">
        <v>39.950000000000003</v>
      </c>
      <c r="K17" s="10">
        <v>119.85</v>
      </c>
      <c r="L17" s="10">
        <v>0</v>
      </c>
      <c r="N17" s="10">
        <v>0</v>
      </c>
      <c r="S17">
        <v>32</v>
      </c>
      <c r="T17">
        <v>16</v>
      </c>
      <c r="W17">
        <v>8.0500000000000007</v>
      </c>
      <c r="Y17">
        <v>24.63</v>
      </c>
      <c r="Z17">
        <v>27.5</v>
      </c>
      <c r="AA17">
        <v>13.75</v>
      </c>
      <c r="AB17">
        <v>5.39</v>
      </c>
      <c r="AC17">
        <v>13.01</v>
      </c>
      <c r="AE17">
        <v>1</v>
      </c>
      <c r="AF17" t="s">
        <v>282</v>
      </c>
      <c r="AG17">
        <v>150</v>
      </c>
      <c r="AK17" t="s">
        <v>98</v>
      </c>
      <c r="AM17" t="s">
        <v>98</v>
      </c>
      <c r="AN17" t="s">
        <v>98</v>
      </c>
      <c r="AO17" t="s">
        <v>99</v>
      </c>
      <c r="AP17" t="s">
        <v>100</v>
      </c>
      <c r="AQ17" t="s">
        <v>101</v>
      </c>
      <c r="AV17" t="s">
        <v>98</v>
      </c>
      <c r="AX17" t="s">
        <v>7551</v>
      </c>
      <c r="AZ17" t="s">
        <v>7528</v>
      </c>
      <c r="BB17" t="s">
        <v>197</v>
      </c>
      <c r="BC17" t="s">
        <v>7580</v>
      </c>
      <c r="BD17" t="s">
        <v>7528</v>
      </c>
      <c r="BF17" t="s">
        <v>113</v>
      </c>
      <c r="BG17" t="s">
        <v>98</v>
      </c>
      <c r="BH17" t="s">
        <v>98</v>
      </c>
      <c r="BI17" t="s">
        <v>98</v>
      </c>
      <c r="BK17" t="s">
        <v>110</v>
      </c>
      <c r="BL17" t="s">
        <v>7528</v>
      </c>
      <c r="CA17" t="s">
        <v>111</v>
      </c>
      <c r="CB17" t="s">
        <v>7551</v>
      </c>
      <c r="CL17" t="s">
        <v>98</v>
      </c>
      <c r="CM17" t="s">
        <v>98</v>
      </c>
      <c r="CN17" t="s">
        <v>7634</v>
      </c>
      <c r="CO17" s="1">
        <v>40786</v>
      </c>
      <c r="CP17" s="1">
        <v>43633</v>
      </c>
    </row>
    <row r="18" spans="1:94" x14ac:dyDescent="0.25">
      <c r="A18" t="s">
        <v>114</v>
      </c>
      <c r="B18" t="str">
        <f xml:space="preserve"> "" &amp; 840253053473</f>
        <v>840253053473</v>
      </c>
      <c r="C18" t="s">
        <v>95</v>
      </c>
      <c r="D18" t="s">
        <v>95</v>
      </c>
      <c r="E18" t="s">
        <v>7528</v>
      </c>
      <c r="F18" t="s">
        <v>96</v>
      </c>
      <c r="G18">
        <v>1</v>
      </c>
      <c r="H18">
        <v>1</v>
      </c>
      <c r="I18" t="s">
        <v>97</v>
      </c>
      <c r="J18" s="10">
        <v>50</v>
      </c>
      <c r="K18" s="10">
        <v>150</v>
      </c>
      <c r="L18" s="10">
        <v>0</v>
      </c>
      <c r="N18" s="10">
        <v>0</v>
      </c>
      <c r="S18">
        <v>32</v>
      </c>
      <c r="T18">
        <v>18</v>
      </c>
      <c r="W18">
        <v>8.82</v>
      </c>
      <c r="Y18">
        <v>20.25</v>
      </c>
      <c r="Z18">
        <v>27.13</v>
      </c>
      <c r="AA18">
        <v>15.5</v>
      </c>
      <c r="AB18">
        <v>4.9279999999999999</v>
      </c>
      <c r="AC18">
        <v>13.89</v>
      </c>
      <c r="AE18">
        <v>1</v>
      </c>
      <c r="AF18" t="s">
        <v>282</v>
      </c>
      <c r="AG18">
        <v>100</v>
      </c>
      <c r="AK18" t="s">
        <v>98</v>
      </c>
      <c r="AM18" t="s">
        <v>98</v>
      </c>
      <c r="AN18" t="s">
        <v>98</v>
      </c>
      <c r="AO18" t="s">
        <v>99</v>
      </c>
      <c r="AP18" t="s">
        <v>100</v>
      </c>
      <c r="AQ18" t="s">
        <v>101</v>
      </c>
      <c r="AV18" t="s">
        <v>98</v>
      </c>
      <c r="AX18" t="s">
        <v>7552</v>
      </c>
      <c r="AZ18" t="s">
        <v>102</v>
      </c>
      <c r="BB18" t="s">
        <v>197</v>
      </c>
      <c r="BC18" t="s">
        <v>7580</v>
      </c>
      <c r="BD18" t="s">
        <v>7528</v>
      </c>
      <c r="BF18" t="s">
        <v>115</v>
      </c>
      <c r="BG18" t="s">
        <v>98</v>
      </c>
      <c r="BH18" t="s">
        <v>98</v>
      </c>
      <c r="BI18" t="s">
        <v>98</v>
      </c>
      <c r="BK18" t="s">
        <v>110</v>
      </c>
      <c r="BL18" t="s">
        <v>7528</v>
      </c>
      <c r="CA18">
        <v>10040</v>
      </c>
      <c r="CB18" t="s">
        <v>7528</v>
      </c>
      <c r="CL18" t="s">
        <v>98</v>
      </c>
      <c r="CM18" t="s">
        <v>98</v>
      </c>
      <c r="CN18" t="s">
        <v>7634</v>
      </c>
      <c r="CO18" s="1">
        <v>40533</v>
      </c>
      <c r="CP18" s="1">
        <v>43633</v>
      </c>
    </row>
    <row r="19" spans="1:94" x14ac:dyDescent="0.25">
      <c r="A19" t="s">
        <v>116</v>
      </c>
      <c r="B19" t="str">
        <f xml:space="preserve"> "" &amp; 840253053558</f>
        <v>840253053558</v>
      </c>
      <c r="C19" t="s">
        <v>95</v>
      </c>
      <c r="D19" t="s">
        <v>95</v>
      </c>
      <c r="E19" t="s">
        <v>7528</v>
      </c>
      <c r="F19" t="s">
        <v>96</v>
      </c>
      <c r="G19">
        <v>1</v>
      </c>
      <c r="H19">
        <v>1</v>
      </c>
      <c r="I19" t="s">
        <v>97</v>
      </c>
      <c r="J19" s="10">
        <v>50</v>
      </c>
      <c r="K19" s="10">
        <v>150</v>
      </c>
      <c r="L19" s="10">
        <v>0</v>
      </c>
      <c r="N19" s="10">
        <v>0</v>
      </c>
      <c r="S19">
        <v>32</v>
      </c>
      <c r="U19">
        <v>16</v>
      </c>
      <c r="W19">
        <v>9.92</v>
      </c>
      <c r="Y19">
        <v>28.38</v>
      </c>
      <c r="Z19">
        <v>27.5</v>
      </c>
      <c r="AA19">
        <v>12.75</v>
      </c>
      <c r="AB19">
        <v>5.7590000000000003</v>
      </c>
      <c r="AC19">
        <v>14.99</v>
      </c>
      <c r="AE19">
        <v>1</v>
      </c>
      <c r="AF19" t="s">
        <v>282</v>
      </c>
      <c r="AG19">
        <v>150</v>
      </c>
      <c r="AK19" t="s">
        <v>98</v>
      </c>
      <c r="AM19" t="s">
        <v>98</v>
      </c>
      <c r="AN19" t="s">
        <v>98</v>
      </c>
      <c r="AO19" t="s">
        <v>99</v>
      </c>
      <c r="AP19" t="s">
        <v>100</v>
      </c>
      <c r="AQ19" t="s">
        <v>101</v>
      </c>
      <c r="AV19" t="s">
        <v>98</v>
      </c>
      <c r="AX19" t="s">
        <v>117</v>
      </c>
      <c r="AZ19" t="s">
        <v>102</v>
      </c>
      <c r="BB19" t="s">
        <v>197</v>
      </c>
      <c r="BC19" t="s">
        <v>285</v>
      </c>
      <c r="BD19" t="s">
        <v>7528</v>
      </c>
      <c r="BF19" t="s">
        <v>118</v>
      </c>
      <c r="BG19" t="s">
        <v>98</v>
      </c>
      <c r="BH19" t="s">
        <v>98</v>
      </c>
      <c r="BI19" t="s">
        <v>98</v>
      </c>
      <c r="BK19" t="s">
        <v>110</v>
      </c>
      <c r="BL19" t="s">
        <v>7528</v>
      </c>
      <c r="CA19">
        <v>10056</v>
      </c>
      <c r="CB19" t="s">
        <v>117</v>
      </c>
      <c r="CL19" t="s">
        <v>98</v>
      </c>
      <c r="CM19" t="s">
        <v>98</v>
      </c>
      <c r="CN19" t="s">
        <v>7635</v>
      </c>
      <c r="CO19" s="1">
        <v>40533</v>
      </c>
      <c r="CP19" s="1">
        <v>43633</v>
      </c>
    </row>
    <row r="20" spans="1:94" x14ac:dyDescent="0.25">
      <c r="A20" t="s">
        <v>119</v>
      </c>
      <c r="B20" t="str">
        <f xml:space="preserve"> "" &amp; 747396053042</f>
        <v>747396053042</v>
      </c>
      <c r="C20" t="s">
        <v>120</v>
      </c>
      <c r="D20" t="s">
        <v>121</v>
      </c>
      <c r="E20" t="s">
        <v>7528</v>
      </c>
      <c r="F20" t="s">
        <v>122</v>
      </c>
      <c r="G20">
        <v>1</v>
      </c>
      <c r="H20">
        <v>1</v>
      </c>
      <c r="I20" t="s">
        <v>97</v>
      </c>
      <c r="J20" s="10">
        <v>67.95</v>
      </c>
      <c r="K20" s="10">
        <v>203.85</v>
      </c>
      <c r="L20" s="10">
        <v>0</v>
      </c>
      <c r="N20" s="10">
        <v>0</v>
      </c>
      <c r="O20" t="s">
        <v>99</v>
      </c>
      <c r="P20" s="10">
        <v>135.9</v>
      </c>
      <c r="S20">
        <v>4.5</v>
      </c>
      <c r="T20">
        <v>51.25</v>
      </c>
      <c r="U20">
        <v>11.5</v>
      </c>
      <c r="W20">
        <v>9.35</v>
      </c>
      <c r="X20">
        <v>1</v>
      </c>
      <c r="Y20">
        <v>5.63</v>
      </c>
      <c r="Z20">
        <v>53.13</v>
      </c>
      <c r="AA20">
        <v>13.88</v>
      </c>
      <c r="AB20">
        <v>2.403</v>
      </c>
      <c r="AC20">
        <v>12.08</v>
      </c>
      <c r="AE20">
        <v>2</v>
      </c>
      <c r="AF20" t="s">
        <v>123</v>
      </c>
      <c r="AG20">
        <v>32</v>
      </c>
      <c r="AH20">
        <v>0</v>
      </c>
      <c r="AJ20">
        <v>0</v>
      </c>
      <c r="AK20" t="s">
        <v>98</v>
      </c>
      <c r="AM20" t="s">
        <v>98</v>
      </c>
      <c r="AN20" t="s">
        <v>98</v>
      </c>
      <c r="AO20" t="s">
        <v>99</v>
      </c>
      <c r="AP20" t="s">
        <v>100</v>
      </c>
      <c r="AQ20" t="s">
        <v>101</v>
      </c>
      <c r="AV20" t="s">
        <v>99</v>
      </c>
      <c r="AX20" t="s">
        <v>117</v>
      </c>
      <c r="AZ20" t="s">
        <v>124</v>
      </c>
      <c r="BB20" t="s">
        <v>125</v>
      </c>
      <c r="BC20" t="s">
        <v>117</v>
      </c>
      <c r="BD20" t="s">
        <v>7528</v>
      </c>
      <c r="BF20" t="s">
        <v>126</v>
      </c>
      <c r="BG20" t="s">
        <v>98</v>
      </c>
      <c r="BH20" t="s">
        <v>98</v>
      </c>
      <c r="BI20" t="s">
        <v>98</v>
      </c>
      <c r="BK20" t="s">
        <v>127</v>
      </c>
      <c r="BL20" t="s">
        <v>128</v>
      </c>
      <c r="CA20">
        <v>1007</v>
      </c>
      <c r="CB20" t="s">
        <v>117</v>
      </c>
      <c r="CL20" t="s">
        <v>98</v>
      </c>
      <c r="CM20" t="s">
        <v>98</v>
      </c>
      <c r="CN20" t="s">
        <v>129</v>
      </c>
      <c r="CO20" s="1">
        <v>38484</v>
      </c>
      <c r="CP20" s="1">
        <v>43633</v>
      </c>
    </row>
    <row r="21" spans="1:94" x14ac:dyDescent="0.25">
      <c r="A21" t="s">
        <v>130</v>
      </c>
      <c r="B21" t="str">
        <f xml:space="preserve"> "" &amp; 747396053035</f>
        <v>747396053035</v>
      </c>
      <c r="C21" t="s">
        <v>131</v>
      </c>
      <c r="D21" t="s">
        <v>132</v>
      </c>
      <c r="E21" t="s">
        <v>7528</v>
      </c>
      <c r="F21" t="s">
        <v>122</v>
      </c>
      <c r="G21">
        <v>1</v>
      </c>
      <c r="H21">
        <v>1</v>
      </c>
      <c r="I21" t="s">
        <v>97</v>
      </c>
      <c r="J21" s="10">
        <v>86.5</v>
      </c>
      <c r="K21" s="10">
        <v>259.5</v>
      </c>
      <c r="L21" s="10">
        <v>0</v>
      </c>
      <c r="N21" s="10">
        <v>0</v>
      </c>
      <c r="O21" t="s">
        <v>99</v>
      </c>
      <c r="P21" s="10">
        <v>173</v>
      </c>
      <c r="S21">
        <v>4.5</v>
      </c>
      <c r="T21">
        <v>51.5</v>
      </c>
      <c r="U21">
        <v>17</v>
      </c>
      <c r="W21">
        <v>14.02</v>
      </c>
      <c r="X21">
        <v>1</v>
      </c>
      <c r="Y21">
        <v>5.63</v>
      </c>
      <c r="Z21">
        <v>53.13</v>
      </c>
      <c r="AA21">
        <v>19.38</v>
      </c>
      <c r="AB21">
        <v>3.355</v>
      </c>
      <c r="AC21">
        <v>17.86</v>
      </c>
      <c r="AE21">
        <v>4</v>
      </c>
      <c r="AF21" t="s">
        <v>123</v>
      </c>
      <c r="AG21">
        <v>32</v>
      </c>
      <c r="AH21">
        <v>0</v>
      </c>
      <c r="AJ21">
        <v>0</v>
      </c>
      <c r="AK21" t="s">
        <v>98</v>
      </c>
      <c r="AM21" t="s">
        <v>98</v>
      </c>
      <c r="AN21" t="s">
        <v>98</v>
      </c>
      <c r="AO21" t="s">
        <v>99</v>
      </c>
      <c r="AP21" t="s">
        <v>100</v>
      </c>
      <c r="AQ21" t="s">
        <v>101</v>
      </c>
      <c r="AV21" t="s">
        <v>99</v>
      </c>
      <c r="AX21" t="s">
        <v>117</v>
      </c>
      <c r="AZ21" t="s">
        <v>102</v>
      </c>
      <c r="BB21" t="s">
        <v>125</v>
      </c>
      <c r="BC21" t="s">
        <v>133</v>
      </c>
      <c r="BD21" t="s">
        <v>7528</v>
      </c>
      <c r="BF21" t="s">
        <v>134</v>
      </c>
      <c r="BG21" t="s">
        <v>98</v>
      </c>
      <c r="BH21" t="s">
        <v>98</v>
      </c>
      <c r="BI21" t="s">
        <v>98</v>
      </c>
      <c r="BK21" t="s">
        <v>127</v>
      </c>
      <c r="BL21" t="s">
        <v>128</v>
      </c>
      <c r="CA21">
        <v>1008</v>
      </c>
      <c r="CB21" t="s">
        <v>117</v>
      </c>
      <c r="CL21" t="s">
        <v>98</v>
      </c>
      <c r="CM21" t="s">
        <v>98</v>
      </c>
      <c r="CN21" t="s">
        <v>129</v>
      </c>
      <c r="CO21" s="1">
        <v>38484</v>
      </c>
      <c r="CP21" s="1">
        <v>43633</v>
      </c>
    </row>
    <row r="22" spans="1:94" x14ac:dyDescent="0.25">
      <c r="A22" t="s">
        <v>135</v>
      </c>
      <c r="B22" t="str">
        <f xml:space="preserve"> "" &amp; 840253048073</f>
        <v>840253048073</v>
      </c>
      <c r="C22" t="s">
        <v>162</v>
      </c>
      <c r="D22" t="s">
        <v>95</v>
      </c>
      <c r="E22" t="s">
        <v>7528</v>
      </c>
      <c r="F22" t="s">
        <v>96</v>
      </c>
      <c r="G22">
        <v>1</v>
      </c>
      <c r="H22">
        <v>1</v>
      </c>
      <c r="I22" t="s">
        <v>97</v>
      </c>
      <c r="J22" s="10">
        <v>30</v>
      </c>
      <c r="K22" s="10">
        <v>90</v>
      </c>
      <c r="L22" s="10">
        <v>0</v>
      </c>
      <c r="N22" s="10">
        <v>0</v>
      </c>
      <c r="S22">
        <v>21</v>
      </c>
      <c r="U22">
        <v>16</v>
      </c>
      <c r="W22">
        <v>7.94</v>
      </c>
      <c r="Y22">
        <v>19.75</v>
      </c>
      <c r="Z22">
        <v>17.5</v>
      </c>
      <c r="AA22">
        <v>17.5</v>
      </c>
      <c r="AB22">
        <v>3.5</v>
      </c>
      <c r="AC22">
        <v>12.28</v>
      </c>
      <c r="AE22">
        <v>1</v>
      </c>
      <c r="AF22" t="s">
        <v>7540</v>
      </c>
      <c r="AG22">
        <v>150</v>
      </c>
      <c r="AK22" t="s">
        <v>98</v>
      </c>
      <c r="AM22" t="s">
        <v>98</v>
      </c>
      <c r="AN22" t="s">
        <v>98</v>
      </c>
      <c r="AO22" t="s">
        <v>99</v>
      </c>
      <c r="AP22" t="s">
        <v>100</v>
      </c>
      <c r="AQ22" t="s">
        <v>101</v>
      </c>
      <c r="AV22" t="s">
        <v>98</v>
      </c>
      <c r="AX22" t="s">
        <v>7553</v>
      </c>
      <c r="AZ22" t="s">
        <v>7528</v>
      </c>
      <c r="BB22" t="s">
        <v>197</v>
      </c>
      <c r="BC22" t="s">
        <v>164</v>
      </c>
      <c r="BD22" t="s">
        <v>7528</v>
      </c>
      <c r="BF22" t="s">
        <v>136</v>
      </c>
      <c r="BG22" t="s">
        <v>98</v>
      </c>
      <c r="BH22" t="s">
        <v>98</v>
      </c>
      <c r="BI22" t="s">
        <v>98</v>
      </c>
      <c r="BK22" t="s">
        <v>110</v>
      </c>
      <c r="BL22" t="s">
        <v>7528</v>
      </c>
      <c r="CA22" t="s">
        <v>135</v>
      </c>
      <c r="CB22" t="s">
        <v>7553</v>
      </c>
      <c r="CL22" t="s">
        <v>98</v>
      </c>
      <c r="CM22" t="s">
        <v>98</v>
      </c>
      <c r="CN22" t="s">
        <v>7636</v>
      </c>
      <c r="CO22" s="1">
        <v>39665</v>
      </c>
      <c r="CP22" s="1">
        <v>43633</v>
      </c>
    </row>
    <row r="23" spans="1:94" x14ac:dyDescent="0.25">
      <c r="A23" t="s">
        <v>137</v>
      </c>
      <c r="B23" t="str">
        <f xml:space="preserve"> "" &amp; 840253048059</f>
        <v>840253048059</v>
      </c>
      <c r="C23" t="s">
        <v>162</v>
      </c>
      <c r="D23" t="s">
        <v>95</v>
      </c>
      <c r="E23" t="s">
        <v>7528</v>
      </c>
      <c r="F23" t="s">
        <v>96</v>
      </c>
      <c r="G23">
        <v>1</v>
      </c>
      <c r="H23">
        <v>1</v>
      </c>
      <c r="I23" t="s">
        <v>97</v>
      </c>
      <c r="J23" s="10">
        <v>30</v>
      </c>
      <c r="K23" s="10">
        <v>90</v>
      </c>
      <c r="L23" s="10">
        <v>0</v>
      </c>
      <c r="N23" s="10">
        <v>0</v>
      </c>
      <c r="S23">
        <v>32.5</v>
      </c>
      <c r="T23">
        <v>16</v>
      </c>
      <c r="U23">
        <v>16</v>
      </c>
      <c r="W23">
        <v>6.61</v>
      </c>
      <c r="Y23">
        <v>30.5</v>
      </c>
      <c r="Z23">
        <v>17.5</v>
      </c>
      <c r="AA23">
        <v>17.5</v>
      </c>
      <c r="AB23">
        <v>5.4050000000000002</v>
      </c>
      <c r="AC23">
        <v>14.57</v>
      </c>
      <c r="AE23">
        <v>1</v>
      </c>
      <c r="AF23" t="s">
        <v>7540</v>
      </c>
      <c r="AG23">
        <v>150</v>
      </c>
      <c r="AH23">
        <v>0</v>
      </c>
      <c r="AJ23">
        <v>0</v>
      </c>
      <c r="AK23" t="s">
        <v>98</v>
      </c>
      <c r="AM23" t="s">
        <v>98</v>
      </c>
      <c r="AN23" t="s">
        <v>98</v>
      </c>
      <c r="AO23" t="s">
        <v>99</v>
      </c>
      <c r="AP23" t="s">
        <v>100</v>
      </c>
      <c r="AQ23" t="s">
        <v>101</v>
      </c>
      <c r="AV23" t="s">
        <v>98</v>
      </c>
      <c r="AX23" t="s">
        <v>3029</v>
      </c>
      <c r="AZ23" t="s">
        <v>7528</v>
      </c>
      <c r="BB23" t="s">
        <v>197</v>
      </c>
      <c r="BC23" t="s">
        <v>7581</v>
      </c>
      <c r="BD23" t="s">
        <v>7528</v>
      </c>
      <c r="BF23" t="s">
        <v>138</v>
      </c>
      <c r="BG23" t="s">
        <v>98</v>
      </c>
      <c r="BH23" t="s">
        <v>98</v>
      </c>
      <c r="BI23" t="s">
        <v>98</v>
      </c>
      <c r="BK23" t="s">
        <v>110</v>
      </c>
      <c r="BL23" t="s">
        <v>7528</v>
      </c>
      <c r="CA23" t="s">
        <v>137</v>
      </c>
      <c r="CB23" t="s">
        <v>3029</v>
      </c>
      <c r="CL23" t="s">
        <v>98</v>
      </c>
      <c r="CM23" t="s">
        <v>98</v>
      </c>
      <c r="CN23" t="s">
        <v>7636</v>
      </c>
      <c r="CO23" s="1">
        <v>39665</v>
      </c>
      <c r="CP23" s="1">
        <v>43633</v>
      </c>
    </row>
    <row r="24" spans="1:94" x14ac:dyDescent="0.25">
      <c r="A24" t="s">
        <v>139</v>
      </c>
      <c r="B24" t="str">
        <f xml:space="preserve"> "" &amp; 840253048035</f>
        <v>840253048035</v>
      </c>
      <c r="C24" t="s">
        <v>162</v>
      </c>
      <c r="D24" t="s">
        <v>95</v>
      </c>
      <c r="E24" t="s">
        <v>7528</v>
      </c>
      <c r="F24" t="s">
        <v>7531</v>
      </c>
      <c r="G24">
        <v>1</v>
      </c>
      <c r="H24">
        <v>1</v>
      </c>
      <c r="I24" t="s">
        <v>97</v>
      </c>
      <c r="J24" s="10">
        <v>35</v>
      </c>
      <c r="K24" s="10">
        <v>105</v>
      </c>
      <c r="L24" s="10">
        <v>0</v>
      </c>
      <c r="N24" s="10">
        <v>0</v>
      </c>
      <c r="S24">
        <v>26</v>
      </c>
      <c r="T24">
        <v>8</v>
      </c>
      <c r="U24">
        <v>16</v>
      </c>
      <c r="W24">
        <v>8.82</v>
      </c>
      <c r="Y24">
        <v>23.5</v>
      </c>
      <c r="Z24">
        <v>17.75</v>
      </c>
      <c r="AA24">
        <v>9.25</v>
      </c>
      <c r="AB24">
        <v>2.2330000000000001</v>
      </c>
      <c r="AC24">
        <v>12.28</v>
      </c>
      <c r="AE24">
        <v>1</v>
      </c>
      <c r="AF24" t="s">
        <v>244</v>
      </c>
      <c r="AG24">
        <v>100</v>
      </c>
      <c r="AH24">
        <v>0</v>
      </c>
      <c r="AJ24">
        <v>0</v>
      </c>
      <c r="AK24" t="s">
        <v>98</v>
      </c>
      <c r="AM24" t="s">
        <v>98</v>
      </c>
      <c r="AN24" t="s">
        <v>98</v>
      </c>
      <c r="AO24" t="s">
        <v>99</v>
      </c>
      <c r="AP24" t="s">
        <v>100</v>
      </c>
      <c r="AQ24" t="s">
        <v>101</v>
      </c>
      <c r="AV24" t="s">
        <v>98</v>
      </c>
      <c r="AX24" t="s">
        <v>7554</v>
      </c>
      <c r="AZ24" t="s">
        <v>7528</v>
      </c>
      <c r="BB24" t="s">
        <v>629</v>
      </c>
      <c r="BC24" t="s">
        <v>7582</v>
      </c>
      <c r="BD24" t="s">
        <v>7528</v>
      </c>
      <c r="BF24" t="s">
        <v>140</v>
      </c>
      <c r="BG24" t="s">
        <v>98</v>
      </c>
      <c r="BH24" t="s">
        <v>98</v>
      </c>
      <c r="BI24" t="s">
        <v>98</v>
      </c>
      <c r="BK24" t="s">
        <v>110</v>
      </c>
      <c r="BL24" t="s">
        <v>7528</v>
      </c>
      <c r="CA24" t="s">
        <v>139</v>
      </c>
      <c r="CB24" t="s">
        <v>7554</v>
      </c>
      <c r="CL24" t="s">
        <v>98</v>
      </c>
      <c r="CM24" t="s">
        <v>98</v>
      </c>
      <c r="CN24" t="s">
        <v>7636</v>
      </c>
      <c r="CO24" s="1">
        <v>39665</v>
      </c>
      <c r="CP24" s="1">
        <v>43633</v>
      </c>
    </row>
    <row r="25" spans="1:94" x14ac:dyDescent="0.25">
      <c r="A25" t="s">
        <v>141</v>
      </c>
      <c r="B25" t="str">
        <f xml:space="preserve"> "" &amp; 747396066660</f>
        <v>747396066660</v>
      </c>
      <c r="C25" t="s">
        <v>142</v>
      </c>
      <c r="D25" t="s">
        <v>143</v>
      </c>
      <c r="E25" t="s">
        <v>7528</v>
      </c>
      <c r="F25" t="s">
        <v>144</v>
      </c>
      <c r="G25">
        <v>1</v>
      </c>
      <c r="H25">
        <v>1</v>
      </c>
      <c r="I25" t="s">
        <v>97</v>
      </c>
      <c r="J25" s="10">
        <v>20</v>
      </c>
      <c r="K25" s="10">
        <v>60</v>
      </c>
      <c r="L25" s="10">
        <v>0</v>
      </c>
      <c r="N25" s="10">
        <v>0</v>
      </c>
      <c r="S25">
        <v>4</v>
      </c>
      <c r="T25">
        <v>26.75</v>
      </c>
      <c r="U25">
        <v>6.5</v>
      </c>
      <c r="W25">
        <v>3.7</v>
      </c>
      <c r="X25">
        <v>1</v>
      </c>
      <c r="Y25">
        <v>10.63</v>
      </c>
      <c r="Z25">
        <v>29.25</v>
      </c>
      <c r="AA25">
        <v>8.5</v>
      </c>
      <c r="AB25">
        <v>1.5289999999999999</v>
      </c>
      <c r="AC25">
        <v>5.1100000000000003</v>
      </c>
      <c r="AE25">
        <v>2</v>
      </c>
      <c r="AF25" t="s">
        <v>145</v>
      </c>
      <c r="AG25">
        <v>17</v>
      </c>
      <c r="AH25">
        <v>0</v>
      </c>
      <c r="AJ25">
        <v>0</v>
      </c>
      <c r="AK25" t="s">
        <v>98</v>
      </c>
      <c r="AM25" t="s">
        <v>98</v>
      </c>
      <c r="AN25" t="s">
        <v>98</v>
      </c>
      <c r="AO25" t="s">
        <v>99</v>
      </c>
      <c r="AP25" t="s">
        <v>100</v>
      </c>
      <c r="AQ25" t="s">
        <v>101</v>
      </c>
      <c r="AV25" t="s">
        <v>99</v>
      </c>
      <c r="AX25" t="s">
        <v>117</v>
      </c>
      <c r="AZ25" t="s">
        <v>102</v>
      </c>
      <c r="BB25" t="s">
        <v>125</v>
      </c>
      <c r="BC25" t="s">
        <v>117</v>
      </c>
      <c r="BD25" t="s">
        <v>7528</v>
      </c>
      <c r="BF25" t="s">
        <v>146</v>
      </c>
      <c r="BG25" t="s">
        <v>98</v>
      </c>
      <c r="BH25" t="s">
        <v>98</v>
      </c>
      <c r="BI25" t="s">
        <v>98</v>
      </c>
      <c r="BK25" t="s">
        <v>127</v>
      </c>
      <c r="BL25" t="s">
        <v>128</v>
      </c>
      <c r="CA25">
        <v>1013</v>
      </c>
      <c r="CB25" t="s">
        <v>117</v>
      </c>
      <c r="CL25" t="s">
        <v>99</v>
      </c>
      <c r="CM25" t="s">
        <v>98</v>
      </c>
      <c r="CN25" t="s">
        <v>129</v>
      </c>
      <c r="CO25" s="1">
        <v>39426</v>
      </c>
      <c r="CP25" s="1">
        <v>43633</v>
      </c>
    </row>
    <row r="26" spans="1:94" x14ac:dyDescent="0.25">
      <c r="A26" t="s">
        <v>147</v>
      </c>
      <c r="B26" t="str">
        <f xml:space="preserve"> "" &amp; 840253047571</f>
        <v>840253047571</v>
      </c>
      <c r="C26" t="s">
        <v>162</v>
      </c>
      <c r="D26" t="s">
        <v>95</v>
      </c>
      <c r="E26" t="s">
        <v>7528</v>
      </c>
      <c r="F26" t="s">
        <v>7531</v>
      </c>
      <c r="G26">
        <v>1</v>
      </c>
      <c r="H26">
        <v>1</v>
      </c>
      <c r="I26" t="s">
        <v>97</v>
      </c>
      <c r="J26" s="10">
        <v>50</v>
      </c>
      <c r="K26" s="10">
        <v>150</v>
      </c>
      <c r="L26" s="10">
        <v>0</v>
      </c>
      <c r="N26" s="10">
        <v>0</v>
      </c>
      <c r="S26">
        <v>30</v>
      </c>
      <c r="T26">
        <v>17</v>
      </c>
      <c r="U26">
        <v>17</v>
      </c>
      <c r="W26">
        <v>9.26</v>
      </c>
      <c r="Y26">
        <v>28</v>
      </c>
      <c r="Z26">
        <v>18.5</v>
      </c>
      <c r="AA26">
        <v>18.5</v>
      </c>
      <c r="AB26">
        <v>5.5460000000000003</v>
      </c>
      <c r="AC26">
        <v>15.43</v>
      </c>
      <c r="AE26">
        <v>1</v>
      </c>
      <c r="AF26" t="s">
        <v>244</v>
      </c>
      <c r="AG26">
        <v>150</v>
      </c>
      <c r="AH26">
        <v>0</v>
      </c>
      <c r="AJ26">
        <v>0</v>
      </c>
      <c r="AK26" t="s">
        <v>98</v>
      </c>
      <c r="AM26" t="s">
        <v>98</v>
      </c>
      <c r="AN26" t="s">
        <v>98</v>
      </c>
      <c r="AO26" t="s">
        <v>99</v>
      </c>
      <c r="AP26" t="s">
        <v>100</v>
      </c>
      <c r="AQ26" t="s">
        <v>101</v>
      </c>
      <c r="AV26" t="s">
        <v>98</v>
      </c>
      <c r="AX26" t="s">
        <v>7555</v>
      </c>
      <c r="AZ26" t="s">
        <v>7528</v>
      </c>
      <c r="BB26" t="s">
        <v>197</v>
      </c>
      <c r="BC26" t="s">
        <v>7555</v>
      </c>
      <c r="BD26" t="s">
        <v>7528</v>
      </c>
      <c r="BF26" t="s">
        <v>148</v>
      </c>
      <c r="BG26" t="s">
        <v>98</v>
      </c>
      <c r="BH26" t="s">
        <v>98</v>
      </c>
      <c r="BI26" t="s">
        <v>98</v>
      </c>
      <c r="BK26" t="s">
        <v>110</v>
      </c>
      <c r="BL26" t="s">
        <v>7528</v>
      </c>
      <c r="CA26" t="s">
        <v>147</v>
      </c>
      <c r="CB26" t="s">
        <v>7555</v>
      </c>
      <c r="CL26" t="s">
        <v>98</v>
      </c>
      <c r="CM26" t="s">
        <v>98</v>
      </c>
      <c r="CN26" t="s">
        <v>7636</v>
      </c>
      <c r="CO26" s="1">
        <v>39689</v>
      </c>
      <c r="CP26" s="1">
        <v>43633</v>
      </c>
    </row>
    <row r="27" spans="1:94" x14ac:dyDescent="0.25">
      <c r="A27" t="s">
        <v>149</v>
      </c>
      <c r="B27" t="str">
        <f xml:space="preserve"> "" &amp; 840253047588</f>
        <v>840253047588</v>
      </c>
      <c r="C27" t="s">
        <v>162</v>
      </c>
      <c r="D27" t="s">
        <v>95</v>
      </c>
      <c r="E27" t="s">
        <v>7528</v>
      </c>
      <c r="F27" t="s">
        <v>96</v>
      </c>
      <c r="G27">
        <v>1</v>
      </c>
      <c r="H27">
        <v>1</v>
      </c>
      <c r="I27" t="s">
        <v>97</v>
      </c>
      <c r="J27" s="10">
        <v>35</v>
      </c>
      <c r="K27" s="10">
        <v>105</v>
      </c>
      <c r="L27" s="10">
        <v>0</v>
      </c>
      <c r="N27" s="10">
        <v>0</v>
      </c>
      <c r="S27">
        <v>29</v>
      </c>
      <c r="U27">
        <v>19</v>
      </c>
      <c r="W27">
        <v>8.82</v>
      </c>
      <c r="Y27">
        <v>27.75</v>
      </c>
      <c r="Z27">
        <v>20</v>
      </c>
      <c r="AA27">
        <v>20</v>
      </c>
      <c r="AB27">
        <v>6.4240000000000004</v>
      </c>
      <c r="AC27">
        <v>14.99</v>
      </c>
      <c r="AE27">
        <v>1</v>
      </c>
      <c r="AF27" t="s">
        <v>319</v>
      </c>
      <c r="AG27">
        <v>150</v>
      </c>
      <c r="AH27">
        <v>0</v>
      </c>
      <c r="AJ27">
        <v>0</v>
      </c>
      <c r="AK27" t="s">
        <v>98</v>
      </c>
      <c r="AM27" t="s">
        <v>98</v>
      </c>
      <c r="AN27" t="s">
        <v>98</v>
      </c>
      <c r="AO27" t="s">
        <v>99</v>
      </c>
      <c r="AP27" t="s">
        <v>100</v>
      </c>
      <c r="AQ27" t="s">
        <v>101</v>
      </c>
      <c r="AV27" t="s">
        <v>98</v>
      </c>
      <c r="AX27" t="s">
        <v>7556</v>
      </c>
      <c r="AZ27" t="s">
        <v>7528</v>
      </c>
      <c r="BB27" t="s">
        <v>197</v>
      </c>
      <c r="BC27" t="s">
        <v>164</v>
      </c>
      <c r="BD27" t="s">
        <v>7528</v>
      </c>
      <c r="BF27" t="s">
        <v>150</v>
      </c>
      <c r="BG27" t="s">
        <v>98</v>
      </c>
      <c r="BH27" t="s">
        <v>98</v>
      </c>
      <c r="BI27" t="s">
        <v>98</v>
      </c>
      <c r="BK27" t="s">
        <v>110</v>
      </c>
      <c r="BL27" t="s">
        <v>7528</v>
      </c>
      <c r="CA27" t="s">
        <v>149</v>
      </c>
      <c r="CB27" t="s">
        <v>7556</v>
      </c>
      <c r="CL27" t="s">
        <v>98</v>
      </c>
      <c r="CM27" t="s">
        <v>98</v>
      </c>
      <c r="CN27" t="s">
        <v>7636</v>
      </c>
      <c r="CO27" s="1">
        <v>39455</v>
      </c>
      <c r="CP27" s="1">
        <v>43633</v>
      </c>
    </row>
    <row r="28" spans="1:94" x14ac:dyDescent="0.25">
      <c r="A28" t="s">
        <v>151</v>
      </c>
      <c r="B28" t="str">
        <f xml:space="preserve"> "" &amp; 840253047625</f>
        <v>840253047625</v>
      </c>
      <c r="C28" t="s">
        <v>7518</v>
      </c>
      <c r="D28" t="s">
        <v>95</v>
      </c>
      <c r="E28" t="s">
        <v>7528</v>
      </c>
      <c r="F28" t="s">
        <v>96</v>
      </c>
      <c r="G28">
        <v>1</v>
      </c>
      <c r="H28">
        <v>1</v>
      </c>
      <c r="I28" t="s">
        <v>97</v>
      </c>
      <c r="J28" s="10">
        <v>35</v>
      </c>
      <c r="K28" s="10">
        <v>105</v>
      </c>
      <c r="L28" s="10">
        <v>0</v>
      </c>
      <c r="N28" s="10">
        <v>0</v>
      </c>
      <c r="S28">
        <v>29.5</v>
      </c>
      <c r="U28">
        <v>19</v>
      </c>
      <c r="W28">
        <v>11.02</v>
      </c>
      <c r="Y28">
        <v>27</v>
      </c>
      <c r="Z28">
        <v>20.5</v>
      </c>
      <c r="AA28">
        <v>20.5</v>
      </c>
      <c r="AB28">
        <v>6.5659999999999998</v>
      </c>
      <c r="AC28">
        <v>17.64</v>
      </c>
      <c r="AE28">
        <v>2</v>
      </c>
      <c r="AF28" t="s">
        <v>466</v>
      </c>
      <c r="AG28">
        <v>100</v>
      </c>
      <c r="AH28">
        <v>0</v>
      </c>
      <c r="AJ28">
        <v>0</v>
      </c>
      <c r="AK28" t="s">
        <v>98</v>
      </c>
      <c r="AM28" t="s">
        <v>98</v>
      </c>
      <c r="AN28" t="s">
        <v>98</v>
      </c>
      <c r="AO28" t="s">
        <v>99</v>
      </c>
      <c r="AP28" t="s">
        <v>100</v>
      </c>
      <c r="AQ28" t="s">
        <v>101</v>
      </c>
      <c r="AV28" t="s">
        <v>98</v>
      </c>
      <c r="AX28" t="s">
        <v>7557</v>
      </c>
      <c r="AZ28" t="s">
        <v>7528</v>
      </c>
      <c r="BB28" t="s">
        <v>197</v>
      </c>
      <c r="BC28" t="s">
        <v>7569</v>
      </c>
      <c r="BD28" t="s">
        <v>7528</v>
      </c>
      <c r="BF28" t="s">
        <v>152</v>
      </c>
      <c r="BG28" t="s">
        <v>98</v>
      </c>
      <c r="BH28" t="s">
        <v>98</v>
      </c>
      <c r="BI28" t="s">
        <v>98</v>
      </c>
      <c r="BK28" t="s">
        <v>110</v>
      </c>
      <c r="BL28" t="s">
        <v>7528</v>
      </c>
      <c r="CA28" t="s">
        <v>151</v>
      </c>
      <c r="CB28" t="s">
        <v>7557</v>
      </c>
      <c r="CL28" t="s">
        <v>98</v>
      </c>
      <c r="CM28" t="s">
        <v>98</v>
      </c>
      <c r="CN28" t="s">
        <v>7636</v>
      </c>
      <c r="CO28" s="1">
        <v>39455</v>
      </c>
      <c r="CP28" s="1">
        <v>43633</v>
      </c>
    </row>
    <row r="29" spans="1:94" x14ac:dyDescent="0.25">
      <c r="A29" t="s">
        <v>153</v>
      </c>
      <c r="B29" t="str">
        <f xml:space="preserve"> "" &amp; 840253047632</f>
        <v>840253047632</v>
      </c>
      <c r="C29" t="s">
        <v>162</v>
      </c>
      <c r="D29" t="s">
        <v>95</v>
      </c>
      <c r="E29" t="s">
        <v>7528</v>
      </c>
      <c r="F29" t="s">
        <v>7531</v>
      </c>
      <c r="G29">
        <v>1</v>
      </c>
      <c r="H29">
        <v>1</v>
      </c>
      <c r="I29" t="s">
        <v>97</v>
      </c>
      <c r="J29" s="10">
        <v>35</v>
      </c>
      <c r="K29" s="10">
        <v>105</v>
      </c>
      <c r="L29" s="10">
        <v>0</v>
      </c>
      <c r="N29" s="10">
        <v>0</v>
      </c>
      <c r="S29">
        <v>26</v>
      </c>
      <c r="T29">
        <v>16</v>
      </c>
      <c r="U29">
        <v>16</v>
      </c>
      <c r="W29">
        <v>8.82</v>
      </c>
      <c r="Y29">
        <v>23.75</v>
      </c>
      <c r="Z29">
        <v>17.5</v>
      </c>
      <c r="AA29">
        <v>17.5</v>
      </c>
      <c r="AB29">
        <v>4.2089999999999996</v>
      </c>
      <c r="AC29">
        <v>13.23</v>
      </c>
      <c r="AE29">
        <v>1</v>
      </c>
      <c r="AF29" t="s">
        <v>244</v>
      </c>
      <c r="AG29">
        <v>150</v>
      </c>
      <c r="AH29">
        <v>0</v>
      </c>
      <c r="AJ29">
        <v>0</v>
      </c>
      <c r="AK29" t="s">
        <v>98</v>
      </c>
      <c r="AM29" t="s">
        <v>98</v>
      </c>
      <c r="AN29" t="s">
        <v>98</v>
      </c>
      <c r="AO29" t="s">
        <v>99</v>
      </c>
      <c r="AP29" t="s">
        <v>100</v>
      </c>
      <c r="AQ29" t="s">
        <v>101</v>
      </c>
      <c r="AV29" t="s">
        <v>98</v>
      </c>
      <c r="AX29" t="s">
        <v>7557</v>
      </c>
      <c r="AZ29" t="s">
        <v>7528</v>
      </c>
      <c r="BB29" t="s">
        <v>197</v>
      </c>
      <c r="BC29" t="s">
        <v>7583</v>
      </c>
      <c r="BD29" t="s">
        <v>7528</v>
      </c>
      <c r="BF29" t="s">
        <v>154</v>
      </c>
      <c r="BG29" t="s">
        <v>98</v>
      </c>
      <c r="BH29" t="s">
        <v>98</v>
      </c>
      <c r="BI29" t="s">
        <v>98</v>
      </c>
      <c r="BK29" t="s">
        <v>110</v>
      </c>
      <c r="BL29" t="s">
        <v>7528</v>
      </c>
      <c r="CA29" t="s">
        <v>153</v>
      </c>
      <c r="CB29" t="s">
        <v>7557</v>
      </c>
      <c r="CL29" t="s">
        <v>98</v>
      </c>
      <c r="CM29" t="s">
        <v>98</v>
      </c>
      <c r="CN29" t="s">
        <v>7636</v>
      </c>
      <c r="CO29" s="1">
        <v>39455</v>
      </c>
      <c r="CP29" s="1">
        <v>43633</v>
      </c>
    </row>
    <row r="30" spans="1:94" x14ac:dyDescent="0.25">
      <c r="A30" t="s">
        <v>155</v>
      </c>
      <c r="B30" t="str">
        <f xml:space="preserve"> "" &amp; 840253047663</f>
        <v>840253047663</v>
      </c>
      <c r="C30" t="s">
        <v>162</v>
      </c>
      <c r="D30" t="s">
        <v>95</v>
      </c>
      <c r="E30" t="s">
        <v>7528</v>
      </c>
      <c r="F30" t="s">
        <v>96</v>
      </c>
      <c r="G30">
        <v>1</v>
      </c>
      <c r="H30">
        <v>1</v>
      </c>
      <c r="I30" t="s">
        <v>97</v>
      </c>
      <c r="J30" s="10">
        <v>69.95</v>
      </c>
      <c r="K30" s="10">
        <v>209.85</v>
      </c>
      <c r="L30" s="10">
        <v>0</v>
      </c>
      <c r="N30" s="10">
        <v>0</v>
      </c>
      <c r="S30">
        <v>28</v>
      </c>
      <c r="U30">
        <v>19</v>
      </c>
      <c r="W30">
        <v>9.92</v>
      </c>
      <c r="Y30">
        <v>26.75</v>
      </c>
      <c r="Z30">
        <v>20.5</v>
      </c>
      <c r="AA30">
        <v>20.5</v>
      </c>
      <c r="AB30">
        <v>6.5060000000000002</v>
      </c>
      <c r="AC30">
        <v>15.87</v>
      </c>
      <c r="AE30">
        <v>1</v>
      </c>
      <c r="AF30" t="s">
        <v>244</v>
      </c>
      <c r="AG30">
        <v>150</v>
      </c>
      <c r="AH30">
        <v>0</v>
      </c>
      <c r="AJ30">
        <v>0</v>
      </c>
      <c r="AK30" t="s">
        <v>98</v>
      </c>
      <c r="AM30" t="s">
        <v>98</v>
      </c>
      <c r="AN30" t="s">
        <v>98</v>
      </c>
      <c r="AO30" t="s">
        <v>99</v>
      </c>
      <c r="AP30" t="s">
        <v>100</v>
      </c>
      <c r="AQ30" t="s">
        <v>101</v>
      </c>
      <c r="AV30" t="s">
        <v>98</v>
      </c>
      <c r="AX30" t="s">
        <v>7558</v>
      </c>
      <c r="AZ30" t="s">
        <v>7528</v>
      </c>
      <c r="BB30" t="s">
        <v>197</v>
      </c>
      <c r="BC30" t="s">
        <v>7528</v>
      </c>
      <c r="BD30" t="s">
        <v>7528</v>
      </c>
      <c r="BF30" t="s">
        <v>156</v>
      </c>
      <c r="BG30" t="s">
        <v>98</v>
      </c>
      <c r="BH30" t="s">
        <v>98</v>
      </c>
      <c r="BI30" t="s">
        <v>98</v>
      </c>
      <c r="BK30" t="s">
        <v>110</v>
      </c>
      <c r="BL30" t="s">
        <v>7528</v>
      </c>
      <c r="CA30" t="s">
        <v>155</v>
      </c>
      <c r="CB30" t="s">
        <v>7558</v>
      </c>
      <c r="CL30" t="s">
        <v>98</v>
      </c>
      <c r="CM30" t="s">
        <v>98</v>
      </c>
      <c r="CN30" t="s">
        <v>7636</v>
      </c>
      <c r="CO30" s="1">
        <v>39455</v>
      </c>
      <c r="CP30" s="1">
        <v>43633</v>
      </c>
    </row>
    <row r="31" spans="1:94" x14ac:dyDescent="0.25">
      <c r="A31" t="s">
        <v>157</v>
      </c>
      <c r="B31" t="str">
        <f xml:space="preserve"> "" &amp; 840253047700</f>
        <v>840253047700</v>
      </c>
      <c r="C31" t="s">
        <v>162</v>
      </c>
      <c r="D31" t="s">
        <v>95</v>
      </c>
      <c r="E31" t="s">
        <v>7528</v>
      </c>
      <c r="F31" t="s">
        <v>96</v>
      </c>
      <c r="G31">
        <v>1</v>
      </c>
      <c r="H31">
        <v>1</v>
      </c>
      <c r="I31" t="s">
        <v>97</v>
      </c>
      <c r="J31" s="10">
        <v>35</v>
      </c>
      <c r="K31" s="10">
        <v>105</v>
      </c>
      <c r="L31" s="10">
        <v>0</v>
      </c>
      <c r="N31" s="10">
        <v>0</v>
      </c>
      <c r="S31">
        <v>31</v>
      </c>
      <c r="U31">
        <v>19</v>
      </c>
      <c r="W31">
        <v>14.33</v>
      </c>
      <c r="Y31">
        <v>29.25</v>
      </c>
      <c r="Z31">
        <v>20.5</v>
      </c>
      <c r="AA31">
        <v>20.5</v>
      </c>
      <c r="AB31">
        <v>7.1139999999999999</v>
      </c>
      <c r="AC31">
        <v>20.94</v>
      </c>
      <c r="AE31">
        <v>1</v>
      </c>
      <c r="AF31" t="s">
        <v>7540</v>
      </c>
      <c r="AG31">
        <v>150</v>
      </c>
      <c r="AH31">
        <v>0</v>
      </c>
      <c r="AJ31">
        <v>0</v>
      </c>
      <c r="AK31" t="s">
        <v>98</v>
      </c>
      <c r="AM31" t="s">
        <v>98</v>
      </c>
      <c r="AN31" t="s">
        <v>98</v>
      </c>
      <c r="AO31" t="s">
        <v>99</v>
      </c>
      <c r="AP31" t="s">
        <v>100</v>
      </c>
      <c r="AQ31" t="s">
        <v>101</v>
      </c>
      <c r="AV31" t="s">
        <v>98</v>
      </c>
      <c r="AX31" t="s">
        <v>7556</v>
      </c>
      <c r="AZ31" t="s">
        <v>7528</v>
      </c>
      <c r="BB31" t="s">
        <v>197</v>
      </c>
      <c r="BC31" t="s">
        <v>164</v>
      </c>
      <c r="BD31" t="s">
        <v>7528</v>
      </c>
      <c r="BF31" t="s">
        <v>158</v>
      </c>
      <c r="BG31" t="s">
        <v>98</v>
      </c>
      <c r="BH31" t="s">
        <v>98</v>
      </c>
      <c r="BI31" t="s">
        <v>98</v>
      </c>
      <c r="BK31" t="s">
        <v>110</v>
      </c>
      <c r="BL31" t="s">
        <v>7528</v>
      </c>
      <c r="CA31" t="s">
        <v>157</v>
      </c>
      <c r="CB31" t="s">
        <v>7556</v>
      </c>
      <c r="CL31" t="s">
        <v>98</v>
      </c>
      <c r="CM31" t="s">
        <v>98</v>
      </c>
      <c r="CN31" t="s">
        <v>7636</v>
      </c>
      <c r="CO31" s="1">
        <v>39455</v>
      </c>
      <c r="CP31" s="1">
        <v>43633</v>
      </c>
    </row>
    <row r="32" spans="1:94" x14ac:dyDescent="0.25">
      <c r="A32" t="s">
        <v>159</v>
      </c>
      <c r="B32" t="str">
        <f xml:space="preserve"> "" &amp; 840253047731</f>
        <v>840253047731</v>
      </c>
      <c r="C32" t="s">
        <v>162</v>
      </c>
      <c r="D32" t="s">
        <v>95</v>
      </c>
      <c r="E32" t="s">
        <v>7528</v>
      </c>
      <c r="F32" t="s">
        <v>96</v>
      </c>
      <c r="G32">
        <v>1</v>
      </c>
      <c r="H32">
        <v>1</v>
      </c>
      <c r="I32" t="s">
        <v>97</v>
      </c>
      <c r="J32" s="10">
        <v>35</v>
      </c>
      <c r="K32" s="10">
        <v>105</v>
      </c>
      <c r="L32" s="10">
        <v>0</v>
      </c>
      <c r="N32" s="10">
        <v>0</v>
      </c>
      <c r="S32">
        <v>35</v>
      </c>
      <c r="U32">
        <v>20</v>
      </c>
      <c r="W32">
        <v>13.71</v>
      </c>
      <c r="Y32">
        <v>32.5</v>
      </c>
      <c r="Z32">
        <v>21.5</v>
      </c>
      <c r="AA32">
        <v>21.5</v>
      </c>
      <c r="AB32">
        <v>8.6940000000000008</v>
      </c>
      <c r="AC32">
        <v>22.71</v>
      </c>
      <c r="AE32">
        <v>1</v>
      </c>
      <c r="AF32" t="s">
        <v>466</v>
      </c>
      <c r="AG32">
        <v>100</v>
      </c>
      <c r="AH32">
        <v>0</v>
      </c>
      <c r="AJ32">
        <v>0</v>
      </c>
      <c r="AK32" t="s">
        <v>98</v>
      </c>
      <c r="AM32" t="s">
        <v>98</v>
      </c>
      <c r="AN32" t="s">
        <v>98</v>
      </c>
      <c r="AO32" t="s">
        <v>99</v>
      </c>
      <c r="AP32" t="s">
        <v>100</v>
      </c>
      <c r="AQ32" t="s">
        <v>101</v>
      </c>
      <c r="AV32" t="s">
        <v>98</v>
      </c>
      <c r="AX32" t="s">
        <v>7559</v>
      </c>
      <c r="AZ32" t="s">
        <v>7528</v>
      </c>
      <c r="BB32" t="s">
        <v>197</v>
      </c>
      <c r="BC32" t="s">
        <v>226</v>
      </c>
      <c r="BD32" t="s">
        <v>7528</v>
      </c>
      <c r="BF32" t="s">
        <v>160</v>
      </c>
      <c r="BG32" t="s">
        <v>98</v>
      </c>
      <c r="BH32" t="s">
        <v>98</v>
      </c>
      <c r="BI32" t="s">
        <v>98</v>
      </c>
      <c r="BK32" t="s">
        <v>110</v>
      </c>
      <c r="BL32" t="s">
        <v>7528</v>
      </c>
      <c r="CA32" t="s">
        <v>159</v>
      </c>
      <c r="CB32" t="s">
        <v>7559</v>
      </c>
      <c r="CL32" t="s">
        <v>98</v>
      </c>
      <c r="CM32" t="s">
        <v>98</v>
      </c>
      <c r="CN32" t="s">
        <v>7636</v>
      </c>
      <c r="CO32" s="1">
        <v>39455</v>
      </c>
      <c r="CP32" s="1">
        <v>43633</v>
      </c>
    </row>
    <row r="33" spans="1:94" x14ac:dyDescent="0.25">
      <c r="A33" t="s">
        <v>161</v>
      </c>
      <c r="B33" t="str">
        <f xml:space="preserve"> "" &amp; 840253047755</f>
        <v>840253047755</v>
      </c>
      <c r="C33" t="s">
        <v>162</v>
      </c>
      <c r="D33" t="s">
        <v>95</v>
      </c>
      <c r="E33" t="s">
        <v>7528</v>
      </c>
      <c r="F33" t="s">
        <v>96</v>
      </c>
      <c r="G33">
        <v>1</v>
      </c>
      <c r="H33">
        <v>1</v>
      </c>
      <c r="I33" t="s">
        <v>97</v>
      </c>
      <c r="J33" s="10">
        <v>35</v>
      </c>
      <c r="K33" s="10">
        <v>105</v>
      </c>
      <c r="L33" s="10">
        <v>0</v>
      </c>
      <c r="N33" s="10">
        <v>0</v>
      </c>
      <c r="U33">
        <v>17</v>
      </c>
      <c r="W33">
        <v>9.92</v>
      </c>
      <c r="Y33">
        <v>27</v>
      </c>
      <c r="Z33">
        <v>18.5</v>
      </c>
      <c r="AA33">
        <v>18.5</v>
      </c>
      <c r="AB33">
        <v>5.3479999999999999</v>
      </c>
      <c r="AC33">
        <v>17.64</v>
      </c>
      <c r="AE33">
        <v>1</v>
      </c>
      <c r="AF33" t="s">
        <v>163</v>
      </c>
      <c r="AG33">
        <v>150</v>
      </c>
      <c r="AH33">
        <v>0</v>
      </c>
      <c r="AJ33">
        <v>0</v>
      </c>
      <c r="AK33" t="s">
        <v>98</v>
      </c>
      <c r="AM33" t="s">
        <v>98</v>
      </c>
      <c r="AN33" t="s">
        <v>98</v>
      </c>
      <c r="AO33" t="s">
        <v>99</v>
      </c>
      <c r="AP33" t="s">
        <v>100</v>
      </c>
      <c r="AQ33" t="s">
        <v>101</v>
      </c>
      <c r="AV33" t="s">
        <v>98</v>
      </c>
      <c r="AX33" t="s">
        <v>164</v>
      </c>
      <c r="AZ33" t="s">
        <v>7528</v>
      </c>
      <c r="BB33" t="s">
        <v>197</v>
      </c>
      <c r="BC33" t="s">
        <v>7584</v>
      </c>
      <c r="BD33" t="s">
        <v>7528</v>
      </c>
      <c r="BF33" t="s">
        <v>165</v>
      </c>
      <c r="BG33" t="s">
        <v>98</v>
      </c>
      <c r="BH33" t="s">
        <v>98</v>
      </c>
      <c r="BI33" t="s">
        <v>98</v>
      </c>
      <c r="BK33" t="s">
        <v>110</v>
      </c>
      <c r="BL33" t="s">
        <v>7528</v>
      </c>
      <c r="CA33" t="s">
        <v>161</v>
      </c>
      <c r="CB33" t="s">
        <v>164</v>
      </c>
      <c r="CL33" t="s">
        <v>98</v>
      </c>
      <c r="CM33" t="s">
        <v>98</v>
      </c>
      <c r="CN33" t="s">
        <v>166</v>
      </c>
      <c r="CO33" s="1">
        <v>39455</v>
      </c>
      <c r="CP33" s="1">
        <v>43633</v>
      </c>
    </row>
    <row r="34" spans="1:94" x14ac:dyDescent="0.25">
      <c r="A34" t="s">
        <v>167</v>
      </c>
      <c r="B34" t="str">
        <f xml:space="preserve"> "" &amp; 840253047793</f>
        <v>840253047793</v>
      </c>
      <c r="C34" t="s">
        <v>162</v>
      </c>
      <c r="D34" t="s">
        <v>95</v>
      </c>
      <c r="E34" t="s">
        <v>7528</v>
      </c>
      <c r="F34" t="s">
        <v>7531</v>
      </c>
      <c r="G34">
        <v>1</v>
      </c>
      <c r="H34">
        <v>1</v>
      </c>
      <c r="I34" t="s">
        <v>97</v>
      </c>
      <c r="J34" s="10">
        <v>35</v>
      </c>
      <c r="K34" s="10">
        <v>105</v>
      </c>
      <c r="L34" s="10">
        <v>0</v>
      </c>
      <c r="N34" s="10">
        <v>0</v>
      </c>
      <c r="S34">
        <v>26</v>
      </c>
      <c r="U34">
        <v>15</v>
      </c>
      <c r="W34">
        <v>5.75</v>
      </c>
      <c r="Y34">
        <v>23.5</v>
      </c>
      <c r="Z34">
        <v>17.5</v>
      </c>
      <c r="AA34">
        <v>17.5</v>
      </c>
      <c r="AB34">
        <v>4.165</v>
      </c>
      <c r="AC34">
        <v>11.02</v>
      </c>
      <c r="AE34">
        <v>1</v>
      </c>
      <c r="AF34" t="s">
        <v>662</v>
      </c>
      <c r="AG34">
        <v>150</v>
      </c>
      <c r="AH34">
        <v>0</v>
      </c>
      <c r="AJ34">
        <v>0</v>
      </c>
      <c r="AK34" t="s">
        <v>98</v>
      </c>
      <c r="AM34" t="s">
        <v>98</v>
      </c>
      <c r="AN34" t="s">
        <v>98</v>
      </c>
      <c r="AO34" t="s">
        <v>99</v>
      </c>
      <c r="AP34" t="s">
        <v>100</v>
      </c>
      <c r="AQ34" t="s">
        <v>101</v>
      </c>
      <c r="AV34" t="s">
        <v>98</v>
      </c>
      <c r="AX34" t="s">
        <v>7560</v>
      </c>
      <c r="AZ34" t="s">
        <v>7528</v>
      </c>
      <c r="BB34" t="s">
        <v>197</v>
      </c>
      <c r="BC34" t="s">
        <v>7585</v>
      </c>
      <c r="BD34" t="s">
        <v>7528</v>
      </c>
      <c r="BF34" t="s">
        <v>168</v>
      </c>
      <c r="BG34" t="s">
        <v>98</v>
      </c>
      <c r="BH34" t="s">
        <v>98</v>
      </c>
      <c r="BI34" t="s">
        <v>98</v>
      </c>
      <c r="BK34" t="s">
        <v>110</v>
      </c>
      <c r="BL34" t="s">
        <v>7528</v>
      </c>
      <c r="CA34" t="s">
        <v>167</v>
      </c>
      <c r="CB34" t="s">
        <v>7560</v>
      </c>
      <c r="CL34" t="s">
        <v>98</v>
      </c>
      <c r="CM34" t="s">
        <v>98</v>
      </c>
      <c r="CN34" t="s">
        <v>7636</v>
      </c>
      <c r="CO34" s="1">
        <v>39455</v>
      </c>
      <c r="CP34" s="1">
        <v>43633</v>
      </c>
    </row>
    <row r="35" spans="1:94" x14ac:dyDescent="0.25">
      <c r="A35" t="s">
        <v>169</v>
      </c>
      <c r="B35" t="str">
        <f xml:space="preserve"> "" &amp; 747396066776</f>
        <v>747396066776</v>
      </c>
      <c r="C35" t="s">
        <v>170</v>
      </c>
      <c r="D35" t="s">
        <v>171</v>
      </c>
      <c r="E35" t="s">
        <v>7528</v>
      </c>
      <c r="F35" t="s">
        <v>144</v>
      </c>
      <c r="G35">
        <v>1</v>
      </c>
      <c r="H35">
        <v>1</v>
      </c>
      <c r="I35" t="s">
        <v>97</v>
      </c>
      <c r="J35" s="10">
        <v>15</v>
      </c>
      <c r="K35" s="10">
        <v>45</v>
      </c>
      <c r="L35" s="10">
        <v>0</v>
      </c>
      <c r="N35" s="10">
        <v>0</v>
      </c>
      <c r="S35">
        <v>4</v>
      </c>
      <c r="T35">
        <v>11</v>
      </c>
      <c r="U35">
        <v>11</v>
      </c>
      <c r="W35">
        <v>1.7</v>
      </c>
      <c r="X35">
        <v>1</v>
      </c>
      <c r="Y35">
        <v>5.88</v>
      </c>
      <c r="Z35">
        <v>14.13</v>
      </c>
      <c r="AA35">
        <v>14.5</v>
      </c>
      <c r="AB35">
        <v>0.69699999999999995</v>
      </c>
      <c r="AC35">
        <v>2.65</v>
      </c>
      <c r="AE35">
        <v>1</v>
      </c>
      <c r="AF35" t="s">
        <v>4613</v>
      </c>
      <c r="AG35">
        <v>22</v>
      </c>
      <c r="AH35">
        <v>0</v>
      </c>
      <c r="AJ35">
        <v>0</v>
      </c>
      <c r="AK35" t="s">
        <v>99</v>
      </c>
      <c r="AM35" t="s">
        <v>98</v>
      </c>
      <c r="AN35" t="s">
        <v>98</v>
      </c>
      <c r="AO35" t="s">
        <v>99</v>
      </c>
      <c r="AP35" t="s">
        <v>100</v>
      </c>
      <c r="AQ35" t="s">
        <v>101</v>
      </c>
      <c r="AV35" t="s">
        <v>98</v>
      </c>
      <c r="AX35" t="s">
        <v>117</v>
      </c>
      <c r="AZ35" t="s">
        <v>102</v>
      </c>
      <c r="BB35" t="s">
        <v>125</v>
      </c>
      <c r="BC35" t="s">
        <v>117</v>
      </c>
      <c r="BD35" t="s">
        <v>7528</v>
      </c>
      <c r="BF35" t="s">
        <v>172</v>
      </c>
      <c r="BG35" t="s">
        <v>98</v>
      </c>
      <c r="BH35" t="s">
        <v>98</v>
      </c>
      <c r="BI35" t="s">
        <v>98</v>
      </c>
      <c r="BK35" t="s">
        <v>127</v>
      </c>
      <c r="BL35" t="s">
        <v>128</v>
      </c>
      <c r="CA35">
        <v>1020</v>
      </c>
      <c r="CB35" t="s">
        <v>117</v>
      </c>
      <c r="CL35" t="s">
        <v>98</v>
      </c>
      <c r="CM35" t="s">
        <v>98</v>
      </c>
      <c r="CN35" t="s">
        <v>129</v>
      </c>
      <c r="CO35" s="1">
        <v>39496</v>
      </c>
      <c r="CP35" s="1">
        <v>43633</v>
      </c>
    </row>
    <row r="36" spans="1:94" x14ac:dyDescent="0.25">
      <c r="A36" t="s">
        <v>173</v>
      </c>
      <c r="B36" t="str">
        <f xml:space="preserve"> "" &amp; 840253048240</f>
        <v>840253048240</v>
      </c>
      <c r="C36" t="s">
        <v>162</v>
      </c>
      <c r="D36" t="s">
        <v>95</v>
      </c>
      <c r="E36" t="s">
        <v>7528</v>
      </c>
      <c r="F36" t="s">
        <v>96</v>
      </c>
      <c r="G36">
        <v>1</v>
      </c>
      <c r="H36">
        <v>1</v>
      </c>
      <c r="I36" t="s">
        <v>97</v>
      </c>
      <c r="J36" s="10">
        <v>59.95</v>
      </c>
      <c r="K36" s="10">
        <v>179.85</v>
      </c>
      <c r="L36" s="10">
        <v>0</v>
      </c>
      <c r="N36" s="10">
        <v>0</v>
      </c>
      <c r="S36">
        <v>29.75</v>
      </c>
      <c r="T36">
        <v>13</v>
      </c>
      <c r="U36">
        <v>13</v>
      </c>
      <c r="W36">
        <v>10.36</v>
      </c>
      <c r="Y36">
        <v>11.5</v>
      </c>
      <c r="Z36">
        <v>24.5</v>
      </c>
      <c r="AA36">
        <v>19</v>
      </c>
      <c r="AB36">
        <v>3.0979999999999999</v>
      </c>
      <c r="AC36">
        <v>15.74</v>
      </c>
      <c r="AE36">
        <v>1</v>
      </c>
      <c r="AF36" t="s">
        <v>233</v>
      </c>
      <c r="AG36">
        <v>100</v>
      </c>
      <c r="AH36">
        <v>0</v>
      </c>
      <c r="AJ36">
        <v>0</v>
      </c>
      <c r="AK36" t="s">
        <v>98</v>
      </c>
      <c r="AM36" t="s">
        <v>98</v>
      </c>
      <c r="AN36" t="s">
        <v>98</v>
      </c>
      <c r="AO36" t="s">
        <v>99</v>
      </c>
      <c r="AP36" t="s">
        <v>100</v>
      </c>
      <c r="AQ36" t="s">
        <v>101</v>
      </c>
      <c r="AV36" t="s">
        <v>98</v>
      </c>
      <c r="AX36" t="s">
        <v>7561</v>
      </c>
      <c r="AZ36" t="s">
        <v>7528</v>
      </c>
      <c r="BB36" t="s">
        <v>629</v>
      </c>
      <c r="BC36" t="s">
        <v>7586</v>
      </c>
      <c r="BD36" t="s">
        <v>7528</v>
      </c>
      <c r="BF36" t="s">
        <v>174</v>
      </c>
      <c r="BG36" t="s">
        <v>98</v>
      </c>
      <c r="BH36" t="s">
        <v>98</v>
      </c>
      <c r="BI36" t="s">
        <v>98</v>
      </c>
      <c r="BK36" t="s">
        <v>110</v>
      </c>
      <c r="BL36" t="s">
        <v>7528</v>
      </c>
      <c r="CA36" t="s">
        <v>173</v>
      </c>
      <c r="CB36" t="s">
        <v>7561</v>
      </c>
      <c r="CL36" t="s">
        <v>98</v>
      </c>
      <c r="CM36" t="s">
        <v>98</v>
      </c>
      <c r="CN36" t="s">
        <v>692</v>
      </c>
      <c r="CO36" s="1">
        <v>39654</v>
      </c>
      <c r="CP36" s="1">
        <v>43633</v>
      </c>
    </row>
    <row r="37" spans="1:94" x14ac:dyDescent="0.25">
      <c r="A37" t="s">
        <v>175</v>
      </c>
      <c r="B37" t="str">
        <f xml:space="preserve"> "" &amp; 747396066790</f>
        <v>747396066790</v>
      </c>
      <c r="C37" t="s">
        <v>120</v>
      </c>
      <c r="D37" t="s">
        <v>171</v>
      </c>
      <c r="E37" t="s">
        <v>7528</v>
      </c>
      <c r="F37" t="s">
        <v>144</v>
      </c>
      <c r="G37">
        <v>1</v>
      </c>
      <c r="H37">
        <v>1</v>
      </c>
      <c r="I37" t="s">
        <v>97</v>
      </c>
      <c r="J37" s="10">
        <v>30</v>
      </c>
      <c r="K37" s="10">
        <v>90</v>
      </c>
      <c r="L37" s="10">
        <v>0</v>
      </c>
      <c r="N37" s="10">
        <v>0</v>
      </c>
      <c r="S37">
        <v>4.5</v>
      </c>
      <c r="T37">
        <v>19</v>
      </c>
      <c r="U37">
        <v>19</v>
      </c>
      <c r="W37">
        <v>5.47</v>
      </c>
      <c r="X37">
        <v>1</v>
      </c>
      <c r="Y37">
        <v>23.25</v>
      </c>
      <c r="Z37">
        <v>22.63</v>
      </c>
      <c r="AA37">
        <v>12.13</v>
      </c>
      <c r="AB37">
        <v>3.6930000000000001</v>
      </c>
      <c r="AC37">
        <v>8.8000000000000007</v>
      </c>
      <c r="AE37">
        <v>1</v>
      </c>
      <c r="AF37" t="s">
        <v>4612</v>
      </c>
      <c r="AG37">
        <v>32</v>
      </c>
      <c r="AH37">
        <v>1</v>
      </c>
      <c r="AI37" t="s">
        <v>176</v>
      </c>
      <c r="AJ37">
        <v>40</v>
      </c>
      <c r="AK37" t="s">
        <v>99</v>
      </c>
      <c r="AM37" t="s">
        <v>98</v>
      </c>
      <c r="AN37" t="s">
        <v>98</v>
      </c>
      <c r="AO37" t="s">
        <v>99</v>
      </c>
      <c r="AP37" t="s">
        <v>100</v>
      </c>
      <c r="AQ37" t="s">
        <v>101</v>
      </c>
      <c r="AV37" t="s">
        <v>98</v>
      </c>
      <c r="AX37" t="s">
        <v>117</v>
      </c>
      <c r="AZ37" t="s">
        <v>102</v>
      </c>
      <c r="BB37" t="s">
        <v>125</v>
      </c>
      <c r="BC37" t="s">
        <v>117</v>
      </c>
      <c r="BD37" t="s">
        <v>7528</v>
      </c>
      <c r="BF37" t="s">
        <v>177</v>
      </c>
      <c r="BG37" t="s">
        <v>98</v>
      </c>
      <c r="BH37" t="s">
        <v>98</v>
      </c>
      <c r="BI37" t="s">
        <v>98</v>
      </c>
      <c r="BK37" t="s">
        <v>127</v>
      </c>
      <c r="BL37" t="s">
        <v>128</v>
      </c>
      <c r="CA37">
        <v>1022</v>
      </c>
      <c r="CB37" t="s">
        <v>117</v>
      </c>
      <c r="CL37" t="s">
        <v>98</v>
      </c>
      <c r="CM37" t="s">
        <v>98</v>
      </c>
      <c r="CN37" t="s">
        <v>178</v>
      </c>
      <c r="CO37" s="1">
        <v>39496</v>
      </c>
      <c r="CP37" s="1">
        <v>43633</v>
      </c>
    </row>
    <row r="38" spans="1:94" x14ac:dyDescent="0.25">
      <c r="A38" t="s">
        <v>179</v>
      </c>
      <c r="B38" t="str">
        <f xml:space="preserve"> "" &amp; 840253050359</f>
        <v>840253050359</v>
      </c>
      <c r="C38" t="s">
        <v>162</v>
      </c>
      <c r="D38" t="s">
        <v>95</v>
      </c>
      <c r="E38" t="s">
        <v>7528</v>
      </c>
      <c r="F38" t="s">
        <v>7531</v>
      </c>
      <c r="G38">
        <v>1</v>
      </c>
      <c r="H38">
        <v>1</v>
      </c>
      <c r="I38" t="s">
        <v>97</v>
      </c>
      <c r="J38" s="10">
        <v>19</v>
      </c>
      <c r="K38" s="10">
        <v>57</v>
      </c>
      <c r="L38" s="10">
        <v>0</v>
      </c>
      <c r="N38" s="10">
        <v>0</v>
      </c>
      <c r="U38">
        <v>17.5</v>
      </c>
      <c r="V38">
        <v>14</v>
      </c>
      <c r="W38">
        <v>7.91</v>
      </c>
      <c r="Y38">
        <v>26.75</v>
      </c>
      <c r="Z38">
        <v>19</v>
      </c>
      <c r="AA38">
        <v>15.5</v>
      </c>
      <c r="AB38">
        <v>4.5590000000000002</v>
      </c>
      <c r="AC38">
        <v>12.3</v>
      </c>
      <c r="AE38">
        <v>1</v>
      </c>
      <c r="AF38" t="s">
        <v>163</v>
      </c>
      <c r="AG38">
        <v>150</v>
      </c>
      <c r="AH38">
        <v>0</v>
      </c>
      <c r="AJ38">
        <v>0</v>
      </c>
      <c r="AK38" t="s">
        <v>98</v>
      </c>
      <c r="AM38" t="s">
        <v>98</v>
      </c>
      <c r="AN38" t="s">
        <v>98</v>
      </c>
      <c r="AO38" t="s">
        <v>98</v>
      </c>
      <c r="AP38" t="s">
        <v>100</v>
      </c>
      <c r="AQ38" t="s">
        <v>101</v>
      </c>
      <c r="AV38" t="s">
        <v>98</v>
      </c>
      <c r="AX38" t="s">
        <v>180</v>
      </c>
      <c r="AZ38" t="s">
        <v>7528</v>
      </c>
      <c r="BB38" t="s">
        <v>7528</v>
      </c>
      <c r="BC38" t="s">
        <v>7528</v>
      </c>
      <c r="BD38" t="s">
        <v>7528</v>
      </c>
      <c r="BF38" t="s">
        <v>181</v>
      </c>
      <c r="BG38" t="s">
        <v>98</v>
      </c>
      <c r="BH38" t="s">
        <v>98</v>
      </c>
      <c r="BI38" t="s">
        <v>98</v>
      </c>
      <c r="BK38" t="s">
        <v>110</v>
      </c>
      <c r="BL38" t="s">
        <v>7528</v>
      </c>
      <c r="CA38" t="s">
        <v>179</v>
      </c>
      <c r="CB38" t="s">
        <v>180</v>
      </c>
      <c r="CL38" t="s">
        <v>98</v>
      </c>
      <c r="CM38" t="s">
        <v>98</v>
      </c>
      <c r="CN38" t="s">
        <v>200</v>
      </c>
      <c r="CO38" s="1">
        <v>39727</v>
      </c>
      <c r="CP38" s="1">
        <v>43633</v>
      </c>
    </row>
    <row r="39" spans="1:94" x14ac:dyDescent="0.25">
      <c r="A39" t="s">
        <v>182</v>
      </c>
      <c r="B39" t="str">
        <f xml:space="preserve"> "" &amp; 840253047892</f>
        <v>840253047892</v>
      </c>
      <c r="C39" t="s">
        <v>162</v>
      </c>
      <c r="D39" t="s">
        <v>95</v>
      </c>
      <c r="E39" t="s">
        <v>7528</v>
      </c>
      <c r="F39" t="s">
        <v>7531</v>
      </c>
      <c r="G39">
        <v>1</v>
      </c>
      <c r="H39">
        <v>1</v>
      </c>
      <c r="I39" t="s">
        <v>97</v>
      </c>
      <c r="J39" s="10">
        <v>35</v>
      </c>
      <c r="K39" s="10">
        <v>105</v>
      </c>
      <c r="L39" s="10">
        <v>0</v>
      </c>
      <c r="N39" s="10">
        <v>0</v>
      </c>
      <c r="S39">
        <v>24.5</v>
      </c>
      <c r="U39">
        <v>17</v>
      </c>
      <c r="W39">
        <v>10.58</v>
      </c>
      <c r="Y39">
        <v>21.75</v>
      </c>
      <c r="Z39">
        <v>18.5</v>
      </c>
      <c r="AA39">
        <v>18.5</v>
      </c>
      <c r="AB39">
        <v>4.3079999999999998</v>
      </c>
      <c r="AC39">
        <v>15.43</v>
      </c>
      <c r="AE39">
        <v>1</v>
      </c>
      <c r="AF39" t="s">
        <v>7540</v>
      </c>
      <c r="AG39">
        <v>150</v>
      </c>
      <c r="AH39">
        <v>0</v>
      </c>
      <c r="AJ39">
        <v>0</v>
      </c>
      <c r="AK39" t="s">
        <v>98</v>
      </c>
      <c r="AM39" t="s">
        <v>98</v>
      </c>
      <c r="AN39" t="s">
        <v>98</v>
      </c>
      <c r="AO39" t="s">
        <v>99</v>
      </c>
      <c r="AP39" t="s">
        <v>100</v>
      </c>
      <c r="AQ39" t="s">
        <v>101</v>
      </c>
      <c r="AV39" t="s">
        <v>98</v>
      </c>
      <c r="AX39" t="s">
        <v>7562</v>
      </c>
      <c r="AZ39" t="s">
        <v>7528</v>
      </c>
      <c r="BB39" t="s">
        <v>7578</v>
      </c>
      <c r="BC39" t="s">
        <v>226</v>
      </c>
      <c r="BD39" t="s">
        <v>7528</v>
      </c>
      <c r="BF39" t="s">
        <v>183</v>
      </c>
      <c r="BG39" t="s">
        <v>98</v>
      </c>
      <c r="BH39" t="s">
        <v>98</v>
      </c>
      <c r="BI39" t="s">
        <v>98</v>
      </c>
      <c r="BK39" t="s">
        <v>110</v>
      </c>
      <c r="BL39" t="s">
        <v>7528</v>
      </c>
      <c r="CA39" t="s">
        <v>182</v>
      </c>
      <c r="CB39" t="s">
        <v>7562</v>
      </c>
      <c r="CL39" t="s">
        <v>98</v>
      </c>
      <c r="CM39" t="s">
        <v>98</v>
      </c>
      <c r="CN39" t="s">
        <v>7636</v>
      </c>
      <c r="CO39" s="1">
        <v>39454</v>
      </c>
      <c r="CP39" s="1">
        <v>43633</v>
      </c>
    </row>
    <row r="40" spans="1:94" x14ac:dyDescent="0.25">
      <c r="A40" t="s">
        <v>184</v>
      </c>
      <c r="B40" t="str">
        <f xml:space="preserve"> "" &amp; 840253050366</f>
        <v>840253050366</v>
      </c>
      <c r="C40" t="s">
        <v>162</v>
      </c>
      <c r="D40" t="s">
        <v>95</v>
      </c>
      <c r="E40" t="s">
        <v>7528</v>
      </c>
      <c r="F40" t="s">
        <v>7531</v>
      </c>
      <c r="G40">
        <v>1</v>
      </c>
      <c r="H40">
        <v>1</v>
      </c>
      <c r="I40" t="s">
        <v>97</v>
      </c>
      <c r="J40" s="10">
        <v>39.950000000000003</v>
      </c>
      <c r="K40" s="10">
        <v>119.85</v>
      </c>
      <c r="L40" s="10">
        <v>0</v>
      </c>
      <c r="N40" s="10">
        <v>0</v>
      </c>
      <c r="S40">
        <v>33.5</v>
      </c>
      <c r="U40">
        <v>17</v>
      </c>
      <c r="W40">
        <v>8.16</v>
      </c>
      <c r="Y40">
        <v>16</v>
      </c>
      <c r="Z40">
        <v>27.25</v>
      </c>
      <c r="AA40">
        <v>13</v>
      </c>
      <c r="AB40">
        <v>3.28</v>
      </c>
      <c r="AC40">
        <v>12.1</v>
      </c>
      <c r="AE40">
        <v>1</v>
      </c>
      <c r="AF40" t="s">
        <v>7540</v>
      </c>
      <c r="AG40">
        <v>150</v>
      </c>
      <c r="AH40">
        <v>0</v>
      </c>
      <c r="AJ40">
        <v>0</v>
      </c>
      <c r="AK40" t="s">
        <v>98</v>
      </c>
      <c r="AM40" t="s">
        <v>98</v>
      </c>
      <c r="AN40" t="s">
        <v>98</v>
      </c>
      <c r="AO40" t="s">
        <v>99</v>
      </c>
      <c r="AP40" t="s">
        <v>100</v>
      </c>
      <c r="AQ40" t="s">
        <v>101</v>
      </c>
      <c r="AV40" t="s">
        <v>98</v>
      </c>
      <c r="AX40" t="s">
        <v>7563</v>
      </c>
      <c r="AZ40" t="s">
        <v>7528</v>
      </c>
      <c r="BB40" t="s">
        <v>7579</v>
      </c>
      <c r="BC40" t="s">
        <v>7587</v>
      </c>
      <c r="BD40" t="s">
        <v>7528</v>
      </c>
      <c r="BF40" t="s">
        <v>185</v>
      </c>
      <c r="BG40" t="s">
        <v>98</v>
      </c>
      <c r="BH40" t="s">
        <v>98</v>
      </c>
      <c r="BI40" t="s">
        <v>98</v>
      </c>
      <c r="BK40" t="s">
        <v>110</v>
      </c>
      <c r="BL40" t="s">
        <v>7528</v>
      </c>
      <c r="CA40" t="s">
        <v>184</v>
      </c>
      <c r="CB40" t="s">
        <v>7563</v>
      </c>
      <c r="CL40" t="s">
        <v>98</v>
      </c>
      <c r="CM40" t="s">
        <v>98</v>
      </c>
      <c r="CN40" t="s">
        <v>1441</v>
      </c>
      <c r="CO40" s="1">
        <v>40047</v>
      </c>
      <c r="CP40" s="1">
        <v>43633</v>
      </c>
    </row>
    <row r="41" spans="1:94" x14ac:dyDescent="0.25">
      <c r="A41" t="s">
        <v>186</v>
      </c>
      <c r="B41" t="str">
        <f xml:space="preserve"> "" &amp; 840253050373</f>
        <v>840253050373</v>
      </c>
      <c r="C41" t="s">
        <v>95</v>
      </c>
      <c r="D41" t="s">
        <v>95</v>
      </c>
      <c r="E41" t="s">
        <v>7528</v>
      </c>
      <c r="F41" t="s">
        <v>96</v>
      </c>
      <c r="G41">
        <v>1</v>
      </c>
      <c r="H41">
        <v>1</v>
      </c>
      <c r="I41" t="s">
        <v>97</v>
      </c>
      <c r="J41" s="10">
        <v>50</v>
      </c>
      <c r="K41" s="10">
        <v>150</v>
      </c>
      <c r="L41" s="10">
        <v>0</v>
      </c>
      <c r="N41" s="10">
        <v>0</v>
      </c>
      <c r="U41">
        <v>18</v>
      </c>
      <c r="V41">
        <v>13</v>
      </c>
      <c r="W41">
        <v>8.7100000000000009</v>
      </c>
      <c r="Y41">
        <v>18</v>
      </c>
      <c r="Z41">
        <v>26.5</v>
      </c>
      <c r="AA41">
        <v>14</v>
      </c>
      <c r="AB41">
        <v>3.8650000000000002</v>
      </c>
      <c r="AC41">
        <v>13.01</v>
      </c>
      <c r="AE41">
        <v>1</v>
      </c>
      <c r="AF41" t="s">
        <v>163</v>
      </c>
      <c r="AG41">
        <v>100</v>
      </c>
      <c r="AH41">
        <v>0</v>
      </c>
      <c r="AJ41">
        <v>0</v>
      </c>
      <c r="AK41" t="s">
        <v>98</v>
      </c>
      <c r="AM41" t="s">
        <v>98</v>
      </c>
      <c r="AN41" t="s">
        <v>98</v>
      </c>
      <c r="AO41" t="s">
        <v>99</v>
      </c>
      <c r="AP41" t="s">
        <v>100</v>
      </c>
      <c r="AQ41" t="s">
        <v>101</v>
      </c>
      <c r="AV41" t="s">
        <v>98</v>
      </c>
      <c r="AX41" t="s">
        <v>7564</v>
      </c>
      <c r="AZ41" t="s">
        <v>124</v>
      </c>
      <c r="BB41" t="s">
        <v>197</v>
      </c>
      <c r="BC41" t="s">
        <v>7588</v>
      </c>
      <c r="BD41" t="s">
        <v>7528</v>
      </c>
      <c r="BF41" t="s">
        <v>187</v>
      </c>
      <c r="BG41" t="s">
        <v>98</v>
      </c>
      <c r="BH41" t="s">
        <v>98</v>
      </c>
      <c r="BI41" t="s">
        <v>98</v>
      </c>
      <c r="BK41" t="s">
        <v>110</v>
      </c>
      <c r="BL41" t="s">
        <v>7528</v>
      </c>
      <c r="CA41" t="s">
        <v>186</v>
      </c>
      <c r="CB41" t="s">
        <v>7528</v>
      </c>
      <c r="CL41" t="s">
        <v>98</v>
      </c>
      <c r="CM41" t="s">
        <v>98</v>
      </c>
      <c r="CN41" t="s">
        <v>200</v>
      </c>
      <c r="CO41" s="1">
        <v>40047</v>
      </c>
      <c r="CP41" s="1">
        <v>43633</v>
      </c>
    </row>
    <row r="42" spans="1:94" x14ac:dyDescent="0.25">
      <c r="A42" t="s">
        <v>188</v>
      </c>
      <c r="B42" t="str">
        <f xml:space="preserve"> "" &amp; 840253050335</f>
        <v>840253050335</v>
      </c>
      <c r="C42" t="s">
        <v>112</v>
      </c>
      <c r="D42" t="s">
        <v>95</v>
      </c>
      <c r="E42" t="s">
        <v>7528</v>
      </c>
      <c r="F42" t="s">
        <v>96</v>
      </c>
      <c r="G42">
        <v>1</v>
      </c>
      <c r="H42">
        <v>1</v>
      </c>
      <c r="I42" t="s">
        <v>97</v>
      </c>
      <c r="J42" s="10">
        <v>39</v>
      </c>
      <c r="K42" s="10">
        <v>117</v>
      </c>
      <c r="L42" s="10">
        <v>0</v>
      </c>
      <c r="N42" s="10">
        <v>0</v>
      </c>
      <c r="U42">
        <v>16</v>
      </c>
      <c r="W42">
        <v>9.06</v>
      </c>
      <c r="Y42">
        <v>26</v>
      </c>
      <c r="Z42">
        <v>17.5</v>
      </c>
      <c r="AA42">
        <v>17.5</v>
      </c>
      <c r="AB42">
        <v>4.6079999999999997</v>
      </c>
      <c r="AC42">
        <v>13.54</v>
      </c>
      <c r="AE42">
        <v>1</v>
      </c>
      <c r="AF42" t="s">
        <v>163</v>
      </c>
      <c r="AG42">
        <v>150</v>
      </c>
      <c r="AH42">
        <v>0</v>
      </c>
      <c r="AJ42">
        <v>0</v>
      </c>
      <c r="AK42" t="s">
        <v>98</v>
      </c>
      <c r="AM42" t="s">
        <v>98</v>
      </c>
      <c r="AN42" t="s">
        <v>98</v>
      </c>
      <c r="AO42" t="s">
        <v>98</v>
      </c>
      <c r="AP42" t="s">
        <v>100</v>
      </c>
      <c r="AQ42" t="s">
        <v>101</v>
      </c>
      <c r="AV42" t="s">
        <v>98</v>
      </c>
      <c r="AX42" t="s">
        <v>189</v>
      </c>
      <c r="AZ42" t="s">
        <v>7528</v>
      </c>
      <c r="BB42" t="s">
        <v>7528</v>
      </c>
      <c r="BC42" t="s">
        <v>7528</v>
      </c>
      <c r="BD42" t="s">
        <v>7528</v>
      </c>
      <c r="BF42" t="s">
        <v>190</v>
      </c>
      <c r="BG42" t="s">
        <v>98</v>
      </c>
      <c r="BH42" t="s">
        <v>98</v>
      </c>
      <c r="BI42" t="s">
        <v>98</v>
      </c>
      <c r="BK42" t="s">
        <v>110</v>
      </c>
      <c r="BL42" t="s">
        <v>7528</v>
      </c>
      <c r="CA42" t="s">
        <v>188</v>
      </c>
      <c r="CB42" t="s">
        <v>189</v>
      </c>
      <c r="CL42" t="s">
        <v>98</v>
      </c>
      <c r="CM42" t="s">
        <v>98</v>
      </c>
      <c r="CN42" t="s">
        <v>200</v>
      </c>
      <c r="CO42" s="1">
        <v>39699</v>
      </c>
      <c r="CP42" s="1">
        <v>43633</v>
      </c>
    </row>
    <row r="43" spans="1:94" x14ac:dyDescent="0.25">
      <c r="A43" t="s">
        <v>191</v>
      </c>
      <c r="B43" t="str">
        <f xml:space="preserve"> "" &amp; 840253050588</f>
        <v>840253050588</v>
      </c>
      <c r="C43" t="s">
        <v>162</v>
      </c>
      <c r="D43" t="s">
        <v>95</v>
      </c>
      <c r="E43" t="s">
        <v>7528</v>
      </c>
      <c r="F43" t="s">
        <v>96</v>
      </c>
      <c r="G43">
        <v>1</v>
      </c>
      <c r="H43">
        <v>1</v>
      </c>
      <c r="I43" t="s">
        <v>97</v>
      </c>
      <c r="J43" s="10">
        <v>35</v>
      </c>
      <c r="K43" s="10">
        <v>105</v>
      </c>
      <c r="L43" s="10">
        <v>0</v>
      </c>
      <c r="N43" s="10">
        <v>0</v>
      </c>
      <c r="S43">
        <v>33.25</v>
      </c>
      <c r="U43">
        <v>19</v>
      </c>
      <c r="W43">
        <v>12.57</v>
      </c>
      <c r="Y43">
        <v>25.25</v>
      </c>
      <c r="Z43">
        <v>23.75</v>
      </c>
      <c r="AA43">
        <v>23.75</v>
      </c>
      <c r="AB43">
        <v>8.2420000000000009</v>
      </c>
      <c r="AC43">
        <v>20.059999999999999</v>
      </c>
      <c r="AE43">
        <v>1</v>
      </c>
      <c r="AF43" t="s">
        <v>7540</v>
      </c>
      <c r="AG43">
        <v>150</v>
      </c>
      <c r="AH43">
        <v>0</v>
      </c>
      <c r="AJ43">
        <v>0</v>
      </c>
      <c r="AK43" t="s">
        <v>98</v>
      </c>
      <c r="AM43" t="s">
        <v>98</v>
      </c>
      <c r="AN43" t="s">
        <v>98</v>
      </c>
      <c r="AO43" t="s">
        <v>99</v>
      </c>
      <c r="AP43" t="s">
        <v>100</v>
      </c>
      <c r="AQ43" t="s">
        <v>101</v>
      </c>
      <c r="AV43" t="s">
        <v>98</v>
      </c>
      <c r="AX43" t="s">
        <v>7565</v>
      </c>
      <c r="AZ43" t="s">
        <v>7528</v>
      </c>
      <c r="BB43" t="s">
        <v>197</v>
      </c>
      <c r="BC43" t="s">
        <v>117</v>
      </c>
      <c r="BD43" t="s">
        <v>7528</v>
      </c>
      <c r="BF43" t="s">
        <v>192</v>
      </c>
      <c r="BG43" t="s">
        <v>98</v>
      </c>
      <c r="BH43" t="s">
        <v>98</v>
      </c>
      <c r="BI43" t="s">
        <v>98</v>
      </c>
      <c r="BK43" t="s">
        <v>110</v>
      </c>
      <c r="BL43" t="s">
        <v>7528</v>
      </c>
      <c r="CA43" t="s">
        <v>191</v>
      </c>
      <c r="CB43" t="s">
        <v>7565</v>
      </c>
      <c r="CL43" t="s">
        <v>98</v>
      </c>
      <c r="CM43" t="s">
        <v>98</v>
      </c>
      <c r="CN43" t="s">
        <v>7637</v>
      </c>
      <c r="CO43" s="1">
        <v>39811</v>
      </c>
      <c r="CP43" s="1">
        <v>43633</v>
      </c>
    </row>
    <row r="44" spans="1:94" x14ac:dyDescent="0.25">
      <c r="A44" t="s">
        <v>193</v>
      </c>
      <c r="B44" t="str">
        <f xml:space="preserve"> "" &amp; 840253039705</f>
        <v>840253039705</v>
      </c>
      <c r="C44" t="s">
        <v>194</v>
      </c>
      <c r="D44" t="s">
        <v>95</v>
      </c>
      <c r="E44" t="s">
        <v>7528</v>
      </c>
      <c r="F44" t="s">
        <v>96</v>
      </c>
      <c r="G44">
        <v>1</v>
      </c>
      <c r="H44">
        <v>1</v>
      </c>
      <c r="I44" t="s">
        <v>97</v>
      </c>
      <c r="J44" s="10">
        <v>59.95</v>
      </c>
      <c r="K44" s="10">
        <v>179.85</v>
      </c>
      <c r="L44" s="10">
        <v>0</v>
      </c>
      <c r="N44" s="10">
        <v>0</v>
      </c>
      <c r="S44">
        <v>32.5</v>
      </c>
      <c r="T44">
        <v>16</v>
      </c>
      <c r="U44">
        <v>11</v>
      </c>
      <c r="W44">
        <v>9.26</v>
      </c>
      <c r="X44">
        <v>1</v>
      </c>
      <c r="Y44">
        <v>26.5</v>
      </c>
      <c r="Z44">
        <v>17</v>
      </c>
      <c r="AA44">
        <v>12</v>
      </c>
      <c r="AB44">
        <v>3.1280000000000001</v>
      </c>
      <c r="AC44">
        <v>12.52</v>
      </c>
      <c r="AE44">
        <v>1</v>
      </c>
      <c r="AF44" t="s">
        <v>195</v>
      </c>
      <c r="AG44">
        <v>9</v>
      </c>
      <c r="AH44">
        <v>0</v>
      </c>
      <c r="AJ44">
        <v>0</v>
      </c>
      <c r="AK44" t="s">
        <v>99</v>
      </c>
      <c r="AM44" t="s">
        <v>98</v>
      </c>
      <c r="AN44" t="s">
        <v>98</v>
      </c>
      <c r="AO44" t="s">
        <v>99</v>
      </c>
      <c r="AP44" t="s">
        <v>100</v>
      </c>
      <c r="AQ44" t="s">
        <v>101</v>
      </c>
      <c r="AV44" t="s">
        <v>98</v>
      </c>
      <c r="AX44" t="s">
        <v>196</v>
      </c>
      <c r="AZ44" t="s">
        <v>124</v>
      </c>
      <c r="BB44" t="s">
        <v>197</v>
      </c>
      <c r="BC44" t="s">
        <v>198</v>
      </c>
      <c r="BD44" t="s">
        <v>7528</v>
      </c>
      <c r="BF44" t="s">
        <v>199</v>
      </c>
      <c r="BG44" t="s">
        <v>98</v>
      </c>
      <c r="BH44" t="s">
        <v>98</v>
      </c>
      <c r="BI44" t="s">
        <v>98</v>
      </c>
      <c r="BK44" t="s">
        <v>110</v>
      </c>
      <c r="BL44" t="s">
        <v>7528</v>
      </c>
      <c r="CA44">
        <v>10693</v>
      </c>
      <c r="CB44" t="s">
        <v>196</v>
      </c>
      <c r="CG44">
        <v>3000</v>
      </c>
      <c r="CL44" t="s">
        <v>98</v>
      </c>
      <c r="CM44" t="s">
        <v>98</v>
      </c>
      <c r="CN44" t="s">
        <v>200</v>
      </c>
      <c r="CO44" s="1">
        <v>40037</v>
      </c>
      <c r="CP44" s="1">
        <v>43633</v>
      </c>
    </row>
    <row r="45" spans="1:94" x14ac:dyDescent="0.25">
      <c r="A45" t="s">
        <v>201</v>
      </c>
      <c r="B45" t="str">
        <f xml:space="preserve"> "" &amp; 840253039460</f>
        <v>840253039460</v>
      </c>
      <c r="C45" t="s">
        <v>194</v>
      </c>
      <c r="D45" t="s">
        <v>95</v>
      </c>
      <c r="E45" t="s">
        <v>7528</v>
      </c>
      <c r="F45" t="s">
        <v>96</v>
      </c>
      <c r="G45">
        <v>1</v>
      </c>
      <c r="H45">
        <v>1</v>
      </c>
      <c r="I45" t="s">
        <v>97</v>
      </c>
      <c r="J45" s="10">
        <v>44.95</v>
      </c>
      <c r="K45" s="10">
        <v>134.85</v>
      </c>
      <c r="L45" s="10">
        <v>0</v>
      </c>
      <c r="N45" s="10">
        <v>0</v>
      </c>
      <c r="S45">
        <v>28</v>
      </c>
      <c r="T45">
        <v>14</v>
      </c>
      <c r="U45">
        <v>10</v>
      </c>
      <c r="W45">
        <v>7.61</v>
      </c>
      <c r="X45">
        <v>1</v>
      </c>
      <c r="Y45">
        <v>24</v>
      </c>
      <c r="Z45">
        <v>15</v>
      </c>
      <c r="AA45">
        <v>11.5</v>
      </c>
      <c r="AB45">
        <v>2.3959999999999999</v>
      </c>
      <c r="AC45">
        <v>10.38</v>
      </c>
      <c r="AE45">
        <v>1</v>
      </c>
      <c r="AF45" t="s">
        <v>202</v>
      </c>
      <c r="AG45">
        <v>9</v>
      </c>
      <c r="AH45">
        <v>0</v>
      </c>
      <c r="AJ45">
        <v>0</v>
      </c>
      <c r="AK45" t="s">
        <v>99</v>
      </c>
      <c r="AM45" t="s">
        <v>98</v>
      </c>
      <c r="AN45" t="s">
        <v>98</v>
      </c>
      <c r="AO45" t="s">
        <v>99</v>
      </c>
      <c r="AP45" t="s">
        <v>100</v>
      </c>
      <c r="AQ45" t="s">
        <v>101</v>
      </c>
      <c r="AV45" t="s">
        <v>98</v>
      </c>
      <c r="AX45" t="s">
        <v>203</v>
      </c>
      <c r="AZ45" t="s">
        <v>124</v>
      </c>
      <c r="BB45" t="s">
        <v>197</v>
      </c>
      <c r="BC45" t="s">
        <v>198</v>
      </c>
      <c r="BD45" t="s">
        <v>7528</v>
      </c>
      <c r="BF45" t="s">
        <v>204</v>
      </c>
      <c r="BG45" t="s">
        <v>98</v>
      </c>
      <c r="BH45" t="s">
        <v>98</v>
      </c>
      <c r="BI45" t="s">
        <v>98</v>
      </c>
      <c r="BK45" t="s">
        <v>110</v>
      </c>
      <c r="BL45" t="s">
        <v>7528</v>
      </c>
      <c r="CA45">
        <v>10821</v>
      </c>
      <c r="CB45" t="s">
        <v>7528</v>
      </c>
      <c r="CG45">
        <v>3000</v>
      </c>
      <c r="CL45" t="s">
        <v>98</v>
      </c>
      <c r="CM45" t="s">
        <v>98</v>
      </c>
      <c r="CN45" t="s">
        <v>200</v>
      </c>
      <c r="CO45" s="1">
        <v>40037</v>
      </c>
      <c r="CP45" s="1">
        <v>43633</v>
      </c>
    </row>
    <row r="46" spans="1:94" x14ac:dyDescent="0.25">
      <c r="A46" t="s">
        <v>205</v>
      </c>
      <c r="B46" t="str">
        <f xml:space="preserve"> "" &amp; 840253039491</f>
        <v>840253039491</v>
      </c>
      <c r="C46" t="s">
        <v>194</v>
      </c>
      <c r="D46" t="s">
        <v>95</v>
      </c>
      <c r="E46" t="s">
        <v>7528</v>
      </c>
      <c r="F46" t="s">
        <v>96</v>
      </c>
      <c r="G46">
        <v>1</v>
      </c>
      <c r="H46">
        <v>1</v>
      </c>
      <c r="I46" t="s">
        <v>97</v>
      </c>
      <c r="J46" s="10">
        <v>44.95</v>
      </c>
      <c r="K46" s="10">
        <v>134.85</v>
      </c>
      <c r="L46" s="10">
        <v>0</v>
      </c>
      <c r="N46" s="10">
        <v>0</v>
      </c>
      <c r="S46">
        <v>28</v>
      </c>
      <c r="T46">
        <v>14</v>
      </c>
      <c r="U46">
        <v>10</v>
      </c>
      <c r="W46">
        <v>7.72</v>
      </c>
      <c r="X46">
        <v>1</v>
      </c>
      <c r="Y46">
        <v>24.25</v>
      </c>
      <c r="Z46">
        <v>15</v>
      </c>
      <c r="AA46">
        <v>11.25</v>
      </c>
      <c r="AB46">
        <v>2.3679999999999999</v>
      </c>
      <c r="AC46">
        <v>10.119999999999999</v>
      </c>
      <c r="AE46">
        <v>1</v>
      </c>
      <c r="AF46" t="s">
        <v>195</v>
      </c>
      <c r="AG46">
        <v>9</v>
      </c>
      <c r="AH46">
        <v>0</v>
      </c>
      <c r="AJ46">
        <v>0</v>
      </c>
      <c r="AK46" t="s">
        <v>99</v>
      </c>
      <c r="AM46" t="s">
        <v>98</v>
      </c>
      <c r="AN46" t="s">
        <v>98</v>
      </c>
      <c r="AO46" t="s">
        <v>99</v>
      </c>
      <c r="AP46" t="s">
        <v>100</v>
      </c>
      <c r="AQ46" t="s">
        <v>101</v>
      </c>
      <c r="AV46" t="s">
        <v>98</v>
      </c>
      <c r="AX46" t="s">
        <v>206</v>
      </c>
      <c r="AZ46" t="s">
        <v>124</v>
      </c>
      <c r="BB46" t="s">
        <v>197</v>
      </c>
      <c r="BC46" t="s">
        <v>7528</v>
      </c>
      <c r="BD46" t="s">
        <v>7528</v>
      </c>
      <c r="BF46" t="s">
        <v>207</v>
      </c>
      <c r="BG46" t="s">
        <v>98</v>
      </c>
      <c r="BH46" t="s">
        <v>98</v>
      </c>
      <c r="BI46" t="s">
        <v>98</v>
      </c>
      <c r="BK46" t="s">
        <v>110</v>
      </c>
      <c r="BL46" t="s">
        <v>7528</v>
      </c>
      <c r="CA46" t="s">
        <v>205</v>
      </c>
      <c r="CB46" t="s">
        <v>7528</v>
      </c>
      <c r="CG46">
        <v>3000</v>
      </c>
      <c r="CL46" t="s">
        <v>98</v>
      </c>
      <c r="CM46" t="s">
        <v>98</v>
      </c>
      <c r="CN46" t="s">
        <v>200</v>
      </c>
      <c r="CO46" s="1">
        <v>38686</v>
      </c>
      <c r="CP46" s="1">
        <v>43633</v>
      </c>
    </row>
    <row r="47" spans="1:94" x14ac:dyDescent="0.25">
      <c r="A47" t="s">
        <v>208</v>
      </c>
      <c r="B47" t="str">
        <f xml:space="preserve"> "" &amp; 840253039576</f>
        <v>840253039576</v>
      </c>
      <c r="C47" t="s">
        <v>95</v>
      </c>
      <c r="D47" t="s">
        <v>95</v>
      </c>
      <c r="E47" t="s">
        <v>7528</v>
      </c>
      <c r="F47" t="s">
        <v>96</v>
      </c>
      <c r="G47">
        <v>1</v>
      </c>
      <c r="H47">
        <v>1</v>
      </c>
      <c r="I47" t="s">
        <v>97</v>
      </c>
      <c r="J47" s="10">
        <v>39</v>
      </c>
      <c r="K47" s="10">
        <v>117</v>
      </c>
      <c r="L47" s="10">
        <v>0</v>
      </c>
      <c r="N47" s="10">
        <v>0</v>
      </c>
      <c r="U47">
        <v>16</v>
      </c>
      <c r="W47">
        <v>8.0500000000000007</v>
      </c>
      <c r="X47">
        <v>1</v>
      </c>
      <c r="Y47">
        <v>27</v>
      </c>
      <c r="Z47">
        <v>17</v>
      </c>
      <c r="AA47">
        <v>17</v>
      </c>
      <c r="AB47">
        <v>4.516</v>
      </c>
      <c r="AC47">
        <v>12.52</v>
      </c>
      <c r="AE47">
        <v>1</v>
      </c>
      <c r="AF47" t="s">
        <v>735</v>
      </c>
      <c r="AG47">
        <v>150</v>
      </c>
      <c r="AH47">
        <v>0</v>
      </c>
      <c r="AJ47">
        <v>0</v>
      </c>
      <c r="AK47" t="s">
        <v>99</v>
      </c>
      <c r="AM47" t="s">
        <v>98</v>
      </c>
      <c r="AN47" t="s">
        <v>98</v>
      </c>
      <c r="AO47" t="s">
        <v>99</v>
      </c>
      <c r="AP47" t="s">
        <v>100</v>
      </c>
      <c r="AQ47" t="s">
        <v>101</v>
      </c>
      <c r="AV47" t="s">
        <v>98</v>
      </c>
      <c r="AX47" t="s">
        <v>7566</v>
      </c>
      <c r="AZ47" t="s">
        <v>124</v>
      </c>
      <c r="BB47" t="s">
        <v>197</v>
      </c>
      <c r="BC47" t="s">
        <v>226</v>
      </c>
      <c r="BD47" t="s">
        <v>7528</v>
      </c>
      <c r="BF47" t="s">
        <v>209</v>
      </c>
      <c r="BG47" t="s">
        <v>98</v>
      </c>
      <c r="BH47" t="s">
        <v>98</v>
      </c>
      <c r="BI47" t="s">
        <v>98</v>
      </c>
      <c r="BK47" t="s">
        <v>110</v>
      </c>
      <c r="BL47" t="s">
        <v>7528</v>
      </c>
      <c r="CA47" t="s">
        <v>208</v>
      </c>
      <c r="CB47" t="s">
        <v>7528</v>
      </c>
      <c r="CL47" t="s">
        <v>99</v>
      </c>
      <c r="CM47" t="s">
        <v>98</v>
      </c>
      <c r="CN47" t="s">
        <v>200</v>
      </c>
      <c r="CO47" s="1">
        <v>38685</v>
      </c>
      <c r="CP47" s="1">
        <v>43633</v>
      </c>
    </row>
    <row r="48" spans="1:94" x14ac:dyDescent="0.25">
      <c r="A48" t="s">
        <v>210</v>
      </c>
      <c r="B48" t="str">
        <f xml:space="preserve"> "" &amp; 840253050649</f>
        <v>840253050649</v>
      </c>
      <c r="C48" t="s">
        <v>162</v>
      </c>
      <c r="D48" t="s">
        <v>95</v>
      </c>
      <c r="E48" t="s">
        <v>7528</v>
      </c>
      <c r="F48" t="s">
        <v>96</v>
      </c>
      <c r="G48">
        <v>1</v>
      </c>
      <c r="H48">
        <v>1</v>
      </c>
      <c r="I48" t="s">
        <v>97</v>
      </c>
      <c r="J48" s="10">
        <v>35</v>
      </c>
      <c r="K48" s="10">
        <v>105</v>
      </c>
      <c r="L48" s="10">
        <v>0</v>
      </c>
      <c r="N48" s="10">
        <v>0</v>
      </c>
      <c r="S48">
        <v>35</v>
      </c>
      <c r="T48">
        <v>15.5</v>
      </c>
      <c r="U48">
        <v>8</v>
      </c>
      <c r="W48">
        <v>8.14</v>
      </c>
      <c r="Y48">
        <v>30</v>
      </c>
      <c r="Z48">
        <v>16.75</v>
      </c>
      <c r="AA48">
        <v>9.5</v>
      </c>
      <c r="AB48">
        <v>2.7629999999999999</v>
      </c>
      <c r="AC48">
        <v>12.21</v>
      </c>
      <c r="AE48">
        <v>1</v>
      </c>
      <c r="AF48" t="s">
        <v>244</v>
      </c>
      <c r="AG48">
        <v>150</v>
      </c>
      <c r="AH48">
        <v>0</v>
      </c>
      <c r="AJ48">
        <v>0</v>
      </c>
      <c r="AK48" t="s">
        <v>98</v>
      </c>
      <c r="AM48" t="s">
        <v>98</v>
      </c>
      <c r="AN48" t="s">
        <v>98</v>
      </c>
      <c r="AO48" t="s">
        <v>99</v>
      </c>
      <c r="AP48" t="s">
        <v>100</v>
      </c>
      <c r="AQ48" t="s">
        <v>101</v>
      </c>
      <c r="AV48" t="s">
        <v>98</v>
      </c>
      <c r="AX48" t="s">
        <v>226</v>
      </c>
      <c r="AZ48" t="s">
        <v>7528</v>
      </c>
      <c r="BB48" t="s">
        <v>197</v>
      </c>
      <c r="BC48" t="s">
        <v>7528</v>
      </c>
      <c r="BD48" t="s">
        <v>7528</v>
      </c>
      <c r="BF48" t="s">
        <v>211</v>
      </c>
      <c r="BG48" t="s">
        <v>98</v>
      </c>
      <c r="BH48" t="s">
        <v>98</v>
      </c>
      <c r="BI48" t="s">
        <v>98</v>
      </c>
      <c r="BK48" t="s">
        <v>110</v>
      </c>
      <c r="BL48" t="s">
        <v>7528</v>
      </c>
      <c r="CA48" t="s">
        <v>210</v>
      </c>
      <c r="CB48" t="s">
        <v>226</v>
      </c>
      <c r="CL48" t="s">
        <v>98</v>
      </c>
      <c r="CM48" t="s">
        <v>98</v>
      </c>
      <c r="CN48" t="s">
        <v>200</v>
      </c>
      <c r="CO48" s="1">
        <v>40037</v>
      </c>
      <c r="CP48" s="1">
        <v>43633</v>
      </c>
    </row>
    <row r="49" spans="1:94" x14ac:dyDescent="0.25">
      <c r="A49" t="s">
        <v>212</v>
      </c>
      <c r="B49" t="str">
        <f xml:space="preserve"> "" &amp; 840253050694</f>
        <v>840253050694</v>
      </c>
      <c r="C49" t="s">
        <v>162</v>
      </c>
      <c r="D49" t="s">
        <v>95</v>
      </c>
      <c r="E49" t="s">
        <v>7528</v>
      </c>
      <c r="F49" t="s">
        <v>96</v>
      </c>
      <c r="G49">
        <v>1</v>
      </c>
      <c r="H49">
        <v>1</v>
      </c>
      <c r="I49" t="s">
        <v>97</v>
      </c>
      <c r="J49" s="10">
        <v>50</v>
      </c>
      <c r="K49" s="10">
        <v>150</v>
      </c>
      <c r="L49" s="10">
        <v>0</v>
      </c>
      <c r="N49" s="10">
        <v>0</v>
      </c>
      <c r="S49">
        <v>28.75</v>
      </c>
      <c r="T49">
        <v>18</v>
      </c>
      <c r="U49">
        <v>9.5</v>
      </c>
      <c r="W49">
        <v>10.69</v>
      </c>
      <c r="Y49">
        <v>15.75</v>
      </c>
      <c r="Z49">
        <v>24.5</v>
      </c>
      <c r="AA49">
        <v>13</v>
      </c>
      <c r="AB49">
        <v>2.903</v>
      </c>
      <c r="AC49">
        <v>14.17</v>
      </c>
      <c r="AE49">
        <v>1</v>
      </c>
      <c r="AF49" t="s">
        <v>727</v>
      </c>
      <c r="AG49">
        <v>150</v>
      </c>
      <c r="AH49">
        <v>0</v>
      </c>
      <c r="AJ49">
        <v>0</v>
      </c>
      <c r="AK49" t="s">
        <v>98</v>
      </c>
      <c r="AM49" t="s">
        <v>98</v>
      </c>
      <c r="AN49" t="s">
        <v>98</v>
      </c>
      <c r="AO49" t="s">
        <v>99</v>
      </c>
      <c r="AP49" t="s">
        <v>100</v>
      </c>
      <c r="AQ49" t="s">
        <v>101</v>
      </c>
      <c r="AV49" t="s">
        <v>98</v>
      </c>
      <c r="AX49" t="s">
        <v>7567</v>
      </c>
      <c r="AZ49" t="s">
        <v>7528</v>
      </c>
      <c r="BB49" t="s">
        <v>197</v>
      </c>
      <c r="BC49" t="s">
        <v>7589</v>
      </c>
      <c r="BD49" t="s">
        <v>7528</v>
      </c>
      <c r="BF49" t="s">
        <v>213</v>
      </c>
      <c r="BG49" t="s">
        <v>98</v>
      </c>
      <c r="BH49" t="s">
        <v>98</v>
      </c>
      <c r="BI49" t="s">
        <v>98</v>
      </c>
      <c r="BK49" t="s">
        <v>110</v>
      </c>
      <c r="BL49" t="s">
        <v>7528</v>
      </c>
      <c r="CA49" t="s">
        <v>212</v>
      </c>
      <c r="CB49" t="s">
        <v>7567</v>
      </c>
      <c r="CL49" t="s">
        <v>98</v>
      </c>
      <c r="CM49" t="s">
        <v>98</v>
      </c>
      <c r="CN49" t="s">
        <v>7638</v>
      </c>
      <c r="CO49" s="1">
        <v>39787</v>
      </c>
      <c r="CP49" s="1">
        <v>43633</v>
      </c>
    </row>
    <row r="50" spans="1:94" x14ac:dyDescent="0.25">
      <c r="A50" t="s">
        <v>214</v>
      </c>
      <c r="B50" t="str">
        <f xml:space="preserve"> "" &amp; 840253050809</f>
        <v>840253050809</v>
      </c>
      <c r="C50" t="s">
        <v>215</v>
      </c>
      <c r="D50" t="s">
        <v>95</v>
      </c>
      <c r="E50" t="s">
        <v>7528</v>
      </c>
      <c r="F50" t="s">
        <v>96</v>
      </c>
      <c r="G50">
        <v>1</v>
      </c>
      <c r="H50">
        <v>1</v>
      </c>
      <c r="I50" t="s">
        <v>97</v>
      </c>
      <c r="J50" s="10">
        <v>30</v>
      </c>
      <c r="K50" s="10">
        <v>90</v>
      </c>
      <c r="L50" s="10">
        <v>0</v>
      </c>
      <c r="N50" s="10">
        <v>0</v>
      </c>
      <c r="U50">
        <v>16</v>
      </c>
      <c r="W50">
        <v>8.93</v>
      </c>
      <c r="Y50">
        <v>11.25</v>
      </c>
      <c r="Z50">
        <v>25.63</v>
      </c>
      <c r="AA50">
        <v>23.63</v>
      </c>
      <c r="AB50">
        <v>3.9430000000000001</v>
      </c>
      <c r="AC50">
        <v>14.55</v>
      </c>
      <c r="AE50">
        <v>1</v>
      </c>
      <c r="AF50" t="s">
        <v>163</v>
      </c>
      <c r="AG50">
        <v>150</v>
      </c>
      <c r="AH50">
        <v>0</v>
      </c>
      <c r="AJ50">
        <v>0</v>
      </c>
      <c r="AK50" t="s">
        <v>98</v>
      </c>
      <c r="AM50" t="s">
        <v>98</v>
      </c>
      <c r="AN50" t="s">
        <v>98</v>
      </c>
      <c r="AO50" t="s">
        <v>99</v>
      </c>
      <c r="AP50" t="s">
        <v>100</v>
      </c>
      <c r="AQ50" t="s">
        <v>101</v>
      </c>
      <c r="AV50" t="s">
        <v>98</v>
      </c>
      <c r="AX50" t="s">
        <v>226</v>
      </c>
      <c r="AZ50" t="s">
        <v>7528</v>
      </c>
      <c r="BB50" t="s">
        <v>7528</v>
      </c>
      <c r="BC50" t="s">
        <v>7528</v>
      </c>
      <c r="BD50" t="s">
        <v>7528</v>
      </c>
      <c r="BF50" t="s">
        <v>216</v>
      </c>
      <c r="BG50" t="s">
        <v>98</v>
      </c>
      <c r="BH50" t="s">
        <v>98</v>
      </c>
      <c r="BI50" t="s">
        <v>98</v>
      </c>
      <c r="BK50" t="s">
        <v>110</v>
      </c>
      <c r="BL50" t="s">
        <v>7528</v>
      </c>
      <c r="CA50" t="s">
        <v>214</v>
      </c>
      <c r="CB50" t="s">
        <v>226</v>
      </c>
      <c r="CL50" t="s">
        <v>98</v>
      </c>
      <c r="CM50" t="s">
        <v>98</v>
      </c>
      <c r="CN50" t="s">
        <v>200</v>
      </c>
      <c r="CO50" s="1">
        <v>39818</v>
      </c>
      <c r="CP50" s="1">
        <v>43633</v>
      </c>
    </row>
    <row r="51" spans="1:94" x14ac:dyDescent="0.25">
      <c r="A51" t="s">
        <v>217</v>
      </c>
      <c r="B51" t="str">
        <f xml:space="preserve"> "" &amp; 840253050816</f>
        <v>840253050816</v>
      </c>
      <c r="C51" t="s">
        <v>218</v>
      </c>
      <c r="D51" t="s">
        <v>95</v>
      </c>
      <c r="E51" t="s">
        <v>7528</v>
      </c>
      <c r="F51" t="s">
        <v>7531</v>
      </c>
      <c r="G51">
        <v>1</v>
      </c>
      <c r="H51">
        <v>1</v>
      </c>
      <c r="I51" t="s">
        <v>97</v>
      </c>
      <c r="J51" s="10">
        <v>30</v>
      </c>
      <c r="K51" s="10">
        <v>90</v>
      </c>
      <c r="L51" s="10">
        <v>0</v>
      </c>
      <c r="N51" s="10">
        <v>0</v>
      </c>
      <c r="U51">
        <v>16</v>
      </c>
      <c r="W51">
        <v>10.029999999999999</v>
      </c>
      <c r="Y51">
        <v>11.25</v>
      </c>
      <c r="Z51">
        <v>25.63</v>
      </c>
      <c r="AA51">
        <v>23.63</v>
      </c>
      <c r="AB51">
        <v>3.9430000000000001</v>
      </c>
      <c r="AC51">
        <v>15.65</v>
      </c>
      <c r="AE51">
        <v>1</v>
      </c>
      <c r="AF51" t="s">
        <v>738</v>
      </c>
      <c r="AG51">
        <v>150</v>
      </c>
      <c r="AK51" t="s">
        <v>98</v>
      </c>
      <c r="AM51" t="s">
        <v>98</v>
      </c>
      <c r="AN51" t="s">
        <v>98</v>
      </c>
      <c r="AO51" t="s">
        <v>99</v>
      </c>
      <c r="AP51" t="s">
        <v>100</v>
      </c>
      <c r="AQ51" t="s">
        <v>101</v>
      </c>
      <c r="AV51" t="s">
        <v>98</v>
      </c>
      <c r="AX51" t="s">
        <v>7568</v>
      </c>
      <c r="AZ51" t="s">
        <v>7528</v>
      </c>
      <c r="BB51" t="s">
        <v>197</v>
      </c>
      <c r="BC51" t="s">
        <v>7528</v>
      </c>
      <c r="BD51" t="s">
        <v>7528</v>
      </c>
      <c r="BF51" t="s">
        <v>219</v>
      </c>
      <c r="BG51" t="s">
        <v>98</v>
      </c>
      <c r="BH51" t="s">
        <v>98</v>
      </c>
      <c r="BI51" t="s">
        <v>98</v>
      </c>
      <c r="BK51" t="s">
        <v>110</v>
      </c>
      <c r="BL51" t="s">
        <v>7528</v>
      </c>
      <c r="CA51" t="s">
        <v>217</v>
      </c>
      <c r="CB51" t="s">
        <v>7568</v>
      </c>
      <c r="CL51" t="s">
        <v>98</v>
      </c>
      <c r="CM51" t="s">
        <v>98</v>
      </c>
      <c r="CN51" t="s">
        <v>200</v>
      </c>
      <c r="CO51" s="1">
        <v>39818</v>
      </c>
      <c r="CP51" s="1">
        <v>43633</v>
      </c>
    </row>
    <row r="52" spans="1:94" x14ac:dyDescent="0.25">
      <c r="A52" t="s">
        <v>220</v>
      </c>
      <c r="B52" t="str">
        <f xml:space="preserve"> "" &amp; 840253050946</f>
        <v>840253050946</v>
      </c>
      <c r="C52" t="s">
        <v>162</v>
      </c>
      <c r="D52" t="s">
        <v>95</v>
      </c>
      <c r="E52" t="s">
        <v>7528</v>
      </c>
      <c r="F52" t="s">
        <v>96</v>
      </c>
      <c r="G52">
        <v>1</v>
      </c>
      <c r="H52">
        <v>1</v>
      </c>
      <c r="I52" t="s">
        <v>97</v>
      </c>
      <c r="J52" s="10">
        <v>109.95</v>
      </c>
      <c r="K52" s="10">
        <v>329.85</v>
      </c>
      <c r="L52" s="10">
        <v>0</v>
      </c>
      <c r="N52" s="10">
        <v>0</v>
      </c>
      <c r="S52">
        <v>34.25</v>
      </c>
      <c r="U52">
        <v>18</v>
      </c>
      <c r="W52">
        <v>9.0399999999999991</v>
      </c>
      <c r="Y52">
        <v>13.63</v>
      </c>
      <c r="Z52">
        <v>28.75</v>
      </c>
      <c r="AA52">
        <v>27</v>
      </c>
      <c r="AB52">
        <v>6.1230000000000002</v>
      </c>
      <c r="AC52">
        <v>16.760000000000002</v>
      </c>
      <c r="AE52">
        <v>1</v>
      </c>
      <c r="AF52" t="s">
        <v>244</v>
      </c>
      <c r="AG52">
        <v>150</v>
      </c>
      <c r="AH52">
        <v>0</v>
      </c>
      <c r="AJ52">
        <v>0</v>
      </c>
      <c r="AK52" t="s">
        <v>98</v>
      </c>
      <c r="AM52" t="s">
        <v>98</v>
      </c>
      <c r="AN52" t="s">
        <v>98</v>
      </c>
      <c r="AO52" t="s">
        <v>99</v>
      </c>
      <c r="AP52" t="s">
        <v>100</v>
      </c>
      <c r="AQ52" t="s">
        <v>101</v>
      </c>
      <c r="AV52" t="s">
        <v>98</v>
      </c>
      <c r="AX52" t="s">
        <v>2758</v>
      </c>
      <c r="AZ52" t="s">
        <v>7528</v>
      </c>
      <c r="BB52" t="s">
        <v>197</v>
      </c>
      <c r="BC52" t="s">
        <v>7528</v>
      </c>
      <c r="BD52" t="s">
        <v>7528</v>
      </c>
      <c r="BF52" t="s">
        <v>221</v>
      </c>
      <c r="BG52" t="s">
        <v>98</v>
      </c>
      <c r="BH52" t="s">
        <v>98</v>
      </c>
      <c r="BI52" t="s">
        <v>98</v>
      </c>
      <c r="BK52" t="s">
        <v>110</v>
      </c>
      <c r="BL52" t="s">
        <v>7528</v>
      </c>
      <c r="CA52" t="s">
        <v>220</v>
      </c>
      <c r="CB52" t="s">
        <v>2758</v>
      </c>
      <c r="CL52" t="s">
        <v>98</v>
      </c>
      <c r="CM52" t="s">
        <v>98</v>
      </c>
      <c r="CN52" t="s">
        <v>7639</v>
      </c>
      <c r="CO52" s="1">
        <v>39883</v>
      </c>
      <c r="CP52" s="1">
        <v>43633</v>
      </c>
    </row>
    <row r="53" spans="1:94" x14ac:dyDescent="0.25">
      <c r="A53" t="s">
        <v>222</v>
      </c>
      <c r="B53" t="str">
        <f xml:space="preserve"> "" &amp; 840253050953</f>
        <v>840253050953</v>
      </c>
      <c r="C53" t="s">
        <v>162</v>
      </c>
      <c r="D53" t="s">
        <v>95</v>
      </c>
      <c r="E53" t="s">
        <v>7528</v>
      </c>
      <c r="F53" t="s">
        <v>7531</v>
      </c>
      <c r="G53">
        <v>1</v>
      </c>
      <c r="H53">
        <v>1</v>
      </c>
      <c r="I53" t="s">
        <v>97</v>
      </c>
      <c r="J53" s="10">
        <v>35</v>
      </c>
      <c r="K53" s="10">
        <v>105</v>
      </c>
      <c r="L53" s="10">
        <v>0</v>
      </c>
      <c r="N53" s="10">
        <v>0</v>
      </c>
      <c r="S53">
        <v>28.25</v>
      </c>
      <c r="T53">
        <v>19</v>
      </c>
      <c r="U53">
        <v>13</v>
      </c>
      <c r="W53">
        <v>6.17</v>
      </c>
      <c r="Y53">
        <v>14</v>
      </c>
      <c r="Z53">
        <v>24</v>
      </c>
      <c r="AA53">
        <v>20.88</v>
      </c>
      <c r="AB53">
        <v>4.0599999999999996</v>
      </c>
      <c r="AC53">
        <v>11.57</v>
      </c>
      <c r="AE53">
        <v>1</v>
      </c>
      <c r="AF53" t="s">
        <v>7540</v>
      </c>
      <c r="AG53">
        <v>100</v>
      </c>
      <c r="AH53">
        <v>0</v>
      </c>
      <c r="AJ53">
        <v>0</v>
      </c>
      <c r="AK53" t="s">
        <v>98</v>
      </c>
      <c r="AM53" t="s">
        <v>98</v>
      </c>
      <c r="AN53" t="s">
        <v>98</v>
      </c>
      <c r="AO53" t="s">
        <v>99</v>
      </c>
      <c r="AP53" t="s">
        <v>100</v>
      </c>
      <c r="AQ53" t="s">
        <v>101</v>
      </c>
      <c r="AV53" t="s">
        <v>98</v>
      </c>
      <c r="AX53" t="s">
        <v>7569</v>
      </c>
      <c r="AZ53" t="s">
        <v>7528</v>
      </c>
      <c r="BB53" t="s">
        <v>197</v>
      </c>
      <c r="BC53" t="s">
        <v>7528</v>
      </c>
      <c r="BD53" t="s">
        <v>7528</v>
      </c>
      <c r="BF53" t="s">
        <v>223</v>
      </c>
      <c r="BG53" t="s">
        <v>98</v>
      </c>
      <c r="BH53" t="s">
        <v>98</v>
      </c>
      <c r="BI53" t="s">
        <v>98</v>
      </c>
      <c r="BK53" t="s">
        <v>110</v>
      </c>
      <c r="BL53" t="s">
        <v>7528</v>
      </c>
      <c r="CA53" t="s">
        <v>222</v>
      </c>
      <c r="CB53" t="s">
        <v>7569</v>
      </c>
      <c r="CL53" t="s">
        <v>98</v>
      </c>
      <c r="CM53" t="s">
        <v>98</v>
      </c>
      <c r="CN53" t="s">
        <v>7640</v>
      </c>
      <c r="CO53" s="1">
        <v>39883</v>
      </c>
      <c r="CP53" s="1">
        <v>43633</v>
      </c>
    </row>
    <row r="54" spans="1:94" x14ac:dyDescent="0.25">
      <c r="A54" t="s">
        <v>224</v>
      </c>
      <c r="B54" t="str">
        <f xml:space="preserve"> "" &amp; 840253048462</f>
        <v>840253048462</v>
      </c>
      <c r="C54" t="s">
        <v>112</v>
      </c>
      <c r="D54" t="s">
        <v>95</v>
      </c>
      <c r="E54" t="s">
        <v>7528</v>
      </c>
      <c r="F54" t="s">
        <v>96</v>
      </c>
      <c r="G54">
        <v>1</v>
      </c>
      <c r="H54">
        <v>1</v>
      </c>
      <c r="I54" t="s">
        <v>97</v>
      </c>
      <c r="J54" s="10">
        <v>79.95</v>
      </c>
      <c r="K54" s="10">
        <v>239.85</v>
      </c>
      <c r="L54" s="10">
        <v>0</v>
      </c>
      <c r="N54" s="10">
        <v>0</v>
      </c>
      <c r="T54">
        <v>14</v>
      </c>
      <c r="U54">
        <v>14</v>
      </c>
      <c r="W54">
        <v>6.15</v>
      </c>
      <c r="Y54">
        <v>28.25</v>
      </c>
      <c r="Z54">
        <v>15.25</v>
      </c>
      <c r="AA54">
        <v>15.25</v>
      </c>
      <c r="AB54">
        <v>3.802</v>
      </c>
      <c r="AC54">
        <v>11.33</v>
      </c>
      <c r="AE54">
        <v>1</v>
      </c>
      <c r="AF54" t="s">
        <v>225</v>
      </c>
      <c r="AG54">
        <v>100</v>
      </c>
      <c r="AH54">
        <v>0</v>
      </c>
      <c r="AJ54">
        <v>0</v>
      </c>
      <c r="AK54" t="s">
        <v>98</v>
      </c>
      <c r="AM54" t="s">
        <v>98</v>
      </c>
      <c r="AN54" t="s">
        <v>98</v>
      </c>
      <c r="AO54" t="s">
        <v>99</v>
      </c>
      <c r="AP54" t="s">
        <v>100</v>
      </c>
      <c r="AQ54" t="s">
        <v>101</v>
      </c>
      <c r="AV54" t="s">
        <v>98</v>
      </c>
      <c r="AX54" t="s">
        <v>226</v>
      </c>
      <c r="AZ54" t="s">
        <v>7528</v>
      </c>
      <c r="BB54" t="s">
        <v>7528</v>
      </c>
      <c r="BC54" t="s">
        <v>7528</v>
      </c>
      <c r="BD54" t="s">
        <v>7528</v>
      </c>
      <c r="BF54" t="s">
        <v>227</v>
      </c>
      <c r="BG54" t="s">
        <v>98</v>
      </c>
      <c r="BH54" t="s">
        <v>98</v>
      </c>
      <c r="BI54" t="s">
        <v>98</v>
      </c>
      <c r="BK54" t="e">
        <v>#N/A</v>
      </c>
      <c r="BL54" t="s">
        <v>7528</v>
      </c>
      <c r="CA54" t="s">
        <v>224</v>
      </c>
      <c r="CB54" t="s">
        <v>226</v>
      </c>
      <c r="CL54" t="s">
        <v>98</v>
      </c>
      <c r="CM54" t="s">
        <v>98</v>
      </c>
      <c r="CN54" t="s">
        <v>200</v>
      </c>
      <c r="CO54" s="1">
        <v>39640</v>
      </c>
      <c r="CP54" s="1">
        <v>43633</v>
      </c>
    </row>
    <row r="55" spans="1:94" x14ac:dyDescent="0.25">
      <c r="A55" t="s">
        <v>228</v>
      </c>
      <c r="B55" t="str">
        <f xml:space="preserve"> "" &amp; 840253048479</f>
        <v>840253048479</v>
      </c>
      <c r="C55" t="s">
        <v>112</v>
      </c>
      <c r="D55" t="s">
        <v>95</v>
      </c>
      <c r="E55" t="s">
        <v>7528</v>
      </c>
      <c r="F55" t="s">
        <v>96</v>
      </c>
      <c r="G55">
        <v>1</v>
      </c>
      <c r="H55">
        <v>1</v>
      </c>
      <c r="I55" t="s">
        <v>97</v>
      </c>
      <c r="J55" s="10">
        <v>159.94999999999999</v>
      </c>
      <c r="K55" s="10">
        <v>479.85</v>
      </c>
      <c r="L55" s="10">
        <v>0</v>
      </c>
      <c r="N55" s="10">
        <v>0</v>
      </c>
      <c r="T55">
        <v>20</v>
      </c>
      <c r="U55">
        <v>20</v>
      </c>
      <c r="W55">
        <v>9.81</v>
      </c>
      <c r="Y55">
        <v>26.75</v>
      </c>
      <c r="Z55">
        <v>21.25</v>
      </c>
      <c r="AA55">
        <v>21.25</v>
      </c>
      <c r="AB55">
        <v>6.99</v>
      </c>
      <c r="AC55">
        <v>17.09</v>
      </c>
      <c r="AE55">
        <v>1</v>
      </c>
      <c r="AF55" t="s">
        <v>225</v>
      </c>
      <c r="AG55">
        <v>100</v>
      </c>
      <c r="AH55">
        <v>0</v>
      </c>
      <c r="AJ55">
        <v>0</v>
      </c>
      <c r="AK55" t="s">
        <v>98</v>
      </c>
      <c r="AM55" t="s">
        <v>98</v>
      </c>
      <c r="AN55" t="s">
        <v>98</v>
      </c>
      <c r="AO55" t="s">
        <v>99</v>
      </c>
      <c r="AP55" t="s">
        <v>100</v>
      </c>
      <c r="AQ55" t="s">
        <v>101</v>
      </c>
      <c r="AV55" t="s">
        <v>98</v>
      </c>
      <c r="AX55" t="s">
        <v>7528</v>
      </c>
      <c r="AZ55" t="s">
        <v>7528</v>
      </c>
      <c r="BB55" t="s">
        <v>7528</v>
      </c>
      <c r="BC55" t="s">
        <v>7528</v>
      </c>
      <c r="BD55" t="s">
        <v>7528</v>
      </c>
      <c r="BF55" t="s">
        <v>229</v>
      </c>
      <c r="BG55" t="s">
        <v>98</v>
      </c>
      <c r="BH55" t="s">
        <v>98</v>
      </c>
      <c r="BI55" t="s">
        <v>98</v>
      </c>
      <c r="BK55" t="e">
        <v>#N/A</v>
      </c>
      <c r="BL55" t="s">
        <v>7528</v>
      </c>
      <c r="CA55" t="s">
        <v>228</v>
      </c>
      <c r="CB55" t="s">
        <v>7528</v>
      </c>
      <c r="CL55" t="s">
        <v>98</v>
      </c>
      <c r="CM55" t="s">
        <v>98</v>
      </c>
      <c r="CN55" t="s">
        <v>692</v>
      </c>
      <c r="CO55" s="1">
        <v>39640</v>
      </c>
      <c r="CP55" s="1">
        <v>43633</v>
      </c>
    </row>
    <row r="56" spans="1:94" x14ac:dyDescent="0.25">
      <c r="A56" t="s">
        <v>238</v>
      </c>
      <c r="B56" t="str">
        <f xml:space="preserve"> "" &amp; 747396016092</f>
        <v>747396016092</v>
      </c>
      <c r="C56" t="s">
        <v>239</v>
      </c>
      <c r="D56" t="s">
        <v>6501</v>
      </c>
      <c r="E56" t="s">
        <v>231</v>
      </c>
      <c r="F56" t="s">
        <v>240</v>
      </c>
      <c r="G56">
        <v>1</v>
      </c>
      <c r="H56">
        <v>1</v>
      </c>
      <c r="I56" t="s">
        <v>97</v>
      </c>
      <c r="J56" s="10">
        <v>59</v>
      </c>
      <c r="K56" s="10">
        <v>177</v>
      </c>
      <c r="L56" s="10">
        <v>0</v>
      </c>
      <c r="N56" s="10">
        <v>0</v>
      </c>
      <c r="O56" t="s">
        <v>99</v>
      </c>
      <c r="P56" s="10">
        <v>119.95</v>
      </c>
      <c r="S56">
        <v>5.75</v>
      </c>
      <c r="T56">
        <v>14.5</v>
      </c>
      <c r="U56">
        <v>5.25</v>
      </c>
      <c r="W56">
        <v>2.78</v>
      </c>
      <c r="X56">
        <v>1</v>
      </c>
      <c r="Y56">
        <v>7.5</v>
      </c>
      <c r="Z56">
        <v>14.5</v>
      </c>
      <c r="AA56">
        <v>6.5</v>
      </c>
      <c r="AB56">
        <v>0.40899999999999997</v>
      </c>
      <c r="AC56">
        <v>3.75</v>
      </c>
      <c r="AE56">
        <v>1</v>
      </c>
      <c r="AF56" t="s">
        <v>233</v>
      </c>
      <c r="AG56">
        <v>100</v>
      </c>
      <c r="AK56" t="s">
        <v>98</v>
      </c>
      <c r="AM56" t="s">
        <v>98</v>
      </c>
      <c r="AN56" t="s">
        <v>98</v>
      </c>
      <c r="AO56" t="s">
        <v>99</v>
      </c>
      <c r="AP56" t="s">
        <v>100</v>
      </c>
      <c r="AQ56" t="s">
        <v>101</v>
      </c>
      <c r="AV56" t="s">
        <v>98</v>
      </c>
      <c r="AX56" t="s">
        <v>234</v>
      </c>
      <c r="AZ56" t="s">
        <v>102</v>
      </c>
      <c r="BB56" t="s">
        <v>235</v>
      </c>
      <c r="BC56" t="s">
        <v>5151</v>
      </c>
      <c r="BD56" t="s">
        <v>7528</v>
      </c>
      <c r="BF56" t="s">
        <v>241</v>
      </c>
      <c r="BG56" t="s">
        <v>98</v>
      </c>
      <c r="BH56" t="s">
        <v>98</v>
      </c>
      <c r="BI56" t="s">
        <v>98</v>
      </c>
      <c r="BK56" t="s">
        <v>110</v>
      </c>
      <c r="BL56" t="s">
        <v>7528</v>
      </c>
      <c r="BT56">
        <v>4.25</v>
      </c>
      <c r="CA56">
        <v>1181</v>
      </c>
      <c r="CB56" t="s">
        <v>234</v>
      </c>
      <c r="CL56" t="s">
        <v>98</v>
      </c>
      <c r="CM56" t="s">
        <v>99</v>
      </c>
      <c r="CN56" t="s">
        <v>237</v>
      </c>
      <c r="CO56" s="1">
        <v>37565</v>
      </c>
      <c r="CP56" s="1">
        <v>43633</v>
      </c>
    </row>
    <row r="57" spans="1:94" x14ac:dyDescent="0.25">
      <c r="A57" t="s">
        <v>242</v>
      </c>
      <c r="B57" t="str">
        <f xml:space="preserve"> "" &amp; 747396016108</f>
        <v>747396016108</v>
      </c>
      <c r="C57" t="s">
        <v>243</v>
      </c>
      <c r="D57" t="s">
        <v>6502</v>
      </c>
      <c r="E57" t="s">
        <v>231</v>
      </c>
      <c r="F57" t="s">
        <v>240</v>
      </c>
      <c r="G57">
        <v>1</v>
      </c>
      <c r="H57">
        <v>1</v>
      </c>
      <c r="I57" t="s">
        <v>97</v>
      </c>
      <c r="J57" s="10">
        <v>229.95</v>
      </c>
      <c r="K57" s="10">
        <v>689.85</v>
      </c>
      <c r="L57" s="10">
        <v>0</v>
      </c>
      <c r="N57" s="10">
        <v>0</v>
      </c>
      <c r="O57" t="s">
        <v>99</v>
      </c>
      <c r="P57" s="10">
        <v>459.95</v>
      </c>
      <c r="S57">
        <v>28</v>
      </c>
      <c r="T57">
        <v>22.75</v>
      </c>
      <c r="U57">
        <v>22.75</v>
      </c>
      <c r="W57">
        <v>18.079999999999998</v>
      </c>
      <c r="X57">
        <v>1</v>
      </c>
      <c r="Y57">
        <v>13.5</v>
      </c>
      <c r="Z57">
        <v>25.5</v>
      </c>
      <c r="AA57">
        <v>25.5</v>
      </c>
      <c r="AB57">
        <v>5.08</v>
      </c>
      <c r="AC57">
        <v>23.81</v>
      </c>
      <c r="AE57">
        <v>3</v>
      </c>
      <c r="AF57" t="s">
        <v>244</v>
      </c>
      <c r="AG57">
        <v>100</v>
      </c>
      <c r="AK57" t="s">
        <v>98</v>
      </c>
      <c r="AM57" t="s">
        <v>98</v>
      </c>
      <c r="AN57" t="s">
        <v>98</v>
      </c>
      <c r="AO57" t="s">
        <v>99</v>
      </c>
      <c r="AP57" t="s">
        <v>100</v>
      </c>
      <c r="AQ57" t="s">
        <v>101</v>
      </c>
      <c r="AV57" t="s">
        <v>98</v>
      </c>
      <c r="AX57" t="s">
        <v>234</v>
      </c>
      <c r="AZ57" t="s">
        <v>102</v>
      </c>
      <c r="BB57" t="s">
        <v>235</v>
      </c>
      <c r="BC57" t="s">
        <v>245</v>
      </c>
      <c r="BD57" t="s">
        <v>7528</v>
      </c>
      <c r="BF57" t="s">
        <v>246</v>
      </c>
      <c r="BG57" t="s">
        <v>98</v>
      </c>
      <c r="BH57" t="s">
        <v>98</v>
      </c>
      <c r="BI57" t="s">
        <v>98</v>
      </c>
      <c r="BK57" t="s">
        <v>110</v>
      </c>
      <c r="BL57" t="s">
        <v>7528</v>
      </c>
      <c r="BT57">
        <v>5.5</v>
      </c>
      <c r="CA57">
        <v>1182</v>
      </c>
      <c r="CB57" t="s">
        <v>234</v>
      </c>
      <c r="CL57" t="s">
        <v>99</v>
      </c>
      <c r="CM57" t="s">
        <v>99</v>
      </c>
      <c r="CN57" t="s">
        <v>237</v>
      </c>
      <c r="CO57" s="1">
        <v>37565</v>
      </c>
      <c r="CP57" s="1">
        <v>43633</v>
      </c>
    </row>
    <row r="58" spans="1:94" x14ac:dyDescent="0.25">
      <c r="A58" t="s">
        <v>247</v>
      </c>
      <c r="B58" t="str">
        <f xml:space="preserve"> "" &amp; 747396044477</f>
        <v>747396044477</v>
      </c>
      <c r="C58" t="s">
        <v>248</v>
      </c>
      <c r="D58" t="s">
        <v>6503</v>
      </c>
      <c r="E58" t="s">
        <v>231</v>
      </c>
      <c r="F58" t="s">
        <v>249</v>
      </c>
      <c r="G58">
        <v>1</v>
      </c>
      <c r="H58">
        <v>1</v>
      </c>
      <c r="I58" t="s">
        <v>97</v>
      </c>
      <c r="J58" s="10">
        <v>154.94999999999999</v>
      </c>
      <c r="K58" s="10">
        <v>464.85</v>
      </c>
      <c r="L58" s="10">
        <v>0</v>
      </c>
      <c r="N58" s="10">
        <v>0</v>
      </c>
      <c r="O58" t="s">
        <v>99</v>
      </c>
      <c r="P58" s="10">
        <v>309.95</v>
      </c>
      <c r="S58">
        <v>20</v>
      </c>
      <c r="T58">
        <v>17</v>
      </c>
      <c r="U58">
        <v>17</v>
      </c>
      <c r="W58">
        <v>9.3699999999999992</v>
      </c>
      <c r="X58">
        <v>1</v>
      </c>
      <c r="Y58">
        <v>8</v>
      </c>
      <c r="Z58">
        <v>17.5</v>
      </c>
      <c r="AA58">
        <v>15.5</v>
      </c>
      <c r="AB58">
        <v>1.256</v>
      </c>
      <c r="AC58">
        <v>12.21</v>
      </c>
      <c r="AE58">
        <v>3</v>
      </c>
      <c r="AF58" t="s">
        <v>233</v>
      </c>
      <c r="AG58">
        <v>100</v>
      </c>
      <c r="AK58" t="s">
        <v>98</v>
      </c>
      <c r="AL58">
        <v>3</v>
      </c>
      <c r="AM58" t="s">
        <v>98</v>
      </c>
      <c r="AN58" t="s">
        <v>99</v>
      </c>
      <c r="AO58" t="s">
        <v>98</v>
      </c>
      <c r="AP58" t="s">
        <v>100</v>
      </c>
      <c r="AQ58" t="s">
        <v>101</v>
      </c>
      <c r="AV58" t="s">
        <v>98</v>
      </c>
      <c r="AX58" t="s">
        <v>234</v>
      </c>
      <c r="AZ58" t="s">
        <v>102</v>
      </c>
      <c r="BB58" t="s">
        <v>235</v>
      </c>
      <c r="BC58" t="s">
        <v>245</v>
      </c>
      <c r="BD58" t="s">
        <v>7528</v>
      </c>
      <c r="BF58" t="s">
        <v>250</v>
      </c>
      <c r="BG58" t="s">
        <v>98</v>
      </c>
      <c r="BH58" t="s">
        <v>98</v>
      </c>
      <c r="BI58" t="s">
        <v>98</v>
      </c>
      <c r="BK58" t="s">
        <v>127</v>
      </c>
      <c r="BL58" t="s">
        <v>128</v>
      </c>
      <c r="BR58">
        <v>0.75</v>
      </c>
      <c r="BT58">
        <v>4.88</v>
      </c>
      <c r="CA58">
        <v>1185</v>
      </c>
      <c r="CB58" t="s">
        <v>234</v>
      </c>
      <c r="CL58" t="s">
        <v>99</v>
      </c>
      <c r="CM58" t="s">
        <v>99</v>
      </c>
      <c r="CN58" t="s">
        <v>237</v>
      </c>
      <c r="CO58" s="1">
        <v>38247</v>
      </c>
      <c r="CP58" s="1">
        <v>43633</v>
      </c>
    </row>
    <row r="59" spans="1:94" x14ac:dyDescent="0.25">
      <c r="A59" t="s">
        <v>251</v>
      </c>
      <c r="B59" t="str">
        <f xml:space="preserve"> "" &amp; 747396016122</f>
        <v>747396016122</v>
      </c>
      <c r="C59" t="s">
        <v>252</v>
      </c>
      <c r="D59" t="s">
        <v>6504</v>
      </c>
      <c r="E59" t="s">
        <v>231</v>
      </c>
      <c r="F59" t="s">
        <v>249</v>
      </c>
      <c r="G59">
        <v>1</v>
      </c>
      <c r="H59">
        <v>1</v>
      </c>
      <c r="I59" t="s">
        <v>97</v>
      </c>
      <c r="J59" s="10">
        <v>259.95</v>
      </c>
      <c r="K59" s="10">
        <v>779.85</v>
      </c>
      <c r="L59" s="10">
        <v>0</v>
      </c>
      <c r="N59" s="10">
        <v>0</v>
      </c>
      <c r="O59" t="s">
        <v>99</v>
      </c>
      <c r="P59" s="10">
        <v>519.95000000000005</v>
      </c>
      <c r="S59">
        <v>30.75</v>
      </c>
      <c r="T59">
        <v>28.25</v>
      </c>
      <c r="U59">
        <v>28.25</v>
      </c>
      <c r="W59">
        <v>17.420000000000002</v>
      </c>
      <c r="X59">
        <v>1</v>
      </c>
      <c r="Y59">
        <v>8.25</v>
      </c>
      <c r="Z59">
        <v>30.5</v>
      </c>
      <c r="AA59">
        <v>26.75</v>
      </c>
      <c r="AB59">
        <v>3.895</v>
      </c>
      <c r="AC59">
        <v>25.35</v>
      </c>
      <c r="AE59">
        <v>6</v>
      </c>
      <c r="AF59" t="s">
        <v>233</v>
      </c>
      <c r="AG59">
        <v>100</v>
      </c>
      <c r="AK59" t="s">
        <v>98</v>
      </c>
      <c r="AL59">
        <v>6</v>
      </c>
      <c r="AM59" t="s">
        <v>98</v>
      </c>
      <c r="AN59" t="s">
        <v>98</v>
      </c>
      <c r="AO59" t="s">
        <v>99</v>
      </c>
      <c r="AP59" t="s">
        <v>100</v>
      </c>
      <c r="AQ59" t="s">
        <v>101</v>
      </c>
      <c r="AV59" t="s">
        <v>98</v>
      </c>
      <c r="AX59" t="s">
        <v>234</v>
      </c>
      <c r="AZ59" t="s">
        <v>102</v>
      </c>
      <c r="BB59" t="s">
        <v>235</v>
      </c>
      <c r="BC59" t="s">
        <v>245</v>
      </c>
      <c r="BD59" t="s">
        <v>7528</v>
      </c>
      <c r="BF59" t="s">
        <v>253</v>
      </c>
      <c r="BG59" t="s">
        <v>98</v>
      </c>
      <c r="BH59" t="s">
        <v>98</v>
      </c>
      <c r="BI59" t="s">
        <v>98</v>
      </c>
      <c r="BK59" t="s">
        <v>110</v>
      </c>
      <c r="BL59" t="s">
        <v>128</v>
      </c>
      <c r="BT59">
        <v>5.5</v>
      </c>
      <c r="CA59">
        <v>1186</v>
      </c>
      <c r="CB59" t="s">
        <v>234</v>
      </c>
      <c r="CL59" t="s">
        <v>99</v>
      </c>
      <c r="CM59" t="s">
        <v>99</v>
      </c>
      <c r="CN59" t="s">
        <v>237</v>
      </c>
      <c r="CO59" s="1">
        <v>37565</v>
      </c>
      <c r="CP59" s="1">
        <v>43633</v>
      </c>
    </row>
    <row r="60" spans="1:94" x14ac:dyDescent="0.25">
      <c r="A60" t="s">
        <v>254</v>
      </c>
      <c r="B60" t="str">
        <f xml:space="preserve"> "" &amp; 747396016139</f>
        <v>747396016139</v>
      </c>
      <c r="C60" t="s">
        <v>255</v>
      </c>
      <c r="D60" t="s">
        <v>6505</v>
      </c>
      <c r="E60" t="s">
        <v>231</v>
      </c>
      <c r="F60" t="s">
        <v>249</v>
      </c>
      <c r="G60">
        <v>1</v>
      </c>
      <c r="H60">
        <v>1</v>
      </c>
      <c r="I60" t="s">
        <v>97</v>
      </c>
      <c r="J60" s="10">
        <v>349.95</v>
      </c>
      <c r="K60" s="10">
        <v>1049.8499999999999</v>
      </c>
      <c r="L60" s="10">
        <v>0</v>
      </c>
      <c r="N60" s="10">
        <v>0</v>
      </c>
      <c r="O60" t="s">
        <v>99</v>
      </c>
      <c r="P60" s="10">
        <v>699.95</v>
      </c>
      <c r="S60">
        <v>34.25</v>
      </c>
      <c r="U60">
        <v>33.5</v>
      </c>
      <c r="W60">
        <v>22.71</v>
      </c>
      <c r="X60">
        <v>1</v>
      </c>
      <c r="Y60">
        <v>14.25</v>
      </c>
      <c r="Z60">
        <v>33.5</v>
      </c>
      <c r="AA60">
        <v>33.5</v>
      </c>
      <c r="AB60">
        <v>9.2550000000000008</v>
      </c>
      <c r="AC60">
        <v>39.24</v>
      </c>
      <c r="AE60">
        <v>8</v>
      </c>
      <c r="AF60" t="s">
        <v>233</v>
      </c>
      <c r="AG60">
        <v>100</v>
      </c>
      <c r="AK60" t="s">
        <v>98</v>
      </c>
      <c r="AL60">
        <v>8</v>
      </c>
      <c r="AM60" t="s">
        <v>98</v>
      </c>
      <c r="AN60" t="s">
        <v>98</v>
      </c>
      <c r="AO60" t="s">
        <v>99</v>
      </c>
      <c r="AP60" t="s">
        <v>100</v>
      </c>
      <c r="AQ60" t="s">
        <v>101</v>
      </c>
      <c r="AV60" t="s">
        <v>98</v>
      </c>
      <c r="AX60" t="s">
        <v>234</v>
      </c>
      <c r="AZ60" t="s">
        <v>102</v>
      </c>
      <c r="BB60" t="s">
        <v>235</v>
      </c>
      <c r="BC60" t="s">
        <v>5151</v>
      </c>
      <c r="BD60" t="s">
        <v>7528</v>
      </c>
      <c r="BF60" t="s">
        <v>256</v>
      </c>
      <c r="BG60" t="s">
        <v>98</v>
      </c>
      <c r="BH60" t="s">
        <v>98</v>
      </c>
      <c r="BI60" t="s">
        <v>98</v>
      </c>
      <c r="BK60" t="s">
        <v>110</v>
      </c>
      <c r="BL60" t="s">
        <v>7528</v>
      </c>
      <c r="BT60">
        <v>5.5</v>
      </c>
      <c r="CA60">
        <v>1188</v>
      </c>
      <c r="CB60" t="s">
        <v>234</v>
      </c>
      <c r="CL60" t="s">
        <v>98</v>
      </c>
      <c r="CM60" t="s">
        <v>99</v>
      </c>
      <c r="CN60" t="s">
        <v>237</v>
      </c>
      <c r="CO60" s="1">
        <v>37565</v>
      </c>
      <c r="CP60" s="1">
        <v>43633</v>
      </c>
    </row>
    <row r="61" spans="1:94" x14ac:dyDescent="0.25">
      <c r="A61" t="s">
        <v>257</v>
      </c>
      <c r="B61" t="str">
        <f xml:space="preserve"> "" &amp; 747396056920</f>
        <v>747396056920</v>
      </c>
      <c r="C61" t="s">
        <v>258</v>
      </c>
      <c r="D61" t="s">
        <v>6506</v>
      </c>
      <c r="E61" t="s">
        <v>231</v>
      </c>
      <c r="F61" t="s">
        <v>249</v>
      </c>
      <c r="G61">
        <v>1</v>
      </c>
      <c r="H61">
        <v>1</v>
      </c>
      <c r="I61" t="s">
        <v>97</v>
      </c>
      <c r="J61" s="10">
        <v>499.95</v>
      </c>
      <c r="K61" s="10">
        <v>1499.85</v>
      </c>
      <c r="L61" s="10">
        <v>0</v>
      </c>
      <c r="N61" s="10">
        <v>0</v>
      </c>
      <c r="O61" t="s">
        <v>99</v>
      </c>
      <c r="P61" s="10">
        <v>999.9</v>
      </c>
      <c r="S61">
        <v>36</v>
      </c>
      <c r="U61">
        <v>33.5</v>
      </c>
      <c r="W61">
        <v>33.07</v>
      </c>
      <c r="X61">
        <v>1</v>
      </c>
      <c r="Y61">
        <v>23.5</v>
      </c>
      <c r="Z61">
        <v>33.5</v>
      </c>
      <c r="AA61">
        <v>33.5</v>
      </c>
      <c r="AB61">
        <v>15.262</v>
      </c>
      <c r="AC61">
        <v>49.49</v>
      </c>
      <c r="AE61">
        <v>12</v>
      </c>
      <c r="AF61" t="s">
        <v>233</v>
      </c>
      <c r="AG61">
        <v>100</v>
      </c>
      <c r="AK61" t="s">
        <v>98</v>
      </c>
      <c r="AL61">
        <v>12</v>
      </c>
      <c r="AM61" t="s">
        <v>98</v>
      </c>
      <c r="AN61" t="s">
        <v>98</v>
      </c>
      <c r="AO61" t="s">
        <v>99</v>
      </c>
      <c r="AP61" t="s">
        <v>259</v>
      </c>
      <c r="AQ61" t="s">
        <v>101</v>
      </c>
      <c r="AV61" t="s">
        <v>98</v>
      </c>
      <c r="AX61" t="s">
        <v>234</v>
      </c>
      <c r="AZ61" t="s">
        <v>102</v>
      </c>
      <c r="BB61" t="s">
        <v>235</v>
      </c>
      <c r="BC61" t="s">
        <v>5151</v>
      </c>
      <c r="BD61" t="s">
        <v>7528</v>
      </c>
      <c r="BF61" t="s">
        <v>260</v>
      </c>
      <c r="BG61" t="s">
        <v>98</v>
      </c>
      <c r="BH61" t="s">
        <v>98</v>
      </c>
      <c r="BI61" t="s">
        <v>98</v>
      </c>
      <c r="BK61" t="s">
        <v>110</v>
      </c>
      <c r="BL61" t="s">
        <v>7528</v>
      </c>
      <c r="BR61">
        <v>0.75</v>
      </c>
      <c r="BT61">
        <v>5</v>
      </c>
      <c r="CA61">
        <v>1198</v>
      </c>
      <c r="CB61" t="s">
        <v>234</v>
      </c>
      <c r="CL61" t="s">
        <v>98</v>
      </c>
      <c r="CM61" t="s">
        <v>99</v>
      </c>
      <c r="CN61" t="s">
        <v>237</v>
      </c>
      <c r="CO61" s="1">
        <v>38930</v>
      </c>
      <c r="CP61" s="1">
        <v>43633</v>
      </c>
    </row>
    <row r="62" spans="1:94" x14ac:dyDescent="0.25">
      <c r="A62" t="s">
        <v>261</v>
      </c>
      <c r="B62" t="str">
        <f xml:space="preserve"> "" &amp; 840253045072</f>
        <v>840253045072</v>
      </c>
      <c r="C62" t="s">
        <v>262</v>
      </c>
      <c r="D62" t="s">
        <v>95</v>
      </c>
      <c r="E62" t="s">
        <v>7528</v>
      </c>
      <c r="F62" t="s">
        <v>96</v>
      </c>
      <c r="G62">
        <v>1</v>
      </c>
      <c r="H62">
        <v>1</v>
      </c>
      <c r="I62" t="s">
        <v>97</v>
      </c>
      <c r="J62" s="10">
        <v>49.95</v>
      </c>
      <c r="K62" s="10">
        <v>149.85</v>
      </c>
      <c r="L62" s="10">
        <v>0</v>
      </c>
      <c r="N62" s="10">
        <v>0</v>
      </c>
      <c r="U62">
        <v>17</v>
      </c>
      <c r="W62">
        <v>10.36</v>
      </c>
      <c r="Y62">
        <v>29</v>
      </c>
      <c r="Z62">
        <v>19</v>
      </c>
      <c r="AA62">
        <v>19</v>
      </c>
      <c r="AB62">
        <v>6.0579999999999998</v>
      </c>
      <c r="AC62">
        <v>16.53</v>
      </c>
      <c r="AE62">
        <v>1</v>
      </c>
      <c r="AF62" t="s">
        <v>163</v>
      </c>
      <c r="AG62">
        <v>0</v>
      </c>
      <c r="AH62">
        <v>0</v>
      </c>
      <c r="AJ62">
        <v>0</v>
      </c>
      <c r="AK62" t="s">
        <v>98</v>
      </c>
      <c r="AM62" t="s">
        <v>98</v>
      </c>
      <c r="AN62" t="s">
        <v>98</v>
      </c>
      <c r="AO62" t="s">
        <v>99</v>
      </c>
      <c r="AP62" t="s">
        <v>100</v>
      </c>
      <c r="AQ62" t="s">
        <v>101</v>
      </c>
      <c r="AV62" t="s">
        <v>98</v>
      </c>
      <c r="AX62" t="s">
        <v>164</v>
      </c>
      <c r="AZ62" t="s">
        <v>7528</v>
      </c>
      <c r="BB62" t="s">
        <v>7528</v>
      </c>
      <c r="BC62" t="s">
        <v>7528</v>
      </c>
      <c r="BD62" t="s">
        <v>7528</v>
      </c>
      <c r="BF62" t="s">
        <v>263</v>
      </c>
      <c r="BG62" t="s">
        <v>98</v>
      </c>
      <c r="BH62" t="s">
        <v>98</v>
      </c>
      <c r="BI62" t="s">
        <v>98</v>
      </c>
      <c r="BK62" t="s">
        <v>110</v>
      </c>
      <c r="BL62" t="s">
        <v>7528</v>
      </c>
      <c r="CA62" t="s">
        <v>261</v>
      </c>
      <c r="CB62" t="s">
        <v>164</v>
      </c>
      <c r="CL62" t="s">
        <v>98</v>
      </c>
      <c r="CM62" t="s">
        <v>98</v>
      </c>
      <c r="CN62" t="s">
        <v>166</v>
      </c>
      <c r="CO62" s="1">
        <v>39113</v>
      </c>
      <c r="CP62" s="1">
        <v>43633</v>
      </c>
    </row>
    <row r="63" spans="1:94" x14ac:dyDescent="0.25">
      <c r="A63" t="s">
        <v>265</v>
      </c>
      <c r="B63" t="str">
        <f xml:space="preserve"> "" &amp; 840253047083</f>
        <v>840253047083</v>
      </c>
      <c r="C63" t="s">
        <v>7519</v>
      </c>
      <c r="D63" t="s">
        <v>95</v>
      </c>
      <c r="E63" t="s">
        <v>7528</v>
      </c>
      <c r="F63" t="s">
        <v>96</v>
      </c>
      <c r="G63">
        <v>1</v>
      </c>
      <c r="H63">
        <v>1</v>
      </c>
      <c r="I63" t="s">
        <v>97</v>
      </c>
      <c r="J63" s="10">
        <v>49.95</v>
      </c>
      <c r="K63" s="10">
        <v>149.85</v>
      </c>
      <c r="L63" s="10">
        <v>0</v>
      </c>
      <c r="N63" s="10">
        <v>0</v>
      </c>
      <c r="U63">
        <v>17</v>
      </c>
      <c r="W63">
        <v>8</v>
      </c>
      <c r="Y63">
        <v>11</v>
      </c>
      <c r="Z63">
        <v>23.38</v>
      </c>
      <c r="AA63">
        <v>22.25</v>
      </c>
      <c r="AB63">
        <v>3.3109999999999999</v>
      </c>
      <c r="AC63">
        <v>12.15</v>
      </c>
      <c r="AE63">
        <v>1</v>
      </c>
      <c r="AF63" t="s">
        <v>225</v>
      </c>
      <c r="AG63">
        <v>100</v>
      </c>
      <c r="AH63">
        <v>0</v>
      </c>
      <c r="AJ63">
        <v>0</v>
      </c>
      <c r="AK63" t="s">
        <v>98</v>
      </c>
      <c r="AM63" t="s">
        <v>98</v>
      </c>
      <c r="AN63" t="s">
        <v>98</v>
      </c>
      <c r="AO63" t="s">
        <v>99</v>
      </c>
      <c r="AP63" t="s">
        <v>100</v>
      </c>
      <c r="AQ63" t="s">
        <v>101</v>
      </c>
      <c r="AV63" t="s">
        <v>98</v>
      </c>
      <c r="AX63" t="s">
        <v>226</v>
      </c>
      <c r="AZ63" t="s">
        <v>7528</v>
      </c>
      <c r="BB63" t="s">
        <v>7528</v>
      </c>
      <c r="BC63" t="s">
        <v>7528</v>
      </c>
      <c r="BD63" t="s">
        <v>7528</v>
      </c>
      <c r="BF63" t="s">
        <v>266</v>
      </c>
      <c r="BG63" t="s">
        <v>98</v>
      </c>
      <c r="BH63" t="s">
        <v>98</v>
      </c>
      <c r="BI63" t="s">
        <v>98</v>
      </c>
      <c r="BK63" t="s">
        <v>110</v>
      </c>
      <c r="BL63" t="s">
        <v>7528</v>
      </c>
      <c r="CA63" t="s">
        <v>265</v>
      </c>
      <c r="CB63" t="s">
        <v>226</v>
      </c>
      <c r="CL63" t="s">
        <v>98</v>
      </c>
      <c r="CM63" t="s">
        <v>98</v>
      </c>
      <c r="CN63" t="s">
        <v>200</v>
      </c>
      <c r="CO63" s="1">
        <v>39540</v>
      </c>
      <c r="CP63" s="1">
        <v>43633</v>
      </c>
    </row>
    <row r="64" spans="1:94" x14ac:dyDescent="0.25">
      <c r="A64" t="s">
        <v>267</v>
      </c>
      <c r="B64" t="str">
        <f xml:space="preserve"> "" &amp; 840253054302</f>
        <v>840253054302</v>
      </c>
      <c r="C64" t="s">
        <v>95</v>
      </c>
      <c r="D64" t="s">
        <v>95</v>
      </c>
      <c r="E64" t="s">
        <v>7528</v>
      </c>
      <c r="F64" t="s">
        <v>96</v>
      </c>
      <c r="G64">
        <v>1</v>
      </c>
      <c r="H64">
        <v>1</v>
      </c>
      <c r="I64" t="s">
        <v>97</v>
      </c>
      <c r="J64" s="10">
        <v>50</v>
      </c>
      <c r="K64" s="10">
        <v>150</v>
      </c>
      <c r="L64" s="10">
        <v>0</v>
      </c>
      <c r="N64" s="10">
        <v>0</v>
      </c>
      <c r="S64">
        <v>27.5</v>
      </c>
      <c r="U64">
        <v>16</v>
      </c>
      <c r="W64">
        <v>7.03</v>
      </c>
      <c r="Y64">
        <v>10.5</v>
      </c>
      <c r="Z64">
        <v>24</v>
      </c>
      <c r="AA64">
        <v>23.5</v>
      </c>
      <c r="AB64">
        <v>3.427</v>
      </c>
      <c r="AC64">
        <v>12.52</v>
      </c>
      <c r="AE64">
        <v>1</v>
      </c>
      <c r="AF64" t="s">
        <v>598</v>
      </c>
      <c r="AG64">
        <v>100</v>
      </c>
      <c r="AK64" t="s">
        <v>98</v>
      </c>
      <c r="AM64" t="s">
        <v>98</v>
      </c>
      <c r="AN64" t="s">
        <v>98</v>
      </c>
      <c r="AO64" t="s">
        <v>98</v>
      </c>
      <c r="AP64" t="s">
        <v>100</v>
      </c>
      <c r="AQ64" t="s">
        <v>101</v>
      </c>
      <c r="AV64" t="s">
        <v>98</v>
      </c>
      <c r="AX64" t="s">
        <v>284</v>
      </c>
      <c r="AZ64" t="s">
        <v>124</v>
      </c>
      <c r="BB64" t="s">
        <v>197</v>
      </c>
      <c r="BC64" t="s">
        <v>7590</v>
      </c>
      <c r="BD64" t="s">
        <v>7528</v>
      </c>
      <c r="BF64" t="s">
        <v>268</v>
      </c>
      <c r="BG64" t="s">
        <v>98</v>
      </c>
      <c r="BH64" t="s">
        <v>98</v>
      </c>
      <c r="BI64" t="s">
        <v>98</v>
      </c>
      <c r="BK64" t="s">
        <v>110</v>
      </c>
      <c r="BL64" t="s">
        <v>7528</v>
      </c>
      <c r="CA64">
        <v>12412</v>
      </c>
      <c r="CB64" t="s">
        <v>7528</v>
      </c>
      <c r="CL64" t="s">
        <v>98</v>
      </c>
      <c r="CM64" t="s">
        <v>98</v>
      </c>
      <c r="CN64" t="s">
        <v>1419</v>
      </c>
      <c r="CO64" s="1">
        <v>41603</v>
      </c>
      <c r="CP64" s="1">
        <v>43633</v>
      </c>
    </row>
    <row r="65" spans="1:94" x14ac:dyDescent="0.25">
      <c r="A65" t="s">
        <v>269</v>
      </c>
      <c r="B65" t="str">
        <f xml:space="preserve"> "" &amp; 840253054319</f>
        <v>840253054319</v>
      </c>
      <c r="C65" t="s">
        <v>95</v>
      </c>
      <c r="D65" t="s">
        <v>95</v>
      </c>
      <c r="E65" t="s">
        <v>7528</v>
      </c>
      <c r="F65" t="s">
        <v>96</v>
      </c>
      <c r="G65">
        <v>1</v>
      </c>
      <c r="H65">
        <v>1</v>
      </c>
      <c r="I65" t="s">
        <v>97</v>
      </c>
      <c r="J65" s="10">
        <v>50</v>
      </c>
      <c r="K65" s="10">
        <v>150</v>
      </c>
      <c r="L65" s="10">
        <v>0</v>
      </c>
      <c r="N65" s="10">
        <v>0</v>
      </c>
      <c r="S65">
        <v>29.5</v>
      </c>
      <c r="T65">
        <v>15</v>
      </c>
      <c r="U65">
        <v>15</v>
      </c>
      <c r="W65">
        <v>6.83</v>
      </c>
      <c r="Y65">
        <v>12</v>
      </c>
      <c r="Z65">
        <v>25</v>
      </c>
      <c r="AA65">
        <v>22.5</v>
      </c>
      <c r="AB65">
        <v>3.9060000000000001</v>
      </c>
      <c r="AC65">
        <v>11.68</v>
      </c>
      <c r="AE65">
        <v>1</v>
      </c>
      <c r="AF65" t="s">
        <v>598</v>
      </c>
      <c r="AG65">
        <v>100</v>
      </c>
      <c r="AK65" t="s">
        <v>98</v>
      </c>
      <c r="AM65" t="s">
        <v>98</v>
      </c>
      <c r="AN65" t="s">
        <v>98</v>
      </c>
      <c r="AO65" t="s">
        <v>99</v>
      </c>
      <c r="AP65" t="s">
        <v>100</v>
      </c>
      <c r="AQ65" t="s">
        <v>101</v>
      </c>
      <c r="AV65" t="s">
        <v>98</v>
      </c>
      <c r="AX65" t="s">
        <v>7528</v>
      </c>
      <c r="AZ65" t="s">
        <v>124</v>
      </c>
      <c r="BB65" t="s">
        <v>197</v>
      </c>
      <c r="BC65" t="s">
        <v>7591</v>
      </c>
      <c r="BD65" t="s">
        <v>7528</v>
      </c>
      <c r="BF65" t="s">
        <v>270</v>
      </c>
      <c r="BG65" t="s">
        <v>98</v>
      </c>
      <c r="BH65" t="s">
        <v>98</v>
      </c>
      <c r="BI65" t="s">
        <v>98</v>
      </c>
      <c r="BK65" t="s">
        <v>110</v>
      </c>
      <c r="BL65" t="s">
        <v>7528</v>
      </c>
      <c r="CA65">
        <v>12413</v>
      </c>
      <c r="CB65" t="s">
        <v>7528</v>
      </c>
      <c r="CL65" t="s">
        <v>98</v>
      </c>
      <c r="CM65" t="s">
        <v>98</v>
      </c>
      <c r="CN65" t="s">
        <v>692</v>
      </c>
      <c r="CO65" s="1">
        <v>41702</v>
      </c>
      <c r="CP65" s="1">
        <v>43633</v>
      </c>
    </row>
    <row r="66" spans="1:94" x14ac:dyDescent="0.25">
      <c r="A66" t="s">
        <v>271</v>
      </c>
      <c r="B66" t="str">
        <f xml:space="preserve"> "" &amp; 840253054333</f>
        <v>840253054333</v>
      </c>
      <c r="C66" t="s">
        <v>95</v>
      </c>
      <c r="D66" t="s">
        <v>95</v>
      </c>
      <c r="E66" t="s">
        <v>7529</v>
      </c>
      <c r="F66" t="s">
        <v>96</v>
      </c>
      <c r="G66">
        <v>1</v>
      </c>
      <c r="H66">
        <v>1</v>
      </c>
      <c r="I66" t="s">
        <v>97</v>
      </c>
      <c r="J66" s="10">
        <v>50</v>
      </c>
      <c r="K66" s="10">
        <v>150</v>
      </c>
      <c r="L66" s="10">
        <v>0</v>
      </c>
      <c r="N66" s="10">
        <v>0</v>
      </c>
      <c r="S66">
        <v>27.75</v>
      </c>
      <c r="U66">
        <v>18</v>
      </c>
      <c r="W66">
        <v>9.61</v>
      </c>
      <c r="Y66">
        <v>12</v>
      </c>
      <c r="Z66">
        <v>24.5</v>
      </c>
      <c r="AA66">
        <v>23</v>
      </c>
      <c r="AB66">
        <v>3.9129999999999998</v>
      </c>
      <c r="AC66">
        <v>14.88</v>
      </c>
      <c r="AE66">
        <v>1</v>
      </c>
      <c r="AF66" t="s">
        <v>598</v>
      </c>
      <c r="AG66">
        <v>100</v>
      </c>
      <c r="AK66" t="s">
        <v>98</v>
      </c>
      <c r="AM66" t="s">
        <v>98</v>
      </c>
      <c r="AN66" t="s">
        <v>98</v>
      </c>
      <c r="AO66" t="s">
        <v>99</v>
      </c>
      <c r="AP66" t="s">
        <v>100</v>
      </c>
      <c r="AQ66" t="s">
        <v>101</v>
      </c>
      <c r="AV66" t="s">
        <v>98</v>
      </c>
      <c r="AX66" t="s">
        <v>640</v>
      </c>
      <c r="AZ66" t="s">
        <v>7528</v>
      </c>
      <c r="BB66" t="s">
        <v>197</v>
      </c>
      <c r="BC66" t="s">
        <v>7592</v>
      </c>
      <c r="BD66" t="s">
        <v>7528</v>
      </c>
      <c r="BF66" t="s">
        <v>272</v>
      </c>
      <c r="BG66" t="s">
        <v>98</v>
      </c>
      <c r="BH66" t="s">
        <v>98</v>
      </c>
      <c r="BI66" t="s">
        <v>98</v>
      </c>
      <c r="BK66" t="s">
        <v>110</v>
      </c>
      <c r="BL66" t="s">
        <v>7528</v>
      </c>
      <c r="CA66">
        <v>12415</v>
      </c>
      <c r="CB66" t="s">
        <v>7528</v>
      </c>
      <c r="CL66" t="s">
        <v>98</v>
      </c>
      <c r="CM66" t="s">
        <v>98</v>
      </c>
      <c r="CN66" t="s">
        <v>1419</v>
      </c>
      <c r="CO66" s="1">
        <v>41601</v>
      </c>
      <c r="CP66" s="1">
        <v>43633</v>
      </c>
    </row>
    <row r="67" spans="1:94" x14ac:dyDescent="0.25">
      <c r="A67" t="s">
        <v>273</v>
      </c>
      <c r="B67" t="str">
        <f xml:space="preserve"> "" &amp; 840253054340</f>
        <v>840253054340</v>
      </c>
      <c r="C67" t="s">
        <v>95</v>
      </c>
      <c r="D67" t="s">
        <v>95</v>
      </c>
      <c r="E67" t="s">
        <v>7528</v>
      </c>
      <c r="F67" t="s">
        <v>96</v>
      </c>
      <c r="G67">
        <v>1</v>
      </c>
      <c r="H67">
        <v>1</v>
      </c>
      <c r="I67" t="s">
        <v>97</v>
      </c>
      <c r="J67" s="10">
        <v>50</v>
      </c>
      <c r="K67" s="10">
        <v>150</v>
      </c>
      <c r="L67" s="10">
        <v>0</v>
      </c>
      <c r="N67" s="10">
        <v>0</v>
      </c>
      <c r="S67">
        <v>26.25</v>
      </c>
      <c r="U67">
        <v>16</v>
      </c>
      <c r="W67">
        <v>6.22</v>
      </c>
      <c r="Y67">
        <v>22</v>
      </c>
      <c r="Z67">
        <v>18</v>
      </c>
      <c r="AA67">
        <v>18</v>
      </c>
      <c r="AB67">
        <v>4.125</v>
      </c>
      <c r="AC67">
        <v>11.05</v>
      </c>
      <c r="AE67">
        <v>1</v>
      </c>
      <c r="AF67" t="s">
        <v>2629</v>
      </c>
      <c r="AG67">
        <v>100</v>
      </c>
      <c r="AK67" t="s">
        <v>98</v>
      </c>
      <c r="AM67" t="s">
        <v>98</v>
      </c>
      <c r="AN67" t="s">
        <v>98</v>
      </c>
      <c r="AO67" t="s">
        <v>99</v>
      </c>
      <c r="AP67" t="s">
        <v>100</v>
      </c>
      <c r="AQ67" t="s">
        <v>101</v>
      </c>
      <c r="AV67" t="s">
        <v>98</v>
      </c>
      <c r="AX67" t="s">
        <v>7570</v>
      </c>
      <c r="AZ67" t="s">
        <v>124</v>
      </c>
      <c r="BB67" t="s">
        <v>197</v>
      </c>
      <c r="BC67" t="s">
        <v>7591</v>
      </c>
      <c r="BD67" t="s">
        <v>7528</v>
      </c>
      <c r="BF67" t="s">
        <v>274</v>
      </c>
      <c r="BG67" t="s">
        <v>98</v>
      </c>
      <c r="BH67" t="s">
        <v>98</v>
      </c>
      <c r="BI67" t="s">
        <v>98</v>
      </c>
      <c r="BK67" t="s">
        <v>110</v>
      </c>
      <c r="BL67" t="s">
        <v>7528</v>
      </c>
      <c r="CA67">
        <v>12416</v>
      </c>
      <c r="CB67" t="s">
        <v>7528</v>
      </c>
      <c r="CL67" t="s">
        <v>98</v>
      </c>
      <c r="CM67" t="s">
        <v>98</v>
      </c>
      <c r="CN67" t="s">
        <v>7641</v>
      </c>
      <c r="CO67" s="1">
        <v>41603</v>
      </c>
      <c r="CP67" s="1">
        <v>43633</v>
      </c>
    </row>
    <row r="68" spans="1:94" x14ac:dyDescent="0.25">
      <c r="A68" t="s">
        <v>275</v>
      </c>
      <c r="B68" t="str">
        <f xml:space="preserve"> "" &amp; 747396091495</f>
        <v>747396091495</v>
      </c>
      <c r="C68" t="s">
        <v>95</v>
      </c>
      <c r="D68" t="s">
        <v>112</v>
      </c>
      <c r="E68" t="s">
        <v>7528</v>
      </c>
      <c r="F68" t="s">
        <v>96</v>
      </c>
      <c r="G68">
        <v>1</v>
      </c>
      <c r="H68">
        <v>1</v>
      </c>
      <c r="I68" t="s">
        <v>97</v>
      </c>
      <c r="J68" s="10">
        <v>50</v>
      </c>
      <c r="K68" s="10">
        <v>150</v>
      </c>
      <c r="L68" s="10">
        <v>0</v>
      </c>
      <c r="N68" s="10">
        <v>0</v>
      </c>
      <c r="S68">
        <v>30.75</v>
      </c>
      <c r="U68">
        <v>18</v>
      </c>
      <c r="V68">
        <v>10</v>
      </c>
      <c r="W68">
        <v>7.26</v>
      </c>
      <c r="Y68">
        <v>20</v>
      </c>
      <c r="Z68">
        <v>26.75</v>
      </c>
      <c r="AA68">
        <v>11.63</v>
      </c>
      <c r="AB68">
        <v>3.601</v>
      </c>
      <c r="AC68">
        <v>11.84</v>
      </c>
      <c r="AE68">
        <v>1</v>
      </c>
      <c r="AF68" t="s">
        <v>7541</v>
      </c>
      <c r="AG68">
        <v>100</v>
      </c>
      <c r="AK68" t="s">
        <v>98</v>
      </c>
      <c r="AM68" t="s">
        <v>98</v>
      </c>
      <c r="AN68" t="s">
        <v>98</v>
      </c>
      <c r="AO68" t="s">
        <v>99</v>
      </c>
      <c r="AP68" t="s">
        <v>100</v>
      </c>
      <c r="AQ68" t="s">
        <v>101</v>
      </c>
      <c r="AV68" t="s">
        <v>98</v>
      </c>
      <c r="AX68" t="s">
        <v>276</v>
      </c>
      <c r="AZ68" t="s">
        <v>102</v>
      </c>
      <c r="BB68" t="s">
        <v>197</v>
      </c>
      <c r="BC68" t="s">
        <v>303</v>
      </c>
      <c r="BD68" t="s">
        <v>7528</v>
      </c>
      <c r="BF68" t="s">
        <v>277</v>
      </c>
      <c r="BG68" t="s">
        <v>98</v>
      </c>
      <c r="BH68" t="s">
        <v>98</v>
      </c>
      <c r="BI68" t="s">
        <v>98</v>
      </c>
      <c r="BK68" t="s">
        <v>110</v>
      </c>
      <c r="BL68" t="s">
        <v>7528</v>
      </c>
      <c r="BR68">
        <v>1</v>
      </c>
      <c r="BS68">
        <v>7.88</v>
      </c>
      <c r="BT68">
        <v>4.88</v>
      </c>
      <c r="CA68">
        <v>12419</v>
      </c>
      <c r="CB68" t="s">
        <v>276</v>
      </c>
      <c r="CL68" t="s">
        <v>98</v>
      </c>
      <c r="CM68" t="s">
        <v>98</v>
      </c>
      <c r="CN68" t="s">
        <v>7642</v>
      </c>
      <c r="CO68" s="1">
        <v>41601</v>
      </c>
      <c r="CP68" s="1">
        <v>42242</v>
      </c>
    </row>
    <row r="69" spans="1:94" x14ac:dyDescent="0.25">
      <c r="A69" t="s">
        <v>278</v>
      </c>
      <c r="B69" t="str">
        <f xml:space="preserve"> "" &amp; 747396091518</f>
        <v>747396091518</v>
      </c>
      <c r="C69" t="s">
        <v>95</v>
      </c>
      <c r="D69" t="s">
        <v>112</v>
      </c>
      <c r="E69" t="s">
        <v>7528</v>
      </c>
      <c r="F69" t="s">
        <v>96</v>
      </c>
      <c r="G69">
        <v>1</v>
      </c>
      <c r="H69">
        <v>1</v>
      </c>
      <c r="I69" t="s">
        <v>97</v>
      </c>
      <c r="J69" s="10">
        <v>50</v>
      </c>
      <c r="K69" s="10">
        <v>150</v>
      </c>
      <c r="L69" s="10">
        <v>0</v>
      </c>
      <c r="N69" s="10">
        <v>0</v>
      </c>
      <c r="S69">
        <v>27.5</v>
      </c>
      <c r="T69">
        <v>16</v>
      </c>
      <c r="U69">
        <v>10</v>
      </c>
      <c r="W69">
        <v>6.04</v>
      </c>
      <c r="Y69">
        <v>18</v>
      </c>
      <c r="Z69">
        <v>23.75</v>
      </c>
      <c r="AA69">
        <v>11.63</v>
      </c>
      <c r="AB69">
        <v>2.8769999999999998</v>
      </c>
      <c r="AC69">
        <v>9.44</v>
      </c>
      <c r="AE69">
        <v>1</v>
      </c>
      <c r="AF69" t="s">
        <v>598</v>
      </c>
      <c r="AG69">
        <v>100</v>
      </c>
      <c r="AK69" t="s">
        <v>98</v>
      </c>
      <c r="AM69" t="s">
        <v>98</v>
      </c>
      <c r="AN69" t="s">
        <v>98</v>
      </c>
      <c r="AO69" t="s">
        <v>99</v>
      </c>
      <c r="AP69" t="s">
        <v>100</v>
      </c>
      <c r="AQ69" t="s">
        <v>101</v>
      </c>
      <c r="AV69" t="s">
        <v>98</v>
      </c>
      <c r="AX69" t="s">
        <v>279</v>
      </c>
      <c r="AZ69" t="s">
        <v>124</v>
      </c>
      <c r="BB69" t="s">
        <v>197</v>
      </c>
      <c r="BC69" t="s">
        <v>7593</v>
      </c>
      <c r="BD69" t="s">
        <v>7528</v>
      </c>
      <c r="BF69" t="s">
        <v>280</v>
      </c>
      <c r="BG69" t="s">
        <v>98</v>
      </c>
      <c r="BH69" t="s">
        <v>98</v>
      </c>
      <c r="BI69" t="s">
        <v>98</v>
      </c>
      <c r="BK69" t="s">
        <v>110</v>
      </c>
      <c r="BL69" t="s">
        <v>7528</v>
      </c>
      <c r="CA69">
        <v>12421</v>
      </c>
      <c r="CB69" t="s">
        <v>279</v>
      </c>
      <c r="CL69" t="s">
        <v>98</v>
      </c>
      <c r="CM69" t="s">
        <v>98</v>
      </c>
      <c r="CN69" t="s">
        <v>7635</v>
      </c>
      <c r="CO69" s="1">
        <v>41702</v>
      </c>
      <c r="CP69" s="1">
        <v>42242</v>
      </c>
    </row>
    <row r="70" spans="1:94" x14ac:dyDescent="0.25">
      <c r="A70" t="s">
        <v>281</v>
      </c>
      <c r="B70" t="str">
        <f xml:space="preserve"> "" &amp; 747396802015</f>
        <v>747396802015</v>
      </c>
      <c r="C70" t="s">
        <v>95</v>
      </c>
      <c r="D70" t="s">
        <v>95</v>
      </c>
      <c r="E70" t="s">
        <v>7528</v>
      </c>
      <c r="F70" t="s">
        <v>96</v>
      </c>
      <c r="G70">
        <v>1</v>
      </c>
      <c r="H70">
        <v>1</v>
      </c>
      <c r="I70" t="s">
        <v>97</v>
      </c>
      <c r="J70" s="10">
        <v>35</v>
      </c>
      <c r="K70" s="10">
        <v>105</v>
      </c>
      <c r="L70" s="10">
        <v>0</v>
      </c>
      <c r="N70" s="10">
        <v>0</v>
      </c>
      <c r="S70">
        <v>30.25</v>
      </c>
      <c r="T70">
        <v>16</v>
      </c>
      <c r="U70">
        <v>16</v>
      </c>
      <c r="W70">
        <v>9.0399999999999991</v>
      </c>
      <c r="Y70">
        <v>12.75</v>
      </c>
      <c r="Z70">
        <v>23.75</v>
      </c>
      <c r="AA70">
        <v>23.25</v>
      </c>
      <c r="AB70">
        <v>4.0739999999999998</v>
      </c>
      <c r="AC70">
        <v>13.45</v>
      </c>
      <c r="AE70">
        <v>1</v>
      </c>
      <c r="AF70" t="s">
        <v>282</v>
      </c>
      <c r="AG70">
        <v>100</v>
      </c>
      <c r="AH70">
        <v>1</v>
      </c>
      <c r="AI70" t="s">
        <v>283</v>
      </c>
      <c r="AJ70">
        <v>13</v>
      </c>
      <c r="AK70" t="s">
        <v>98</v>
      </c>
      <c r="AM70" t="s">
        <v>98</v>
      </c>
      <c r="AN70" t="s">
        <v>98</v>
      </c>
      <c r="AO70" t="s">
        <v>99</v>
      </c>
      <c r="AP70" t="s">
        <v>100</v>
      </c>
      <c r="AQ70" t="s">
        <v>101</v>
      </c>
      <c r="AV70" t="s">
        <v>98</v>
      </c>
      <c r="AX70" t="s">
        <v>284</v>
      </c>
      <c r="AZ70" t="s">
        <v>124</v>
      </c>
      <c r="BB70" t="s">
        <v>197</v>
      </c>
      <c r="BC70" t="s">
        <v>285</v>
      </c>
      <c r="BD70" t="s">
        <v>7528</v>
      </c>
      <c r="BF70" t="s">
        <v>286</v>
      </c>
      <c r="BG70" t="s">
        <v>98</v>
      </c>
      <c r="BH70" t="s">
        <v>98</v>
      </c>
      <c r="BI70" t="s">
        <v>98</v>
      </c>
      <c r="BK70" t="s">
        <v>110</v>
      </c>
      <c r="BL70" t="s">
        <v>7528</v>
      </c>
      <c r="CA70">
        <v>12423</v>
      </c>
      <c r="CB70" t="s">
        <v>7528</v>
      </c>
      <c r="CL70" t="s">
        <v>98</v>
      </c>
      <c r="CM70" t="s">
        <v>98</v>
      </c>
      <c r="CN70" t="s">
        <v>287</v>
      </c>
      <c r="CO70" s="1">
        <v>41943</v>
      </c>
      <c r="CP70" s="1">
        <v>43633</v>
      </c>
    </row>
    <row r="71" spans="1:94" x14ac:dyDescent="0.25">
      <c r="A71" t="s">
        <v>288</v>
      </c>
      <c r="B71" t="str">
        <f xml:space="preserve"> "" &amp; 747396802053</f>
        <v>747396802053</v>
      </c>
      <c r="C71" t="s">
        <v>95</v>
      </c>
      <c r="D71" t="s">
        <v>95</v>
      </c>
      <c r="E71" t="s">
        <v>7528</v>
      </c>
      <c r="F71" t="s">
        <v>96</v>
      </c>
      <c r="G71">
        <v>1</v>
      </c>
      <c r="H71">
        <v>1</v>
      </c>
      <c r="I71" t="s">
        <v>97</v>
      </c>
      <c r="J71" s="10">
        <v>50</v>
      </c>
      <c r="K71" s="10">
        <v>150</v>
      </c>
      <c r="L71" s="10">
        <v>0</v>
      </c>
      <c r="N71" s="10">
        <v>0</v>
      </c>
      <c r="S71">
        <v>30.75</v>
      </c>
      <c r="T71">
        <v>17</v>
      </c>
      <c r="U71">
        <v>17</v>
      </c>
      <c r="W71">
        <v>7.94</v>
      </c>
      <c r="Y71">
        <v>12.25</v>
      </c>
      <c r="Z71">
        <v>25.5</v>
      </c>
      <c r="AA71">
        <v>25</v>
      </c>
      <c r="AB71">
        <v>4.5190000000000001</v>
      </c>
      <c r="AC71">
        <v>12.79</v>
      </c>
      <c r="AE71">
        <v>1</v>
      </c>
      <c r="AF71" t="s">
        <v>282</v>
      </c>
      <c r="AG71">
        <v>100</v>
      </c>
      <c r="AH71">
        <v>1</v>
      </c>
      <c r="AI71" t="s">
        <v>283</v>
      </c>
      <c r="AJ71">
        <v>13</v>
      </c>
      <c r="AK71" t="s">
        <v>98</v>
      </c>
      <c r="AM71" t="s">
        <v>98</v>
      </c>
      <c r="AN71" t="s">
        <v>98</v>
      </c>
      <c r="AO71" t="s">
        <v>99</v>
      </c>
      <c r="AP71" t="s">
        <v>100</v>
      </c>
      <c r="AQ71" t="s">
        <v>101</v>
      </c>
      <c r="AV71" t="s">
        <v>98</v>
      </c>
      <c r="AX71" t="s">
        <v>289</v>
      </c>
      <c r="AZ71" t="s">
        <v>124</v>
      </c>
      <c r="BB71" t="s">
        <v>197</v>
      </c>
      <c r="BC71" t="s">
        <v>290</v>
      </c>
      <c r="BD71" t="s">
        <v>7528</v>
      </c>
      <c r="BF71" t="s">
        <v>291</v>
      </c>
      <c r="BG71" t="s">
        <v>98</v>
      </c>
      <c r="BH71" t="s">
        <v>98</v>
      </c>
      <c r="BI71" t="s">
        <v>98</v>
      </c>
      <c r="BK71" t="s">
        <v>110</v>
      </c>
      <c r="BL71" t="s">
        <v>7528</v>
      </c>
      <c r="CA71">
        <v>12426</v>
      </c>
      <c r="CB71" t="s">
        <v>7528</v>
      </c>
      <c r="CL71" t="s">
        <v>98</v>
      </c>
      <c r="CM71" t="s">
        <v>98</v>
      </c>
      <c r="CN71" t="s">
        <v>292</v>
      </c>
      <c r="CO71" s="1">
        <v>41946</v>
      </c>
      <c r="CP71" s="1">
        <v>43633</v>
      </c>
    </row>
    <row r="72" spans="1:94" x14ac:dyDescent="0.25">
      <c r="A72" t="s">
        <v>293</v>
      </c>
      <c r="B72" t="str">
        <f xml:space="preserve"> "" &amp; 747396802077</f>
        <v>747396802077</v>
      </c>
      <c r="C72" t="s">
        <v>95</v>
      </c>
      <c r="D72" t="s">
        <v>95</v>
      </c>
      <c r="E72" t="s">
        <v>7528</v>
      </c>
      <c r="F72" t="s">
        <v>96</v>
      </c>
      <c r="G72">
        <v>1</v>
      </c>
      <c r="H72">
        <v>1</v>
      </c>
      <c r="I72" t="s">
        <v>97</v>
      </c>
      <c r="J72" s="10">
        <v>50</v>
      </c>
      <c r="K72" s="10">
        <v>150</v>
      </c>
      <c r="L72" s="10">
        <v>0</v>
      </c>
      <c r="N72" s="10">
        <v>0</v>
      </c>
      <c r="S72">
        <v>32</v>
      </c>
      <c r="T72">
        <v>18</v>
      </c>
      <c r="U72">
        <v>18</v>
      </c>
      <c r="W72">
        <v>8.16</v>
      </c>
      <c r="Y72">
        <v>26.5</v>
      </c>
      <c r="Z72">
        <v>28.75</v>
      </c>
      <c r="AA72">
        <v>12.75</v>
      </c>
      <c r="AB72">
        <v>5.6210000000000004</v>
      </c>
      <c r="AC72">
        <v>13.45</v>
      </c>
      <c r="AE72">
        <v>1</v>
      </c>
      <c r="AF72" t="s">
        <v>282</v>
      </c>
      <c r="AG72">
        <v>100</v>
      </c>
      <c r="AH72">
        <v>1</v>
      </c>
      <c r="AI72" t="s">
        <v>283</v>
      </c>
      <c r="AJ72">
        <v>13</v>
      </c>
      <c r="AK72" t="s">
        <v>98</v>
      </c>
      <c r="AM72" t="s">
        <v>98</v>
      </c>
      <c r="AN72" t="s">
        <v>98</v>
      </c>
      <c r="AO72" t="s">
        <v>99</v>
      </c>
      <c r="AP72" t="s">
        <v>100</v>
      </c>
      <c r="AQ72" t="s">
        <v>101</v>
      </c>
      <c r="AV72" t="s">
        <v>98</v>
      </c>
      <c r="AX72" t="s">
        <v>294</v>
      </c>
      <c r="AZ72" t="s">
        <v>124</v>
      </c>
      <c r="BB72" t="s">
        <v>197</v>
      </c>
      <c r="BC72" t="s">
        <v>295</v>
      </c>
      <c r="BD72" t="s">
        <v>7528</v>
      </c>
      <c r="BF72" t="s">
        <v>296</v>
      </c>
      <c r="BG72" t="s">
        <v>98</v>
      </c>
      <c r="BH72" t="s">
        <v>98</v>
      </c>
      <c r="BI72" t="s">
        <v>98</v>
      </c>
      <c r="BK72" t="s">
        <v>110</v>
      </c>
      <c r="BL72" t="s">
        <v>7528</v>
      </c>
      <c r="CA72">
        <v>12430</v>
      </c>
      <c r="CB72" t="s">
        <v>7528</v>
      </c>
      <c r="CL72" t="s">
        <v>98</v>
      </c>
      <c r="CM72" t="s">
        <v>98</v>
      </c>
      <c r="CN72" t="s">
        <v>297</v>
      </c>
      <c r="CO72" s="1">
        <v>42307</v>
      </c>
      <c r="CP72" s="1">
        <v>43633</v>
      </c>
    </row>
    <row r="73" spans="1:94" x14ac:dyDescent="0.25">
      <c r="A73" t="s">
        <v>298</v>
      </c>
      <c r="B73" t="str">
        <f xml:space="preserve"> "" &amp; 747396802084</f>
        <v>747396802084</v>
      </c>
      <c r="C73" t="s">
        <v>95</v>
      </c>
      <c r="D73" t="s">
        <v>95</v>
      </c>
      <c r="E73" t="s">
        <v>7528</v>
      </c>
      <c r="F73" t="s">
        <v>96</v>
      </c>
      <c r="G73">
        <v>1</v>
      </c>
      <c r="H73">
        <v>1</v>
      </c>
      <c r="I73" t="s">
        <v>97</v>
      </c>
      <c r="J73" s="10">
        <v>50</v>
      </c>
      <c r="K73" s="10">
        <v>150</v>
      </c>
      <c r="L73" s="10">
        <v>0</v>
      </c>
      <c r="N73" s="10">
        <v>0</v>
      </c>
      <c r="S73">
        <v>34</v>
      </c>
      <c r="T73">
        <v>19</v>
      </c>
      <c r="U73">
        <v>19</v>
      </c>
      <c r="W73">
        <v>8.3800000000000008</v>
      </c>
      <c r="Y73">
        <v>27</v>
      </c>
      <c r="Z73">
        <v>28.25</v>
      </c>
      <c r="AA73">
        <v>13.75</v>
      </c>
      <c r="AB73">
        <v>6.069</v>
      </c>
      <c r="AC73">
        <v>14.11</v>
      </c>
      <c r="AE73">
        <v>1</v>
      </c>
      <c r="AF73" t="s">
        <v>282</v>
      </c>
      <c r="AG73">
        <v>100</v>
      </c>
      <c r="AH73">
        <v>1</v>
      </c>
      <c r="AI73" t="s">
        <v>283</v>
      </c>
      <c r="AJ73">
        <v>13</v>
      </c>
      <c r="AK73" t="s">
        <v>98</v>
      </c>
      <c r="AM73" t="s">
        <v>98</v>
      </c>
      <c r="AN73" t="s">
        <v>98</v>
      </c>
      <c r="AO73" t="s">
        <v>99</v>
      </c>
      <c r="AP73" t="s">
        <v>100</v>
      </c>
      <c r="AQ73" t="s">
        <v>101</v>
      </c>
      <c r="AV73" t="s">
        <v>98</v>
      </c>
      <c r="AX73" t="s">
        <v>299</v>
      </c>
      <c r="AZ73" t="s">
        <v>124</v>
      </c>
      <c r="BB73" t="s">
        <v>197</v>
      </c>
      <c r="BC73" t="s">
        <v>285</v>
      </c>
      <c r="BD73" t="s">
        <v>7528</v>
      </c>
      <c r="BF73" t="s">
        <v>300</v>
      </c>
      <c r="BG73" t="s">
        <v>98</v>
      </c>
      <c r="BH73" t="s">
        <v>98</v>
      </c>
      <c r="BI73" t="s">
        <v>98</v>
      </c>
      <c r="BK73" t="s">
        <v>110</v>
      </c>
      <c r="BL73" t="s">
        <v>7528</v>
      </c>
      <c r="CA73">
        <v>12431</v>
      </c>
      <c r="CB73" t="s">
        <v>7528</v>
      </c>
      <c r="CL73" t="s">
        <v>98</v>
      </c>
      <c r="CM73" t="s">
        <v>98</v>
      </c>
      <c r="CN73" t="s">
        <v>297</v>
      </c>
      <c r="CO73" s="1">
        <v>41942</v>
      </c>
      <c r="CP73" s="1">
        <v>43633</v>
      </c>
    </row>
    <row r="74" spans="1:94" x14ac:dyDescent="0.25">
      <c r="A74" t="s">
        <v>301</v>
      </c>
      <c r="B74" t="str">
        <f xml:space="preserve"> "" &amp; 747396802107</f>
        <v>747396802107</v>
      </c>
      <c r="C74" t="s">
        <v>95</v>
      </c>
      <c r="D74" t="s">
        <v>95</v>
      </c>
      <c r="E74" t="s">
        <v>7528</v>
      </c>
      <c r="F74" t="s">
        <v>96</v>
      </c>
      <c r="G74">
        <v>1</v>
      </c>
      <c r="H74">
        <v>1</v>
      </c>
      <c r="I74" t="s">
        <v>97</v>
      </c>
      <c r="J74" s="10">
        <v>50</v>
      </c>
      <c r="K74" s="10">
        <v>150</v>
      </c>
      <c r="L74" s="10">
        <v>0</v>
      </c>
      <c r="N74" s="10">
        <v>0</v>
      </c>
      <c r="S74">
        <v>24.75</v>
      </c>
      <c r="T74">
        <v>15</v>
      </c>
      <c r="U74">
        <v>15</v>
      </c>
      <c r="W74">
        <v>5.95</v>
      </c>
      <c r="Y74">
        <v>23</v>
      </c>
      <c r="Z74">
        <v>23</v>
      </c>
      <c r="AA74">
        <v>16.25</v>
      </c>
      <c r="AB74">
        <v>4.9749999999999996</v>
      </c>
      <c r="AC74">
        <v>10.58</v>
      </c>
      <c r="AE74">
        <v>1</v>
      </c>
      <c r="AF74" t="s">
        <v>282</v>
      </c>
      <c r="AG74">
        <v>100</v>
      </c>
      <c r="AH74">
        <v>1</v>
      </c>
      <c r="AI74" t="s">
        <v>283</v>
      </c>
      <c r="AJ74">
        <v>13</v>
      </c>
      <c r="AK74" t="s">
        <v>98</v>
      </c>
      <c r="AM74" t="s">
        <v>98</v>
      </c>
      <c r="AN74" t="s">
        <v>98</v>
      </c>
      <c r="AO74" t="s">
        <v>99</v>
      </c>
      <c r="AP74" t="s">
        <v>100</v>
      </c>
      <c r="AQ74" t="s">
        <v>101</v>
      </c>
      <c r="AV74" t="s">
        <v>98</v>
      </c>
      <c r="AX74" t="s">
        <v>302</v>
      </c>
      <c r="AZ74" t="s">
        <v>102</v>
      </c>
      <c r="BB74" t="s">
        <v>197</v>
      </c>
      <c r="BC74" t="s">
        <v>303</v>
      </c>
      <c r="BD74" t="s">
        <v>7528</v>
      </c>
      <c r="BF74" t="s">
        <v>304</v>
      </c>
      <c r="BG74" t="s">
        <v>98</v>
      </c>
      <c r="BH74" t="s">
        <v>98</v>
      </c>
      <c r="BI74" t="s">
        <v>98</v>
      </c>
      <c r="BK74" t="s">
        <v>110</v>
      </c>
      <c r="BL74" t="s">
        <v>7528</v>
      </c>
      <c r="CA74">
        <v>12433</v>
      </c>
      <c r="CB74" t="s">
        <v>7528</v>
      </c>
      <c r="CL74" t="s">
        <v>98</v>
      </c>
      <c r="CM74" t="s">
        <v>98</v>
      </c>
      <c r="CN74" t="s">
        <v>305</v>
      </c>
      <c r="CO74" s="1">
        <v>41942</v>
      </c>
      <c r="CP74" s="1">
        <v>43633</v>
      </c>
    </row>
    <row r="75" spans="1:94" x14ac:dyDescent="0.25">
      <c r="A75" t="s">
        <v>306</v>
      </c>
      <c r="B75" t="str">
        <f xml:space="preserve"> "" &amp; 747396018362</f>
        <v>747396018362</v>
      </c>
      <c r="C75" t="s">
        <v>230</v>
      </c>
      <c r="D75" t="s">
        <v>6507</v>
      </c>
      <c r="E75" t="s">
        <v>307</v>
      </c>
      <c r="F75" t="s">
        <v>232</v>
      </c>
      <c r="G75">
        <v>1</v>
      </c>
      <c r="H75">
        <v>1</v>
      </c>
      <c r="I75" t="s">
        <v>97</v>
      </c>
      <c r="J75" s="10">
        <v>37.950000000000003</v>
      </c>
      <c r="K75" s="10">
        <v>113.85</v>
      </c>
      <c r="L75" s="10">
        <v>0</v>
      </c>
      <c r="N75" s="10">
        <v>0</v>
      </c>
      <c r="O75" t="s">
        <v>99</v>
      </c>
      <c r="P75" s="10">
        <v>75.900000000000006</v>
      </c>
      <c r="S75">
        <v>5.5</v>
      </c>
      <c r="T75">
        <v>9</v>
      </c>
      <c r="U75">
        <v>6.5</v>
      </c>
      <c r="V75">
        <v>4</v>
      </c>
      <c r="W75">
        <v>1.94</v>
      </c>
      <c r="X75">
        <v>1</v>
      </c>
      <c r="Y75">
        <v>7</v>
      </c>
      <c r="Z75">
        <v>9</v>
      </c>
      <c r="AA75">
        <v>9</v>
      </c>
      <c r="AB75">
        <v>0.32800000000000001</v>
      </c>
      <c r="AC75">
        <v>3.09</v>
      </c>
      <c r="AE75">
        <v>1</v>
      </c>
      <c r="AF75" t="s">
        <v>308</v>
      </c>
      <c r="AG75">
        <v>60</v>
      </c>
      <c r="AK75" t="s">
        <v>98</v>
      </c>
      <c r="AM75" t="s">
        <v>98</v>
      </c>
      <c r="AN75" t="s">
        <v>98</v>
      </c>
      <c r="AO75" t="s">
        <v>99</v>
      </c>
      <c r="AP75" t="s">
        <v>100</v>
      </c>
      <c r="AQ75" t="s">
        <v>101</v>
      </c>
      <c r="AV75" t="s">
        <v>98</v>
      </c>
      <c r="AX75" t="s">
        <v>234</v>
      </c>
      <c r="AZ75" t="s">
        <v>102</v>
      </c>
      <c r="BB75" t="s">
        <v>235</v>
      </c>
      <c r="BC75" t="s">
        <v>245</v>
      </c>
      <c r="BD75" t="s">
        <v>7528</v>
      </c>
      <c r="BF75" t="s">
        <v>309</v>
      </c>
      <c r="BG75" t="s">
        <v>98</v>
      </c>
      <c r="BH75" t="s">
        <v>99</v>
      </c>
      <c r="BI75" t="s">
        <v>98</v>
      </c>
      <c r="BK75" t="s">
        <v>127</v>
      </c>
      <c r="BL75" t="s">
        <v>236</v>
      </c>
      <c r="BR75">
        <v>4.13</v>
      </c>
      <c r="BT75">
        <v>5.63</v>
      </c>
      <c r="CA75">
        <v>1270</v>
      </c>
      <c r="CB75" t="s">
        <v>234</v>
      </c>
      <c r="CL75" t="s">
        <v>99</v>
      </c>
      <c r="CM75" t="s">
        <v>98</v>
      </c>
      <c r="CN75" t="s">
        <v>237</v>
      </c>
      <c r="CO75" s="1">
        <v>37549</v>
      </c>
      <c r="CP75" s="1">
        <v>43633</v>
      </c>
    </row>
    <row r="76" spans="1:94" x14ac:dyDescent="0.25">
      <c r="A76" t="s">
        <v>310</v>
      </c>
      <c r="B76" t="str">
        <f xml:space="preserve"> "" &amp; 747396018355</f>
        <v>747396018355</v>
      </c>
      <c r="C76" t="s">
        <v>239</v>
      </c>
      <c r="D76" t="s">
        <v>6508</v>
      </c>
      <c r="E76" t="s">
        <v>307</v>
      </c>
      <c r="F76" t="s">
        <v>240</v>
      </c>
      <c r="G76">
        <v>1</v>
      </c>
      <c r="H76">
        <v>1</v>
      </c>
      <c r="I76" t="s">
        <v>97</v>
      </c>
      <c r="J76" s="10">
        <v>119</v>
      </c>
      <c r="K76" s="10">
        <v>357</v>
      </c>
      <c r="L76" s="10">
        <v>0</v>
      </c>
      <c r="N76" s="10">
        <v>0</v>
      </c>
      <c r="O76" t="s">
        <v>99</v>
      </c>
      <c r="P76" s="10">
        <v>239.95</v>
      </c>
      <c r="S76">
        <v>20.5</v>
      </c>
      <c r="T76">
        <v>8</v>
      </c>
      <c r="U76">
        <v>8</v>
      </c>
      <c r="W76">
        <v>9.3699999999999992</v>
      </c>
      <c r="X76">
        <v>1</v>
      </c>
      <c r="Y76">
        <v>9.5</v>
      </c>
      <c r="Z76">
        <v>18.5</v>
      </c>
      <c r="AA76">
        <v>7.5</v>
      </c>
      <c r="AB76">
        <v>0.76300000000000001</v>
      </c>
      <c r="AC76">
        <v>10.8</v>
      </c>
      <c r="AE76">
        <v>1</v>
      </c>
      <c r="AF76" t="s">
        <v>233</v>
      </c>
      <c r="AG76">
        <v>100</v>
      </c>
      <c r="AK76" t="s">
        <v>98</v>
      </c>
      <c r="AM76" t="s">
        <v>98</v>
      </c>
      <c r="AN76" t="s">
        <v>98</v>
      </c>
      <c r="AO76" t="s">
        <v>99</v>
      </c>
      <c r="AP76" t="s">
        <v>100</v>
      </c>
      <c r="AQ76" t="s">
        <v>101</v>
      </c>
      <c r="AV76" t="s">
        <v>98</v>
      </c>
      <c r="AX76" t="s">
        <v>234</v>
      </c>
      <c r="AZ76" t="s">
        <v>102</v>
      </c>
      <c r="BB76" t="s">
        <v>235</v>
      </c>
      <c r="BC76" t="s">
        <v>245</v>
      </c>
      <c r="BD76" t="s">
        <v>7528</v>
      </c>
      <c r="BF76" t="s">
        <v>311</v>
      </c>
      <c r="BG76" t="s">
        <v>98</v>
      </c>
      <c r="BH76" t="s">
        <v>98</v>
      </c>
      <c r="BI76" t="s">
        <v>98</v>
      </c>
      <c r="BK76" t="s">
        <v>110</v>
      </c>
      <c r="BL76" t="s">
        <v>128</v>
      </c>
      <c r="BR76">
        <v>1.38</v>
      </c>
      <c r="BT76">
        <v>5.13</v>
      </c>
      <c r="CA76">
        <v>1271</v>
      </c>
      <c r="CB76" t="s">
        <v>234</v>
      </c>
      <c r="CL76" t="s">
        <v>99</v>
      </c>
      <c r="CM76" t="s">
        <v>98</v>
      </c>
      <c r="CN76" t="s">
        <v>237</v>
      </c>
      <c r="CO76" s="1">
        <v>37554</v>
      </c>
      <c r="CP76" s="1">
        <v>43633</v>
      </c>
    </row>
    <row r="77" spans="1:94" x14ac:dyDescent="0.25">
      <c r="A77" t="s">
        <v>312</v>
      </c>
      <c r="B77" t="str">
        <f xml:space="preserve"> "" &amp; 747396018515</f>
        <v>747396018515</v>
      </c>
      <c r="C77" t="s">
        <v>313</v>
      </c>
      <c r="D77" t="s">
        <v>6509</v>
      </c>
      <c r="E77" t="s">
        <v>307</v>
      </c>
      <c r="F77" t="s">
        <v>314</v>
      </c>
      <c r="G77">
        <v>1</v>
      </c>
      <c r="H77">
        <v>1</v>
      </c>
      <c r="I77" t="s">
        <v>97</v>
      </c>
      <c r="J77" s="10">
        <v>297</v>
      </c>
      <c r="K77" s="10">
        <v>891</v>
      </c>
      <c r="L77" s="10">
        <v>0</v>
      </c>
      <c r="N77" s="10">
        <v>0</v>
      </c>
      <c r="O77" t="s">
        <v>99</v>
      </c>
      <c r="P77" s="10">
        <v>594.95000000000005</v>
      </c>
      <c r="S77">
        <v>32.5</v>
      </c>
      <c r="T77">
        <v>42.25</v>
      </c>
      <c r="U77">
        <v>18.75</v>
      </c>
      <c r="W77">
        <v>30.64</v>
      </c>
      <c r="X77">
        <v>1</v>
      </c>
      <c r="Y77">
        <v>9</v>
      </c>
      <c r="Z77">
        <v>42.5</v>
      </c>
      <c r="AA77">
        <v>18.5</v>
      </c>
      <c r="AB77">
        <v>4.0949999999999998</v>
      </c>
      <c r="AC77">
        <v>39.68</v>
      </c>
      <c r="AE77">
        <v>4</v>
      </c>
      <c r="AF77" t="s">
        <v>233</v>
      </c>
      <c r="AG77">
        <v>100</v>
      </c>
      <c r="AK77" t="s">
        <v>98</v>
      </c>
      <c r="AL77">
        <v>4</v>
      </c>
      <c r="AM77" t="s">
        <v>98</v>
      </c>
      <c r="AN77" t="s">
        <v>98</v>
      </c>
      <c r="AO77" t="s">
        <v>99</v>
      </c>
      <c r="AP77" t="s">
        <v>100</v>
      </c>
      <c r="AQ77" t="s">
        <v>101</v>
      </c>
      <c r="AV77" t="s">
        <v>98</v>
      </c>
      <c r="AX77" t="s">
        <v>234</v>
      </c>
      <c r="AZ77" t="s">
        <v>102</v>
      </c>
      <c r="BB77" t="s">
        <v>235</v>
      </c>
      <c r="BC77" t="s">
        <v>245</v>
      </c>
      <c r="BD77" t="s">
        <v>7528</v>
      </c>
      <c r="BF77" t="s">
        <v>315</v>
      </c>
      <c r="BG77" t="s">
        <v>98</v>
      </c>
      <c r="BH77" t="s">
        <v>98</v>
      </c>
      <c r="BI77" t="s">
        <v>98</v>
      </c>
      <c r="BK77" t="s">
        <v>110</v>
      </c>
      <c r="BL77" t="s">
        <v>128</v>
      </c>
      <c r="BR77">
        <v>1.38</v>
      </c>
      <c r="BS77">
        <v>5.13</v>
      </c>
      <c r="BT77">
        <v>5.13</v>
      </c>
      <c r="CA77">
        <v>1274</v>
      </c>
      <c r="CB77" t="s">
        <v>234</v>
      </c>
      <c r="CL77" t="s">
        <v>99</v>
      </c>
      <c r="CM77" t="s">
        <v>98</v>
      </c>
      <c r="CN77" t="s">
        <v>237</v>
      </c>
      <c r="CO77" s="1">
        <v>37554</v>
      </c>
      <c r="CP77" s="1">
        <v>43633</v>
      </c>
    </row>
    <row r="78" spans="1:94" x14ac:dyDescent="0.25">
      <c r="A78" t="s">
        <v>317</v>
      </c>
      <c r="B78" t="str">
        <f xml:space="preserve"> "" &amp; 747396019246</f>
        <v>747396019246</v>
      </c>
      <c r="C78" t="s">
        <v>318</v>
      </c>
      <c r="D78" t="s">
        <v>6510</v>
      </c>
      <c r="E78" t="s">
        <v>307</v>
      </c>
      <c r="F78" t="s">
        <v>316</v>
      </c>
      <c r="G78">
        <v>1</v>
      </c>
      <c r="H78">
        <v>1</v>
      </c>
      <c r="I78" t="s">
        <v>97</v>
      </c>
      <c r="J78" s="10">
        <v>199.95</v>
      </c>
      <c r="K78" s="10">
        <v>599.85</v>
      </c>
      <c r="L78" s="10">
        <v>0</v>
      </c>
      <c r="N78" s="10">
        <v>0</v>
      </c>
      <c r="O78" t="s">
        <v>99</v>
      </c>
      <c r="P78" s="10">
        <v>399.9</v>
      </c>
      <c r="S78">
        <v>11</v>
      </c>
      <c r="T78">
        <v>15.5</v>
      </c>
      <c r="U78">
        <v>15.5</v>
      </c>
      <c r="W78">
        <v>15.43</v>
      </c>
      <c r="X78">
        <v>1</v>
      </c>
      <c r="Y78">
        <v>12.5</v>
      </c>
      <c r="Z78">
        <v>18</v>
      </c>
      <c r="AA78">
        <v>18</v>
      </c>
      <c r="AB78">
        <v>2.3439999999999999</v>
      </c>
      <c r="AC78">
        <v>20.28</v>
      </c>
      <c r="AE78">
        <v>2</v>
      </c>
      <c r="AF78" t="s">
        <v>319</v>
      </c>
      <c r="AG78">
        <v>60</v>
      </c>
      <c r="AK78" t="s">
        <v>98</v>
      </c>
      <c r="AM78" t="s">
        <v>98</v>
      </c>
      <c r="AN78" t="s">
        <v>98</v>
      </c>
      <c r="AO78" t="s">
        <v>99</v>
      </c>
      <c r="AP78" t="s">
        <v>100</v>
      </c>
      <c r="AQ78" t="s">
        <v>101</v>
      </c>
      <c r="AV78" t="s">
        <v>98</v>
      </c>
      <c r="AX78" t="s">
        <v>234</v>
      </c>
      <c r="AZ78" t="s">
        <v>102</v>
      </c>
      <c r="BB78" t="s">
        <v>235</v>
      </c>
      <c r="BC78" t="s">
        <v>245</v>
      </c>
      <c r="BD78" t="s">
        <v>7528</v>
      </c>
      <c r="BF78" t="s">
        <v>320</v>
      </c>
      <c r="BG78" t="s">
        <v>98</v>
      </c>
      <c r="BH78" t="s">
        <v>98</v>
      </c>
      <c r="BI78" t="s">
        <v>98</v>
      </c>
      <c r="BK78" t="s">
        <v>127</v>
      </c>
      <c r="BL78" t="s">
        <v>128</v>
      </c>
      <c r="BS78">
        <v>5.88</v>
      </c>
      <c r="BT78">
        <v>5.88</v>
      </c>
      <c r="CA78">
        <v>1279</v>
      </c>
      <c r="CB78" t="s">
        <v>234</v>
      </c>
      <c r="CL78" t="s">
        <v>99</v>
      </c>
      <c r="CM78" t="s">
        <v>98</v>
      </c>
      <c r="CN78" t="s">
        <v>321</v>
      </c>
      <c r="CO78" s="1">
        <v>37554</v>
      </c>
      <c r="CP78" s="1">
        <v>43633</v>
      </c>
    </row>
    <row r="79" spans="1:94" x14ac:dyDescent="0.25">
      <c r="A79" t="s">
        <v>324</v>
      </c>
      <c r="B79" t="str">
        <f xml:space="preserve"> "" &amp; 840253053787</f>
        <v>840253053787</v>
      </c>
      <c r="C79" t="s">
        <v>95</v>
      </c>
      <c r="D79" t="s">
        <v>95</v>
      </c>
      <c r="E79" t="s">
        <v>7528</v>
      </c>
      <c r="F79" t="s">
        <v>96</v>
      </c>
      <c r="G79">
        <v>1</v>
      </c>
      <c r="H79">
        <v>1</v>
      </c>
      <c r="I79" t="s">
        <v>97</v>
      </c>
      <c r="J79" s="10">
        <v>50</v>
      </c>
      <c r="K79" s="10">
        <v>150</v>
      </c>
      <c r="L79" s="10">
        <v>0</v>
      </c>
      <c r="N79" s="10">
        <v>0</v>
      </c>
      <c r="S79">
        <v>29.38</v>
      </c>
      <c r="T79">
        <v>16</v>
      </c>
      <c r="U79">
        <v>11</v>
      </c>
      <c r="W79">
        <v>6.5</v>
      </c>
      <c r="X79">
        <v>1</v>
      </c>
      <c r="Y79">
        <v>18</v>
      </c>
      <c r="Z79">
        <v>24.75</v>
      </c>
      <c r="AA79">
        <v>12.5</v>
      </c>
      <c r="AB79">
        <v>3.2229999999999999</v>
      </c>
      <c r="AC79">
        <v>10.58</v>
      </c>
      <c r="AE79">
        <v>1</v>
      </c>
      <c r="AF79" t="s">
        <v>282</v>
      </c>
      <c r="AG79">
        <v>100</v>
      </c>
      <c r="AK79" t="s">
        <v>98</v>
      </c>
      <c r="AM79" t="s">
        <v>98</v>
      </c>
      <c r="AN79" t="s">
        <v>98</v>
      </c>
      <c r="AO79" t="s">
        <v>99</v>
      </c>
      <c r="AP79" t="s">
        <v>100</v>
      </c>
      <c r="AQ79" t="s">
        <v>101</v>
      </c>
      <c r="AV79" t="s">
        <v>98</v>
      </c>
      <c r="AX79" t="s">
        <v>117</v>
      </c>
      <c r="AZ79" t="s">
        <v>102</v>
      </c>
      <c r="BB79" t="s">
        <v>197</v>
      </c>
      <c r="BC79" t="s">
        <v>7591</v>
      </c>
      <c r="BD79" t="s">
        <v>7528</v>
      </c>
      <c r="BF79" t="s">
        <v>325</v>
      </c>
      <c r="BG79" t="s">
        <v>98</v>
      </c>
      <c r="BH79" t="s">
        <v>98</v>
      </c>
      <c r="BI79" t="s">
        <v>98</v>
      </c>
      <c r="BK79" t="s">
        <v>110</v>
      </c>
      <c r="BL79" t="s">
        <v>7528</v>
      </c>
      <c r="CA79">
        <v>13031</v>
      </c>
      <c r="CB79" t="s">
        <v>117</v>
      </c>
      <c r="CL79" t="s">
        <v>98</v>
      </c>
      <c r="CM79" t="s">
        <v>98</v>
      </c>
      <c r="CN79" t="s">
        <v>7643</v>
      </c>
      <c r="CO79" s="1">
        <v>41233</v>
      </c>
      <c r="CP79" s="1">
        <v>43633</v>
      </c>
    </row>
    <row r="80" spans="1:94" x14ac:dyDescent="0.25">
      <c r="A80" t="s">
        <v>326</v>
      </c>
      <c r="B80" t="str">
        <f xml:space="preserve"> "" &amp; 840253053794</f>
        <v>840253053794</v>
      </c>
      <c r="C80" t="s">
        <v>95</v>
      </c>
      <c r="D80" t="s">
        <v>95</v>
      </c>
      <c r="E80" t="s">
        <v>7528</v>
      </c>
      <c r="F80" t="s">
        <v>96</v>
      </c>
      <c r="G80">
        <v>1</v>
      </c>
      <c r="H80">
        <v>1</v>
      </c>
      <c r="I80" t="s">
        <v>97</v>
      </c>
      <c r="J80" s="10">
        <v>30</v>
      </c>
      <c r="K80" s="10">
        <v>90</v>
      </c>
      <c r="L80" s="10">
        <v>0</v>
      </c>
      <c r="N80" s="10">
        <v>0</v>
      </c>
      <c r="S80">
        <v>31</v>
      </c>
      <c r="U80">
        <v>14</v>
      </c>
      <c r="W80">
        <v>6.24</v>
      </c>
      <c r="X80">
        <v>1</v>
      </c>
      <c r="Y80">
        <v>28.75</v>
      </c>
      <c r="Z80">
        <v>15.5</v>
      </c>
      <c r="AA80">
        <v>15.5</v>
      </c>
      <c r="AB80">
        <v>3.9969999999999999</v>
      </c>
      <c r="AC80">
        <v>10.65</v>
      </c>
      <c r="AE80">
        <v>1</v>
      </c>
      <c r="AF80" t="s">
        <v>598</v>
      </c>
      <c r="AG80">
        <v>100</v>
      </c>
      <c r="AK80" t="s">
        <v>98</v>
      </c>
      <c r="AM80" t="s">
        <v>98</v>
      </c>
      <c r="AN80" t="s">
        <v>98</v>
      </c>
      <c r="AO80" t="s">
        <v>99</v>
      </c>
      <c r="AP80" t="s">
        <v>100</v>
      </c>
      <c r="AQ80" t="s">
        <v>101</v>
      </c>
      <c r="AV80" t="s">
        <v>98</v>
      </c>
      <c r="AX80" t="s">
        <v>279</v>
      </c>
      <c r="AZ80" t="s">
        <v>7528</v>
      </c>
      <c r="BB80" t="s">
        <v>197</v>
      </c>
      <c r="BC80" t="s">
        <v>295</v>
      </c>
      <c r="BD80" t="s">
        <v>7528</v>
      </c>
      <c r="BF80" t="s">
        <v>327</v>
      </c>
      <c r="BG80" t="s">
        <v>98</v>
      </c>
      <c r="BH80" t="s">
        <v>98</v>
      </c>
      <c r="BI80" t="s">
        <v>98</v>
      </c>
      <c r="BK80" t="s">
        <v>110</v>
      </c>
      <c r="BL80" t="s">
        <v>7528</v>
      </c>
      <c r="CA80">
        <v>13032</v>
      </c>
      <c r="CB80" t="s">
        <v>279</v>
      </c>
      <c r="CL80" t="s">
        <v>98</v>
      </c>
      <c r="CM80" t="s">
        <v>98</v>
      </c>
      <c r="CN80" t="s">
        <v>7642</v>
      </c>
      <c r="CO80" s="1">
        <v>41233</v>
      </c>
      <c r="CP80" s="1">
        <v>43633</v>
      </c>
    </row>
    <row r="81" spans="1:94" x14ac:dyDescent="0.25">
      <c r="A81" t="s">
        <v>328</v>
      </c>
      <c r="B81" t="str">
        <f xml:space="preserve"> "" &amp; 840253054258</f>
        <v>840253054258</v>
      </c>
      <c r="C81" t="s">
        <v>95</v>
      </c>
      <c r="D81" t="s">
        <v>95</v>
      </c>
      <c r="E81" t="s">
        <v>7529</v>
      </c>
      <c r="F81" t="s">
        <v>96</v>
      </c>
      <c r="G81">
        <v>1</v>
      </c>
      <c r="H81">
        <v>1</v>
      </c>
      <c r="I81" t="s">
        <v>97</v>
      </c>
      <c r="J81" s="10">
        <v>50</v>
      </c>
      <c r="K81" s="10">
        <v>150</v>
      </c>
      <c r="L81" s="10">
        <v>0</v>
      </c>
      <c r="N81" s="10">
        <v>0</v>
      </c>
      <c r="S81">
        <v>27.75</v>
      </c>
      <c r="U81">
        <v>17</v>
      </c>
      <c r="W81">
        <v>6.04</v>
      </c>
      <c r="Y81">
        <v>22.4</v>
      </c>
      <c r="Z81">
        <v>24</v>
      </c>
      <c r="AA81">
        <v>18.5</v>
      </c>
      <c r="AB81">
        <v>5.7560000000000002</v>
      </c>
      <c r="AC81">
        <v>11.86</v>
      </c>
      <c r="AE81">
        <v>1</v>
      </c>
      <c r="AF81" t="s">
        <v>598</v>
      </c>
      <c r="AG81">
        <v>100</v>
      </c>
      <c r="AK81" t="s">
        <v>98</v>
      </c>
      <c r="AM81" t="s">
        <v>98</v>
      </c>
      <c r="AN81" t="s">
        <v>99</v>
      </c>
      <c r="AO81" t="s">
        <v>98</v>
      </c>
      <c r="AP81" t="s">
        <v>100</v>
      </c>
      <c r="AQ81" t="s">
        <v>101</v>
      </c>
      <c r="AV81" t="s">
        <v>98</v>
      </c>
      <c r="AX81" t="s">
        <v>7571</v>
      </c>
      <c r="AZ81" t="s">
        <v>7528</v>
      </c>
      <c r="BB81" t="s">
        <v>197</v>
      </c>
      <c r="BC81" t="s">
        <v>7594</v>
      </c>
      <c r="BD81" t="s">
        <v>7528</v>
      </c>
      <c r="BF81" t="s">
        <v>329</v>
      </c>
      <c r="BG81" t="s">
        <v>98</v>
      </c>
      <c r="BH81" t="s">
        <v>98</v>
      </c>
      <c r="BI81" t="s">
        <v>98</v>
      </c>
      <c r="BK81" t="s">
        <v>110</v>
      </c>
      <c r="BL81" t="s">
        <v>7528</v>
      </c>
      <c r="CA81">
        <v>13053</v>
      </c>
      <c r="CB81" t="s">
        <v>7571</v>
      </c>
      <c r="CL81" t="s">
        <v>98</v>
      </c>
      <c r="CM81" t="s">
        <v>98</v>
      </c>
      <c r="CN81" t="s">
        <v>692</v>
      </c>
      <c r="CO81" s="1">
        <v>41599</v>
      </c>
      <c r="CP81" s="1">
        <v>43633</v>
      </c>
    </row>
    <row r="82" spans="1:94" x14ac:dyDescent="0.25">
      <c r="A82" t="s">
        <v>330</v>
      </c>
      <c r="B82" t="str">
        <f xml:space="preserve"> "" &amp; 840253054265</f>
        <v>840253054265</v>
      </c>
      <c r="C82" t="s">
        <v>95</v>
      </c>
      <c r="D82" t="s">
        <v>95</v>
      </c>
      <c r="E82" t="s">
        <v>7529</v>
      </c>
      <c r="F82" t="s">
        <v>7531</v>
      </c>
      <c r="G82">
        <v>1</v>
      </c>
      <c r="H82">
        <v>1</v>
      </c>
      <c r="I82" t="s">
        <v>97</v>
      </c>
      <c r="J82" s="10">
        <v>50</v>
      </c>
      <c r="K82" s="10">
        <v>150</v>
      </c>
      <c r="L82" s="10">
        <v>0</v>
      </c>
      <c r="N82" s="10">
        <v>0</v>
      </c>
      <c r="S82">
        <v>30.5</v>
      </c>
      <c r="T82">
        <v>18</v>
      </c>
      <c r="U82">
        <v>18</v>
      </c>
      <c r="W82">
        <v>7.69</v>
      </c>
      <c r="Y82">
        <v>22.5</v>
      </c>
      <c r="Z82">
        <v>27.5</v>
      </c>
      <c r="AA82">
        <v>20</v>
      </c>
      <c r="AB82">
        <v>7.1609999999999996</v>
      </c>
      <c r="AC82">
        <v>14.07</v>
      </c>
      <c r="AE82">
        <v>1</v>
      </c>
      <c r="AF82" t="s">
        <v>598</v>
      </c>
      <c r="AG82">
        <v>100</v>
      </c>
      <c r="AK82" t="s">
        <v>98</v>
      </c>
      <c r="AM82" t="s">
        <v>98</v>
      </c>
      <c r="AN82" t="s">
        <v>99</v>
      </c>
      <c r="AO82" t="s">
        <v>98</v>
      </c>
      <c r="AP82" t="s">
        <v>100</v>
      </c>
      <c r="AQ82" t="s">
        <v>101</v>
      </c>
      <c r="AV82" t="s">
        <v>98</v>
      </c>
      <c r="AX82" t="s">
        <v>7572</v>
      </c>
      <c r="AZ82" t="s">
        <v>7528</v>
      </c>
      <c r="BB82" t="s">
        <v>197</v>
      </c>
      <c r="BC82" t="s">
        <v>7593</v>
      </c>
      <c r="BD82" t="s">
        <v>7528</v>
      </c>
      <c r="BF82" t="s">
        <v>331</v>
      </c>
      <c r="BG82" t="s">
        <v>98</v>
      </c>
      <c r="BH82" t="s">
        <v>98</v>
      </c>
      <c r="BI82" t="s">
        <v>98</v>
      </c>
      <c r="BK82" t="s">
        <v>110</v>
      </c>
      <c r="BL82" t="s">
        <v>7528</v>
      </c>
      <c r="CA82">
        <v>13054</v>
      </c>
      <c r="CB82" t="s">
        <v>7572</v>
      </c>
      <c r="CL82" t="s">
        <v>98</v>
      </c>
      <c r="CM82" t="s">
        <v>98</v>
      </c>
      <c r="CN82" t="s">
        <v>692</v>
      </c>
      <c r="CO82" s="1">
        <v>41599</v>
      </c>
      <c r="CP82" s="1">
        <v>43633</v>
      </c>
    </row>
    <row r="83" spans="1:94" x14ac:dyDescent="0.25">
      <c r="A83" t="s">
        <v>332</v>
      </c>
      <c r="B83" t="str">
        <f xml:space="preserve"> "" &amp; 747396058924</f>
        <v>747396058924</v>
      </c>
      <c r="C83" t="s">
        <v>239</v>
      </c>
      <c r="D83" t="s">
        <v>6511</v>
      </c>
      <c r="E83" t="s">
        <v>333</v>
      </c>
      <c r="F83" t="s">
        <v>240</v>
      </c>
      <c r="G83">
        <v>1</v>
      </c>
      <c r="H83">
        <v>1</v>
      </c>
      <c r="I83" t="s">
        <v>97</v>
      </c>
      <c r="J83" s="10">
        <v>65</v>
      </c>
      <c r="K83" s="10">
        <v>195</v>
      </c>
      <c r="L83" s="10">
        <v>0</v>
      </c>
      <c r="N83" s="10">
        <v>0</v>
      </c>
      <c r="O83" t="s">
        <v>99</v>
      </c>
      <c r="P83" s="10">
        <v>129.94999999999999</v>
      </c>
      <c r="S83">
        <v>6.5</v>
      </c>
      <c r="T83">
        <v>8</v>
      </c>
      <c r="U83">
        <v>8</v>
      </c>
      <c r="W83">
        <v>4.74</v>
      </c>
      <c r="X83">
        <v>1</v>
      </c>
      <c r="Y83">
        <v>21</v>
      </c>
      <c r="Z83">
        <v>19.5</v>
      </c>
      <c r="AA83">
        <v>14</v>
      </c>
      <c r="AB83">
        <v>3.3180000000000001</v>
      </c>
      <c r="AC83">
        <v>6.33</v>
      </c>
      <c r="AE83">
        <v>1</v>
      </c>
      <c r="AF83" t="s">
        <v>2629</v>
      </c>
      <c r="AG83">
        <v>100</v>
      </c>
      <c r="AK83" t="s">
        <v>98</v>
      </c>
      <c r="AM83" t="s">
        <v>98</v>
      </c>
      <c r="AN83" t="s">
        <v>99</v>
      </c>
      <c r="AO83" t="s">
        <v>98</v>
      </c>
      <c r="AP83" t="s">
        <v>100</v>
      </c>
      <c r="AQ83" t="s">
        <v>101</v>
      </c>
      <c r="AV83" t="s">
        <v>98</v>
      </c>
      <c r="AX83" t="s">
        <v>334</v>
      </c>
      <c r="AZ83" t="s">
        <v>124</v>
      </c>
      <c r="BB83" t="s">
        <v>235</v>
      </c>
      <c r="BC83" t="s">
        <v>335</v>
      </c>
      <c r="BD83" t="s">
        <v>7528</v>
      </c>
      <c r="BF83" t="s">
        <v>336</v>
      </c>
      <c r="BG83" t="s">
        <v>98</v>
      </c>
      <c r="BH83" t="s">
        <v>98</v>
      </c>
      <c r="BI83" t="s">
        <v>98</v>
      </c>
      <c r="BK83" t="s">
        <v>110</v>
      </c>
      <c r="BL83" t="s">
        <v>128</v>
      </c>
      <c r="BQ83">
        <v>6.5</v>
      </c>
      <c r="BR83">
        <v>2.5</v>
      </c>
      <c r="BS83">
        <v>6.5</v>
      </c>
      <c r="BT83">
        <v>6.5</v>
      </c>
      <c r="CA83">
        <v>1351</v>
      </c>
      <c r="CB83" t="s">
        <v>334</v>
      </c>
      <c r="CL83" t="s">
        <v>99</v>
      </c>
      <c r="CM83" t="s">
        <v>99</v>
      </c>
      <c r="CN83" t="s">
        <v>337</v>
      </c>
      <c r="CO83" s="1">
        <v>38926</v>
      </c>
      <c r="CP83" s="1">
        <v>43633</v>
      </c>
    </row>
    <row r="84" spans="1:94" x14ac:dyDescent="0.25">
      <c r="A84" t="s">
        <v>338</v>
      </c>
      <c r="B84" t="str">
        <f xml:space="preserve"> "" &amp; 747396059013</f>
        <v>747396059013</v>
      </c>
      <c r="C84" t="s">
        <v>339</v>
      </c>
      <c r="D84" t="s">
        <v>6512</v>
      </c>
      <c r="E84" t="s">
        <v>333</v>
      </c>
      <c r="F84" t="s">
        <v>240</v>
      </c>
      <c r="G84">
        <v>1</v>
      </c>
      <c r="H84">
        <v>1</v>
      </c>
      <c r="I84" t="s">
        <v>97</v>
      </c>
      <c r="J84" s="10">
        <v>315</v>
      </c>
      <c r="K84" s="10">
        <v>945</v>
      </c>
      <c r="L84" s="10">
        <v>0</v>
      </c>
      <c r="N84" s="10">
        <v>0</v>
      </c>
      <c r="O84" t="s">
        <v>99</v>
      </c>
      <c r="P84" s="10">
        <v>629.95000000000005</v>
      </c>
      <c r="S84">
        <v>35</v>
      </c>
      <c r="T84">
        <v>26</v>
      </c>
      <c r="U84">
        <v>26</v>
      </c>
      <c r="W84">
        <v>32.67</v>
      </c>
      <c r="X84">
        <v>1</v>
      </c>
      <c r="Y84">
        <v>14.5</v>
      </c>
      <c r="Z84">
        <v>26.5</v>
      </c>
      <c r="AA84">
        <v>26.5</v>
      </c>
      <c r="AB84">
        <v>5.8929999999999998</v>
      </c>
      <c r="AC84">
        <v>42.31</v>
      </c>
      <c r="AE84">
        <v>4</v>
      </c>
      <c r="AF84" t="s">
        <v>340</v>
      </c>
      <c r="AG84">
        <v>100</v>
      </c>
      <c r="AH84">
        <v>0</v>
      </c>
      <c r="AK84" t="s">
        <v>98</v>
      </c>
      <c r="AM84" t="s">
        <v>98</v>
      </c>
      <c r="AN84" t="s">
        <v>99</v>
      </c>
      <c r="AO84" t="s">
        <v>98</v>
      </c>
      <c r="AP84" t="s">
        <v>100</v>
      </c>
      <c r="AQ84" t="s">
        <v>101</v>
      </c>
      <c r="AV84" t="s">
        <v>98</v>
      </c>
      <c r="AX84" t="s">
        <v>334</v>
      </c>
      <c r="AZ84" t="s">
        <v>124</v>
      </c>
      <c r="BB84" t="s">
        <v>235</v>
      </c>
      <c r="BC84" t="s">
        <v>335</v>
      </c>
      <c r="BD84" t="s">
        <v>7528</v>
      </c>
      <c r="BF84" t="s">
        <v>341</v>
      </c>
      <c r="BG84" t="s">
        <v>98</v>
      </c>
      <c r="BH84" t="s">
        <v>98</v>
      </c>
      <c r="BI84" t="s">
        <v>98</v>
      </c>
      <c r="BK84" t="s">
        <v>110</v>
      </c>
      <c r="BL84" t="s">
        <v>128</v>
      </c>
      <c r="BR84">
        <v>2.5</v>
      </c>
      <c r="BT84">
        <v>6</v>
      </c>
      <c r="CA84">
        <v>1354</v>
      </c>
      <c r="CB84" t="s">
        <v>334</v>
      </c>
      <c r="CL84" t="s">
        <v>99</v>
      </c>
      <c r="CM84" t="s">
        <v>98</v>
      </c>
      <c r="CN84" t="s">
        <v>337</v>
      </c>
      <c r="CO84" s="1">
        <v>38926</v>
      </c>
      <c r="CP84" s="1">
        <v>43633</v>
      </c>
    </row>
    <row r="85" spans="1:94" x14ac:dyDescent="0.25">
      <c r="A85" t="s">
        <v>342</v>
      </c>
      <c r="B85" t="str">
        <f xml:space="preserve"> "" &amp; 747396059006</f>
        <v>747396059006</v>
      </c>
      <c r="C85" t="s">
        <v>343</v>
      </c>
      <c r="D85" t="s">
        <v>6513</v>
      </c>
      <c r="E85" t="s">
        <v>333</v>
      </c>
      <c r="F85" t="s">
        <v>249</v>
      </c>
      <c r="G85">
        <v>1</v>
      </c>
      <c r="H85">
        <v>1</v>
      </c>
      <c r="I85" t="s">
        <v>97</v>
      </c>
      <c r="J85" s="10">
        <v>279</v>
      </c>
      <c r="K85" s="10">
        <v>837</v>
      </c>
      <c r="L85" s="10">
        <v>0</v>
      </c>
      <c r="N85" s="10">
        <v>0</v>
      </c>
      <c r="O85" t="s">
        <v>99</v>
      </c>
      <c r="P85" s="10">
        <v>559.95000000000005</v>
      </c>
      <c r="S85">
        <v>28</v>
      </c>
      <c r="T85">
        <v>28</v>
      </c>
      <c r="U85">
        <v>28</v>
      </c>
      <c r="W85">
        <v>26.17</v>
      </c>
      <c r="X85">
        <v>1</v>
      </c>
      <c r="Y85">
        <v>21</v>
      </c>
      <c r="Z85">
        <v>28</v>
      </c>
      <c r="AA85">
        <v>13.25</v>
      </c>
      <c r="AB85">
        <v>4.5090000000000003</v>
      </c>
      <c r="AC85">
        <v>32.06</v>
      </c>
      <c r="AE85">
        <v>5</v>
      </c>
      <c r="AF85" t="s">
        <v>340</v>
      </c>
      <c r="AG85">
        <v>100</v>
      </c>
      <c r="AH85">
        <v>0</v>
      </c>
      <c r="AK85" t="s">
        <v>98</v>
      </c>
      <c r="AL85">
        <v>5</v>
      </c>
      <c r="AM85" t="s">
        <v>98</v>
      </c>
      <c r="AN85" t="s">
        <v>99</v>
      </c>
      <c r="AO85" t="s">
        <v>98</v>
      </c>
      <c r="AP85" t="s">
        <v>100</v>
      </c>
      <c r="AQ85" t="s">
        <v>101</v>
      </c>
      <c r="AV85" t="s">
        <v>98</v>
      </c>
      <c r="AX85" t="s">
        <v>334</v>
      </c>
      <c r="AZ85" t="s">
        <v>124</v>
      </c>
      <c r="BB85" t="s">
        <v>235</v>
      </c>
      <c r="BC85" t="s">
        <v>335</v>
      </c>
      <c r="BD85" t="s">
        <v>7528</v>
      </c>
      <c r="BF85" t="s">
        <v>344</v>
      </c>
      <c r="BG85" t="s">
        <v>98</v>
      </c>
      <c r="BH85" t="s">
        <v>98</v>
      </c>
      <c r="BI85" t="s">
        <v>98</v>
      </c>
      <c r="BK85" t="s">
        <v>110</v>
      </c>
      <c r="BL85" t="s">
        <v>7528</v>
      </c>
      <c r="BR85">
        <v>2.5</v>
      </c>
      <c r="BT85">
        <v>6.63</v>
      </c>
      <c r="CA85">
        <v>1355</v>
      </c>
      <c r="CB85" t="s">
        <v>334</v>
      </c>
      <c r="CL85" t="s">
        <v>99</v>
      </c>
      <c r="CM85" t="s">
        <v>99</v>
      </c>
      <c r="CN85" t="s">
        <v>345</v>
      </c>
      <c r="CO85" s="1">
        <v>38926</v>
      </c>
      <c r="CP85" s="1">
        <v>43633</v>
      </c>
    </row>
    <row r="86" spans="1:94" x14ac:dyDescent="0.25">
      <c r="A86" t="s">
        <v>346</v>
      </c>
      <c r="B86" t="str">
        <f xml:space="preserve"> "" &amp; 747396058979</f>
        <v>747396058979</v>
      </c>
      <c r="C86" t="s">
        <v>252</v>
      </c>
      <c r="D86" t="s">
        <v>6514</v>
      </c>
      <c r="E86" t="s">
        <v>333</v>
      </c>
      <c r="F86" t="s">
        <v>249</v>
      </c>
      <c r="G86">
        <v>1</v>
      </c>
      <c r="H86">
        <v>1</v>
      </c>
      <c r="I86" t="s">
        <v>97</v>
      </c>
      <c r="J86" s="10">
        <v>339</v>
      </c>
      <c r="K86" s="10">
        <v>1017</v>
      </c>
      <c r="L86" s="10">
        <v>0</v>
      </c>
      <c r="N86" s="10">
        <v>0</v>
      </c>
      <c r="O86" t="s">
        <v>99</v>
      </c>
      <c r="P86" s="10">
        <v>679.95</v>
      </c>
      <c r="S86">
        <v>33.5</v>
      </c>
      <c r="T86">
        <v>33.25</v>
      </c>
      <c r="U86">
        <v>33.25</v>
      </c>
      <c r="W86">
        <v>35.96</v>
      </c>
      <c r="X86">
        <v>1</v>
      </c>
      <c r="Y86">
        <v>23.5</v>
      </c>
      <c r="Z86">
        <v>32.5</v>
      </c>
      <c r="AA86">
        <v>13</v>
      </c>
      <c r="AB86">
        <v>5.7460000000000004</v>
      </c>
      <c r="AC86">
        <v>44.64</v>
      </c>
      <c r="AE86">
        <v>6</v>
      </c>
      <c r="AF86" t="s">
        <v>347</v>
      </c>
      <c r="AG86">
        <v>100</v>
      </c>
      <c r="AH86">
        <v>0</v>
      </c>
      <c r="AK86" t="s">
        <v>98</v>
      </c>
      <c r="AL86">
        <v>6</v>
      </c>
      <c r="AM86" t="s">
        <v>98</v>
      </c>
      <c r="AN86" t="s">
        <v>99</v>
      </c>
      <c r="AO86" t="s">
        <v>98</v>
      </c>
      <c r="AP86" t="s">
        <v>100</v>
      </c>
      <c r="AQ86" t="s">
        <v>101</v>
      </c>
      <c r="AV86" t="s">
        <v>98</v>
      </c>
      <c r="AX86" t="s">
        <v>334</v>
      </c>
      <c r="AZ86" t="s">
        <v>124</v>
      </c>
      <c r="BB86" t="s">
        <v>235</v>
      </c>
      <c r="BC86" t="s">
        <v>335</v>
      </c>
      <c r="BD86" t="s">
        <v>7528</v>
      </c>
      <c r="BF86" t="s">
        <v>348</v>
      </c>
      <c r="BG86" t="s">
        <v>98</v>
      </c>
      <c r="BH86" t="s">
        <v>98</v>
      </c>
      <c r="BI86" t="s">
        <v>98</v>
      </c>
      <c r="BK86" t="s">
        <v>110</v>
      </c>
      <c r="BL86" t="s">
        <v>128</v>
      </c>
      <c r="BQ86">
        <v>6.5</v>
      </c>
      <c r="BR86">
        <v>2.5</v>
      </c>
      <c r="BS86">
        <v>6.5</v>
      </c>
      <c r="BT86">
        <v>6.5</v>
      </c>
      <c r="CA86">
        <v>1356</v>
      </c>
      <c r="CB86" t="s">
        <v>334</v>
      </c>
      <c r="CL86" t="s">
        <v>99</v>
      </c>
      <c r="CM86" t="s">
        <v>99</v>
      </c>
      <c r="CN86" t="s">
        <v>337</v>
      </c>
      <c r="CO86" s="1">
        <v>38926</v>
      </c>
      <c r="CP86" s="1">
        <v>43633</v>
      </c>
    </row>
    <row r="87" spans="1:94" x14ac:dyDescent="0.25">
      <c r="A87" t="s">
        <v>349</v>
      </c>
      <c r="B87" t="str">
        <f xml:space="preserve"> "" &amp; 747396058986</f>
        <v>747396058986</v>
      </c>
      <c r="C87" t="s">
        <v>350</v>
      </c>
      <c r="D87" t="s">
        <v>6515</v>
      </c>
      <c r="E87" t="s">
        <v>333</v>
      </c>
      <c r="F87" t="s">
        <v>249</v>
      </c>
      <c r="G87">
        <v>1</v>
      </c>
      <c r="H87">
        <v>1</v>
      </c>
      <c r="I87" t="s">
        <v>97</v>
      </c>
      <c r="J87" s="10">
        <v>535</v>
      </c>
      <c r="K87" s="10">
        <v>1605</v>
      </c>
      <c r="L87" s="10">
        <v>0</v>
      </c>
      <c r="N87" s="10">
        <v>0</v>
      </c>
      <c r="O87" t="s">
        <v>99</v>
      </c>
      <c r="P87" s="10">
        <v>1069.95</v>
      </c>
      <c r="S87">
        <v>33.5</v>
      </c>
      <c r="T87">
        <v>38.75</v>
      </c>
      <c r="U87">
        <v>38.75</v>
      </c>
      <c r="W87">
        <v>48.85</v>
      </c>
      <c r="X87">
        <v>1</v>
      </c>
      <c r="Y87">
        <v>26.5</v>
      </c>
      <c r="Z87">
        <v>37</v>
      </c>
      <c r="AA87">
        <v>15</v>
      </c>
      <c r="AB87">
        <v>8.5109999999999992</v>
      </c>
      <c r="AC87">
        <v>61.18</v>
      </c>
      <c r="AE87">
        <v>9</v>
      </c>
      <c r="AF87" t="s">
        <v>340</v>
      </c>
      <c r="AG87">
        <v>100</v>
      </c>
      <c r="AH87">
        <v>0</v>
      </c>
      <c r="AK87" t="s">
        <v>98</v>
      </c>
      <c r="AL87">
        <v>9</v>
      </c>
      <c r="AM87" t="s">
        <v>98</v>
      </c>
      <c r="AN87" t="s">
        <v>98</v>
      </c>
      <c r="AO87" t="s">
        <v>99</v>
      </c>
      <c r="AP87" t="s">
        <v>259</v>
      </c>
      <c r="AQ87" t="s">
        <v>101</v>
      </c>
      <c r="AV87" t="s">
        <v>98</v>
      </c>
      <c r="AX87" t="s">
        <v>334</v>
      </c>
      <c r="AZ87" t="s">
        <v>124</v>
      </c>
      <c r="BB87" t="s">
        <v>235</v>
      </c>
      <c r="BC87" t="s">
        <v>335</v>
      </c>
      <c r="BD87" t="s">
        <v>7528</v>
      </c>
      <c r="BF87" t="s">
        <v>351</v>
      </c>
      <c r="BG87" t="s">
        <v>98</v>
      </c>
      <c r="BH87" t="s">
        <v>98</v>
      </c>
      <c r="BI87" t="s">
        <v>98</v>
      </c>
      <c r="BK87" t="s">
        <v>110</v>
      </c>
      <c r="BL87" t="s">
        <v>128</v>
      </c>
      <c r="BR87">
        <v>2.5</v>
      </c>
      <c r="BT87">
        <v>6.63</v>
      </c>
      <c r="CA87">
        <v>1358</v>
      </c>
      <c r="CB87" t="s">
        <v>334</v>
      </c>
      <c r="CL87" t="s">
        <v>99</v>
      </c>
      <c r="CM87" t="s">
        <v>98</v>
      </c>
      <c r="CN87" t="s">
        <v>337</v>
      </c>
      <c r="CO87" s="1">
        <v>38926</v>
      </c>
      <c r="CP87" s="1">
        <v>43633</v>
      </c>
    </row>
    <row r="88" spans="1:94" x14ac:dyDescent="0.25">
      <c r="A88" t="s">
        <v>352</v>
      </c>
      <c r="B88" t="str">
        <f xml:space="preserve"> "" &amp; 747396058948</f>
        <v>747396058948</v>
      </c>
      <c r="C88" t="s">
        <v>264</v>
      </c>
      <c r="D88" t="s">
        <v>6516</v>
      </c>
      <c r="E88" t="s">
        <v>333</v>
      </c>
      <c r="F88" t="s">
        <v>249</v>
      </c>
      <c r="G88">
        <v>1</v>
      </c>
      <c r="H88">
        <v>1</v>
      </c>
      <c r="I88" t="s">
        <v>97</v>
      </c>
      <c r="J88" s="10">
        <v>849</v>
      </c>
      <c r="K88" s="10">
        <v>2547</v>
      </c>
      <c r="L88" s="10">
        <v>0</v>
      </c>
      <c r="N88" s="10">
        <v>0</v>
      </c>
      <c r="O88" t="s">
        <v>99</v>
      </c>
      <c r="P88" s="10">
        <v>1699.95</v>
      </c>
      <c r="S88">
        <v>42.75</v>
      </c>
      <c r="T88">
        <v>52</v>
      </c>
      <c r="U88">
        <v>52</v>
      </c>
      <c r="W88">
        <v>81.53</v>
      </c>
      <c r="X88">
        <v>1</v>
      </c>
      <c r="Y88">
        <v>33.5</v>
      </c>
      <c r="Z88">
        <v>52</v>
      </c>
      <c r="AA88">
        <v>15</v>
      </c>
      <c r="AB88">
        <v>15.122</v>
      </c>
      <c r="AC88">
        <v>100</v>
      </c>
      <c r="AE88">
        <v>15</v>
      </c>
      <c r="AF88" t="s">
        <v>340</v>
      </c>
      <c r="AG88">
        <v>60</v>
      </c>
      <c r="AH88">
        <v>0</v>
      </c>
      <c r="AK88" t="s">
        <v>98</v>
      </c>
      <c r="AL88">
        <v>15</v>
      </c>
      <c r="AM88" t="s">
        <v>98</v>
      </c>
      <c r="AN88" t="s">
        <v>98</v>
      </c>
      <c r="AO88" t="s">
        <v>99</v>
      </c>
      <c r="AP88" t="s">
        <v>259</v>
      </c>
      <c r="AQ88" t="s">
        <v>101</v>
      </c>
      <c r="AV88" t="s">
        <v>98</v>
      </c>
      <c r="AX88" t="s">
        <v>334</v>
      </c>
      <c r="AZ88" t="s">
        <v>124</v>
      </c>
      <c r="BB88" t="s">
        <v>235</v>
      </c>
      <c r="BC88" t="s">
        <v>335</v>
      </c>
      <c r="BD88" t="s">
        <v>7528</v>
      </c>
      <c r="BF88" t="s">
        <v>353</v>
      </c>
      <c r="BG88" t="s">
        <v>98</v>
      </c>
      <c r="BH88" t="s">
        <v>98</v>
      </c>
      <c r="BI88" t="s">
        <v>98</v>
      </c>
      <c r="BK88" t="s">
        <v>110</v>
      </c>
      <c r="BL88" t="s">
        <v>128</v>
      </c>
      <c r="BR88">
        <v>2.5</v>
      </c>
      <c r="BT88">
        <v>6.63</v>
      </c>
      <c r="CA88">
        <v>1359</v>
      </c>
      <c r="CB88" t="s">
        <v>334</v>
      </c>
      <c r="CL88" t="s">
        <v>99</v>
      </c>
      <c r="CM88" t="s">
        <v>98</v>
      </c>
      <c r="CN88" t="s">
        <v>337</v>
      </c>
      <c r="CO88" s="1">
        <v>38926</v>
      </c>
      <c r="CP88" s="1">
        <v>43633</v>
      </c>
    </row>
    <row r="89" spans="1:94" x14ac:dyDescent="0.25">
      <c r="A89" t="s">
        <v>354</v>
      </c>
      <c r="B89" t="str">
        <f xml:space="preserve"> "" &amp; 747396046082</f>
        <v>747396046082</v>
      </c>
      <c r="C89" t="s">
        <v>355</v>
      </c>
      <c r="D89" t="s">
        <v>356</v>
      </c>
      <c r="E89" t="s">
        <v>357</v>
      </c>
      <c r="F89" t="s">
        <v>358</v>
      </c>
      <c r="G89">
        <v>1</v>
      </c>
      <c r="H89">
        <v>1</v>
      </c>
      <c r="I89" t="s">
        <v>97</v>
      </c>
      <c r="J89" s="10">
        <v>34.950000000000003</v>
      </c>
      <c r="K89" s="10">
        <v>104.85</v>
      </c>
      <c r="L89" s="10">
        <v>0</v>
      </c>
      <c r="N89" s="10">
        <v>0</v>
      </c>
      <c r="S89">
        <v>19.75</v>
      </c>
      <c r="T89">
        <v>9.75</v>
      </c>
      <c r="U89">
        <v>7</v>
      </c>
      <c r="W89">
        <v>19.84</v>
      </c>
      <c r="X89">
        <v>1</v>
      </c>
      <c r="Y89">
        <v>19.75</v>
      </c>
      <c r="Z89">
        <v>9.75</v>
      </c>
      <c r="AA89">
        <v>9</v>
      </c>
      <c r="AB89">
        <v>1.0029999999999999</v>
      </c>
      <c r="AC89">
        <v>34.61</v>
      </c>
      <c r="AE89">
        <v>0</v>
      </c>
      <c r="AF89" t="e">
        <v>#N/A</v>
      </c>
      <c r="AG89">
        <v>0</v>
      </c>
      <c r="AH89">
        <v>0</v>
      </c>
      <c r="AK89" t="s">
        <v>98</v>
      </c>
      <c r="AM89" t="s">
        <v>98</v>
      </c>
      <c r="AN89" t="s">
        <v>98</v>
      </c>
      <c r="AO89" t="s">
        <v>98</v>
      </c>
      <c r="AP89" t="s">
        <v>100</v>
      </c>
      <c r="AV89" t="s">
        <v>98</v>
      </c>
      <c r="AX89" t="s">
        <v>359</v>
      </c>
      <c r="AZ89" t="s">
        <v>124</v>
      </c>
      <c r="BB89" t="s">
        <v>7528</v>
      </c>
      <c r="BC89" t="s">
        <v>7528</v>
      </c>
      <c r="BD89" t="s">
        <v>7528</v>
      </c>
      <c r="BF89" t="s">
        <v>360</v>
      </c>
      <c r="BG89" t="s">
        <v>98</v>
      </c>
      <c r="BH89" t="s">
        <v>98</v>
      </c>
      <c r="BI89" t="s">
        <v>98</v>
      </c>
      <c r="BK89" t="e">
        <v>#N/A</v>
      </c>
      <c r="BL89" t="s">
        <v>7528</v>
      </c>
      <c r="CA89">
        <v>1375</v>
      </c>
      <c r="CB89" t="s">
        <v>359</v>
      </c>
      <c r="CL89" t="s">
        <v>98</v>
      </c>
      <c r="CM89" t="s">
        <v>98</v>
      </c>
      <c r="CN89" t="s">
        <v>7528</v>
      </c>
      <c r="CO89" s="1">
        <v>38332</v>
      </c>
      <c r="CP89" s="1">
        <v>43633</v>
      </c>
    </row>
    <row r="90" spans="1:94" x14ac:dyDescent="0.25">
      <c r="A90" t="s">
        <v>361</v>
      </c>
      <c r="B90" t="str">
        <f xml:space="preserve"> "" &amp; 747396044743</f>
        <v>747396044743</v>
      </c>
      <c r="C90" t="s">
        <v>322</v>
      </c>
      <c r="D90" t="s">
        <v>6517</v>
      </c>
      <c r="E90" t="s">
        <v>362</v>
      </c>
      <c r="F90" t="s">
        <v>232</v>
      </c>
      <c r="G90">
        <v>1</v>
      </c>
      <c r="H90">
        <v>1</v>
      </c>
      <c r="I90" t="s">
        <v>97</v>
      </c>
      <c r="J90" s="10">
        <v>39</v>
      </c>
      <c r="K90" s="10">
        <v>117</v>
      </c>
      <c r="L90" s="10">
        <v>0</v>
      </c>
      <c r="N90" s="10">
        <v>0</v>
      </c>
      <c r="O90" t="s">
        <v>99</v>
      </c>
      <c r="P90" s="10">
        <v>79.95</v>
      </c>
      <c r="S90">
        <v>7</v>
      </c>
      <c r="U90">
        <v>13</v>
      </c>
      <c r="V90">
        <v>6.5</v>
      </c>
      <c r="W90">
        <v>2.82</v>
      </c>
      <c r="X90">
        <v>1</v>
      </c>
      <c r="Y90">
        <v>10</v>
      </c>
      <c r="Z90">
        <v>16</v>
      </c>
      <c r="AA90">
        <v>9</v>
      </c>
      <c r="AB90">
        <v>0.83299999999999996</v>
      </c>
      <c r="AC90">
        <v>4.01</v>
      </c>
      <c r="AE90">
        <v>2</v>
      </c>
      <c r="AF90" t="s">
        <v>308</v>
      </c>
      <c r="AG90">
        <v>60</v>
      </c>
      <c r="AK90" t="s">
        <v>98</v>
      </c>
      <c r="AM90" t="s">
        <v>98</v>
      </c>
      <c r="AN90" t="s">
        <v>98</v>
      </c>
      <c r="AO90" t="s">
        <v>99</v>
      </c>
      <c r="AP90" t="s">
        <v>100</v>
      </c>
      <c r="AQ90" t="s">
        <v>101</v>
      </c>
      <c r="AV90" t="s">
        <v>98</v>
      </c>
      <c r="AX90" t="s">
        <v>279</v>
      </c>
      <c r="AZ90" t="s">
        <v>102</v>
      </c>
      <c r="BB90" t="s">
        <v>235</v>
      </c>
      <c r="BC90" t="s">
        <v>363</v>
      </c>
      <c r="BD90" t="s">
        <v>7528</v>
      </c>
      <c r="BF90" t="s">
        <v>364</v>
      </c>
      <c r="BG90" t="s">
        <v>98</v>
      </c>
      <c r="BH90" t="s">
        <v>98</v>
      </c>
      <c r="BI90" t="s">
        <v>98</v>
      </c>
      <c r="BK90" t="s">
        <v>127</v>
      </c>
      <c r="BL90" t="s">
        <v>236</v>
      </c>
      <c r="BR90">
        <v>6.25</v>
      </c>
      <c r="BT90">
        <v>4.25</v>
      </c>
      <c r="CA90">
        <v>1420</v>
      </c>
      <c r="CB90" t="s">
        <v>279</v>
      </c>
      <c r="CL90" t="s">
        <v>99</v>
      </c>
      <c r="CM90" t="s">
        <v>98</v>
      </c>
      <c r="CN90" t="s">
        <v>365</v>
      </c>
      <c r="CO90" s="1">
        <v>40248</v>
      </c>
      <c r="CP90" s="1">
        <v>43633</v>
      </c>
    </row>
    <row r="91" spans="1:94" x14ac:dyDescent="0.25">
      <c r="A91" t="s">
        <v>366</v>
      </c>
      <c r="B91" t="str">
        <f xml:space="preserve"> "" &amp; 747396083377</f>
        <v>747396083377</v>
      </c>
      <c r="C91" t="s">
        <v>239</v>
      </c>
      <c r="D91" t="s">
        <v>6518</v>
      </c>
      <c r="E91" t="s">
        <v>362</v>
      </c>
      <c r="F91" t="s">
        <v>240</v>
      </c>
      <c r="G91">
        <v>1</v>
      </c>
      <c r="H91">
        <v>1</v>
      </c>
      <c r="I91" t="s">
        <v>97</v>
      </c>
      <c r="J91" s="10">
        <v>31.95</v>
      </c>
      <c r="K91" s="10">
        <v>95.85</v>
      </c>
      <c r="L91" s="10">
        <v>0</v>
      </c>
      <c r="N91" s="10">
        <v>0</v>
      </c>
      <c r="S91">
        <v>5.5</v>
      </c>
      <c r="T91">
        <v>6.5</v>
      </c>
      <c r="U91">
        <v>6.5</v>
      </c>
      <c r="W91">
        <v>3.17</v>
      </c>
      <c r="Y91">
        <v>8.1300000000000008</v>
      </c>
      <c r="Z91">
        <v>13</v>
      </c>
      <c r="AA91">
        <v>9</v>
      </c>
      <c r="AB91">
        <v>0.55000000000000004</v>
      </c>
      <c r="AC91">
        <v>4.4800000000000004</v>
      </c>
      <c r="AE91">
        <v>1</v>
      </c>
      <c r="AF91" t="s">
        <v>282</v>
      </c>
      <c r="AG91">
        <v>100</v>
      </c>
      <c r="AK91" t="s">
        <v>98</v>
      </c>
      <c r="AM91" t="s">
        <v>98</v>
      </c>
      <c r="AN91" t="s">
        <v>98</v>
      </c>
      <c r="AO91" t="s">
        <v>99</v>
      </c>
      <c r="AP91" t="s">
        <v>100</v>
      </c>
      <c r="AQ91" t="s">
        <v>101</v>
      </c>
      <c r="AV91" t="s">
        <v>98</v>
      </c>
      <c r="AX91" t="s">
        <v>367</v>
      </c>
      <c r="AZ91" t="s">
        <v>102</v>
      </c>
      <c r="BB91" t="s">
        <v>235</v>
      </c>
      <c r="BC91" t="s">
        <v>368</v>
      </c>
      <c r="BD91" t="s">
        <v>7528</v>
      </c>
      <c r="BF91" t="s">
        <v>369</v>
      </c>
      <c r="BG91" t="s">
        <v>98</v>
      </c>
      <c r="BH91" t="s">
        <v>98</v>
      </c>
      <c r="BI91" t="s">
        <v>98</v>
      </c>
      <c r="BK91" t="s">
        <v>110</v>
      </c>
      <c r="BL91" t="s">
        <v>7528</v>
      </c>
      <c r="BR91">
        <v>1</v>
      </c>
      <c r="BT91">
        <v>5</v>
      </c>
      <c r="CA91">
        <v>1421</v>
      </c>
      <c r="CB91" t="s">
        <v>367</v>
      </c>
      <c r="CL91" t="s">
        <v>99</v>
      </c>
      <c r="CM91" t="s">
        <v>99</v>
      </c>
      <c r="CN91" t="s">
        <v>370</v>
      </c>
      <c r="CO91" s="1">
        <v>40792</v>
      </c>
      <c r="CP91" s="1">
        <v>43633</v>
      </c>
    </row>
    <row r="92" spans="1:94" x14ac:dyDescent="0.25">
      <c r="A92" t="s">
        <v>371</v>
      </c>
      <c r="B92" t="str">
        <f xml:space="preserve"> "" &amp; 747396044705</f>
        <v>747396044705</v>
      </c>
      <c r="C92" t="s">
        <v>239</v>
      </c>
      <c r="D92" t="s">
        <v>6518</v>
      </c>
      <c r="E92" t="s">
        <v>362</v>
      </c>
      <c r="F92" t="s">
        <v>240</v>
      </c>
      <c r="G92">
        <v>1</v>
      </c>
      <c r="H92">
        <v>1</v>
      </c>
      <c r="I92" t="s">
        <v>97</v>
      </c>
      <c r="J92" s="10">
        <v>34</v>
      </c>
      <c r="K92" s="10">
        <v>102</v>
      </c>
      <c r="L92" s="10">
        <v>0</v>
      </c>
      <c r="N92" s="10">
        <v>0</v>
      </c>
      <c r="O92" t="s">
        <v>99</v>
      </c>
      <c r="P92" s="10">
        <v>69.95</v>
      </c>
      <c r="S92">
        <v>5.5</v>
      </c>
      <c r="T92">
        <v>6.5</v>
      </c>
      <c r="U92">
        <v>6.5</v>
      </c>
      <c r="W92">
        <v>3.17</v>
      </c>
      <c r="X92">
        <v>1</v>
      </c>
      <c r="Y92">
        <v>8.5</v>
      </c>
      <c r="Z92">
        <v>13</v>
      </c>
      <c r="AA92">
        <v>9</v>
      </c>
      <c r="AB92">
        <v>0.57599999999999996</v>
      </c>
      <c r="AC92">
        <v>4.4800000000000004</v>
      </c>
      <c r="AE92">
        <v>1</v>
      </c>
      <c r="AF92" t="s">
        <v>233</v>
      </c>
      <c r="AG92">
        <v>100</v>
      </c>
      <c r="AK92" t="s">
        <v>98</v>
      </c>
      <c r="AM92" t="s">
        <v>98</v>
      </c>
      <c r="AN92" t="s">
        <v>98</v>
      </c>
      <c r="AO92" t="s">
        <v>99</v>
      </c>
      <c r="AP92" t="s">
        <v>100</v>
      </c>
      <c r="AQ92" t="s">
        <v>101</v>
      </c>
      <c r="AV92" t="s">
        <v>98</v>
      </c>
      <c r="AX92" t="s">
        <v>279</v>
      </c>
      <c r="AZ92" t="s">
        <v>102</v>
      </c>
      <c r="BB92" t="s">
        <v>235</v>
      </c>
      <c r="BC92" t="s">
        <v>363</v>
      </c>
      <c r="BD92" t="s">
        <v>7528</v>
      </c>
      <c r="BF92" t="s">
        <v>372</v>
      </c>
      <c r="BG92" t="s">
        <v>98</v>
      </c>
      <c r="BH92" t="s">
        <v>98</v>
      </c>
      <c r="BI92" t="s">
        <v>98</v>
      </c>
      <c r="BK92" t="s">
        <v>110</v>
      </c>
      <c r="BL92" t="s">
        <v>7528</v>
      </c>
      <c r="BR92">
        <v>1</v>
      </c>
      <c r="BS92">
        <v>5</v>
      </c>
      <c r="BT92">
        <v>5</v>
      </c>
      <c r="CA92">
        <v>1421</v>
      </c>
      <c r="CB92" t="s">
        <v>279</v>
      </c>
      <c r="CL92" t="s">
        <v>99</v>
      </c>
      <c r="CM92" t="s">
        <v>99</v>
      </c>
      <c r="CN92" t="s">
        <v>365</v>
      </c>
      <c r="CO92" s="1">
        <v>38079</v>
      </c>
      <c r="CP92" s="1">
        <v>43633</v>
      </c>
    </row>
    <row r="93" spans="1:94" x14ac:dyDescent="0.25">
      <c r="A93" t="s">
        <v>373</v>
      </c>
      <c r="B93" t="str">
        <f xml:space="preserve"> "" &amp; 747396044668</f>
        <v>747396044668</v>
      </c>
      <c r="C93" t="s">
        <v>248</v>
      </c>
      <c r="D93" t="s">
        <v>6519</v>
      </c>
      <c r="E93" t="s">
        <v>362</v>
      </c>
      <c r="F93" t="s">
        <v>249</v>
      </c>
      <c r="G93">
        <v>1</v>
      </c>
      <c r="H93">
        <v>1</v>
      </c>
      <c r="I93" t="s">
        <v>97</v>
      </c>
      <c r="J93" s="10">
        <v>84</v>
      </c>
      <c r="K93" s="10">
        <v>252</v>
      </c>
      <c r="L93" s="10">
        <v>0</v>
      </c>
      <c r="N93" s="10">
        <v>0</v>
      </c>
      <c r="O93" t="s">
        <v>99</v>
      </c>
      <c r="P93" s="10">
        <v>169.95</v>
      </c>
      <c r="S93">
        <v>20</v>
      </c>
      <c r="T93">
        <v>23</v>
      </c>
      <c r="U93">
        <v>23</v>
      </c>
      <c r="W93">
        <v>8.5500000000000007</v>
      </c>
      <c r="X93">
        <v>1</v>
      </c>
      <c r="Y93">
        <v>18.25</v>
      </c>
      <c r="Z93">
        <v>14.5</v>
      </c>
      <c r="AA93">
        <v>12.5</v>
      </c>
      <c r="AB93">
        <v>1.9139999999999999</v>
      </c>
      <c r="AC93">
        <v>12.7</v>
      </c>
      <c r="AE93">
        <v>3</v>
      </c>
      <c r="AF93" t="s">
        <v>233</v>
      </c>
      <c r="AG93">
        <v>100</v>
      </c>
      <c r="AK93" t="s">
        <v>98</v>
      </c>
      <c r="AL93">
        <v>3</v>
      </c>
      <c r="AM93" t="s">
        <v>98</v>
      </c>
      <c r="AN93" t="s">
        <v>98</v>
      </c>
      <c r="AO93" t="s">
        <v>99</v>
      </c>
      <c r="AP93" t="s">
        <v>100</v>
      </c>
      <c r="AQ93" t="s">
        <v>101</v>
      </c>
      <c r="AV93" t="s">
        <v>98</v>
      </c>
      <c r="AX93" t="s">
        <v>279</v>
      </c>
      <c r="AZ93" t="s">
        <v>102</v>
      </c>
      <c r="BB93" t="s">
        <v>235</v>
      </c>
      <c r="BC93" t="s">
        <v>363</v>
      </c>
      <c r="BD93" t="s">
        <v>7528</v>
      </c>
      <c r="BF93" t="s">
        <v>374</v>
      </c>
      <c r="BG93" t="s">
        <v>98</v>
      </c>
      <c r="BH93" t="s">
        <v>98</v>
      </c>
      <c r="BI93" t="s">
        <v>98</v>
      </c>
      <c r="BK93" t="s">
        <v>127</v>
      </c>
      <c r="BL93" t="s">
        <v>7528</v>
      </c>
      <c r="BR93">
        <v>1</v>
      </c>
      <c r="BT93">
        <v>5</v>
      </c>
      <c r="CA93">
        <v>1423</v>
      </c>
      <c r="CB93" t="s">
        <v>279</v>
      </c>
      <c r="CL93" t="s">
        <v>99</v>
      </c>
      <c r="CM93" t="s">
        <v>99</v>
      </c>
      <c r="CN93" t="s">
        <v>365</v>
      </c>
      <c r="CO93" s="1">
        <v>38054</v>
      </c>
      <c r="CP93" s="1">
        <v>43633</v>
      </c>
    </row>
    <row r="94" spans="1:94" x14ac:dyDescent="0.25">
      <c r="A94" t="s">
        <v>375</v>
      </c>
      <c r="B94" t="str">
        <f xml:space="preserve"> "" &amp; 747396044736</f>
        <v>747396044736</v>
      </c>
      <c r="C94" t="s">
        <v>376</v>
      </c>
      <c r="D94" t="s">
        <v>6520</v>
      </c>
      <c r="E94" t="s">
        <v>362</v>
      </c>
      <c r="F94" t="s">
        <v>377</v>
      </c>
      <c r="G94">
        <v>1</v>
      </c>
      <c r="H94">
        <v>1</v>
      </c>
      <c r="I94" t="s">
        <v>97</v>
      </c>
      <c r="J94" s="10">
        <v>65</v>
      </c>
      <c r="K94" s="10">
        <v>195</v>
      </c>
      <c r="L94" s="10">
        <v>0</v>
      </c>
      <c r="N94" s="10">
        <v>0</v>
      </c>
      <c r="O94" t="s">
        <v>99</v>
      </c>
      <c r="P94" s="10">
        <v>129.94999999999999</v>
      </c>
      <c r="S94">
        <v>12</v>
      </c>
      <c r="T94">
        <v>17</v>
      </c>
      <c r="U94">
        <v>17</v>
      </c>
      <c r="W94">
        <v>8.14</v>
      </c>
      <c r="X94">
        <v>1</v>
      </c>
      <c r="Y94">
        <v>12.25</v>
      </c>
      <c r="Z94">
        <v>17.5</v>
      </c>
      <c r="AA94">
        <v>17.5</v>
      </c>
      <c r="AB94">
        <v>2.1709999999999998</v>
      </c>
      <c r="AC94">
        <v>10.050000000000001</v>
      </c>
      <c r="AE94">
        <v>3</v>
      </c>
      <c r="AF94" t="s">
        <v>233</v>
      </c>
      <c r="AG94">
        <v>100</v>
      </c>
      <c r="AK94" t="s">
        <v>98</v>
      </c>
      <c r="AM94" t="s">
        <v>98</v>
      </c>
      <c r="AN94" t="s">
        <v>98</v>
      </c>
      <c r="AO94" t="s">
        <v>99</v>
      </c>
      <c r="AP94" t="s">
        <v>100</v>
      </c>
      <c r="AQ94" t="s">
        <v>101</v>
      </c>
      <c r="AV94" t="s">
        <v>98</v>
      </c>
      <c r="AX94" t="s">
        <v>279</v>
      </c>
      <c r="AZ94" t="s">
        <v>102</v>
      </c>
      <c r="BB94" t="s">
        <v>235</v>
      </c>
      <c r="BC94" t="s">
        <v>363</v>
      </c>
      <c r="BD94" t="s">
        <v>7528</v>
      </c>
      <c r="BF94" t="s">
        <v>378</v>
      </c>
      <c r="BG94" t="s">
        <v>98</v>
      </c>
      <c r="BH94" t="s">
        <v>98</v>
      </c>
      <c r="BI94" t="s">
        <v>98</v>
      </c>
      <c r="BK94" t="s">
        <v>127</v>
      </c>
      <c r="BL94" t="s">
        <v>7528</v>
      </c>
      <c r="BR94">
        <v>1</v>
      </c>
      <c r="BT94">
        <v>4.88</v>
      </c>
      <c r="CA94">
        <v>1424</v>
      </c>
      <c r="CB94" t="s">
        <v>279</v>
      </c>
      <c r="CL94" t="s">
        <v>99</v>
      </c>
      <c r="CM94" t="s">
        <v>98</v>
      </c>
      <c r="CN94" t="s">
        <v>365</v>
      </c>
      <c r="CO94" s="1">
        <v>38054</v>
      </c>
      <c r="CP94" s="1">
        <v>43633</v>
      </c>
    </row>
    <row r="95" spans="1:94" x14ac:dyDescent="0.25">
      <c r="A95" t="s">
        <v>379</v>
      </c>
      <c r="B95" t="str">
        <f xml:space="preserve"> "" &amp; 747396052830</f>
        <v>747396052830</v>
      </c>
      <c r="C95" t="s">
        <v>376</v>
      </c>
      <c r="D95" t="s">
        <v>6520</v>
      </c>
      <c r="E95" t="s">
        <v>362</v>
      </c>
      <c r="F95" t="s">
        <v>380</v>
      </c>
      <c r="G95">
        <v>1</v>
      </c>
      <c r="H95">
        <v>1</v>
      </c>
      <c r="I95" t="s">
        <v>97</v>
      </c>
      <c r="J95" s="10">
        <v>73.5</v>
      </c>
      <c r="K95" s="10">
        <v>220.5</v>
      </c>
      <c r="L95" s="10">
        <v>0</v>
      </c>
      <c r="N95" s="10">
        <v>0</v>
      </c>
      <c r="S95">
        <v>11.75</v>
      </c>
      <c r="T95">
        <v>17</v>
      </c>
      <c r="U95">
        <v>17</v>
      </c>
      <c r="W95">
        <v>6.42</v>
      </c>
      <c r="X95">
        <v>1</v>
      </c>
      <c r="Y95">
        <v>12.25</v>
      </c>
      <c r="Z95">
        <v>17.5</v>
      </c>
      <c r="AA95">
        <v>17.5</v>
      </c>
      <c r="AB95">
        <v>2.1709999999999998</v>
      </c>
      <c r="AC95">
        <v>9.39</v>
      </c>
      <c r="AE95">
        <v>3</v>
      </c>
      <c r="AF95" t="s">
        <v>381</v>
      </c>
      <c r="AG95">
        <v>13</v>
      </c>
      <c r="AK95" t="s">
        <v>99</v>
      </c>
      <c r="AM95" t="s">
        <v>98</v>
      </c>
      <c r="AN95" t="s">
        <v>98</v>
      </c>
      <c r="AO95" t="s">
        <v>99</v>
      </c>
      <c r="AP95" t="s">
        <v>100</v>
      </c>
      <c r="AQ95" t="s">
        <v>101</v>
      </c>
      <c r="AV95" t="s">
        <v>99</v>
      </c>
      <c r="AX95" t="s">
        <v>279</v>
      </c>
      <c r="AZ95" t="s">
        <v>102</v>
      </c>
      <c r="BB95" t="s">
        <v>235</v>
      </c>
      <c r="BC95" t="s">
        <v>363</v>
      </c>
      <c r="BD95" t="s">
        <v>7528</v>
      </c>
      <c r="BF95" t="s">
        <v>382</v>
      </c>
      <c r="BG95" t="s">
        <v>98</v>
      </c>
      <c r="BH95" t="s">
        <v>98</v>
      </c>
      <c r="BI95" t="s">
        <v>98</v>
      </c>
      <c r="BK95" t="s">
        <v>110</v>
      </c>
      <c r="BL95" t="s">
        <v>7528</v>
      </c>
      <c r="BR95">
        <v>1</v>
      </c>
      <c r="BS95">
        <v>4.88</v>
      </c>
      <c r="BT95">
        <v>4.88</v>
      </c>
      <c r="CA95" t="s">
        <v>383</v>
      </c>
      <c r="CB95" t="s">
        <v>279</v>
      </c>
      <c r="CG95">
        <v>2700</v>
      </c>
      <c r="CL95" t="s">
        <v>98</v>
      </c>
      <c r="CM95" t="s">
        <v>98</v>
      </c>
      <c r="CN95" t="s">
        <v>365</v>
      </c>
      <c r="CO95" s="1">
        <v>38445</v>
      </c>
      <c r="CP95" s="1">
        <v>43633</v>
      </c>
    </row>
    <row r="96" spans="1:94" x14ac:dyDescent="0.25">
      <c r="A96" t="s">
        <v>384</v>
      </c>
      <c r="B96" t="str">
        <f xml:space="preserve"> "" &amp; 747396044675</f>
        <v>747396044675</v>
      </c>
      <c r="C96" t="s">
        <v>343</v>
      </c>
      <c r="D96" t="s">
        <v>6521</v>
      </c>
      <c r="E96" t="s">
        <v>362</v>
      </c>
      <c r="F96" t="s">
        <v>249</v>
      </c>
      <c r="G96">
        <v>1</v>
      </c>
      <c r="H96">
        <v>1</v>
      </c>
      <c r="I96" t="s">
        <v>97</v>
      </c>
      <c r="J96" s="10">
        <v>125</v>
      </c>
      <c r="K96" s="10">
        <v>375</v>
      </c>
      <c r="L96" s="10">
        <v>0</v>
      </c>
      <c r="N96" s="10">
        <v>0</v>
      </c>
      <c r="O96" t="s">
        <v>99</v>
      </c>
      <c r="P96" s="10">
        <v>249.95</v>
      </c>
      <c r="S96">
        <v>23.5</v>
      </c>
      <c r="T96">
        <v>27</v>
      </c>
      <c r="U96">
        <v>27</v>
      </c>
      <c r="W96">
        <v>13.76</v>
      </c>
      <c r="X96">
        <v>1</v>
      </c>
      <c r="Y96">
        <v>21.5</v>
      </c>
      <c r="Z96">
        <v>25.5</v>
      </c>
      <c r="AA96">
        <v>12.5</v>
      </c>
      <c r="AB96">
        <v>3.9660000000000002</v>
      </c>
      <c r="AC96">
        <v>18.739999999999998</v>
      </c>
      <c r="AE96">
        <v>5</v>
      </c>
      <c r="AF96" t="s">
        <v>233</v>
      </c>
      <c r="AG96">
        <v>100</v>
      </c>
      <c r="AK96" t="s">
        <v>98</v>
      </c>
      <c r="AL96">
        <v>5</v>
      </c>
      <c r="AM96" t="s">
        <v>98</v>
      </c>
      <c r="AN96" t="s">
        <v>98</v>
      </c>
      <c r="AO96" t="s">
        <v>99</v>
      </c>
      <c r="AP96" t="s">
        <v>100</v>
      </c>
      <c r="AQ96" t="s">
        <v>101</v>
      </c>
      <c r="AV96" t="s">
        <v>98</v>
      </c>
      <c r="AX96" t="s">
        <v>279</v>
      </c>
      <c r="AZ96" t="s">
        <v>102</v>
      </c>
      <c r="BB96" t="s">
        <v>235</v>
      </c>
      <c r="BC96" t="s">
        <v>363</v>
      </c>
      <c r="BD96" t="s">
        <v>7528</v>
      </c>
      <c r="BF96" t="s">
        <v>385</v>
      </c>
      <c r="BG96" t="s">
        <v>98</v>
      </c>
      <c r="BH96" t="s">
        <v>98</v>
      </c>
      <c r="BI96" t="s">
        <v>98</v>
      </c>
      <c r="BK96" t="s">
        <v>110</v>
      </c>
      <c r="BL96" t="s">
        <v>7528</v>
      </c>
      <c r="BR96">
        <v>1</v>
      </c>
      <c r="BT96">
        <v>5</v>
      </c>
      <c r="CA96">
        <v>1425</v>
      </c>
      <c r="CB96" t="s">
        <v>279</v>
      </c>
      <c r="CL96" t="s">
        <v>99</v>
      </c>
      <c r="CM96" t="s">
        <v>99</v>
      </c>
      <c r="CN96" t="s">
        <v>365</v>
      </c>
      <c r="CO96" s="1">
        <v>38054</v>
      </c>
      <c r="CP96" s="1">
        <v>43633</v>
      </c>
    </row>
    <row r="97" spans="1:94" x14ac:dyDescent="0.25">
      <c r="A97" t="s">
        <v>386</v>
      </c>
      <c r="B97" t="str">
        <f xml:space="preserve"> "" &amp; 747396044729</f>
        <v>747396044729</v>
      </c>
      <c r="C97" t="s">
        <v>243</v>
      </c>
      <c r="D97" t="s">
        <v>6522</v>
      </c>
      <c r="E97" t="s">
        <v>362</v>
      </c>
      <c r="F97" t="s">
        <v>240</v>
      </c>
      <c r="G97">
        <v>1</v>
      </c>
      <c r="H97">
        <v>1</v>
      </c>
      <c r="I97" t="s">
        <v>97</v>
      </c>
      <c r="J97" s="10">
        <v>79</v>
      </c>
      <c r="K97" s="10">
        <v>237</v>
      </c>
      <c r="L97" s="10">
        <v>0</v>
      </c>
      <c r="N97" s="10">
        <v>0</v>
      </c>
      <c r="O97" t="s">
        <v>99</v>
      </c>
      <c r="P97" s="10">
        <v>159.94999999999999</v>
      </c>
      <c r="S97">
        <v>20</v>
      </c>
      <c r="T97">
        <v>18.5</v>
      </c>
      <c r="U97">
        <v>18.5</v>
      </c>
      <c r="W97">
        <v>7.94</v>
      </c>
      <c r="X97">
        <v>1</v>
      </c>
      <c r="Y97">
        <v>12</v>
      </c>
      <c r="Z97">
        <v>18.5</v>
      </c>
      <c r="AA97">
        <v>18.5</v>
      </c>
      <c r="AB97">
        <v>2.3769999999999998</v>
      </c>
      <c r="AC97">
        <v>10.87</v>
      </c>
      <c r="AE97">
        <v>3</v>
      </c>
      <c r="AF97" t="s">
        <v>2629</v>
      </c>
      <c r="AG97">
        <v>100</v>
      </c>
      <c r="AK97" t="s">
        <v>98</v>
      </c>
      <c r="AM97" t="s">
        <v>98</v>
      </c>
      <c r="AN97" t="s">
        <v>98</v>
      </c>
      <c r="AO97" t="s">
        <v>99</v>
      </c>
      <c r="AP97" t="s">
        <v>100</v>
      </c>
      <c r="AQ97" t="s">
        <v>101</v>
      </c>
      <c r="AV97" t="s">
        <v>98</v>
      </c>
      <c r="AX97" t="s">
        <v>279</v>
      </c>
      <c r="AZ97" t="s">
        <v>102</v>
      </c>
      <c r="BB97" t="s">
        <v>235</v>
      </c>
      <c r="BC97" t="s">
        <v>363</v>
      </c>
      <c r="BD97" t="s">
        <v>7528</v>
      </c>
      <c r="BF97" t="s">
        <v>387</v>
      </c>
      <c r="BG97" t="s">
        <v>98</v>
      </c>
      <c r="BH97" t="s">
        <v>98</v>
      </c>
      <c r="BI97" t="s">
        <v>98</v>
      </c>
      <c r="BK97" t="s">
        <v>110</v>
      </c>
      <c r="BL97" t="s">
        <v>236</v>
      </c>
      <c r="BR97">
        <v>1</v>
      </c>
      <c r="BT97">
        <v>5</v>
      </c>
      <c r="CA97">
        <v>1426</v>
      </c>
      <c r="CB97" t="s">
        <v>279</v>
      </c>
      <c r="CL97" t="s">
        <v>99</v>
      </c>
      <c r="CM97" t="s">
        <v>99</v>
      </c>
      <c r="CN97" t="s">
        <v>365</v>
      </c>
      <c r="CO97" s="1">
        <v>38054</v>
      </c>
      <c r="CP97" s="1">
        <v>43633</v>
      </c>
    </row>
    <row r="98" spans="1:94" x14ac:dyDescent="0.25">
      <c r="A98" t="s">
        <v>388</v>
      </c>
      <c r="B98" t="str">
        <f xml:space="preserve"> "" &amp; 747396044682</f>
        <v>747396044682</v>
      </c>
      <c r="C98" t="s">
        <v>350</v>
      </c>
      <c r="D98" t="s">
        <v>6523</v>
      </c>
      <c r="E98" t="s">
        <v>362</v>
      </c>
      <c r="F98" t="s">
        <v>249</v>
      </c>
      <c r="G98">
        <v>1</v>
      </c>
      <c r="H98">
        <v>1</v>
      </c>
      <c r="I98" t="s">
        <v>97</v>
      </c>
      <c r="J98" s="10">
        <v>209</v>
      </c>
      <c r="K98" s="10">
        <v>627</v>
      </c>
      <c r="L98" s="10">
        <v>0</v>
      </c>
      <c r="N98" s="10">
        <v>0</v>
      </c>
      <c r="O98" t="s">
        <v>99</v>
      </c>
      <c r="P98" s="10">
        <v>419.95</v>
      </c>
      <c r="S98">
        <v>27</v>
      </c>
      <c r="U98">
        <v>34</v>
      </c>
      <c r="W98">
        <v>23.15</v>
      </c>
      <c r="X98">
        <v>1</v>
      </c>
      <c r="Y98">
        <v>25.5</v>
      </c>
      <c r="Z98">
        <v>31.5</v>
      </c>
      <c r="AA98">
        <v>18.5</v>
      </c>
      <c r="AB98">
        <v>8.6</v>
      </c>
      <c r="AC98">
        <v>34.99</v>
      </c>
      <c r="AE98">
        <v>9</v>
      </c>
      <c r="AF98" t="s">
        <v>233</v>
      </c>
      <c r="AG98">
        <v>100</v>
      </c>
      <c r="AK98" t="s">
        <v>98</v>
      </c>
      <c r="AL98">
        <v>9</v>
      </c>
      <c r="AM98" t="s">
        <v>98</v>
      </c>
      <c r="AN98" t="s">
        <v>98</v>
      </c>
      <c r="AO98" t="s">
        <v>99</v>
      </c>
      <c r="AP98" t="s">
        <v>100</v>
      </c>
      <c r="AQ98" t="s">
        <v>101</v>
      </c>
      <c r="AV98" t="s">
        <v>98</v>
      </c>
      <c r="AX98" t="s">
        <v>279</v>
      </c>
      <c r="AZ98" t="s">
        <v>102</v>
      </c>
      <c r="BB98" t="s">
        <v>235</v>
      </c>
      <c r="BC98" t="s">
        <v>5177</v>
      </c>
      <c r="BD98" t="s">
        <v>7528</v>
      </c>
      <c r="BF98" t="s">
        <v>389</v>
      </c>
      <c r="BG98" t="s">
        <v>98</v>
      </c>
      <c r="BH98" t="s">
        <v>98</v>
      </c>
      <c r="BI98" t="s">
        <v>98</v>
      </c>
      <c r="BK98" t="s">
        <v>110</v>
      </c>
      <c r="BL98" t="s">
        <v>7528</v>
      </c>
      <c r="BR98">
        <v>1</v>
      </c>
      <c r="BT98">
        <v>5</v>
      </c>
      <c r="CA98">
        <v>1429</v>
      </c>
      <c r="CB98" t="s">
        <v>279</v>
      </c>
      <c r="CL98" t="s">
        <v>98</v>
      </c>
      <c r="CM98" t="s">
        <v>99</v>
      </c>
      <c r="CN98" t="s">
        <v>365</v>
      </c>
      <c r="CO98" s="1">
        <v>38054</v>
      </c>
      <c r="CP98" s="1">
        <v>43633</v>
      </c>
    </row>
    <row r="99" spans="1:94" x14ac:dyDescent="0.25">
      <c r="A99" t="s">
        <v>390</v>
      </c>
      <c r="B99" t="str">
        <f xml:space="preserve"> "" &amp; 747396058054</f>
        <v>747396058054</v>
      </c>
      <c r="C99" t="s">
        <v>391</v>
      </c>
      <c r="D99" t="s">
        <v>6524</v>
      </c>
      <c r="E99" t="s">
        <v>362</v>
      </c>
      <c r="F99" t="s">
        <v>358</v>
      </c>
      <c r="G99">
        <v>1</v>
      </c>
      <c r="H99">
        <v>1</v>
      </c>
      <c r="I99" t="s">
        <v>97</v>
      </c>
      <c r="J99" s="10">
        <v>119</v>
      </c>
      <c r="K99" s="10">
        <v>357</v>
      </c>
      <c r="L99" s="10">
        <v>0</v>
      </c>
      <c r="N99" s="10">
        <v>0</v>
      </c>
      <c r="O99" t="s">
        <v>99</v>
      </c>
      <c r="P99" s="10">
        <v>239.95</v>
      </c>
      <c r="S99">
        <v>33</v>
      </c>
      <c r="U99">
        <v>24</v>
      </c>
      <c r="V99">
        <v>1.5</v>
      </c>
      <c r="W99">
        <v>19.8</v>
      </c>
      <c r="X99">
        <v>1</v>
      </c>
      <c r="Y99">
        <v>28</v>
      </c>
      <c r="Z99">
        <v>37</v>
      </c>
      <c r="AA99">
        <v>4.5</v>
      </c>
      <c r="AB99">
        <v>2.698</v>
      </c>
      <c r="AC99">
        <v>23.57</v>
      </c>
      <c r="AF99" t="s">
        <v>7528</v>
      </c>
      <c r="AK99" t="s">
        <v>98</v>
      </c>
      <c r="AM99" t="s">
        <v>98</v>
      </c>
      <c r="AN99" t="s">
        <v>98</v>
      </c>
      <c r="AO99" t="s">
        <v>98</v>
      </c>
      <c r="AP99" t="s">
        <v>100</v>
      </c>
      <c r="AQ99" t="s">
        <v>101</v>
      </c>
      <c r="AV99" t="s">
        <v>98</v>
      </c>
      <c r="AX99" t="s">
        <v>279</v>
      </c>
      <c r="AZ99" t="s">
        <v>392</v>
      </c>
      <c r="BB99" t="s">
        <v>235</v>
      </c>
      <c r="BC99" t="s">
        <v>5177</v>
      </c>
      <c r="BD99" t="s">
        <v>7528</v>
      </c>
      <c r="BF99" t="s">
        <v>393</v>
      </c>
      <c r="BG99" t="s">
        <v>98</v>
      </c>
      <c r="BH99" t="s">
        <v>98</v>
      </c>
      <c r="BI99" t="s">
        <v>98</v>
      </c>
      <c r="BK99" t="s">
        <v>7528</v>
      </c>
      <c r="BL99" t="s">
        <v>7528</v>
      </c>
      <c r="CA99">
        <v>1430</v>
      </c>
      <c r="CB99" t="s">
        <v>279</v>
      </c>
      <c r="CL99" t="s">
        <v>98</v>
      </c>
      <c r="CM99" t="s">
        <v>98</v>
      </c>
      <c r="CN99" t="s">
        <v>394</v>
      </c>
      <c r="CO99" s="1">
        <v>38933</v>
      </c>
      <c r="CP99" s="1">
        <v>43633</v>
      </c>
    </row>
    <row r="100" spans="1:94" x14ac:dyDescent="0.25">
      <c r="A100" t="s">
        <v>395</v>
      </c>
      <c r="B100" t="str">
        <f xml:space="preserve"> "" &amp; 747396073880</f>
        <v>747396073880</v>
      </c>
      <c r="C100" t="s">
        <v>396</v>
      </c>
      <c r="D100" t="s">
        <v>397</v>
      </c>
      <c r="E100" t="s">
        <v>7528</v>
      </c>
      <c r="F100" t="s">
        <v>398</v>
      </c>
      <c r="G100">
        <v>1</v>
      </c>
      <c r="H100">
        <v>1</v>
      </c>
      <c r="I100" t="s">
        <v>97</v>
      </c>
      <c r="J100" s="10">
        <v>179</v>
      </c>
      <c r="K100" s="10">
        <v>537</v>
      </c>
      <c r="L100" s="10">
        <v>0</v>
      </c>
      <c r="N100" s="10">
        <v>0</v>
      </c>
      <c r="O100" t="s">
        <v>99</v>
      </c>
      <c r="P100" s="10">
        <v>359.95</v>
      </c>
      <c r="S100">
        <v>24.5</v>
      </c>
      <c r="U100">
        <v>19.5</v>
      </c>
      <c r="V100">
        <v>3.25</v>
      </c>
      <c r="W100">
        <v>11.68</v>
      </c>
      <c r="Y100">
        <v>29.5</v>
      </c>
      <c r="Z100">
        <v>28.625</v>
      </c>
      <c r="AA100">
        <v>7.625</v>
      </c>
      <c r="AB100">
        <v>3.726</v>
      </c>
      <c r="AC100">
        <v>13.89</v>
      </c>
      <c r="AF100" t="s">
        <v>7528</v>
      </c>
      <c r="AK100" t="s">
        <v>98</v>
      </c>
      <c r="AM100" t="s">
        <v>98</v>
      </c>
      <c r="AN100" t="s">
        <v>98</v>
      </c>
      <c r="AO100" t="s">
        <v>98</v>
      </c>
      <c r="AP100" t="s">
        <v>100</v>
      </c>
      <c r="AQ100" t="s">
        <v>101</v>
      </c>
      <c r="AV100" t="s">
        <v>98</v>
      </c>
      <c r="AX100" t="s">
        <v>399</v>
      </c>
      <c r="AZ100" t="s">
        <v>124</v>
      </c>
      <c r="BB100" t="s">
        <v>235</v>
      </c>
      <c r="BC100" t="s">
        <v>7595</v>
      </c>
      <c r="BD100" t="s">
        <v>7528</v>
      </c>
      <c r="BF100" t="s">
        <v>400</v>
      </c>
      <c r="BG100" t="s">
        <v>98</v>
      </c>
      <c r="BH100" t="s">
        <v>98</v>
      </c>
      <c r="BI100" t="s">
        <v>98</v>
      </c>
      <c r="BK100" t="s">
        <v>7528</v>
      </c>
      <c r="BL100" t="s">
        <v>7528</v>
      </c>
      <c r="CA100">
        <v>1431</v>
      </c>
      <c r="CB100" t="s">
        <v>399</v>
      </c>
      <c r="CL100" t="s">
        <v>98</v>
      </c>
      <c r="CM100" t="s">
        <v>98</v>
      </c>
      <c r="CN100" t="s">
        <v>401</v>
      </c>
      <c r="CO100" s="1">
        <v>40182</v>
      </c>
      <c r="CP100" s="1">
        <v>43633</v>
      </c>
    </row>
    <row r="101" spans="1:94" x14ac:dyDescent="0.25">
      <c r="A101" t="s">
        <v>402</v>
      </c>
      <c r="B101" t="str">
        <f xml:space="preserve"> "" &amp; 747396073897</f>
        <v>747396073897</v>
      </c>
      <c r="C101" t="s">
        <v>396</v>
      </c>
      <c r="D101" t="s">
        <v>397</v>
      </c>
      <c r="E101" t="s">
        <v>7528</v>
      </c>
      <c r="F101" t="s">
        <v>398</v>
      </c>
      <c r="G101">
        <v>1</v>
      </c>
      <c r="H101">
        <v>1</v>
      </c>
      <c r="I101" t="s">
        <v>97</v>
      </c>
      <c r="J101" s="10">
        <v>179</v>
      </c>
      <c r="K101" s="10">
        <v>537</v>
      </c>
      <c r="L101" s="10">
        <v>0</v>
      </c>
      <c r="N101" s="10">
        <v>0</v>
      </c>
      <c r="O101" t="s">
        <v>99</v>
      </c>
      <c r="P101" s="10">
        <v>359.95</v>
      </c>
      <c r="S101">
        <v>24.5</v>
      </c>
      <c r="U101">
        <v>19.5</v>
      </c>
      <c r="V101">
        <v>3.25</v>
      </c>
      <c r="W101">
        <v>25</v>
      </c>
      <c r="Y101">
        <v>29.5</v>
      </c>
      <c r="Z101">
        <v>28.625</v>
      </c>
      <c r="AA101">
        <v>7.625</v>
      </c>
      <c r="AB101">
        <v>3.726</v>
      </c>
      <c r="AC101">
        <v>18.190000000000001</v>
      </c>
      <c r="AF101" t="s">
        <v>7528</v>
      </c>
      <c r="AK101" t="s">
        <v>98</v>
      </c>
      <c r="AM101" t="s">
        <v>98</v>
      </c>
      <c r="AN101" t="s">
        <v>98</v>
      </c>
      <c r="AO101" t="s">
        <v>98</v>
      </c>
      <c r="AP101" t="s">
        <v>100</v>
      </c>
      <c r="AQ101" t="s">
        <v>101</v>
      </c>
      <c r="AV101" t="s">
        <v>98</v>
      </c>
      <c r="AX101" t="s">
        <v>279</v>
      </c>
      <c r="AZ101" t="s">
        <v>124</v>
      </c>
      <c r="BB101" t="s">
        <v>235</v>
      </c>
      <c r="BC101" t="s">
        <v>7595</v>
      </c>
      <c r="BD101" t="s">
        <v>7528</v>
      </c>
      <c r="BF101" t="s">
        <v>403</v>
      </c>
      <c r="BG101" t="s">
        <v>98</v>
      </c>
      <c r="BH101" t="s">
        <v>98</v>
      </c>
      <c r="BI101" t="s">
        <v>98</v>
      </c>
      <c r="BK101" t="s">
        <v>7528</v>
      </c>
      <c r="BL101" t="s">
        <v>7528</v>
      </c>
      <c r="CA101">
        <v>1431</v>
      </c>
      <c r="CB101" t="s">
        <v>279</v>
      </c>
      <c r="CL101" t="s">
        <v>98</v>
      </c>
      <c r="CM101" t="s">
        <v>98</v>
      </c>
      <c r="CN101" t="s">
        <v>7528</v>
      </c>
      <c r="CO101" s="1">
        <v>40933</v>
      </c>
      <c r="CP101" s="1">
        <v>43633</v>
      </c>
    </row>
    <row r="102" spans="1:94" x14ac:dyDescent="0.25">
      <c r="A102" t="s">
        <v>404</v>
      </c>
      <c r="B102" t="str">
        <f xml:space="preserve"> "" &amp; 747396073934</f>
        <v>747396073934</v>
      </c>
      <c r="C102" t="s">
        <v>405</v>
      </c>
      <c r="D102" t="s">
        <v>397</v>
      </c>
      <c r="E102" t="s">
        <v>7528</v>
      </c>
      <c r="F102" t="s">
        <v>398</v>
      </c>
      <c r="G102">
        <v>1</v>
      </c>
      <c r="H102">
        <v>1</v>
      </c>
      <c r="I102" t="s">
        <v>97</v>
      </c>
      <c r="J102" s="10">
        <v>239</v>
      </c>
      <c r="K102" s="10">
        <v>717</v>
      </c>
      <c r="L102" s="10">
        <v>0</v>
      </c>
      <c r="N102" s="10">
        <v>0</v>
      </c>
      <c r="O102" t="s">
        <v>99</v>
      </c>
      <c r="P102" s="10">
        <v>479.95</v>
      </c>
      <c r="S102">
        <v>35.75</v>
      </c>
      <c r="U102">
        <v>27</v>
      </c>
      <c r="V102">
        <v>3.75</v>
      </c>
      <c r="W102">
        <v>17.59</v>
      </c>
      <c r="Y102">
        <v>41</v>
      </c>
      <c r="Z102">
        <v>30.5</v>
      </c>
      <c r="AA102">
        <v>7.63</v>
      </c>
      <c r="AB102">
        <v>5.5220000000000002</v>
      </c>
      <c r="AC102">
        <v>27.09</v>
      </c>
      <c r="AF102" t="s">
        <v>7528</v>
      </c>
      <c r="AK102" t="s">
        <v>98</v>
      </c>
      <c r="AM102" t="s">
        <v>98</v>
      </c>
      <c r="AN102" t="s">
        <v>98</v>
      </c>
      <c r="AO102" t="s">
        <v>98</v>
      </c>
      <c r="AP102" t="s">
        <v>100</v>
      </c>
      <c r="AQ102" t="s">
        <v>101</v>
      </c>
      <c r="AV102" t="s">
        <v>98</v>
      </c>
      <c r="AX102" t="s">
        <v>406</v>
      </c>
      <c r="AZ102" t="s">
        <v>124</v>
      </c>
      <c r="BB102" t="s">
        <v>235</v>
      </c>
      <c r="BC102" t="s">
        <v>7595</v>
      </c>
      <c r="BD102" t="s">
        <v>7528</v>
      </c>
      <c r="BF102" t="s">
        <v>407</v>
      </c>
      <c r="BG102" t="s">
        <v>98</v>
      </c>
      <c r="BH102" t="s">
        <v>98</v>
      </c>
      <c r="BI102" t="s">
        <v>98</v>
      </c>
      <c r="BK102" t="s">
        <v>7528</v>
      </c>
      <c r="BL102" t="s">
        <v>7528</v>
      </c>
      <c r="CA102">
        <v>1432</v>
      </c>
      <c r="CB102" t="s">
        <v>406</v>
      </c>
      <c r="CL102" t="s">
        <v>98</v>
      </c>
      <c r="CM102" t="s">
        <v>98</v>
      </c>
      <c r="CN102" t="s">
        <v>7528</v>
      </c>
      <c r="CO102" s="1">
        <v>40184</v>
      </c>
      <c r="CP102" s="1">
        <v>43633</v>
      </c>
    </row>
    <row r="103" spans="1:94" x14ac:dyDescent="0.25">
      <c r="A103" t="s">
        <v>408</v>
      </c>
      <c r="B103" t="str">
        <f xml:space="preserve"> "" &amp; 747396073910</f>
        <v>747396073910</v>
      </c>
      <c r="C103" t="s">
        <v>405</v>
      </c>
      <c r="D103" t="s">
        <v>397</v>
      </c>
      <c r="E103" t="s">
        <v>7528</v>
      </c>
      <c r="F103" t="s">
        <v>398</v>
      </c>
      <c r="G103">
        <v>1</v>
      </c>
      <c r="H103">
        <v>1</v>
      </c>
      <c r="I103" t="s">
        <v>97</v>
      </c>
      <c r="J103" s="10">
        <v>239</v>
      </c>
      <c r="K103" s="10">
        <v>717</v>
      </c>
      <c r="L103" s="10">
        <v>0</v>
      </c>
      <c r="N103" s="10">
        <v>0</v>
      </c>
      <c r="O103" t="s">
        <v>99</v>
      </c>
      <c r="P103" s="10">
        <v>479.95</v>
      </c>
      <c r="S103">
        <v>35.75</v>
      </c>
      <c r="U103">
        <v>27</v>
      </c>
      <c r="V103">
        <v>3.75</v>
      </c>
      <c r="W103">
        <v>17.59</v>
      </c>
      <c r="Y103">
        <v>41</v>
      </c>
      <c r="Z103">
        <v>30.5</v>
      </c>
      <c r="AA103">
        <v>7.63</v>
      </c>
      <c r="AB103">
        <v>5.5220000000000002</v>
      </c>
      <c r="AC103">
        <v>27.09</v>
      </c>
      <c r="AF103" t="s">
        <v>7528</v>
      </c>
      <c r="AK103" t="s">
        <v>98</v>
      </c>
      <c r="AM103" t="s">
        <v>98</v>
      </c>
      <c r="AN103" t="s">
        <v>98</v>
      </c>
      <c r="AO103" t="s">
        <v>98</v>
      </c>
      <c r="AP103" t="s">
        <v>100</v>
      </c>
      <c r="AQ103" t="s">
        <v>101</v>
      </c>
      <c r="AV103" t="s">
        <v>98</v>
      </c>
      <c r="AX103" t="s">
        <v>399</v>
      </c>
      <c r="AZ103" t="s">
        <v>124</v>
      </c>
      <c r="BB103" t="s">
        <v>235</v>
      </c>
      <c r="BC103" t="s">
        <v>7595</v>
      </c>
      <c r="BD103" t="s">
        <v>7528</v>
      </c>
      <c r="BF103" t="s">
        <v>409</v>
      </c>
      <c r="BG103" t="s">
        <v>98</v>
      </c>
      <c r="BH103" t="s">
        <v>98</v>
      </c>
      <c r="BI103" t="s">
        <v>98</v>
      </c>
      <c r="BK103" t="s">
        <v>7528</v>
      </c>
      <c r="BL103" t="s">
        <v>7528</v>
      </c>
      <c r="CA103">
        <v>1432</v>
      </c>
      <c r="CB103" t="s">
        <v>399</v>
      </c>
      <c r="CL103" t="s">
        <v>98</v>
      </c>
      <c r="CM103" t="s">
        <v>98</v>
      </c>
      <c r="CN103" t="s">
        <v>7528</v>
      </c>
      <c r="CO103" s="1">
        <v>40184</v>
      </c>
      <c r="CP103" s="1">
        <v>43633</v>
      </c>
    </row>
    <row r="104" spans="1:94" x14ac:dyDescent="0.25">
      <c r="A104" t="s">
        <v>410</v>
      </c>
      <c r="B104" t="str">
        <f xml:space="preserve"> "" &amp; 747396073927</f>
        <v>747396073927</v>
      </c>
      <c r="C104" t="s">
        <v>405</v>
      </c>
      <c r="D104" t="s">
        <v>397</v>
      </c>
      <c r="E104" t="s">
        <v>7528</v>
      </c>
      <c r="F104" t="s">
        <v>398</v>
      </c>
      <c r="G104">
        <v>1</v>
      </c>
      <c r="H104">
        <v>1</v>
      </c>
      <c r="I104" t="s">
        <v>97</v>
      </c>
      <c r="J104" s="10">
        <v>239</v>
      </c>
      <c r="K104" s="10">
        <v>717</v>
      </c>
      <c r="L104" s="10">
        <v>0</v>
      </c>
      <c r="N104" s="10">
        <v>0</v>
      </c>
      <c r="O104" t="s">
        <v>99</v>
      </c>
      <c r="P104" s="10">
        <v>479.95</v>
      </c>
      <c r="S104">
        <v>35.75</v>
      </c>
      <c r="U104">
        <v>27</v>
      </c>
      <c r="V104">
        <v>3.75</v>
      </c>
      <c r="W104">
        <v>17.59</v>
      </c>
      <c r="Y104">
        <v>41</v>
      </c>
      <c r="Z104">
        <v>30.5</v>
      </c>
      <c r="AA104">
        <v>7.63</v>
      </c>
      <c r="AB104">
        <v>5.5220000000000002</v>
      </c>
      <c r="AC104">
        <v>27.09</v>
      </c>
      <c r="AF104" t="s">
        <v>7528</v>
      </c>
      <c r="AK104" t="s">
        <v>98</v>
      </c>
      <c r="AM104" t="s">
        <v>98</v>
      </c>
      <c r="AN104" t="s">
        <v>98</v>
      </c>
      <c r="AO104" t="s">
        <v>98</v>
      </c>
      <c r="AP104" t="s">
        <v>100</v>
      </c>
      <c r="AQ104" t="s">
        <v>101</v>
      </c>
      <c r="AV104" t="s">
        <v>98</v>
      </c>
      <c r="AX104" t="s">
        <v>279</v>
      </c>
      <c r="AZ104" t="s">
        <v>124</v>
      </c>
      <c r="BB104" t="s">
        <v>235</v>
      </c>
      <c r="BC104" t="s">
        <v>7595</v>
      </c>
      <c r="BD104" t="s">
        <v>7528</v>
      </c>
      <c r="BF104" t="s">
        <v>411</v>
      </c>
      <c r="BG104" t="s">
        <v>98</v>
      </c>
      <c r="BH104" t="s">
        <v>98</v>
      </c>
      <c r="BI104" t="s">
        <v>98</v>
      </c>
      <c r="BK104" t="s">
        <v>7528</v>
      </c>
      <c r="BL104" t="s">
        <v>7528</v>
      </c>
      <c r="CA104">
        <v>1432</v>
      </c>
      <c r="CB104" t="s">
        <v>279</v>
      </c>
      <c r="CL104" t="s">
        <v>98</v>
      </c>
      <c r="CM104" t="s">
        <v>98</v>
      </c>
      <c r="CN104" t="s">
        <v>7528</v>
      </c>
      <c r="CO104" s="1">
        <v>40182</v>
      </c>
      <c r="CP104" s="1">
        <v>43633</v>
      </c>
    </row>
    <row r="105" spans="1:94" x14ac:dyDescent="0.25">
      <c r="A105" t="s">
        <v>412</v>
      </c>
      <c r="B105" t="str">
        <f xml:space="preserve"> "" &amp; 747396073941</f>
        <v>747396073941</v>
      </c>
      <c r="C105" t="s">
        <v>413</v>
      </c>
      <c r="D105" t="s">
        <v>397</v>
      </c>
      <c r="E105" t="s">
        <v>7528</v>
      </c>
      <c r="F105" t="s">
        <v>398</v>
      </c>
      <c r="G105">
        <v>1</v>
      </c>
      <c r="H105">
        <v>1</v>
      </c>
      <c r="I105" t="s">
        <v>97</v>
      </c>
      <c r="J105" s="10">
        <v>239</v>
      </c>
      <c r="K105" s="10">
        <v>717</v>
      </c>
      <c r="L105" s="10">
        <v>0</v>
      </c>
      <c r="N105" s="10">
        <v>0</v>
      </c>
      <c r="O105" t="s">
        <v>99</v>
      </c>
      <c r="P105" s="10">
        <v>479.95</v>
      </c>
      <c r="S105">
        <v>31.5</v>
      </c>
      <c r="U105">
        <v>31</v>
      </c>
      <c r="V105">
        <v>3.75</v>
      </c>
      <c r="W105">
        <v>18.3</v>
      </c>
      <c r="Y105">
        <v>36.630000000000003</v>
      </c>
      <c r="Z105">
        <v>34.5</v>
      </c>
      <c r="AA105">
        <v>7.63</v>
      </c>
      <c r="AB105">
        <v>5.58</v>
      </c>
      <c r="AC105">
        <v>28.44</v>
      </c>
      <c r="AF105" t="s">
        <v>7528</v>
      </c>
      <c r="AK105" t="s">
        <v>98</v>
      </c>
      <c r="AM105" t="s">
        <v>98</v>
      </c>
      <c r="AN105" t="s">
        <v>98</v>
      </c>
      <c r="AO105" t="s">
        <v>98</v>
      </c>
      <c r="AP105" t="s">
        <v>100</v>
      </c>
      <c r="AQ105" t="s">
        <v>101</v>
      </c>
      <c r="AV105" t="s">
        <v>98</v>
      </c>
      <c r="AX105" t="s">
        <v>399</v>
      </c>
      <c r="AZ105" t="s">
        <v>124</v>
      </c>
      <c r="BB105" t="s">
        <v>235</v>
      </c>
      <c r="BC105" t="s">
        <v>7595</v>
      </c>
      <c r="BD105" t="s">
        <v>7528</v>
      </c>
      <c r="BF105" t="s">
        <v>414</v>
      </c>
      <c r="BG105" t="s">
        <v>98</v>
      </c>
      <c r="BH105" t="s">
        <v>98</v>
      </c>
      <c r="BI105" t="s">
        <v>98</v>
      </c>
      <c r="BK105" t="s">
        <v>7528</v>
      </c>
      <c r="BL105" t="s">
        <v>7528</v>
      </c>
      <c r="CA105">
        <v>1433</v>
      </c>
      <c r="CB105" t="s">
        <v>399</v>
      </c>
      <c r="CL105" t="s">
        <v>98</v>
      </c>
      <c r="CM105" t="s">
        <v>98</v>
      </c>
      <c r="CN105" t="s">
        <v>7528</v>
      </c>
      <c r="CO105" s="1">
        <v>40184</v>
      </c>
      <c r="CP105" s="1">
        <v>43633</v>
      </c>
    </row>
    <row r="106" spans="1:94" x14ac:dyDescent="0.25">
      <c r="A106" t="s">
        <v>415</v>
      </c>
      <c r="B106" t="str">
        <f xml:space="preserve"> "" &amp; 747396073958</f>
        <v>747396073958</v>
      </c>
      <c r="C106" t="s">
        <v>413</v>
      </c>
      <c r="D106" t="s">
        <v>397</v>
      </c>
      <c r="E106" t="s">
        <v>7528</v>
      </c>
      <c r="F106" t="s">
        <v>398</v>
      </c>
      <c r="G106">
        <v>1</v>
      </c>
      <c r="H106">
        <v>1</v>
      </c>
      <c r="I106" t="s">
        <v>97</v>
      </c>
      <c r="J106" s="10">
        <v>239</v>
      </c>
      <c r="K106" s="10">
        <v>717</v>
      </c>
      <c r="L106" s="10">
        <v>0</v>
      </c>
      <c r="N106" s="10">
        <v>0</v>
      </c>
      <c r="O106" t="s">
        <v>99</v>
      </c>
      <c r="P106" s="10">
        <v>479.95</v>
      </c>
      <c r="S106">
        <v>31.5</v>
      </c>
      <c r="U106">
        <v>31</v>
      </c>
      <c r="V106">
        <v>3.75</v>
      </c>
      <c r="W106">
        <v>18.3</v>
      </c>
      <c r="Y106">
        <v>36.630000000000003</v>
      </c>
      <c r="Z106">
        <v>34.5</v>
      </c>
      <c r="AA106">
        <v>7.63</v>
      </c>
      <c r="AB106">
        <v>5.58</v>
      </c>
      <c r="AC106">
        <v>28.44</v>
      </c>
      <c r="AF106" t="s">
        <v>7528</v>
      </c>
      <c r="AK106" t="s">
        <v>98</v>
      </c>
      <c r="AM106" t="s">
        <v>98</v>
      </c>
      <c r="AN106" t="s">
        <v>98</v>
      </c>
      <c r="AO106" t="s">
        <v>98</v>
      </c>
      <c r="AP106" t="s">
        <v>100</v>
      </c>
      <c r="AQ106" t="s">
        <v>101</v>
      </c>
      <c r="AV106" t="s">
        <v>98</v>
      </c>
      <c r="AX106" t="s">
        <v>279</v>
      </c>
      <c r="AZ106" t="s">
        <v>124</v>
      </c>
      <c r="BB106" t="s">
        <v>235</v>
      </c>
      <c r="BC106" t="s">
        <v>7595</v>
      </c>
      <c r="BD106" t="s">
        <v>7528</v>
      </c>
      <c r="BF106" t="s">
        <v>416</v>
      </c>
      <c r="BG106" t="s">
        <v>98</v>
      </c>
      <c r="BH106" t="s">
        <v>98</v>
      </c>
      <c r="BI106" t="s">
        <v>98</v>
      </c>
      <c r="BK106" t="s">
        <v>7528</v>
      </c>
      <c r="BL106" t="s">
        <v>7528</v>
      </c>
      <c r="CA106">
        <v>1433</v>
      </c>
      <c r="CB106" t="s">
        <v>279</v>
      </c>
      <c r="CL106" t="s">
        <v>98</v>
      </c>
      <c r="CM106" t="s">
        <v>98</v>
      </c>
      <c r="CN106" t="s">
        <v>7528</v>
      </c>
      <c r="CO106" s="1">
        <v>40184</v>
      </c>
      <c r="CP106" s="1">
        <v>43633</v>
      </c>
    </row>
    <row r="107" spans="1:94" x14ac:dyDescent="0.25">
      <c r="A107" t="s">
        <v>417</v>
      </c>
      <c r="B107" t="str">
        <f xml:space="preserve"> "" &amp; 747396073835</f>
        <v>747396073835</v>
      </c>
      <c r="C107" t="s">
        <v>418</v>
      </c>
      <c r="D107" t="s">
        <v>419</v>
      </c>
      <c r="E107" t="s">
        <v>7528</v>
      </c>
      <c r="F107" t="s">
        <v>398</v>
      </c>
      <c r="G107">
        <v>1</v>
      </c>
      <c r="H107">
        <v>1</v>
      </c>
      <c r="I107" t="s">
        <v>97</v>
      </c>
      <c r="J107" s="10">
        <v>179</v>
      </c>
      <c r="K107" s="10">
        <v>537</v>
      </c>
      <c r="L107" s="10">
        <v>0</v>
      </c>
      <c r="N107" s="10">
        <v>0</v>
      </c>
      <c r="O107" t="s">
        <v>99</v>
      </c>
      <c r="P107" s="10">
        <v>359.95</v>
      </c>
      <c r="S107">
        <v>24</v>
      </c>
      <c r="U107">
        <v>18</v>
      </c>
      <c r="V107">
        <v>3.25</v>
      </c>
      <c r="W107">
        <v>14.33</v>
      </c>
      <c r="Y107">
        <v>29.125</v>
      </c>
      <c r="Z107">
        <v>27.125</v>
      </c>
      <c r="AA107">
        <v>7.625</v>
      </c>
      <c r="AB107">
        <v>3.4860000000000002</v>
      </c>
      <c r="AC107">
        <v>17.64</v>
      </c>
      <c r="AF107" t="s">
        <v>7528</v>
      </c>
      <c r="AK107" t="s">
        <v>98</v>
      </c>
      <c r="AM107" t="s">
        <v>98</v>
      </c>
      <c r="AN107" t="s">
        <v>98</v>
      </c>
      <c r="AO107" t="s">
        <v>98</v>
      </c>
      <c r="AP107" t="s">
        <v>100</v>
      </c>
      <c r="AQ107" t="s">
        <v>101</v>
      </c>
      <c r="AV107" t="s">
        <v>98</v>
      </c>
      <c r="AX107" t="s">
        <v>406</v>
      </c>
      <c r="AZ107" t="s">
        <v>124</v>
      </c>
      <c r="BB107" t="s">
        <v>235</v>
      </c>
      <c r="BC107" t="s">
        <v>7595</v>
      </c>
      <c r="BD107" t="s">
        <v>7528</v>
      </c>
      <c r="BF107" t="s">
        <v>420</v>
      </c>
      <c r="BG107" t="s">
        <v>98</v>
      </c>
      <c r="BH107" t="s">
        <v>98</v>
      </c>
      <c r="BI107" t="s">
        <v>98</v>
      </c>
      <c r="BK107" t="s">
        <v>7528</v>
      </c>
      <c r="BL107" t="s">
        <v>7528</v>
      </c>
      <c r="CA107">
        <v>1440</v>
      </c>
      <c r="CB107" t="s">
        <v>406</v>
      </c>
      <c r="CL107" t="s">
        <v>98</v>
      </c>
      <c r="CM107" t="s">
        <v>98</v>
      </c>
      <c r="CN107" t="s">
        <v>7528</v>
      </c>
      <c r="CO107" s="1">
        <v>40182</v>
      </c>
      <c r="CP107" s="1">
        <v>43633</v>
      </c>
    </row>
    <row r="108" spans="1:94" x14ac:dyDescent="0.25">
      <c r="A108" t="s">
        <v>421</v>
      </c>
      <c r="B108" t="str">
        <f xml:space="preserve"> "" &amp; 747396073811</f>
        <v>747396073811</v>
      </c>
      <c r="C108" t="s">
        <v>418</v>
      </c>
      <c r="D108" t="s">
        <v>419</v>
      </c>
      <c r="E108" t="s">
        <v>7528</v>
      </c>
      <c r="F108" t="s">
        <v>398</v>
      </c>
      <c r="G108">
        <v>1</v>
      </c>
      <c r="H108">
        <v>1</v>
      </c>
      <c r="I108" t="s">
        <v>97</v>
      </c>
      <c r="J108" s="10">
        <v>179</v>
      </c>
      <c r="K108" s="10">
        <v>537</v>
      </c>
      <c r="L108" s="10">
        <v>0</v>
      </c>
      <c r="N108" s="10">
        <v>0</v>
      </c>
      <c r="O108" t="s">
        <v>99</v>
      </c>
      <c r="P108" s="10">
        <v>359.95</v>
      </c>
      <c r="S108">
        <v>24</v>
      </c>
      <c r="U108">
        <v>18</v>
      </c>
      <c r="V108">
        <v>3.25</v>
      </c>
      <c r="W108">
        <v>14.33</v>
      </c>
      <c r="Y108">
        <v>29.125</v>
      </c>
      <c r="Z108">
        <v>27.125</v>
      </c>
      <c r="AA108">
        <v>7.625</v>
      </c>
      <c r="AB108">
        <v>3.4860000000000002</v>
      </c>
      <c r="AC108">
        <v>17.64</v>
      </c>
      <c r="AF108" t="s">
        <v>7528</v>
      </c>
      <c r="AK108" t="s">
        <v>98</v>
      </c>
      <c r="AM108" t="s">
        <v>98</v>
      </c>
      <c r="AN108" t="s">
        <v>98</v>
      </c>
      <c r="AO108" t="s">
        <v>98</v>
      </c>
      <c r="AP108" t="s">
        <v>100</v>
      </c>
      <c r="AQ108" t="s">
        <v>101</v>
      </c>
      <c r="AV108" t="s">
        <v>98</v>
      </c>
      <c r="AX108" t="s">
        <v>399</v>
      </c>
      <c r="AZ108" t="s">
        <v>124</v>
      </c>
      <c r="BB108" t="s">
        <v>235</v>
      </c>
      <c r="BC108" t="s">
        <v>7595</v>
      </c>
      <c r="BD108" t="s">
        <v>7528</v>
      </c>
      <c r="BF108" t="s">
        <v>422</v>
      </c>
      <c r="BG108" t="s">
        <v>98</v>
      </c>
      <c r="BH108" t="s">
        <v>98</v>
      </c>
      <c r="BI108" t="s">
        <v>98</v>
      </c>
      <c r="BK108" t="s">
        <v>7528</v>
      </c>
      <c r="BL108" t="s">
        <v>7528</v>
      </c>
      <c r="CA108">
        <v>1440</v>
      </c>
      <c r="CB108" t="s">
        <v>399</v>
      </c>
      <c r="CL108" t="s">
        <v>98</v>
      </c>
      <c r="CM108" t="s">
        <v>98</v>
      </c>
      <c r="CN108" t="s">
        <v>401</v>
      </c>
      <c r="CO108" s="1">
        <v>40184</v>
      </c>
      <c r="CP108" s="1">
        <v>43633</v>
      </c>
    </row>
    <row r="109" spans="1:94" x14ac:dyDescent="0.25">
      <c r="A109" t="s">
        <v>423</v>
      </c>
      <c r="B109" t="str">
        <f xml:space="preserve"> "" &amp; 747396073828</f>
        <v>747396073828</v>
      </c>
      <c r="C109" t="s">
        <v>418</v>
      </c>
      <c r="D109" t="s">
        <v>419</v>
      </c>
      <c r="E109" t="s">
        <v>7528</v>
      </c>
      <c r="F109" t="s">
        <v>398</v>
      </c>
      <c r="G109">
        <v>1</v>
      </c>
      <c r="H109">
        <v>1</v>
      </c>
      <c r="I109" t="s">
        <v>97</v>
      </c>
      <c r="J109" s="10">
        <v>179</v>
      </c>
      <c r="K109" s="10">
        <v>537</v>
      </c>
      <c r="L109" s="10">
        <v>0</v>
      </c>
      <c r="N109" s="10">
        <v>0</v>
      </c>
      <c r="O109" t="s">
        <v>99</v>
      </c>
      <c r="P109" s="10">
        <v>359.95</v>
      </c>
      <c r="S109">
        <v>24</v>
      </c>
      <c r="U109">
        <v>18</v>
      </c>
      <c r="V109">
        <v>3.25</v>
      </c>
      <c r="W109">
        <v>14.33</v>
      </c>
      <c r="Y109">
        <v>29.125</v>
      </c>
      <c r="Z109">
        <v>27.125</v>
      </c>
      <c r="AA109">
        <v>7.625</v>
      </c>
      <c r="AB109">
        <v>3.4860000000000002</v>
      </c>
      <c r="AC109">
        <v>17.64</v>
      </c>
      <c r="AF109" t="s">
        <v>7528</v>
      </c>
      <c r="AK109" t="s">
        <v>98</v>
      </c>
      <c r="AM109" t="s">
        <v>98</v>
      </c>
      <c r="AN109" t="s">
        <v>98</v>
      </c>
      <c r="AO109" t="s">
        <v>98</v>
      </c>
      <c r="AP109" t="s">
        <v>100</v>
      </c>
      <c r="AQ109" t="s">
        <v>101</v>
      </c>
      <c r="AV109" t="s">
        <v>98</v>
      </c>
      <c r="AX109" t="s">
        <v>279</v>
      </c>
      <c r="AZ109" t="s">
        <v>124</v>
      </c>
      <c r="BB109" t="s">
        <v>235</v>
      </c>
      <c r="BC109" t="s">
        <v>7595</v>
      </c>
      <c r="BD109" t="s">
        <v>7528</v>
      </c>
      <c r="BF109" t="s">
        <v>424</v>
      </c>
      <c r="BG109" t="s">
        <v>98</v>
      </c>
      <c r="BH109" t="s">
        <v>98</v>
      </c>
      <c r="BI109" t="s">
        <v>98</v>
      </c>
      <c r="BK109" t="s">
        <v>7528</v>
      </c>
      <c r="BL109" t="s">
        <v>7528</v>
      </c>
      <c r="CA109">
        <v>1440</v>
      </c>
      <c r="CB109" t="s">
        <v>279</v>
      </c>
      <c r="CL109" t="s">
        <v>98</v>
      </c>
      <c r="CM109" t="s">
        <v>98</v>
      </c>
      <c r="CN109" t="s">
        <v>401</v>
      </c>
      <c r="CO109" s="1">
        <v>40184</v>
      </c>
      <c r="CP109" s="1">
        <v>43633</v>
      </c>
    </row>
    <row r="110" spans="1:94" x14ac:dyDescent="0.25">
      <c r="A110" t="s">
        <v>425</v>
      </c>
      <c r="B110" t="str">
        <f xml:space="preserve"> "" &amp; 747396073866</f>
        <v>747396073866</v>
      </c>
      <c r="C110" t="s">
        <v>426</v>
      </c>
      <c r="D110" t="s">
        <v>419</v>
      </c>
      <c r="E110" t="s">
        <v>7528</v>
      </c>
      <c r="F110" t="s">
        <v>398</v>
      </c>
      <c r="G110">
        <v>1</v>
      </c>
      <c r="H110">
        <v>1</v>
      </c>
      <c r="I110" t="s">
        <v>97</v>
      </c>
      <c r="J110" s="10">
        <v>239</v>
      </c>
      <c r="K110" s="10">
        <v>717</v>
      </c>
      <c r="L110" s="10">
        <v>0</v>
      </c>
      <c r="N110" s="10">
        <v>0</v>
      </c>
      <c r="O110" t="s">
        <v>99</v>
      </c>
      <c r="P110" s="10">
        <v>479.95</v>
      </c>
      <c r="S110">
        <v>30.25</v>
      </c>
      <c r="U110">
        <v>29.5</v>
      </c>
      <c r="V110">
        <v>3.75</v>
      </c>
      <c r="W110">
        <v>20.92</v>
      </c>
      <c r="Y110">
        <v>35.25</v>
      </c>
      <c r="Z110">
        <v>33.130000000000003</v>
      </c>
      <c r="AA110">
        <v>7.63</v>
      </c>
      <c r="AB110">
        <v>5.157</v>
      </c>
      <c r="AC110">
        <v>30.64</v>
      </c>
      <c r="AF110" t="s">
        <v>7528</v>
      </c>
      <c r="AK110" t="s">
        <v>98</v>
      </c>
      <c r="AM110" t="s">
        <v>98</v>
      </c>
      <c r="AN110" t="s">
        <v>98</v>
      </c>
      <c r="AO110" t="s">
        <v>98</v>
      </c>
      <c r="AP110" t="s">
        <v>100</v>
      </c>
      <c r="AQ110" t="s">
        <v>101</v>
      </c>
      <c r="AV110" t="s">
        <v>98</v>
      </c>
      <c r="AX110" t="s">
        <v>406</v>
      </c>
      <c r="AZ110" t="s">
        <v>124</v>
      </c>
      <c r="BB110" t="s">
        <v>235</v>
      </c>
      <c r="BC110" t="s">
        <v>7595</v>
      </c>
      <c r="BD110" t="s">
        <v>7528</v>
      </c>
      <c r="BF110" t="s">
        <v>427</v>
      </c>
      <c r="BG110" t="s">
        <v>98</v>
      </c>
      <c r="BH110" t="s">
        <v>98</v>
      </c>
      <c r="BI110" t="s">
        <v>98</v>
      </c>
      <c r="BK110" t="s">
        <v>7528</v>
      </c>
      <c r="BL110" t="s">
        <v>7528</v>
      </c>
      <c r="CA110">
        <v>1441</v>
      </c>
      <c r="CB110" t="s">
        <v>406</v>
      </c>
      <c r="CL110" t="s">
        <v>98</v>
      </c>
      <c r="CM110" t="s">
        <v>98</v>
      </c>
      <c r="CN110" t="s">
        <v>7528</v>
      </c>
      <c r="CO110" s="1">
        <v>40933</v>
      </c>
      <c r="CP110" s="1">
        <v>43633</v>
      </c>
    </row>
    <row r="111" spans="1:94" x14ac:dyDescent="0.25">
      <c r="A111" t="s">
        <v>428</v>
      </c>
      <c r="B111" t="str">
        <f xml:space="preserve"> "" &amp; 747396073842</f>
        <v>747396073842</v>
      </c>
      <c r="C111" t="s">
        <v>426</v>
      </c>
      <c r="D111" t="s">
        <v>419</v>
      </c>
      <c r="E111" t="s">
        <v>7528</v>
      </c>
      <c r="F111" t="s">
        <v>398</v>
      </c>
      <c r="G111">
        <v>1</v>
      </c>
      <c r="H111">
        <v>1</v>
      </c>
      <c r="I111" t="s">
        <v>97</v>
      </c>
      <c r="J111" s="10">
        <v>239</v>
      </c>
      <c r="K111" s="10">
        <v>717</v>
      </c>
      <c r="L111" s="10">
        <v>0</v>
      </c>
      <c r="N111" s="10">
        <v>0</v>
      </c>
      <c r="O111" t="s">
        <v>99</v>
      </c>
      <c r="P111" s="10">
        <v>479.95</v>
      </c>
      <c r="S111">
        <v>30.25</v>
      </c>
      <c r="U111">
        <v>29.5</v>
      </c>
      <c r="V111">
        <v>3.75</v>
      </c>
      <c r="W111">
        <v>20.92</v>
      </c>
      <c r="Y111">
        <v>35.25</v>
      </c>
      <c r="Z111">
        <v>33.130000000000003</v>
      </c>
      <c r="AA111">
        <v>7.63</v>
      </c>
      <c r="AB111">
        <v>5.157</v>
      </c>
      <c r="AC111">
        <v>30.64</v>
      </c>
      <c r="AF111" t="s">
        <v>7528</v>
      </c>
      <c r="AK111" t="s">
        <v>98</v>
      </c>
      <c r="AM111" t="s">
        <v>98</v>
      </c>
      <c r="AN111" t="s">
        <v>98</v>
      </c>
      <c r="AO111" t="s">
        <v>98</v>
      </c>
      <c r="AP111" t="s">
        <v>100</v>
      </c>
      <c r="AQ111" t="s">
        <v>101</v>
      </c>
      <c r="AV111" t="s">
        <v>98</v>
      </c>
      <c r="AX111" t="s">
        <v>399</v>
      </c>
      <c r="AZ111" t="s">
        <v>124</v>
      </c>
      <c r="BB111" t="s">
        <v>235</v>
      </c>
      <c r="BC111" t="s">
        <v>7595</v>
      </c>
      <c r="BD111" t="s">
        <v>7528</v>
      </c>
      <c r="BF111" t="s">
        <v>429</v>
      </c>
      <c r="BG111" t="s">
        <v>98</v>
      </c>
      <c r="BH111" t="s">
        <v>98</v>
      </c>
      <c r="BI111" t="s">
        <v>98</v>
      </c>
      <c r="BK111" t="s">
        <v>7528</v>
      </c>
      <c r="BL111" t="s">
        <v>7528</v>
      </c>
      <c r="CA111">
        <v>1441</v>
      </c>
      <c r="CB111" t="s">
        <v>399</v>
      </c>
      <c r="CL111" t="s">
        <v>98</v>
      </c>
      <c r="CM111" t="s">
        <v>98</v>
      </c>
      <c r="CN111" t="s">
        <v>7528</v>
      </c>
      <c r="CO111" s="1">
        <v>40184</v>
      </c>
      <c r="CP111" s="1">
        <v>43633</v>
      </c>
    </row>
    <row r="112" spans="1:94" x14ac:dyDescent="0.25">
      <c r="A112" t="s">
        <v>430</v>
      </c>
      <c r="B112" t="str">
        <f xml:space="preserve"> "" &amp; 747396073859</f>
        <v>747396073859</v>
      </c>
      <c r="C112" t="s">
        <v>426</v>
      </c>
      <c r="D112" t="s">
        <v>419</v>
      </c>
      <c r="E112" t="s">
        <v>7528</v>
      </c>
      <c r="F112" t="s">
        <v>398</v>
      </c>
      <c r="G112">
        <v>1</v>
      </c>
      <c r="H112">
        <v>1</v>
      </c>
      <c r="I112" t="s">
        <v>97</v>
      </c>
      <c r="J112" s="10">
        <v>239</v>
      </c>
      <c r="K112" s="10">
        <v>717</v>
      </c>
      <c r="L112" s="10">
        <v>0</v>
      </c>
      <c r="N112" s="10">
        <v>0</v>
      </c>
      <c r="O112" t="s">
        <v>99</v>
      </c>
      <c r="P112" s="10">
        <v>479.95</v>
      </c>
      <c r="S112">
        <v>30.25</v>
      </c>
      <c r="U112">
        <v>29.5</v>
      </c>
      <c r="V112">
        <v>3.75</v>
      </c>
      <c r="W112">
        <v>20.92</v>
      </c>
      <c r="Y112">
        <v>35.25</v>
      </c>
      <c r="Z112">
        <v>33.130000000000003</v>
      </c>
      <c r="AA112">
        <v>7.63</v>
      </c>
      <c r="AB112">
        <v>5.157</v>
      </c>
      <c r="AC112">
        <v>30.64</v>
      </c>
      <c r="AF112" t="s">
        <v>7528</v>
      </c>
      <c r="AK112" t="s">
        <v>98</v>
      </c>
      <c r="AM112" t="s">
        <v>98</v>
      </c>
      <c r="AN112" t="s">
        <v>98</v>
      </c>
      <c r="AO112" t="s">
        <v>98</v>
      </c>
      <c r="AP112" t="s">
        <v>100</v>
      </c>
      <c r="AQ112" t="s">
        <v>101</v>
      </c>
      <c r="AV112" t="s">
        <v>98</v>
      </c>
      <c r="AX112" t="s">
        <v>279</v>
      </c>
      <c r="AZ112" t="s">
        <v>124</v>
      </c>
      <c r="BB112" t="s">
        <v>235</v>
      </c>
      <c r="BC112" t="s">
        <v>7595</v>
      </c>
      <c r="BD112" t="s">
        <v>7528</v>
      </c>
      <c r="BF112" t="s">
        <v>431</v>
      </c>
      <c r="BG112" t="s">
        <v>98</v>
      </c>
      <c r="BH112" t="s">
        <v>98</v>
      </c>
      <c r="BI112" t="s">
        <v>98</v>
      </c>
      <c r="BK112" t="s">
        <v>7528</v>
      </c>
      <c r="BL112" t="s">
        <v>7528</v>
      </c>
      <c r="CA112">
        <v>1441</v>
      </c>
      <c r="CB112" t="s">
        <v>279</v>
      </c>
      <c r="CL112" t="s">
        <v>98</v>
      </c>
      <c r="CM112" t="s">
        <v>98</v>
      </c>
      <c r="CN112" t="s">
        <v>7528</v>
      </c>
      <c r="CO112" s="1">
        <v>40184</v>
      </c>
      <c r="CP112" s="1">
        <v>43633</v>
      </c>
    </row>
    <row r="113" spans="1:94" x14ac:dyDescent="0.25">
      <c r="A113" t="s">
        <v>432</v>
      </c>
      <c r="B113" t="str">
        <f xml:space="preserve"> "" &amp; 747396068930</f>
        <v>747396068930</v>
      </c>
      <c r="C113" t="s">
        <v>239</v>
      </c>
      <c r="D113" t="s">
        <v>433</v>
      </c>
      <c r="E113" t="s">
        <v>434</v>
      </c>
      <c r="F113" t="s">
        <v>240</v>
      </c>
      <c r="G113">
        <v>1</v>
      </c>
      <c r="H113">
        <v>1</v>
      </c>
      <c r="I113" t="s">
        <v>97</v>
      </c>
      <c r="J113" s="10">
        <v>89</v>
      </c>
      <c r="K113" s="10">
        <v>267</v>
      </c>
      <c r="L113" s="10">
        <v>0</v>
      </c>
      <c r="N113" s="10">
        <v>0</v>
      </c>
      <c r="O113" t="s">
        <v>99</v>
      </c>
      <c r="P113" s="10">
        <v>174.95</v>
      </c>
      <c r="S113">
        <v>11</v>
      </c>
      <c r="T113">
        <v>7.5</v>
      </c>
      <c r="U113">
        <v>7.5</v>
      </c>
      <c r="W113">
        <v>6.28</v>
      </c>
      <c r="Y113">
        <v>13.5</v>
      </c>
      <c r="Z113">
        <v>9.75</v>
      </c>
      <c r="AA113">
        <v>9.75</v>
      </c>
      <c r="AB113">
        <v>0.74299999999999999</v>
      </c>
      <c r="AC113">
        <v>7.63</v>
      </c>
      <c r="AE113">
        <v>1</v>
      </c>
      <c r="AF113" t="s">
        <v>233</v>
      </c>
      <c r="AG113">
        <v>100</v>
      </c>
      <c r="AK113" t="s">
        <v>98</v>
      </c>
      <c r="AM113" t="s">
        <v>98</v>
      </c>
      <c r="AN113" t="s">
        <v>98</v>
      </c>
      <c r="AO113" t="s">
        <v>99</v>
      </c>
      <c r="AP113" t="s">
        <v>100</v>
      </c>
      <c r="AQ113" t="s">
        <v>101</v>
      </c>
      <c r="AV113" t="s">
        <v>98</v>
      </c>
      <c r="AX113" t="s">
        <v>234</v>
      </c>
      <c r="AZ113" t="s">
        <v>124</v>
      </c>
      <c r="BB113" t="s">
        <v>235</v>
      </c>
      <c r="BC113" t="s">
        <v>7596</v>
      </c>
      <c r="BD113" t="s">
        <v>7528</v>
      </c>
      <c r="BF113" t="s">
        <v>435</v>
      </c>
      <c r="BG113" t="s">
        <v>98</v>
      </c>
      <c r="BH113" t="s">
        <v>98</v>
      </c>
      <c r="BI113" t="s">
        <v>98</v>
      </c>
      <c r="BK113" t="s">
        <v>110</v>
      </c>
      <c r="BL113" t="s">
        <v>128</v>
      </c>
      <c r="BR113">
        <v>2</v>
      </c>
      <c r="BT113">
        <v>5</v>
      </c>
      <c r="CA113">
        <v>1491</v>
      </c>
      <c r="CB113" t="s">
        <v>234</v>
      </c>
      <c r="CL113" t="s">
        <v>99</v>
      </c>
      <c r="CM113" t="s">
        <v>99</v>
      </c>
      <c r="CN113" t="s">
        <v>237</v>
      </c>
      <c r="CO113" s="1">
        <v>39869</v>
      </c>
      <c r="CP113" s="1">
        <v>43633</v>
      </c>
    </row>
    <row r="114" spans="1:94" x14ac:dyDescent="0.25">
      <c r="A114" t="s">
        <v>436</v>
      </c>
      <c r="B114" t="str">
        <f xml:space="preserve"> "" &amp; 747396068916</f>
        <v>747396068916</v>
      </c>
      <c r="C114" t="s">
        <v>243</v>
      </c>
      <c r="D114" t="s">
        <v>437</v>
      </c>
      <c r="E114" t="s">
        <v>434</v>
      </c>
      <c r="F114" t="s">
        <v>240</v>
      </c>
      <c r="G114">
        <v>1</v>
      </c>
      <c r="H114">
        <v>1</v>
      </c>
      <c r="I114" t="s">
        <v>97</v>
      </c>
      <c r="J114" s="10">
        <v>135</v>
      </c>
      <c r="K114" s="10">
        <v>405</v>
      </c>
      <c r="L114" s="10">
        <v>0</v>
      </c>
      <c r="N114" s="10">
        <v>0</v>
      </c>
      <c r="O114" t="s">
        <v>99</v>
      </c>
      <c r="P114" s="10">
        <v>269.95</v>
      </c>
      <c r="S114">
        <v>10</v>
      </c>
      <c r="T114">
        <v>16</v>
      </c>
      <c r="U114">
        <v>16</v>
      </c>
      <c r="W114">
        <v>11.84</v>
      </c>
      <c r="X114">
        <v>1</v>
      </c>
      <c r="Y114">
        <v>10.5</v>
      </c>
      <c r="Z114">
        <v>18</v>
      </c>
      <c r="AA114">
        <v>18</v>
      </c>
      <c r="AB114">
        <v>1.9690000000000001</v>
      </c>
      <c r="AC114">
        <v>14.77</v>
      </c>
      <c r="AE114">
        <v>3</v>
      </c>
      <c r="AF114" t="s">
        <v>233</v>
      </c>
      <c r="AG114">
        <v>100</v>
      </c>
      <c r="AK114" t="s">
        <v>98</v>
      </c>
      <c r="AM114" t="s">
        <v>98</v>
      </c>
      <c r="AN114" t="s">
        <v>99</v>
      </c>
      <c r="AO114" t="s">
        <v>98</v>
      </c>
      <c r="AP114" t="s">
        <v>100</v>
      </c>
      <c r="AQ114" t="s">
        <v>101</v>
      </c>
      <c r="AV114" t="s">
        <v>98</v>
      </c>
      <c r="AX114" t="s">
        <v>234</v>
      </c>
      <c r="AZ114" t="s">
        <v>124</v>
      </c>
      <c r="BB114" t="s">
        <v>235</v>
      </c>
      <c r="BC114" t="s">
        <v>7596</v>
      </c>
      <c r="BD114" t="s">
        <v>7528</v>
      </c>
      <c r="BF114" t="s">
        <v>438</v>
      </c>
      <c r="BG114" t="s">
        <v>98</v>
      </c>
      <c r="BH114" t="s">
        <v>98</v>
      </c>
      <c r="BI114" t="s">
        <v>98</v>
      </c>
      <c r="BK114" t="s">
        <v>110</v>
      </c>
      <c r="BL114" t="s">
        <v>128</v>
      </c>
      <c r="BQ114">
        <v>5</v>
      </c>
      <c r="BR114">
        <v>1.75</v>
      </c>
      <c r="BS114">
        <v>5</v>
      </c>
      <c r="BT114">
        <v>5</v>
      </c>
      <c r="CA114">
        <v>1493</v>
      </c>
      <c r="CB114" t="s">
        <v>234</v>
      </c>
      <c r="CL114" t="s">
        <v>99</v>
      </c>
      <c r="CM114" t="s">
        <v>99</v>
      </c>
      <c r="CN114" t="s">
        <v>237</v>
      </c>
      <c r="CO114" s="1">
        <v>39869</v>
      </c>
      <c r="CP114" s="1">
        <v>43633</v>
      </c>
    </row>
    <row r="115" spans="1:94" x14ac:dyDescent="0.25">
      <c r="A115" t="s">
        <v>439</v>
      </c>
      <c r="B115" t="str">
        <f xml:space="preserve"> "" &amp; 747396070322</f>
        <v>747396070322</v>
      </c>
      <c r="C115" t="s">
        <v>243</v>
      </c>
      <c r="D115" t="s">
        <v>437</v>
      </c>
      <c r="E115" t="s">
        <v>434</v>
      </c>
      <c r="F115" t="s">
        <v>249</v>
      </c>
      <c r="G115">
        <v>1</v>
      </c>
      <c r="H115">
        <v>1</v>
      </c>
      <c r="I115" t="s">
        <v>97</v>
      </c>
      <c r="J115" s="10">
        <v>179</v>
      </c>
      <c r="K115" s="10">
        <v>537</v>
      </c>
      <c r="L115" s="10">
        <v>0</v>
      </c>
      <c r="N115" s="10">
        <v>0</v>
      </c>
      <c r="O115" t="s">
        <v>99</v>
      </c>
      <c r="P115" s="10">
        <v>354.95</v>
      </c>
      <c r="S115">
        <v>10</v>
      </c>
      <c r="T115">
        <v>20</v>
      </c>
      <c r="U115">
        <v>20</v>
      </c>
      <c r="W115">
        <v>15.17</v>
      </c>
      <c r="X115">
        <v>1</v>
      </c>
      <c r="Y115">
        <v>10</v>
      </c>
      <c r="Z115">
        <v>22</v>
      </c>
      <c r="AA115">
        <v>22</v>
      </c>
      <c r="AB115">
        <v>2.8010000000000002</v>
      </c>
      <c r="AC115">
        <v>19.399999999999999</v>
      </c>
      <c r="AE115">
        <v>3</v>
      </c>
      <c r="AF115" t="s">
        <v>282</v>
      </c>
      <c r="AG115">
        <v>100</v>
      </c>
      <c r="AK115" t="s">
        <v>98</v>
      </c>
      <c r="AM115" t="s">
        <v>98</v>
      </c>
      <c r="AN115" t="s">
        <v>98</v>
      </c>
      <c r="AO115" t="s">
        <v>99</v>
      </c>
      <c r="AP115" t="s">
        <v>100</v>
      </c>
      <c r="AQ115" t="s">
        <v>101</v>
      </c>
      <c r="AV115" t="s">
        <v>98</v>
      </c>
      <c r="AX115" t="s">
        <v>440</v>
      </c>
      <c r="AZ115" t="s">
        <v>124</v>
      </c>
      <c r="BB115" t="s">
        <v>235</v>
      </c>
      <c r="BC115" t="s">
        <v>7596</v>
      </c>
      <c r="BD115" t="s">
        <v>7528</v>
      </c>
      <c r="BF115" t="s">
        <v>441</v>
      </c>
      <c r="BG115" t="s">
        <v>98</v>
      </c>
      <c r="BH115" t="s">
        <v>98</v>
      </c>
      <c r="BI115" t="s">
        <v>98</v>
      </c>
      <c r="BK115" t="s">
        <v>110</v>
      </c>
      <c r="BL115" t="s">
        <v>128</v>
      </c>
      <c r="BQ115">
        <v>5</v>
      </c>
      <c r="BR115">
        <v>2</v>
      </c>
      <c r="BS115">
        <v>5</v>
      </c>
      <c r="BT115">
        <v>5</v>
      </c>
      <c r="CA115">
        <v>1494</v>
      </c>
      <c r="CB115" t="s">
        <v>440</v>
      </c>
      <c r="CL115" t="s">
        <v>99</v>
      </c>
      <c r="CM115" t="s">
        <v>99</v>
      </c>
      <c r="CN115" t="s">
        <v>442</v>
      </c>
      <c r="CO115" s="1">
        <v>39964</v>
      </c>
      <c r="CP115" s="1">
        <v>43633</v>
      </c>
    </row>
    <row r="116" spans="1:94" x14ac:dyDescent="0.25">
      <c r="A116" t="s">
        <v>443</v>
      </c>
      <c r="B116" t="str">
        <f xml:space="preserve"> "" &amp; 747396068923</f>
        <v>747396068923</v>
      </c>
      <c r="C116" t="s">
        <v>243</v>
      </c>
      <c r="D116" t="s">
        <v>444</v>
      </c>
      <c r="E116" t="s">
        <v>434</v>
      </c>
      <c r="F116" t="s">
        <v>249</v>
      </c>
      <c r="G116">
        <v>1</v>
      </c>
      <c r="H116">
        <v>1</v>
      </c>
      <c r="I116" t="s">
        <v>97</v>
      </c>
      <c r="J116" s="10">
        <v>175</v>
      </c>
      <c r="K116" s="10">
        <v>525</v>
      </c>
      <c r="L116" s="10">
        <v>0</v>
      </c>
      <c r="N116" s="10">
        <v>0</v>
      </c>
      <c r="O116" t="s">
        <v>99</v>
      </c>
      <c r="P116" s="10">
        <v>349.95</v>
      </c>
      <c r="S116">
        <v>10</v>
      </c>
      <c r="T116">
        <v>20</v>
      </c>
      <c r="U116">
        <v>20</v>
      </c>
      <c r="W116">
        <v>15.17</v>
      </c>
      <c r="Y116">
        <v>10</v>
      </c>
      <c r="Z116">
        <v>22</v>
      </c>
      <c r="AA116">
        <v>22</v>
      </c>
      <c r="AB116">
        <v>2.8010000000000002</v>
      </c>
      <c r="AC116">
        <v>19.399999999999999</v>
      </c>
      <c r="AE116">
        <v>3</v>
      </c>
      <c r="AF116" t="s">
        <v>233</v>
      </c>
      <c r="AG116">
        <v>100</v>
      </c>
      <c r="AK116" t="s">
        <v>98</v>
      </c>
      <c r="AM116" t="s">
        <v>98</v>
      </c>
      <c r="AN116" t="s">
        <v>98</v>
      </c>
      <c r="AO116" t="s">
        <v>99</v>
      </c>
      <c r="AP116" t="s">
        <v>100</v>
      </c>
      <c r="AQ116" t="s">
        <v>101</v>
      </c>
      <c r="AV116" t="s">
        <v>98</v>
      </c>
      <c r="AX116" t="s">
        <v>234</v>
      </c>
      <c r="AZ116" t="s">
        <v>124</v>
      </c>
      <c r="BB116" t="s">
        <v>235</v>
      </c>
      <c r="BC116" t="s">
        <v>7596</v>
      </c>
      <c r="BD116" t="s">
        <v>7528</v>
      </c>
      <c r="BF116" t="s">
        <v>445</v>
      </c>
      <c r="BG116" t="s">
        <v>98</v>
      </c>
      <c r="BH116" t="s">
        <v>98</v>
      </c>
      <c r="BI116" t="s">
        <v>98</v>
      </c>
      <c r="BK116" t="s">
        <v>110</v>
      </c>
      <c r="BL116" t="s">
        <v>128</v>
      </c>
      <c r="BQ116">
        <v>5</v>
      </c>
      <c r="BR116">
        <v>2</v>
      </c>
      <c r="BS116">
        <v>5</v>
      </c>
      <c r="BT116">
        <v>5</v>
      </c>
      <c r="CA116">
        <v>1494</v>
      </c>
      <c r="CB116" t="s">
        <v>234</v>
      </c>
      <c r="CL116" t="s">
        <v>99</v>
      </c>
      <c r="CM116" t="s">
        <v>99</v>
      </c>
      <c r="CN116" t="s">
        <v>237</v>
      </c>
      <c r="CO116" s="1">
        <v>39869</v>
      </c>
      <c r="CP116" s="1">
        <v>43633</v>
      </c>
    </row>
    <row r="117" spans="1:94" x14ac:dyDescent="0.25">
      <c r="A117" t="s">
        <v>446</v>
      </c>
      <c r="B117" t="str">
        <f xml:space="preserve"> "" &amp; 747396070247</f>
        <v>747396070247</v>
      </c>
      <c r="C117" t="s">
        <v>447</v>
      </c>
      <c r="D117" t="s">
        <v>448</v>
      </c>
      <c r="E117" t="s">
        <v>434</v>
      </c>
      <c r="F117" t="s">
        <v>449</v>
      </c>
      <c r="G117">
        <v>1</v>
      </c>
      <c r="H117">
        <v>1</v>
      </c>
      <c r="I117" t="s">
        <v>97</v>
      </c>
      <c r="J117" s="10">
        <v>92.95</v>
      </c>
      <c r="K117" s="10">
        <v>278.85000000000002</v>
      </c>
      <c r="L117" s="10">
        <v>0</v>
      </c>
      <c r="N117" s="10">
        <v>0</v>
      </c>
      <c r="S117">
        <v>18.5</v>
      </c>
      <c r="T117">
        <v>0</v>
      </c>
      <c r="U117">
        <v>9.5</v>
      </c>
      <c r="W117">
        <v>9.48</v>
      </c>
      <c r="Y117">
        <v>0</v>
      </c>
      <c r="Z117">
        <v>0</v>
      </c>
      <c r="AA117">
        <v>0</v>
      </c>
      <c r="AB117">
        <v>0</v>
      </c>
      <c r="AC117">
        <v>12.46</v>
      </c>
      <c r="AE117">
        <v>1</v>
      </c>
      <c r="AF117" t="s">
        <v>450</v>
      </c>
      <c r="AG117">
        <v>26</v>
      </c>
      <c r="AK117" t="s">
        <v>99</v>
      </c>
      <c r="AM117" t="s">
        <v>98</v>
      </c>
      <c r="AN117" t="s">
        <v>99</v>
      </c>
      <c r="AO117" t="s">
        <v>98</v>
      </c>
      <c r="AP117" t="s">
        <v>100</v>
      </c>
      <c r="AQ117" t="s">
        <v>101</v>
      </c>
      <c r="AV117" t="s">
        <v>98</v>
      </c>
      <c r="AX117" t="s">
        <v>451</v>
      </c>
      <c r="AZ117" t="s">
        <v>7528</v>
      </c>
      <c r="BB117" t="s">
        <v>235</v>
      </c>
      <c r="BC117" t="s">
        <v>7596</v>
      </c>
      <c r="BD117" t="s">
        <v>7528</v>
      </c>
      <c r="BF117" t="s">
        <v>452</v>
      </c>
      <c r="BG117" t="s">
        <v>98</v>
      </c>
      <c r="BH117" t="s">
        <v>98</v>
      </c>
      <c r="BI117" t="s">
        <v>99</v>
      </c>
      <c r="BJ117" t="s">
        <v>99</v>
      </c>
      <c r="BK117" t="s">
        <v>453</v>
      </c>
      <c r="BL117" t="s">
        <v>7528</v>
      </c>
      <c r="BR117">
        <v>0</v>
      </c>
      <c r="BT117">
        <v>0</v>
      </c>
      <c r="CA117">
        <v>1496</v>
      </c>
      <c r="CB117" t="s">
        <v>451</v>
      </c>
      <c r="CG117">
        <v>2700</v>
      </c>
      <c r="CL117" t="s">
        <v>98</v>
      </c>
      <c r="CM117" t="s">
        <v>98</v>
      </c>
      <c r="CN117" t="s">
        <v>237</v>
      </c>
      <c r="CO117" s="1">
        <v>40212</v>
      </c>
      <c r="CP117" s="1">
        <v>43633</v>
      </c>
    </row>
    <row r="118" spans="1:94" x14ac:dyDescent="0.25">
      <c r="A118" t="s">
        <v>454</v>
      </c>
      <c r="B118" t="str">
        <f xml:space="preserve"> "" &amp; 747396070339</f>
        <v>747396070339</v>
      </c>
      <c r="C118" t="s">
        <v>376</v>
      </c>
      <c r="D118" t="s">
        <v>455</v>
      </c>
      <c r="E118" t="s">
        <v>434</v>
      </c>
      <c r="F118" t="s">
        <v>377</v>
      </c>
      <c r="G118">
        <v>1</v>
      </c>
      <c r="H118">
        <v>1</v>
      </c>
      <c r="I118" t="s">
        <v>97</v>
      </c>
      <c r="J118" s="10">
        <v>115</v>
      </c>
      <c r="K118" s="10">
        <v>345</v>
      </c>
      <c r="L118" s="10">
        <v>0</v>
      </c>
      <c r="N118" s="10">
        <v>0</v>
      </c>
      <c r="O118" t="s">
        <v>99</v>
      </c>
      <c r="P118" s="10">
        <v>229.95</v>
      </c>
      <c r="S118">
        <v>12.25</v>
      </c>
      <c r="T118">
        <v>14</v>
      </c>
      <c r="U118">
        <v>14</v>
      </c>
      <c r="W118">
        <v>8.14</v>
      </c>
      <c r="Y118">
        <v>8.5</v>
      </c>
      <c r="Z118">
        <v>16</v>
      </c>
      <c r="AA118">
        <v>16</v>
      </c>
      <c r="AB118">
        <v>1.2589999999999999</v>
      </c>
      <c r="AC118">
        <v>10.54</v>
      </c>
      <c r="AE118">
        <v>3</v>
      </c>
      <c r="AF118" t="s">
        <v>233</v>
      </c>
      <c r="AG118">
        <v>60</v>
      </c>
      <c r="AK118" t="s">
        <v>98</v>
      </c>
      <c r="AM118" t="s">
        <v>98</v>
      </c>
      <c r="AN118" t="s">
        <v>99</v>
      </c>
      <c r="AO118" t="s">
        <v>98</v>
      </c>
      <c r="AP118" t="s">
        <v>100</v>
      </c>
      <c r="AQ118" t="s">
        <v>101</v>
      </c>
      <c r="AV118" t="s">
        <v>98</v>
      </c>
      <c r="AX118" t="s">
        <v>440</v>
      </c>
      <c r="AZ118" t="s">
        <v>124</v>
      </c>
      <c r="BB118" t="s">
        <v>235</v>
      </c>
      <c r="BC118" t="s">
        <v>7596</v>
      </c>
      <c r="BD118" t="s">
        <v>7528</v>
      </c>
      <c r="BF118" t="s">
        <v>456</v>
      </c>
      <c r="BG118" t="s">
        <v>98</v>
      </c>
      <c r="BH118" t="s">
        <v>98</v>
      </c>
      <c r="BI118" t="s">
        <v>98</v>
      </c>
      <c r="BK118" t="s">
        <v>127</v>
      </c>
      <c r="BL118" t="s">
        <v>128</v>
      </c>
      <c r="BQ118">
        <v>5</v>
      </c>
      <c r="BR118">
        <v>0.75</v>
      </c>
      <c r="BS118">
        <v>5</v>
      </c>
      <c r="BT118">
        <v>5</v>
      </c>
      <c r="CA118">
        <v>1498</v>
      </c>
      <c r="CB118" t="s">
        <v>440</v>
      </c>
      <c r="CL118" t="s">
        <v>99</v>
      </c>
      <c r="CM118" t="s">
        <v>98</v>
      </c>
      <c r="CN118" t="s">
        <v>237</v>
      </c>
      <c r="CO118" s="1">
        <v>39964</v>
      </c>
      <c r="CP118" s="1">
        <v>43633</v>
      </c>
    </row>
    <row r="119" spans="1:94" x14ac:dyDescent="0.25">
      <c r="A119" t="s">
        <v>457</v>
      </c>
      <c r="B119" t="str">
        <f xml:space="preserve"> "" &amp; 747396068947</f>
        <v>747396068947</v>
      </c>
      <c r="C119" t="s">
        <v>376</v>
      </c>
      <c r="D119" t="s">
        <v>455</v>
      </c>
      <c r="E119" t="s">
        <v>434</v>
      </c>
      <c r="F119" t="s">
        <v>377</v>
      </c>
      <c r="G119">
        <v>1</v>
      </c>
      <c r="H119">
        <v>1</v>
      </c>
      <c r="I119" t="s">
        <v>97</v>
      </c>
      <c r="J119" s="10">
        <v>109</v>
      </c>
      <c r="K119" s="10">
        <v>327</v>
      </c>
      <c r="L119" s="10">
        <v>0</v>
      </c>
      <c r="N119" s="10">
        <v>0</v>
      </c>
      <c r="O119" t="s">
        <v>99</v>
      </c>
      <c r="P119" s="10">
        <v>219.95</v>
      </c>
      <c r="S119">
        <v>12.25</v>
      </c>
      <c r="T119">
        <v>14</v>
      </c>
      <c r="U119">
        <v>14</v>
      </c>
      <c r="W119">
        <v>8.14</v>
      </c>
      <c r="Y119">
        <v>8.5</v>
      </c>
      <c r="Z119">
        <v>16</v>
      </c>
      <c r="AA119">
        <v>16</v>
      </c>
      <c r="AB119">
        <v>1.2589999999999999</v>
      </c>
      <c r="AC119">
        <v>10.54</v>
      </c>
      <c r="AE119">
        <v>3</v>
      </c>
      <c r="AF119" t="s">
        <v>233</v>
      </c>
      <c r="AG119">
        <v>60</v>
      </c>
      <c r="AK119" t="s">
        <v>98</v>
      </c>
      <c r="AM119" t="s">
        <v>98</v>
      </c>
      <c r="AN119" t="s">
        <v>99</v>
      </c>
      <c r="AO119" t="s">
        <v>98</v>
      </c>
      <c r="AP119" t="s">
        <v>100</v>
      </c>
      <c r="AQ119" t="s">
        <v>101</v>
      </c>
      <c r="AV119" t="s">
        <v>98</v>
      </c>
      <c r="AX119" t="s">
        <v>234</v>
      </c>
      <c r="AZ119" t="s">
        <v>124</v>
      </c>
      <c r="BB119" t="s">
        <v>235</v>
      </c>
      <c r="BC119" t="s">
        <v>7596</v>
      </c>
      <c r="BD119" t="s">
        <v>7528</v>
      </c>
      <c r="BF119" t="s">
        <v>458</v>
      </c>
      <c r="BG119" t="s">
        <v>98</v>
      </c>
      <c r="BH119" t="s">
        <v>98</v>
      </c>
      <c r="BI119" t="s">
        <v>98</v>
      </c>
      <c r="BK119" t="s">
        <v>127</v>
      </c>
      <c r="BL119" t="s">
        <v>128</v>
      </c>
      <c r="BQ119">
        <v>4.88</v>
      </c>
      <c r="BR119">
        <v>0.75</v>
      </c>
      <c r="BS119">
        <v>4.88</v>
      </c>
      <c r="BT119">
        <v>4.88</v>
      </c>
      <c r="CA119">
        <v>1498</v>
      </c>
      <c r="CB119" t="s">
        <v>234</v>
      </c>
      <c r="CL119" t="s">
        <v>99</v>
      </c>
      <c r="CM119" t="s">
        <v>98</v>
      </c>
      <c r="CN119" t="s">
        <v>237</v>
      </c>
      <c r="CO119" s="1">
        <v>39869</v>
      </c>
      <c r="CP119" s="1">
        <v>43633</v>
      </c>
    </row>
    <row r="120" spans="1:94" x14ac:dyDescent="0.25">
      <c r="A120" t="s">
        <v>465</v>
      </c>
      <c r="B120" t="str">
        <f xml:space="preserve"> "" &amp; 747396045153</f>
        <v>747396045153</v>
      </c>
      <c r="C120" t="s">
        <v>239</v>
      </c>
      <c r="D120" t="s">
        <v>6525</v>
      </c>
      <c r="E120" t="s">
        <v>462</v>
      </c>
      <c r="F120" t="s">
        <v>240</v>
      </c>
      <c r="G120">
        <v>1</v>
      </c>
      <c r="H120">
        <v>1</v>
      </c>
      <c r="I120" t="s">
        <v>97</v>
      </c>
      <c r="J120" s="10">
        <v>55</v>
      </c>
      <c r="K120" s="10">
        <v>165</v>
      </c>
      <c r="L120" s="10">
        <v>0</v>
      </c>
      <c r="N120" s="10">
        <v>0</v>
      </c>
      <c r="O120" t="s">
        <v>99</v>
      </c>
      <c r="P120" s="10">
        <v>109.95</v>
      </c>
      <c r="S120">
        <v>13</v>
      </c>
      <c r="T120">
        <v>6</v>
      </c>
      <c r="U120">
        <v>6</v>
      </c>
      <c r="W120">
        <v>4.5599999999999996</v>
      </c>
      <c r="X120">
        <v>1</v>
      </c>
      <c r="Y120">
        <v>11</v>
      </c>
      <c r="Z120">
        <v>14.25</v>
      </c>
      <c r="AA120">
        <v>6.75</v>
      </c>
      <c r="AB120">
        <v>0.61199999999999999</v>
      </c>
      <c r="AC120">
        <v>6.24</v>
      </c>
      <c r="AE120">
        <v>1</v>
      </c>
      <c r="AF120" t="s">
        <v>466</v>
      </c>
      <c r="AG120">
        <v>100</v>
      </c>
      <c r="AK120" t="s">
        <v>98</v>
      </c>
      <c r="AM120" t="s">
        <v>98</v>
      </c>
      <c r="AN120" t="s">
        <v>99</v>
      </c>
      <c r="AO120" t="s">
        <v>98</v>
      </c>
      <c r="AP120" t="s">
        <v>100</v>
      </c>
      <c r="AQ120" t="s">
        <v>101</v>
      </c>
      <c r="AV120" t="s">
        <v>98</v>
      </c>
      <c r="AX120" t="s">
        <v>463</v>
      </c>
      <c r="AZ120" t="s">
        <v>124</v>
      </c>
      <c r="BB120" t="s">
        <v>235</v>
      </c>
      <c r="BC120" t="s">
        <v>7597</v>
      </c>
      <c r="BD120" t="s">
        <v>7528</v>
      </c>
      <c r="BF120" t="s">
        <v>467</v>
      </c>
      <c r="BG120" t="s">
        <v>98</v>
      </c>
      <c r="BH120" t="s">
        <v>98</v>
      </c>
      <c r="BI120" t="s">
        <v>98</v>
      </c>
      <c r="BK120" t="s">
        <v>110</v>
      </c>
      <c r="BL120" t="s">
        <v>7528</v>
      </c>
      <c r="BR120">
        <v>2</v>
      </c>
      <c r="BS120">
        <v>5.25</v>
      </c>
      <c r="BT120">
        <v>5.25</v>
      </c>
      <c r="CA120">
        <v>1561</v>
      </c>
      <c r="CB120" t="s">
        <v>463</v>
      </c>
      <c r="CL120" t="s">
        <v>99</v>
      </c>
      <c r="CM120" t="s">
        <v>99</v>
      </c>
      <c r="CN120" t="s">
        <v>337</v>
      </c>
      <c r="CO120" s="1">
        <v>38307</v>
      </c>
      <c r="CP120" s="1">
        <v>43633</v>
      </c>
    </row>
    <row r="121" spans="1:94" x14ac:dyDescent="0.25">
      <c r="A121" t="s">
        <v>468</v>
      </c>
      <c r="B121" t="str">
        <f xml:space="preserve"> "" &amp; 747396056692</f>
        <v>747396056692</v>
      </c>
      <c r="C121" t="s">
        <v>230</v>
      </c>
      <c r="D121" t="s">
        <v>6526</v>
      </c>
      <c r="E121" t="s">
        <v>462</v>
      </c>
      <c r="F121" t="s">
        <v>232</v>
      </c>
      <c r="G121">
        <v>1</v>
      </c>
      <c r="H121">
        <v>1</v>
      </c>
      <c r="I121" t="s">
        <v>97</v>
      </c>
      <c r="J121" s="10">
        <v>48</v>
      </c>
      <c r="K121" s="10">
        <v>144</v>
      </c>
      <c r="L121" s="10">
        <v>0</v>
      </c>
      <c r="N121" s="10">
        <v>0</v>
      </c>
      <c r="O121" t="s">
        <v>99</v>
      </c>
      <c r="P121" s="10">
        <v>97.9</v>
      </c>
      <c r="S121">
        <v>23.75</v>
      </c>
      <c r="T121">
        <v>21</v>
      </c>
      <c r="U121">
        <v>6.5</v>
      </c>
      <c r="V121">
        <v>6.75</v>
      </c>
      <c r="W121">
        <v>3.88</v>
      </c>
      <c r="X121">
        <v>1</v>
      </c>
      <c r="Y121">
        <v>9</v>
      </c>
      <c r="Z121">
        <v>21</v>
      </c>
      <c r="AA121">
        <v>10.5</v>
      </c>
      <c r="AB121">
        <v>1.1479999999999999</v>
      </c>
      <c r="AC121">
        <v>5.29</v>
      </c>
      <c r="AE121">
        <v>1</v>
      </c>
      <c r="AF121" t="s">
        <v>340</v>
      </c>
      <c r="AG121">
        <v>100</v>
      </c>
      <c r="AK121" t="s">
        <v>98</v>
      </c>
      <c r="AL121">
        <v>1</v>
      </c>
      <c r="AM121" t="s">
        <v>98</v>
      </c>
      <c r="AN121" t="s">
        <v>99</v>
      </c>
      <c r="AO121" t="s">
        <v>98</v>
      </c>
      <c r="AP121" t="s">
        <v>100</v>
      </c>
      <c r="AQ121" t="s">
        <v>101</v>
      </c>
      <c r="AV121" t="s">
        <v>98</v>
      </c>
      <c r="AX121" t="s">
        <v>463</v>
      </c>
      <c r="AZ121" t="s">
        <v>124</v>
      </c>
      <c r="BB121" t="s">
        <v>235</v>
      </c>
      <c r="BC121" t="s">
        <v>469</v>
      </c>
      <c r="BD121" t="s">
        <v>7528</v>
      </c>
      <c r="BF121" t="s">
        <v>470</v>
      </c>
      <c r="BG121" t="s">
        <v>98</v>
      </c>
      <c r="BH121" t="s">
        <v>98</v>
      </c>
      <c r="BI121" t="s">
        <v>98</v>
      </c>
      <c r="BK121" t="s">
        <v>127</v>
      </c>
      <c r="BL121" t="s">
        <v>236</v>
      </c>
      <c r="BM121">
        <v>5</v>
      </c>
      <c r="BN121">
        <v>7.25</v>
      </c>
      <c r="CA121">
        <v>1571</v>
      </c>
      <c r="CB121" t="s">
        <v>463</v>
      </c>
      <c r="CL121" t="s">
        <v>99</v>
      </c>
      <c r="CM121" t="s">
        <v>98</v>
      </c>
      <c r="CN121" t="s">
        <v>337</v>
      </c>
      <c r="CO121" s="1">
        <v>38822</v>
      </c>
      <c r="CP121" s="1">
        <v>43633</v>
      </c>
    </row>
    <row r="122" spans="1:94" x14ac:dyDescent="0.25">
      <c r="A122" t="s">
        <v>471</v>
      </c>
      <c r="B122" t="str">
        <f xml:space="preserve"> "" &amp; 747396016535</f>
        <v>747396016535</v>
      </c>
      <c r="C122" t="s">
        <v>376</v>
      </c>
      <c r="D122" t="s">
        <v>6527</v>
      </c>
      <c r="E122" t="s">
        <v>472</v>
      </c>
      <c r="F122" t="s">
        <v>473</v>
      </c>
      <c r="G122">
        <v>1</v>
      </c>
      <c r="H122">
        <v>1</v>
      </c>
      <c r="I122" t="s">
        <v>97</v>
      </c>
      <c r="J122" s="10">
        <v>197.45</v>
      </c>
      <c r="K122" s="10">
        <v>592.35</v>
      </c>
      <c r="L122" s="10">
        <v>0</v>
      </c>
      <c r="N122" s="10">
        <v>0</v>
      </c>
      <c r="O122" t="s">
        <v>99</v>
      </c>
      <c r="P122" s="10">
        <v>394.9</v>
      </c>
      <c r="S122">
        <v>12.5</v>
      </c>
      <c r="U122">
        <v>23</v>
      </c>
      <c r="W122">
        <v>14.77</v>
      </c>
      <c r="X122">
        <v>1</v>
      </c>
      <c r="Y122">
        <v>15</v>
      </c>
      <c r="Z122">
        <v>24</v>
      </c>
      <c r="AA122">
        <v>23.5</v>
      </c>
      <c r="AB122">
        <v>4.8959999999999999</v>
      </c>
      <c r="AC122">
        <v>22.05</v>
      </c>
      <c r="AE122">
        <v>3</v>
      </c>
      <c r="AF122" t="s">
        <v>163</v>
      </c>
      <c r="AG122">
        <v>60</v>
      </c>
      <c r="AK122" t="s">
        <v>98</v>
      </c>
      <c r="AM122" t="s">
        <v>98</v>
      </c>
      <c r="AN122" t="s">
        <v>98</v>
      </c>
      <c r="AO122" t="s">
        <v>99</v>
      </c>
      <c r="AP122" t="s">
        <v>100</v>
      </c>
      <c r="AQ122" t="s">
        <v>101</v>
      </c>
      <c r="AV122" t="s">
        <v>98</v>
      </c>
      <c r="AX122" t="s">
        <v>474</v>
      </c>
      <c r="AZ122" t="s">
        <v>102</v>
      </c>
      <c r="BB122" t="s">
        <v>235</v>
      </c>
      <c r="BC122" t="s">
        <v>7598</v>
      </c>
      <c r="BD122" t="s">
        <v>7528</v>
      </c>
      <c r="BF122" t="s">
        <v>475</v>
      </c>
      <c r="BG122" t="s">
        <v>98</v>
      </c>
      <c r="BH122" t="s">
        <v>98</v>
      </c>
      <c r="BI122" t="s">
        <v>98</v>
      </c>
      <c r="BK122" t="s">
        <v>127</v>
      </c>
      <c r="BL122" t="s">
        <v>7528</v>
      </c>
      <c r="BT122">
        <v>4.75</v>
      </c>
      <c r="CA122">
        <v>1687</v>
      </c>
      <c r="CB122" t="s">
        <v>474</v>
      </c>
      <c r="CL122" t="s">
        <v>98</v>
      </c>
      <c r="CM122" t="s">
        <v>98</v>
      </c>
      <c r="CN122" t="s">
        <v>692</v>
      </c>
      <c r="CO122" s="1">
        <v>37538</v>
      </c>
      <c r="CP122" s="1">
        <v>43633</v>
      </c>
    </row>
    <row r="123" spans="1:94" x14ac:dyDescent="0.25">
      <c r="A123" t="s">
        <v>479</v>
      </c>
      <c r="B123" t="str">
        <f xml:space="preserve"> "" &amp; 747396052502</f>
        <v>747396052502</v>
      </c>
      <c r="C123" t="s">
        <v>239</v>
      </c>
      <c r="D123" t="s">
        <v>480</v>
      </c>
      <c r="E123" t="s">
        <v>477</v>
      </c>
      <c r="F123" t="s">
        <v>240</v>
      </c>
      <c r="G123">
        <v>1</v>
      </c>
      <c r="H123">
        <v>1</v>
      </c>
      <c r="I123" t="s">
        <v>97</v>
      </c>
      <c r="J123" s="10">
        <v>37</v>
      </c>
      <c r="K123" s="10">
        <v>111</v>
      </c>
      <c r="L123" s="10">
        <v>0</v>
      </c>
      <c r="N123" s="10">
        <v>0</v>
      </c>
      <c r="S123">
        <v>5.5</v>
      </c>
      <c r="T123">
        <v>5.75</v>
      </c>
      <c r="U123">
        <v>5.75</v>
      </c>
      <c r="W123">
        <v>4.2300000000000004</v>
      </c>
      <c r="X123">
        <v>1</v>
      </c>
      <c r="Y123">
        <v>8.5</v>
      </c>
      <c r="Z123">
        <v>13.5</v>
      </c>
      <c r="AA123">
        <v>7.5</v>
      </c>
      <c r="AB123">
        <v>0.498</v>
      </c>
      <c r="AC123">
        <v>4.76</v>
      </c>
      <c r="AE123">
        <v>1</v>
      </c>
      <c r="AF123" t="s">
        <v>466</v>
      </c>
      <c r="AG123">
        <v>100</v>
      </c>
      <c r="AK123" t="s">
        <v>98</v>
      </c>
      <c r="AM123" t="s">
        <v>98</v>
      </c>
      <c r="AN123" t="s">
        <v>99</v>
      </c>
      <c r="AO123" t="s">
        <v>98</v>
      </c>
      <c r="AP123" t="s">
        <v>100</v>
      </c>
      <c r="AQ123" t="s">
        <v>101</v>
      </c>
      <c r="AV123" t="s">
        <v>98</v>
      </c>
      <c r="AX123" t="s">
        <v>461</v>
      </c>
      <c r="AZ123" t="s">
        <v>102</v>
      </c>
      <c r="BB123" t="s">
        <v>235</v>
      </c>
      <c r="BC123" t="s">
        <v>481</v>
      </c>
      <c r="BD123" t="s">
        <v>7528</v>
      </c>
      <c r="BF123" t="s">
        <v>482</v>
      </c>
      <c r="BG123" t="s">
        <v>98</v>
      </c>
      <c r="BH123" t="s">
        <v>98</v>
      </c>
      <c r="BI123" t="s">
        <v>98</v>
      </c>
      <c r="BK123" t="s">
        <v>110</v>
      </c>
      <c r="BL123" t="s">
        <v>7528</v>
      </c>
      <c r="BQ123">
        <v>5</v>
      </c>
      <c r="BR123">
        <v>1</v>
      </c>
      <c r="BS123">
        <v>5</v>
      </c>
      <c r="BT123">
        <v>5</v>
      </c>
      <c r="CA123">
        <v>1731</v>
      </c>
      <c r="CB123" t="s">
        <v>461</v>
      </c>
      <c r="CL123" t="s">
        <v>99</v>
      </c>
      <c r="CM123" t="s">
        <v>99</v>
      </c>
      <c r="CN123" t="s">
        <v>442</v>
      </c>
      <c r="CO123" s="1">
        <v>38464</v>
      </c>
      <c r="CP123" s="1">
        <v>43633</v>
      </c>
    </row>
    <row r="124" spans="1:94" x14ac:dyDescent="0.25">
      <c r="A124" t="s">
        <v>483</v>
      </c>
      <c r="B124" t="str">
        <f xml:space="preserve"> "" &amp; 747396078205</f>
        <v>747396078205</v>
      </c>
      <c r="C124" t="s">
        <v>239</v>
      </c>
      <c r="D124" t="s">
        <v>480</v>
      </c>
      <c r="E124" t="s">
        <v>477</v>
      </c>
      <c r="F124" t="s">
        <v>240</v>
      </c>
      <c r="G124">
        <v>1</v>
      </c>
      <c r="H124">
        <v>1</v>
      </c>
      <c r="I124" t="s">
        <v>97</v>
      </c>
      <c r="J124" s="10">
        <v>37</v>
      </c>
      <c r="K124" s="10">
        <v>111</v>
      </c>
      <c r="L124" s="10">
        <v>0</v>
      </c>
      <c r="N124" s="10">
        <v>0</v>
      </c>
      <c r="S124">
        <v>5.5</v>
      </c>
      <c r="T124">
        <v>5.75</v>
      </c>
      <c r="U124">
        <v>5.75</v>
      </c>
      <c r="W124">
        <v>4.2300000000000004</v>
      </c>
      <c r="Y124">
        <v>6.5</v>
      </c>
      <c r="Z124">
        <v>13.5</v>
      </c>
      <c r="AA124">
        <v>7.5</v>
      </c>
      <c r="AB124">
        <v>0.38100000000000001</v>
      </c>
      <c r="AC124">
        <v>4.76</v>
      </c>
      <c r="AE124">
        <v>1</v>
      </c>
      <c r="AF124" t="s">
        <v>282</v>
      </c>
      <c r="AG124">
        <v>100</v>
      </c>
      <c r="AK124" t="s">
        <v>98</v>
      </c>
      <c r="AM124" t="s">
        <v>98</v>
      </c>
      <c r="AN124" t="s">
        <v>99</v>
      </c>
      <c r="AO124" t="s">
        <v>98</v>
      </c>
      <c r="AP124" t="s">
        <v>100</v>
      </c>
      <c r="AQ124" t="s">
        <v>101</v>
      </c>
      <c r="AV124" t="s">
        <v>98</v>
      </c>
      <c r="AX124" t="s">
        <v>484</v>
      </c>
      <c r="AZ124" t="s">
        <v>102</v>
      </c>
      <c r="BB124" t="s">
        <v>235</v>
      </c>
      <c r="BC124" t="s">
        <v>481</v>
      </c>
      <c r="BD124" t="s">
        <v>7528</v>
      </c>
      <c r="BF124" t="s">
        <v>485</v>
      </c>
      <c r="BG124" t="s">
        <v>98</v>
      </c>
      <c r="BH124" t="s">
        <v>98</v>
      </c>
      <c r="BI124" t="s">
        <v>98</v>
      </c>
      <c r="BK124" t="s">
        <v>110</v>
      </c>
      <c r="BL124" t="s">
        <v>7528</v>
      </c>
      <c r="BQ124">
        <v>5</v>
      </c>
      <c r="BR124">
        <v>1</v>
      </c>
      <c r="BS124">
        <v>5</v>
      </c>
      <c r="BT124">
        <v>5</v>
      </c>
      <c r="CA124">
        <v>1731</v>
      </c>
      <c r="CB124" t="s">
        <v>484</v>
      </c>
      <c r="CL124" t="s">
        <v>99</v>
      </c>
      <c r="CM124" t="s">
        <v>99</v>
      </c>
      <c r="CN124" t="s">
        <v>442</v>
      </c>
      <c r="CO124" s="1">
        <v>40518</v>
      </c>
      <c r="CP124" s="1">
        <v>43633</v>
      </c>
    </row>
    <row r="125" spans="1:94" x14ac:dyDescent="0.25">
      <c r="A125" t="s">
        <v>486</v>
      </c>
      <c r="B125" t="str">
        <f xml:space="preserve"> "" &amp; 747396092850</f>
        <v>747396092850</v>
      </c>
      <c r="C125" t="s">
        <v>239</v>
      </c>
      <c r="D125" t="s">
        <v>487</v>
      </c>
      <c r="E125" t="s">
        <v>477</v>
      </c>
      <c r="F125" t="s">
        <v>240</v>
      </c>
      <c r="G125">
        <v>1</v>
      </c>
      <c r="H125">
        <v>1</v>
      </c>
      <c r="I125" t="s">
        <v>97</v>
      </c>
      <c r="J125" s="10">
        <v>38.25</v>
      </c>
      <c r="K125" s="10">
        <v>114.75</v>
      </c>
      <c r="L125" s="10">
        <v>0</v>
      </c>
      <c r="N125" s="10">
        <v>0</v>
      </c>
      <c r="S125">
        <v>6.5</v>
      </c>
      <c r="T125">
        <v>13.5</v>
      </c>
      <c r="U125">
        <v>7.5</v>
      </c>
      <c r="W125">
        <v>4.25</v>
      </c>
      <c r="Y125">
        <v>6.5</v>
      </c>
      <c r="Z125">
        <v>13.5</v>
      </c>
      <c r="AA125">
        <v>7.5</v>
      </c>
      <c r="AB125">
        <v>0.38100000000000001</v>
      </c>
      <c r="AC125">
        <v>5.19</v>
      </c>
      <c r="AF125" t="s">
        <v>7528</v>
      </c>
      <c r="AK125" t="s">
        <v>98</v>
      </c>
      <c r="AM125" t="s">
        <v>98</v>
      </c>
      <c r="AN125" t="s">
        <v>98</v>
      </c>
      <c r="AO125" t="s">
        <v>98</v>
      </c>
      <c r="AP125" t="s">
        <v>100</v>
      </c>
      <c r="AV125" t="s">
        <v>98</v>
      </c>
      <c r="AX125" t="s">
        <v>484</v>
      </c>
      <c r="AZ125" t="s">
        <v>7528</v>
      </c>
      <c r="BB125" t="s">
        <v>7528</v>
      </c>
      <c r="BC125" t="s">
        <v>7528</v>
      </c>
      <c r="BD125" t="s">
        <v>7528</v>
      </c>
      <c r="BF125" t="s">
        <v>488</v>
      </c>
      <c r="BG125" t="s">
        <v>98</v>
      </c>
      <c r="BH125" t="s">
        <v>98</v>
      </c>
      <c r="BI125" t="s">
        <v>98</v>
      </c>
      <c r="BK125" t="s">
        <v>7528</v>
      </c>
      <c r="BL125" t="s">
        <v>7528</v>
      </c>
      <c r="CB125" t="s">
        <v>484</v>
      </c>
      <c r="CL125" t="s">
        <v>98</v>
      </c>
      <c r="CM125" t="s">
        <v>98</v>
      </c>
      <c r="CN125" t="s">
        <v>7528</v>
      </c>
      <c r="CP125" s="1">
        <v>43633</v>
      </c>
    </row>
    <row r="126" spans="1:94" x14ac:dyDescent="0.25">
      <c r="A126" t="s">
        <v>489</v>
      </c>
      <c r="B126" t="str">
        <f xml:space="preserve"> "" &amp; 747396078182</f>
        <v>747396078182</v>
      </c>
      <c r="C126" t="s">
        <v>490</v>
      </c>
      <c r="D126" t="s">
        <v>491</v>
      </c>
      <c r="E126" t="s">
        <v>477</v>
      </c>
      <c r="F126" t="s">
        <v>314</v>
      </c>
      <c r="G126">
        <v>1</v>
      </c>
      <c r="H126">
        <v>1</v>
      </c>
      <c r="I126" t="s">
        <v>97</v>
      </c>
      <c r="J126" s="10">
        <v>115</v>
      </c>
      <c r="K126" s="10">
        <v>345</v>
      </c>
      <c r="L126" s="10">
        <v>0</v>
      </c>
      <c r="N126" s="10">
        <v>0</v>
      </c>
      <c r="S126">
        <v>7.5</v>
      </c>
      <c r="T126">
        <v>32</v>
      </c>
      <c r="U126">
        <v>5.75</v>
      </c>
      <c r="W126">
        <v>10.38</v>
      </c>
      <c r="Y126">
        <v>9.5</v>
      </c>
      <c r="Z126">
        <v>32</v>
      </c>
      <c r="AA126">
        <v>8</v>
      </c>
      <c r="AB126">
        <v>1.407</v>
      </c>
      <c r="AC126">
        <v>12.1</v>
      </c>
      <c r="AE126">
        <v>3</v>
      </c>
      <c r="AF126" t="s">
        <v>282</v>
      </c>
      <c r="AG126">
        <v>100</v>
      </c>
      <c r="AK126" t="s">
        <v>98</v>
      </c>
      <c r="AM126" t="s">
        <v>98</v>
      </c>
      <c r="AN126" t="s">
        <v>99</v>
      </c>
      <c r="AO126" t="s">
        <v>98</v>
      </c>
      <c r="AP126" t="s">
        <v>100</v>
      </c>
      <c r="AQ126" t="s">
        <v>101</v>
      </c>
      <c r="AV126" t="s">
        <v>98</v>
      </c>
      <c r="AX126" t="s">
        <v>484</v>
      </c>
      <c r="AZ126" t="s">
        <v>102</v>
      </c>
      <c r="BB126" t="s">
        <v>235</v>
      </c>
      <c r="BC126" t="s">
        <v>941</v>
      </c>
      <c r="BD126" t="s">
        <v>7528</v>
      </c>
      <c r="BF126" t="s">
        <v>492</v>
      </c>
      <c r="BG126" t="s">
        <v>98</v>
      </c>
      <c r="BH126" t="s">
        <v>98</v>
      </c>
      <c r="BI126" t="s">
        <v>98</v>
      </c>
      <c r="BK126" t="s">
        <v>110</v>
      </c>
      <c r="BL126" t="s">
        <v>7528</v>
      </c>
      <c r="BR126">
        <v>1</v>
      </c>
      <c r="BT126">
        <v>4.75</v>
      </c>
      <c r="CA126">
        <v>1734</v>
      </c>
      <c r="CB126" t="s">
        <v>484</v>
      </c>
      <c r="CL126" t="s">
        <v>99</v>
      </c>
      <c r="CM126" t="s">
        <v>99</v>
      </c>
      <c r="CN126" t="s">
        <v>442</v>
      </c>
      <c r="CO126" s="1">
        <v>40518</v>
      </c>
      <c r="CP126" s="1">
        <v>43633</v>
      </c>
    </row>
    <row r="127" spans="1:94" x14ac:dyDescent="0.25">
      <c r="A127" t="s">
        <v>493</v>
      </c>
      <c r="B127" t="str">
        <f xml:space="preserve"> "" &amp; 747396070674</f>
        <v>747396070674</v>
      </c>
      <c r="C127" t="s">
        <v>243</v>
      </c>
      <c r="D127" t="s">
        <v>494</v>
      </c>
      <c r="E127" t="s">
        <v>477</v>
      </c>
      <c r="F127" t="s">
        <v>240</v>
      </c>
      <c r="G127">
        <v>1</v>
      </c>
      <c r="H127">
        <v>1</v>
      </c>
      <c r="I127" t="s">
        <v>97</v>
      </c>
      <c r="J127" s="10">
        <v>79.5</v>
      </c>
      <c r="K127" s="10">
        <v>238.5</v>
      </c>
      <c r="L127" s="10">
        <v>0</v>
      </c>
      <c r="N127" s="10">
        <v>0</v>
      </c>
      <c r="S127">
        <v>24.25</v>
      </c>
      <c r="T127">
        <v>16.75</v>
      </c>
      <c r="U127">
        <v>16.75</v>
      </c>
      <c r="W127">
        <v>19.64</v>
      </c>
      <c r="X127">
        <v>1</v>
      </c>
      <c r="Y127">
        <v>12</v>
      </c>
      <c r="Z127">
        <v>19.5</v>
      </c>
      <c r="AA127">
        <v>19.5</v>
      </c>
      <c r="AB127">
        <v>2.641</v>
      </c>
      <c r="AC127">
        <v>23.3</v>
      </c>
      <c r="AE127">
        <v>3</v>
      </c>
      <c r="AF127" t="s">
        <v>282</v>
      </c>
      <c r="AG127">
        <v>100</v>
      </c>
      <c r="AH127">
        <v>0</v>
      </c>
      <c r="AJ127">
        <v>0</v>
      </c>
      <c r="AK127" t="s">
        <v>98</v>
      </c>
      <c r="AM127" t="s">
        <v>98</v>
      </c>
      <c r="AN127" t="s">
        <v>99</v>
      </c>
      <c r="AO127" t="s">
        <v>98</v>
      </c>
      <c r="AP127" t="s">
        <v>100</v>
      </c>
      <c r="AQ127" t="s">
        <v>101</v>
      </c>
      <c r="AV127" t="s">
        <v>98</v>
      </c>
      <c r="AX127" t="s">
        <v>461</v>
      </c>
      <c r="AZ127" t="s">
        <v>102</v>
      </c>
      <c r="BB127" t="s">
        <v>235</v>
      </c>
      <c r="BC127" t="s">
        <v>498</v>
      </c>
      <c r="BD127" t="s">
        <v>7528</v>
      </c>
      <c r="BF127" t="s">
        <v>495</v>
      </c>
      <c r="BG127" t="s">
        <v>98</v>
      </c>
      <c r="BH127" t="s">
        <v>98</v>
      </c>
      <c r="BI127" t="s">
        <v>98</v>
      </c>
      <c r="BK127" t="s">
        <v>110</v>
      </c>
      <c r="BL127" t="s">
        <v>7528</v>
      </c>
      <c r="BQ127">
        <v>5.25</v>
      </c>
      <c r="BR127">
        <v>1.1299999999999999</v>
      </c>
      <c r="BS127">
        <v>5.25</v>
      </c>
      <c r="BT127">
        <v>5.25</v>
      </c>
      <c r="CA127" t="s">
        <v>496</v>
      </c>
      <c r="CB127" t="s">
        <v>461</v>
      </c>
      <c r="CL127" t="s">
        <v>99</v>
      </c>
      <c r="CM127" t="s">
        <v>99</v>
      </c>
      <c r="CN127" t="s">
        <v>442</v>
      </c>
      <c r="CO127" s="1">
        <v>38464</v>
      </c>
      <c r="CP127" s="1">
        <v>43633</v>
      </c>
    </row>
    <row r="128" spans="1:94" x14ac:dyDescent="0.25">
      <c r="A128" t="s">
        <v>497</v>
      </c>
      <c r="B128" t="str">
        <f xml:space="preserve"> "" &amp; 747396078199</f>
        <v>747396078199</v>
      </c>
      <c r="C128" t="s">
        <v>243</v>
      </c>
      <c r="D128" t="s">
        <v>494</v>
      </c>
      <c r="E128" t="s">
        <v>477</v>
      </c>
      <c r="F128" t="s">
        <v>240</v>
      </c>
      <c r="G128">
        <v>1</v>
      </c>
      <c r="H128">
        <v>1</v>
      </c>
      <c r="I128" t="s">
        <v>97</v>
      </c>
      <c r="J128" s="10">
        <v>79.5</v>
      </c>
      <c r="K128" s="10">
        <v>238.5</v>
      </c>
      <c r="L128" s="10">
        <v>0</v>
      </c>
      <c r="N128" s="10">
        <v>0</v>
      </c>
      <c r="S128">
        <v>24.25</v>
      </c>
      <c r="T128">
        <v>16.75</v>
      </c>
      <c r="U128">
        <v>16.75</v>
      </c>
      <c r="W128">
        <v>19.329999999999998</v>
      </c>
      <c r="Y128">
        <v>12</v>
      </c>
      <c r="Z128">
        <v>19.5</v>
      </c>
      <c r="AA128">
        <v>19.5</v>
      </c>
      <c r="AB128">
        <v>2.641</v>
      </c>
      <c r="AC128">
        <v>24.05</v>
      </c>
      <c r="AE128">
        <v>3</v>
      </c>
      <c r="AF128" t="s">
        <v>282</v>
      </c>
      <c r="AG128">
        <v>100</v>
      </c>
      <c r="AK128" t="s">
        <v>98</v>
      </c>
      <c r="AM128" t="s">
        <v>98</v>
      </c>
      <c r="AN128" t="s">
        <v>99</v>
      </c>
      <c r="AO128" t="s">
        <v>98</v>
      </c>
      <c r="AP128" t="s">
        <v>100</v>
      </c>
      <c r="AQ128" t="s">
        <v>101</v>
      </c>
      <c r="AV128" t="s">
        <v>98</v>
      </c>
      <c r="AX128" t="s">
        <v>484</v>
      </c>
      <c r="AZ128" t="s">
        <v>102</v>
      </c>
      <c r="BB128" t="s">
        <v>235</v>
      </c>
      <c r="BC128" t="s">
        <v>498</v>
      </c>
      <c r="BD128" t="s">
        <v>7528</v>
      </c>
      <c r="BF128" t="s">
        <v>499</v>
      </c>
      <c r="BG128" t="s">
        <v>98</v>
      </c>
      <c r="BH128" t="s">
        <v>98</v>
      </c>
      <c r="BI128" t="s">
        <v>98</v>
      </c>
      <c r="BK128" t="s">
        <v>110</v>
      </c>
      <c r="BL128" t="s">
        <v>7528</v>
      </c>
      <c r="BQ128">
        <v>5.25</v>
      </c>
      <c r="BR128">
        <v>1.1299999999999999</v>
      </c>
      <c r="BS128">
        <v>5.25</v>
      </c>
      <c r="BT128">
        <v>5.25</v>
      </c>
      <c r="CA128" t="s">
        <v>496</v>
      </c>
      <c r="CB128" t="s">
        <v>484</v>
      </c>
      <c r="CL128" t="s">
        <v>99</v>
      </c>
      <c r="CM128" t="s">
        <v>99</v>
      </c>
      <c r="CN128" t="s">
        <v>442</v>
      </c>
      <c r="CO128" s="1">
        <v>40518</v>
      </c>
      <c r="CP128" s="1">
        <v>43633</v>
      </c>
    </row>
    <row r="129" spans="1:94" x14ac:dyDescent="0.25">
      <c r="A129" t="s">
        <v>500</v>
      </c>
      <c r="B129" t="str">
        <f xml:space="preserve"> "" &amp; 747396083483</f>
        <v>747396083483</v>
      </c>
      <c r="C129" t="s">
        <v>376</v>
      </c>
      <c r="D129" t="s">
        <v>501</v>
      </c>
      <c r="E129" t="s">
        <v>477</v>
      </c>
      <c r="F129" t="s">
        <v>377</v>
      </c>
      <c r="G129">
        <v>1</v>
      </c>
      <c r="H129">
        <v>1</v>
      </c>
      <c r="I129" t="s">
        <v>97</v>
      </c>
      <c r="J129" s="10">
        <v>79</v>
      </c>
      <c r="K129" s="10">
        <v>237</v>
      </c>
      <c r="L129" s="10">
        <v>0</v>
      </c>
      <c r="N129" s="10">
        <v>0</v>
      </c>
      <c r="S129">
        <v>13.5</v>
      </c>
      <c r="T129">
        <v>16</v>
      </c>
      <c r="U129">
        <v>16</v>
      </c>
      <c r="W129">
        <v>11.13</v>
      </c>
      <c r="Y129">
        <v>12.5</v>
      </c>
      <c r="Z129">
        <v>14.5</v>
      </c>
      <c r="AA129">
        <v>14.5</v>
      </c>
      <c r="AB129">
        <v>1.5209999999999999</v>
      </c>
      <c r="AC129">
        <v>12.99</v>
      </c>
      <c r="AE129">
        <v>3</v>
      </c>
      <c r="AF129" t="s">
        <v>282</v>
      </c>
      <c r="AG129">
        <v>60</v>
      </c>
      <c r="AK129" t="s">
        <v>98</v>
      </c>
      <c r="AL129">
        <v>3</v>
      </c>
      <c r="AM129" t="s">
        <v>98</v>
      </c>
      <c r="AN129" t="s">
        <v>99</v>
      </c>
      <c r="AO129" t="s">
        <v>98</v>
      </c>
      <c r="AP129" t="s">
        <v>100</v>
      </c>
      <c r="AQ129" t="s">
        <v>101</v>
      </c>
      <c r="AV129" t="s">
        <v>98</v>
      </c>
      <c r="AX129" t="s">
        <v>461</v>
      </c>
      <c r="AZ129" t="s">
        <v>102</v>
      </c>
      <c r="BB129" t="s">
        <v>235</v>
      </c>
      <c r="BC129" t="s">
        <v>498</v>
      </c>
      <c r="BD129" t="s">
        <v>7528</v>
      </c>
      <c r="BF129" t="s">
        <v>502</v>
      </c>
      <c r="BG129" t="s">
        <v>98</v>
      </c>
      <c r="BH129" t="s">
        <v>98</v>
      </c>
      <c r="BI129" t="s">
        <v>98</v>
      </c>
      <c r="BK129" t="s">
        <v>127</v>
      </c>
      <c r="BL129" t="s">
        <v>7528</v>
      </c>
      <c r="BQ129">
        <v>6</v>
      </c>
      <c r="BR129">
        <v>1</v>
      </c>
      <c r="BS129">
        <v>6</v>
      </c>
      <c r="BT129">
        <v>6</v>
      </c>
      <c r="CA129">
        <v>1738</v>
      </c>
      <c r="CB129" t="s">
        <v>461</v>
      </c>
      <c r="CL129" t="s">
        <v>99</v>
      </c>
      <c r="CM129" t="s">
        <v>98</v>
      </c>
      <c r="CN129" t="s">
        <v>442</v>
      </c>
      <c r="CO129" s="1">
        <v>40794</v>
      </c>
      <c r="CP129" s="1">
        <v>43633</v>
      </c>
    </row>
    <row r="130" spans="1:94" x14ac:dyDescent="0.25">
      <c r="A130" t="s">
        <v>503</v>
      </c>
      <c r="B130" t="str">
        <f xml:space="preserve"> "" &amp; 747396083490</f>
        <v>747396083490</v>
      </c>
      <c r="C130" t="s">
        <v>376</v>
      </c>
      <c r="D130" t="s">
        <v>501</v>
      </c>
      <c r="E130" t="s">
        <v>477</v>
      </c>
      <c r="F130" t="s">
        <v>377</v>
      </c>
      <c r="G130">
        <v>1</v>
      </c>
      <c r="H130">
        <v>1</v>
      </c>
      <c r="I130" t="s">
        <v>97</v>
      </c>
      <c r="J130" s="10">
        <v>79</v>
      </c>
      <c r="K130" s="10">
        <v>237</v>
      </c>
      <c r="L130" s="10">
        <v>0</v>
      </c>
      <c r="N130" s="10">
        <v>0</v>
      </c>
      <c r="S130">
        <v>13.5</v>
      </c>
      <c r="T130">
        <v>16</v>
      </c>
      <c r="U130">
        <v>16</v>
      </c>
      <c r="W130">
        <v>11.13</v>
      </c>
      <c r="Y130">
        <v>12.5</v>
      </c>
      <c r="Z130">
        <v>14.5</v>
      </c>
      <c r="AA130">
        <v>14.5</v>
      </c>
      <c r="AB130">
        <v>1.5209999999999999</v>
      </c>
      <c r="AC130">
        <v>12.99</v>
      </c>
      <c r="AE130">
        <v>3</v>
      </c>
      <c r="AF130" t="s">
        <v>282</v>
      </c>
      <c r="AG130">
        <v>60</v>
      </c>
      <c r="AK130" t="s">
        <v>98</v>
      </c>
      <c r="AL130">
        <v>3</v>
      </c>
      <c r="AM130" t="s">
        <v>98</v>
      </c>
      <c r="AN130" t="s">
        <v>99</v>
      </c>
      <c r="AO130" t="s">
        <v>98</v>
      </c>
      <c r="AP130" t="s">
        <v>100</v>
      </c>
      <c r="AQ130" t="s">
        <v>101</v>
      </c>
      <c r="AV130" t="s">
        <v>98</v>
      </c>
      <c r="AX130" t="s">
        <v>484</v>
      </c>
      <c r="AZ130" t="s">
        <v>102</v>
      </c>
      <c r="BB130" t="s">
        <v>235</v>
      </c>
      <c r="BC130" t="s">
        <v>498</v>
      </c>
      <c r="BD130" t="s">
        <v>7528</v>
      </c>
      <c r="BF130" t="s">
        <v>504</v>
      </c>
      <c r="BG130" t="s">
        <v>98</v>
      </c>
      <c r="BH130" t="s">
        <v>98</v>
      </c>
      <c r="BI130" t="s">
        <v>98</v>
      </c>
      <c r="BK130" t="s">
        <v>127</v>
      </c>
      <c r="BL130" t="s">
        <v>7528</v>
      </c>
      <c r="BQ130">
        <v>6</v>
      </c>
      <c r="BR130">
        <v>1</v>
      </c>
      <c r="BS130">
        <v>6</v>
      </c>
      <c r="BT130">
        <v>6</v>
      </c>
      <c r="CA130">
        <v>1738</v>
      </c>
      <c r="CB130" t="s">
        <v>484</v>
      </c>
      <c r="CL130" t="s">
        <v>99</v>
      </c>
      <c r="CM130" t="s">
        <v>98</v>
      </c>
      <c r="CN130" t="s">
        <v>442</v>
      </c>
      <c r="CO130" s="1">
        <v>40794</v>
      </c>
      <c r="CP130" s="1">
        <v>43633</v>
      </c>
    </row>
    <row r="131" spans="1:94" x14ac:dyDescent="0.25">
      <c r="A131" t="s">
        <v>505</v>
      </c>
      <c r="B131" t="str">
        <f xml:space="preserve"> "" &amp; 747396052427</f>
        <v>747396052427</v>
      </c>
      <c r="C131" t="s">
        <v>350</v>
      </c>
      <c r="D131" t="s">
        <v>506</v>
      </c>
      <c r="E131" t="s">
        <v>477</v>
      </c>
      <c r="F131" t="s">
        <v>249</v>
      </c>
      <c r="G131">
        <v>1</v>
      </c>
      <c r="H131">
        <v>1</v>
      </c>
      <c r="I131" t="s">
        <v>97</v>
      </c>
      <c r="J131" s="10">
        <v>99.5</v>
      </c>
      <c r="K131" s="10">
        <v>298.5</v>
      </c>
      <c r="L131" s="10">
        <v>0</v>
      </c>
      <c r="N131" s="10">
        <v>0</v>
      </c>
      <c r="S131">
        <v>27.75</v>
      </c>
      <c r="T131">
        <v>27.25</v>
      </c>
      <c r="U131">
        <v>27.25</v>
      </c>
      <c r="W131">
        <v>28.66</v>
      </c>
      <c r="X131">
        <v>1</v>
      </c>
      <c r="Y131">
        <v>15.5</v>
      </c>
      <c r="Z131">
        <v>26.5</v>
      </c>
      <c r="AA131">
        <v>23.5</v>
      </c>
      <c r="AB131">
        <v>5.5860000000000003</v>
      </c>
      <c r="AC131">
        <v>38.07</v>
      </c>
      <c r="AE131">
        <v>9</v>
      </c>
      <c r="AF131" t="s">
        <v>282</v>
      </c>
      <c r="AG131">
        <v>100</v>
      </c>
      <c r="AH131">
        <v>0</v>
      </c>
      <c r="AJ131">
        <v>0</v>
      </c>
      <c r="AK131" t="s">
        <v>98</v>
      </c>
      <c r="AL131">
        <v>9</v>
      </c>
      <c r="AM131" t="s">
        <v>98</v>
      </c>
      <c r="AN131" t="s">
        <v>99</v>
      </c>
      <c r="AO131" t="s">
        <v>98</v>
      </c>
      <c r="AP131" t="s">
        <v>259</v>
      </c>
      <c r="AQ131" t="s">
        <v>101</v>
      </c>
      <c r="AV131" t="s">
        <v>98</v>
      </c>
      <c r="AX131" t="s">
        <v>461</v>
      </c>
      <c r="AZ131" t="s">
        <v>102</v>
      </c>
      <c r="BB131" t="s">
        <v>235</v>
      </c>
      <c r="BC131" t="s">
        <v>498</v>
      </c>
      <c r="BD131" t="s">
        <v>7528</v>
      </c>
      <c r="BF131" t="s">
        <v>507</v>
      </c>
      <c r="BG131" t="s">
        <v>98</v>
      </c>
      <c r="BH131" t="s">
        <v>98</v>
      </c>
      <c r="BI131" t="s">
        <v>98</v>
      </c>
      <c r="BK131" t="s">
        <v>110</v>
      </c>
      <c r="BL131" t="s">
        <v>7528</v>
      </c>
      <c r="BQ131">
        <v>5.13</v>
      </c>
      <c r="BR131">
        <v>1.25</v>
      </c>
      <c r="BS131">
        <v>5.13</v>
      </c>
      <c r="BT131">
        <v>5.13</v>
      </c>
      <c r="CA131">
        <v>1739</v>
      </c>
      <c r="CB131" t="s">
        <v>461</v>
      </c>
      <c r="CL131" t="s">
        <v>99</v>
      </c>
      <c r="CM131" t="s">
        <v>98</v>
      </c>
      <c r="CN131" t="s">
        <v>442</v>
      </c>
      <c r="CO131" s="1">
        <v>38464</v>
      </c>
      <c r="CP131" s="1">
        <v>43633</v>
      </c>
    </row>
    <row r="132" spans="1:94" x14ac:dyDescent="0.25">
      <c r="A132" t="s">
        <v>514</v>
      </c>
      <c r="B132" t="str">
        <f xml:space="preserve"> "" &amp; 747396057637</f>
        <v>747396057637</v>
      </c>
      <c r="C132" t="s">
        <v>239</v>
      </c>
      <c r="D132" t="s">
        <v>6528</v>
      </c>
      <c r="E132" t="s">
        <v>509</v>
      </c>
      <c r="F132" t="s">
        <v>240</v>
      </c>
      <c r="G132">
        <v>1</v>
      </c>
      <c r="H132">
        <v>1</v>
      </c>
      <c r="I132" t="s">
        <v>97</v>
      </c>
      <c r="J132" s="10">
        <v>65.95</v>
      </c>
      <c r="K132" s="10">
        <v>197.85</v>
      </c>
      <c r="L132" s="10">
        <v>0</v>
      </c>
      <c r="N132" s="10">
        <v>0</v>
      </c>
      <c r="O132" t="s">
        <v>99</v>
      </c>
      <c r="P132" s="10">
        <v>131.9</v>
      </c>
      <c r="S132">
        <v>14</v>
      </c>
      <c r="T132">
        <v>6.25</v>
      </c>
      <c r="U132">
        <v>6.25</v>
      </c>
      <c r="W132">
        <v>5.4</v>
      </c>
      <c r="X132">
        <v>1</v>
      </c>
      <c r="Y132">
        <v>8</v>
      </c>
      <c r="Z132">
        <v>15</v>
      </c>
      <c r="AA132">
        <v>11.5</v>
      </c>
      <c r="AB132">
        <v>0.79900000000000004</v>
      </c>
      <c r="AC132">
        <v>6.94</v>
      </c>
      <c r="AE132">
        <v>1</v>
      </c>
      <c r="AF132" t="s">
        <v>282</v>
      </c>
      <c r="AG132">
        <v>100</v>
      </c>
      <c r="AH132">
        <v>0</v>
      </c>
      <c r="AK132" t="s">
        <v>98</v>
      </c>
      <c r="AM132" t="s">
        <v>98</v>
      </c>
      <c r="AN132" t="s">
        <v>99</v>
      </c>
      <c r="AO132" t="s">
        <v>98</v>
      </c>
      <c r="AP132" t="s">
        <v>100</v>
      </c>
      <c r="AQ132" t="s">
        <v>101</v>
      </c>
      <c r="AV132" t="s">
        <v>98</v>
      </c>
      <c r="AX132" t="s">
        <v>510</v>
      </c>
      <c r="AZ132" t="s">
        <v>124</v>
      </c>
      <c r="BB132" t="s">
        <v>235</v>
      </c>
      <c r="BC132" t="s">
        <v>6232</v>
      </c>
      <c r="BD132" t="s">
        <v>7528</v>
      </c>
      <c r="BF132" t="s">
        <v>515</v>
      </c>
      <c r="BG132" t="s">
        <v>98</v>
      </c>
      <c r="BH132" t="s">
        <v>98</v>
      </c>
      <c r="BI132" t="s">
        <v>98</v>
      </c>
      <c r="BK132" t="s">
        <v>110</v>
      </c>
      <c r="BL132" t="s">
        <v>7528</v>
      </c>
      <c r="BQ132">
        <v>6.25</v>
      </c>
      <c r="BR132">
        <v>2.13</v>
      </c>
      <c r="BS132">
        <v>6.25</v>
      </c>
      <c r="BT132">
        <v>6.25</v>
      </c>
      <c r="CA132">
        <v>1741</v>
      </c>
      <c r="CB132" t="s">
        <v>510</v>
      </c>
      <c r="CL132" t="s">
        <v>99</v>
      </c>
      <c r="CM132" t="s">
        <v>99</v>
      </c>
      <c r="CN132" t="s">
        <v>337</v>
      </c>
      <c r="CO132" s="1">
        <v>38891</v>
      </c>
      <c r="CP132" s="1">
        <v>43633</v>
      </c>
    </row>
    <row r="133" spans="1:94" x14ac:dyDescent="0.25">
      <c r="A133" t="s">
        <v>508</v>
      </c>
      <c r="B133" t="str">
        <f xml:space="preserve"> "" &amp; 747396057705</f>
        <v>747396057705</v>
      </c>
      <c r="C133" t="s">
        <v>343</v>
      </c>
      <c r="D133" t="s">
        <v>6529</v>
      </c>
      <c r="E133" t="s">
        <v>509</v>
      </c>
      <c r="F133" t="s">
        <v>249</v>
      </c>
      <c r="G133">
        <v>1</v>
      </c>
      <c r="H133">
        <v>1</v>
      </c>
      <c r="I133" t="s">
        <v>97</v>
      </c>
      <c r="J133" s="10">
        <v>186.95</v>
      </c>
      <c r="K133" s="10">
        <v>560.85</v>
      </c>
      <c r="L133" s="10">
        <v>0</v>
      </c>
      <c r="N133" s="10">
        <v>0</v>
      </c>
      <c r="O133" t="s">
        <v>99</v>
      </c>
      <c r="P133" s="10">
        <v>373.9</v>
      </c>
      <c r="S133">
        <v>19.25</v>
      </c>
      <c r="T133">
        <v>27</v>
      </c>
      <c r="U133">
        <v>27</v>
      </c>
      <c r="W133">
        <v>19.71</v>
      </c>
      <c r="X133">
        <v>1</v>
      </c>
      <c r="Y133">
        <v>16.5</v>
      </c>
      <c r="Z133">
        <v>28.5</v>
      </c>
      <c r="AA133">
        <v>12</v>
      </c>
      <c r="AB133">
        <v>3.266</v>
      </c>
      <c r="AC133">
        <v>25.02</v>
      </c>
      <c r="AE133">
        <v>5</v>
      </c>
      <c r="AF133" t="s">
        <v>340</v>
      </c>
      <c r="AG133">
        <v>60</v>
      </c>
      <c r="AH133">
        <v>0</v>
      </c>
      <c r="AK133" t="s">
        <v>98</v>
      </c>
      <c r="AL133">
        <v>5</v>
      </c>
      <c r="AM133" t="s">
        <v>98</v>
      </c>
      <c r="AN133" t="s">
        <v>99</v>
      </c>
      <c r="AO133" t="s">
        <v>98</v>
      </c>
      <c r="AP133" t="s">
        <v>100</v>
      </c>
      <c r="AV133" t="s">
        <v>98</v>
      </c>
      <c r="AX133" t="s">
        <v>510</v>
      </c>
      <c r="AZ133" t="s">
        <v>124</v>
      </c>
      <c r="BB133" t="s">
        <v>235</v>
      </c>
      <c r="BC133" t="s">
        <v>511</v>
      </c>
      <c r="BD133" t="s">
        <v>7528</v>
      </c>
      <c r="BF133" t="s">
        <v>512</v>
      </c>
      <c r="BG133" t="s">
        <v>98</v>
      </c>
      <c r="BH133" t="s">
        <v>98</v>
      </c>
      <c r="BI133" t="s">
        <v>98</v>
      </c>
      <c r="BK133" t="s">
        <v>110</v>
      </c>
      <c r="BL133" t="s">
        <v>128</v>
      </c>
      <c r="BR133">
        <v>1.88</v>
      </c>
      <c r="BT133">
        <v>6.13</v>
      </c>
      <c r="CA133">
        <v>174</v>
      </c>
      <c r="CB133" t="s">
        <v>510</v>
      </c>
      <c r="CL133" t="s">
        <v>99</v>
      </c>
      <c r="CM133" t="s">
        <v>99</v>
      </c>
      <c r="CN133" t="s">
        <v>513</v>
      </c>
      <c r="CO133" s="1">
        <v>38903</v>
      </c>
      <c r="CP133" s="1">
        <v>43633</v>
      </c>
    </row>
    <row r="134" spans="1:94" x14ac:dyDescent="0.25">
      <c r="A134" t="s">
        <v>516</v>
      </c>
      <c r="B134" t="str">
        <f xml:space="preserve"> "" &amp; 747396057507</f>
        <v>747396057507</v>
      </c>
      <c r="C134" t="s">
        <v>243</v>
      </c>
      <c r="D134" t="s">
        <v>6530</v>
      </c>
      <c r="E134" t="s">
        <v>509</v>
      </c>
      <c r="F134" t="s">
        <v>240</v>
      </c>
      <c r="G134">
        <v>1</v>
      </c>
      <c r="H134">
        <v>1</v>
      </c>
      <c r="I134" t="s">
        <v>97</v>
      </c>
      <c r="J134" s="10">
        <v>354.95</v>
      </c>
      <c r="K134" s="10">
        <v>1064.8499999999999</v>
      </c>
      <c r="L134" s="10">
        <v>0</v>
      </c>
      <c r="N134" s="10">
        <v>0</v>
      </c>
      <c r="O134" t="s">
        <v>99</v>
      </c>
      <c r="P134" s="10">
        <v>709.9</v>
      </c>
      <c r="S134">
        <v>28.75</v>
      </c>
      <c r="T134">
        <v>24.5</v>
      </c>
      <c r="U134">
        <v>24.5</v>
      </c>
      <c r="W134">
        <v>23.9</v>
      </c>
      <c r="X134">
        <v>1</v>
      </c>
      <c r="Y134">
        <v>13.25</v>
      </c>
      <c r="Z134">
        <v>26.5</v>
      </c>
      <c r="AA134">
        <v>26.5</v>
      </c>
      <c r="AB134">
        <v>5.3849999999999998</v>
      </c>
      <c r="AC134">
        <v>30.73</v>
      </c>
      <c r="AE134">
        <v>3</v>
      </c>
      <c r="AF134" t="s">
        <v>282</v>
      </c>
      <c r="AG134">
        <v>100</v>
      </c>
      <c r="AH134">
        <v>0</v>
      </c>
      <c r="AK134" t="s">
        <v>98</v>
      </c>
      <c r="AM134" t="s">
        <v>98</v>
      </c>
      <c r="AN134" t="s">
        <v>99</v>
      </c>
      <c r="AO134" t="s">
        <v>98</v>
      </c>
      <c r="AP134" t="s">
        <v>259</v>
      </c>
      <c r="AQ134" t="s">
        <v>101</v>
      </c>
      <c r="AV134" t="s">
        <v>98</v>
      </c>
      <c r="AX134" t="s">
        <v>510</v>
      </c>
      <c r="AZ134" t="s">
        <v>124</v>
      </c>
      <c r="BB134" t="s">
        <v>235</v>
      </c>
      <c r="BC134" t="s">
        <v>6232</v>
      </c>
      <c r="BD134" t="s">
        <v>517</v>
      </c>
      <c r="BF134" t="s">
        <v>518</v>
      </c>
      <c r="BG134" t="s">
        <v>98</v>
      </c>
      <c r="BH134" t="s">
        <v>98</v>
      </c>
      <c r="BI134" t="s">
        <v>98</v>
      </c>
      <c r="BK134" t="s">
        <v>110</v>
      </c>
      <c r="BL134" t="s">
        <v>7528</v>
      </c>
      <c r="BQ134">
        <v>6.13</v>
      </c>
      <c r="BR134">
        <v>1.88</v>
      </c>
      <c r="BS134">
        <v>6.13</v>
      </c>
      <c r="BT134">
        <v>6.13</v>
      </c>
      <c r="CA134">
        <v>1747</v>
      </c>
      <c r="CB134" t="s">
        <v>510</v>
      </c>
      <c r="CL134" t="s">
        <v>99</v>
      </c>
      <c r="CM134" t="s">
        <v>98</v>
      </c>
      <c r="CN134" t="s">
        <v>337</v>
      </c>
      <c r="CO134" s="1">
        <v>38902</v>
      </c>
      <c r="CP134" s="1">
        <v>43633</v>
      </c>
    </row>
    <row r="135" spans="1:94" x14ac:dyDescent="0.25">
      <c r="A135" t="s">
        <v>520</v>
      </c>
      <c r="B135" t="str">
        <f xml:space="preserve"> "" &amp; 747396057682</f>
        <v>747396057682</v>
      </c>
      <c r="C135" t="s">
        <v>521</v>
      </c>
      <c r="D135" t="s">
        <v>6531</v>
      </c>
      <c r="E135" t="s">
        <v>509</v>
      </c>
      <c r="F135" t="s">
        <v>358</v>
      </c>
      <c r="G135">
        <v>1</v>
      </c>
      <c r="H135">
        <v>1</v>
      </c>
      <c r="I135" t="s">
        <v>97</v>
      </c>
      <c r="J135" s="10">
        <v>99</v>
      </c>
      <c r="K135" s="10">
        <v>297</v>
      </c>
      <c r="L135" s="10">
        <v>0</v>
      </c>
      <c r="N135" s="10">
        <v>0</v>
      </c>
      <c r="O135" t="s">
        <v>99</v>
      </c>
      <c r="P135" s="10">
        <v>197.9</v>
      </c>
      <c r="S135">
        <v>1.5</v>
      </c>
      <c r="T135">
        <v>26.5</v>
      </c>
      <c r="U135">
        <v>26.5</v>
      </c>
      <c r="W135">
        <v>24.07</v>
      </c>
      <c r="X135">
        <v>1</v>
      </c>
      <c r="Y135">
        <v>4</v>
      </c>
      <c r="Z135">
        <v>29.5</v>
      </c>
      <c r="AA135">
        <v>29.5</v>
      </c>
      <c r="AB135">
        <v>2.0139999999999998</v>
      </c>
      <c r="AC135">
        <v>51.81</v>
      </c>
      <c r="AE135">
        <v>0</v>
      </c>
      <c r="AF135" t="e">
        <v>#N/A</v>
      </c>
      <c r="AG135">
        <v>0</v>
      </c>
      <c r="AH135">
        <v>0</v>
      </c>
      <c r="AJ135">
        <v>0</v>
      </c>
      <c r="AK135" t="s">
        <v>98</v>
      </c>
      <c r="AM135" t="s">
        <v>98</v>
      </c>
      <c r="AN135" t="s">
        <v>98</v>
      </c>
      <c r="AO135" t="s">
        <v>98</v>
      </c>
      <c r="AP135" t="s">
        <v>100</v>
      </c>
      <c r="AQ135" t="s">
        <v>101</v>
      </c>
      <c r="AV135" t="s">
        <v>98</v>
      </c>
      <c r="AX135" t="s">
        <v>510</v>
      </c>
      <c r="AZ135" t="s">
        <v>124</v>
      </c>
      <c r="BB135" t="s">
        <v>7528</v>
      </c>
      <c r="BC135" t="s">
        <v>7528</v>
      </c>
      <c r="BD135" t="s">
        <v>7528</v>
      </c>
      <c r="BF135" t="s">
        <v>522</v>
      </c>
      <c r="BG135" t="s">
        <v>98</v>
      </c>
      <c r="BH135" t="s">
        <v>98</v>
      </c>
      <c r="BI135" t="s">
        <v>98</v>
      </c>
      <c r="BK135" t="e">
        <v>#N/A</v>
      </c>
      <c r="BL135" t="s">
        <v>7528</v>
      </c>
      <c r="CA135">
        <v>1750</v>
      </c>
      <c r="CB135" t="s">
        <v>510</v>
      </c>
      <c r="CL135" t="s">
        <v>98</v>
      </c>
      <c r="CM135" t="s">
        <v>98</v>
      </c>
      <c r="CN135" t="s">
        <v>523</v>
      </c>
      <c r="CO135" s="1">
        <v>38902</v>
      </c>
      <c r="CP135" s="1">
        <v>43633</v>
      </c>
    </row>
    <row r="136" spans="1:94" x14ac:dyDescent="0.25">
      <c r="A136" t="s">
        <v>524</v>
      </c>
      <c r="B136" t="str">
        <f xml:space="preserve"> "" &amp; 747396057613</f>
        <v>747396057613</v>
      </c>
      <c r="C136" t="s">
        <v>476</v>
      </c>
      <c r="D136" t="s">
        <v>6532</v>
      </c>
      <c r="E136" t="s">
        <v>509</v>
      </c>
      <c r="F136" t="s">
        <v>478</v>
      </c>
      <c r="G136">
        <v>1</v>
      </c>
      <c r="H136">
        <v>1</v>
      </c>
      <c r="I136" t="s">
        <v>97</v>
      </c>
      <c r="J136" s="10">
        <v>76.95</v>
      </c>
      <c r="K136" s="10">
        <v>230.85</v>
      </c>
      <c r="L136" s="10">
        <v>0</v>
      </c>
      <c r="N136" s="10">
        <v>0</v>
      </c>
      <c r="O136" t="s">
        <v>99</v>
      </c>
      <c r="P136" s="10">
        <v>153.9</v>
      </c>
      <c r="S136">
        <v>8.5</v>
      </c>
      <c r="T136">
        <v>13</v>
      </c>
      <c r="U136">
        <v>13</v>
      </c>
      <c r="W136">
        <v>7.72</v>
      </c>
      <c r="X136">
        <v>1</v>
      </c>
      <c r="Y136">
        <v>9.5</v>
      </c>
      <c r="Z136">
        <v>15.5</v>
      </c>
      <c r="AA136">
        <v>15.5</v>
      </c>
      <c r="AB136">
        <v>1.321</v>
      </c>
      <c r="AC136">
        <v>9.81</v>
      </c>
      <c r="AE136">
        <v>2</v>
      </c>
      <c r="AF136" t="s">
        <v>525</v>
      </c>
      <c r="AG136">
        <v>60</v>
      </c>
      <c r="AK136" t="s">
        <v>98</v>
      </c>
      <c r="AM136" t="s">
        <v>98</v>
      </c>
      <c r="AN136" t="s">
        <v>99</v>
      </c>
      <c r="AO136" t="s">
        <v>98</v>
      </c>
      <c r="AP136" t="s">
        <v>100</v>
      </c>
      <c r="AQ136" t="s">
        <v>101</v>
      </c>
      <c r="AV136" t="s">
        <v>98</v>
      </c>
      <c r="AX136" t="s">
        <v>510</v>
      </c>
      <c r="AZ136" t="s">
        <v>124</v>
      </c>
      <c r="BB136" t="s">
        <v>235</v>
      </c>
      <c r="BC136" t="s">
        <v>511</v>
      </c>
      <c r="BD136" t="s">
        <v>7528</v>
      </c>
      <c r="BF136" t="s">
        <v>526</v>
      </c>
      <c r="BG136" t="s">
        <v>98</v>
      </c>
      <c r="BH136" t="s">
        <v>98</v>
      </c>
      <c r="BI136" t="s">
        <v>98</v>
      </c>
      <c r="BK136" t="s">
        <v>127</v>
      </c>
      <c r="BL136" t="s">
        <v>7528</v>
      </c>
      <c r="CA136">
        <v>1755</v>
      </c>
      <c r="CB136" t="s">
        <v>510</v>
      </c>
      <c r="CL136" t="s">
        <v>99</v>
      </c>
      <c r="CM136" t="s">
        <v>98</v>
      </c>
      <c r="CN136" t="s">
        <v>337</v>
      </c>
      <c r="CO136" s="1">
        <v>38899</v>
      </c>
      <c r="CP136" s="1">
        <v>43633</v>
      </c>
    </row>
    <row r="137" spans="1:94" x14ac:dyDescent="0.25">
      <c r="A137" t="s">
        <v>527</v>
      </c>
      <c r="B137" t="str">
        <f xml:space="preserve"> "" &amp; 747396057576</f>
        <v>747396057576</v>
      </c>
      <c r="C137" t="s">
        <v>376</v>
      </c>
      <c r="D137" t="s">
        <v>6533</v>
      </c>
      <c r="E137" t="s">
        <v>3074</v>
      </c>
      <c r="F137" t="s">
        <v>377</v>
      </c>
      <c r="G137">
        <v>1</v>
      </c>
      <c r="H137">
        <v>1</v>
      </c>
      <c r="I137" t="s">
        <v>97</v>
      </c>
      <c r="J137" s="10">
        <v>109.95</v>
      </c>
      <c r="K137" s="10">
        <v>329.85</v>
      </c>
      <c r="L137" s="10">
        <v>0</v>
      </c>
      <c r="N137" s="10">
        <v>0</v>
      </c>
      <c r="O137" t="s">
        <v>99</v>
      </c>
      <c r="P137" s="10">
        <v>219.9</v>
      </c>
      <c r="S137">
        <v>13.25</v>
      </c>
      <c r="T137">
        <v>15.75</v>
      </c>
      <c r="U137">
        <v>15.75</v>
      </c>
      <c r="W137">
        <v>10.43</v>
      </c>
      <c r="X137">
        <v>1</v>
      </c>
      <c r="Y137">
        <v>14.75</v>
      </c>
      <c r="Z137">
        <v>18.5</v>
      </c>
      <c r="AA137">
        <v>18.5</v>
      </c>
      <c r="AB137">
        <v>2.9209999999999998</v>
      </c>
      <c r="AC137">
        <v>14.93</v>
      </c>
      <c r="AE137">
        <v>3</v>
      </c>
      <c r="AF137" t="s">
        <v>340</v>
      </c>
      <c r="AG137">
        <v>60</v>
      </c>
      <c r="AK137" t="s">
        <v>98</v>
      </c>
      <c r="AM137" t="s">
        <v>98</v>
      </c>
      <c r="AN137" t="s">
        <v>99</v>
      </c>
      <c r="AO137" t="s">
        <v>98</v>
      </c>
      <c r="AP137" t="s">
        <v>100</v>
      </c>
      <c r="AQ137" t="s">
        <v>101</v>
      </c>
      <c r="AV137" t="s">
        <v>98</v>
      </c>
      <c r="AX137" t="s">
        <v>510</v>
      </c>
      <c r="AZ137" t="s">
        <v>124</v>
      </c>
      <c r="BB137" t="s">
        <v>235</v>
      </c>
      <c r="BC137" t="s">
        <v>511</v>
      </c>
      <c r="BD137" t="s">
        <v>7528</v>
      </c>
      <c r="BF137" t="s">
        <v>528</v>
      </c>
      <c r="BG137" t="s">
        <v>98</v>
      </c>
      <c r="BH137" t="s">
        <v>98</v>
      </c>
      <c r="BI137" t="s">
        <v>98</v>
      </c>
      <c r="BK137" t="s">
        <v>127</v>
      </c>
      <c r="BL137" t="s">
        <v>7528</v>
      </c>
      <c r="BR137">
        <v>2.13</v>
      </c>
      <c r="BT137">
        <v>6</v>
      </c>
      <c r="CA137">
        <v>1757</v>
      </c>
      <c r="CB137" t="s">
        <v>510</v>
      </c>
      <c r="CL137" t="s">
        <v>99</v>
      </c>
      <c r="CM137" t="s">
        <v>98</v>
      </c>
      <c r="CN137" t="s">
        <v>337</v>
      </c>
      <c r="CO137" s="1">
        <v>38902</v>
      </c>
      <c r="CP137" s="1">
        <v>43633</v>
      </c>
    </row>
    <row r="138" spans="1:94" x14ac:dyDescent="0.25">
      <c r="A138" t="s">
        <v>529</v>
      </c>
      <c r="B138" t="str">
        <f xml:space="preserve"> "" &amp; 747396055817</f>
        <v>747396055817</v>
      </c>
      <c r="C138" t="s">
        <v>239</v>
      </c>
      <c r="D138" t="s">
        <v>6534</v>
      </c>
      <c r="E138" t="s">
        <v>7528</v>
      </c>
      <c r="F138" t="s">
        <v>240</v>
      </c>
      <c r="G138">
        <v>1</v>
      </c>
      <c r="H138">
        <v>1</v>
      </c>
      <c r="I138" t="s">
        <v>97</v>
      </c>
      <c r="J138" s="10">
        <v>55</v>
      </c>
      <c r="K138" s="10">
        <v>165</v>
      </c>
      <c r="L138" s="10">
        <v>0</v>
      </c>
      <c r="N138" s="10">
        <v>0</v>
      </c>
      <c r="O138" t="s">
        <v>99</v>
      </c>
      <c r="P138" s="10">
        <v>109.95</v>
      </c>
      <c r="S138">
        <v>12.75</v>
      </c>
      <c r="T138">
        <v>5.75</v>
      </c>
      <c r="U138">
        <v>5.75</v>
      </c>
      <c r="W138">
        <v>5.62</v>
      </c>
      <c r="X138">
        <v>1</v>
      </c>
      <c r="Y138">
        <v>7.5</v>
      </c>
      <c r="Z138">
        <v>12.5</v>
      </c>
      <c r="AA138">
        <v>11.5</v>
      </c>
      <c r="AB138">
        <v>0.624</v>
      </c>
      <c r="AC138">
        <v>7.14</v>
      </c>
      <c r="AE138">
        <v>1</v>
      </c>
      <c r="AF138" t="s">
        <v>340</v>
      </c>
      <c r="AG138">
        <v>100</v>
      </c>
      <c r="AK138" t="s">
        <v>98</v>
      </c>
      <c r="AM138" t="s">
        <v>98</v>
      </c>
      <c r="AN138" t="s">
        <v>98</v>
      </c>
      <c r="AO138" t="s">
        <v>99</v>
      </c>
      <c r="AP138" t="s">
        <v>100</v>
      </c>
      <c r="AQ138" t="s">
        <v>101</v>
      </c>
      <c r="AV138" t="s">
        <v>98</v>
      </c>
      <c r="AX138" t="s">
        <v>530</v>
      </c>
      <c r="AZ138" t="s">
        <v>102</v>
      </c>
      <c r="BB138" t="s">
        <v>235</v>
      </c>
      <c r="BC138" t="s">
        <v>531</v>
      </c>
      <c r="BD138" t="s">
        <v>7528</v>
      </c>
      <c r="BF138" t="s">
        <v>532</v>
      </c>
      <c r="BG138" t="s">
        <v>98</v>
      </c>
      <c r="BH138" t="s">
        <v>98</v>
      </c>
      <c r="BI138" t="s">
        <v>98</v>
      </c>
      <c r="BK138" t="s">
        <v>110</v>
      </c>
      <c r="BL138" t="s">
        <v>7528</v>
      </c>
      <c r="BR138">
        <v>0.63</v>
      </c>
      <c r="BT138">
        <v>6</v>
      </c>
      <c r="CA138">
        <v>1761</v>
      </c>
      <c r="CB138" t="s">
        <v>530</v>
      </c>
      <c r="CL138" t="s">
        <v>99</v>
      </c>
      <c r="CM138" t="s">
        <v>98</v>
      </c>
      <c r="CN138" t="s">
        <v>442</v>
      </c>
      <c r="CO138" s="1">
        <v>38917</v>
      </c>
      <c r="CP138" s="1">
        <v>43633</v>
      </c>
    </row>
    <row r="139" spans="1:94" x14ac:dyDescent="0.25">
      <c r="A139" t="s">
        <v>533</v>
      </c>
      <c r="B139" t="str">
        <f xml:space="preserve"> "" &amp; 840253052124</f>
        <v>840253052124</v>
      </c>
      <c r="C139" t="s">
        <v>162</v>
      </c>
      <c r="D139" t="s">
        <v>95</v>
      </c>
      <c r="E139" t="s">
        <v>7528</v>
      </c>
      <c r="F139" t="s">
        <v>96</v>
      </c>
      <c r="G139">
        <v>1</v>
      </c>
      <c r="H139">
        <v>1</v>
      </c>
      <c r="I139" t="s">
        <v>97</v>
      </c>
      <c r="J139" s="10">
        <v>35</v>
      </c>
      <c r="K139" s="10">
        <v>105</v>
      </c>
      <c r="L139" s="10">
        <v>0</v>
      </c>
      <c r="N139" s="10">
        <v>0</v>
      </c>
      <c r="S139">
        <v>27.25</v>
      </c>
      <c r="U139">
        <v>15</v>
      </c>
      <c r="W139">
        <v>7.61</v>
      </c>
      <c r="Y139">
        <v>23</v>
      </c>
      <c r="Z139">
        <v>15.75</v>
      </c>
      <c r="AA139">
        <v>15.75</v>
      </c>
      <c r="AB139">
        <v>3.302</v>
      </c>
      <c r="AC139">
        <v>12.02</v>
      </c>
      <c r="AE139">
        <v>1</v>
      </c>
      <c r="AF139" t="s">
        <v>163</v>
      </c>
      <c r="AG139">
        <v>150</v>
      </c>
      <c r="AH139">
        <v>0</v>
      </c>
      <c r="AJ139">
        <v>0</v>
      </c>
      <c r="AK139" t="s">
        <v>98</v>
      </c>
      <c r="AM139" t="s">
        <v>98</v>
      </c>
      <c r="AN139" t="s">
        <v>98</v>
      </c>
      <c r="AO139" t="s">
        <v>99</v>
      </c>
      <c r="AP139" t="s">
        <v>100</v>
      </c>
      <c r="AQ139" t="s">
        <v>101</v>
      </c>
      <c r="AV139" t="s">
        <v>98</v>
      </c>
      <c r="AX139" t="s">
        <v>7573</v>
      </c>
      <c r="AZ139" t="s">
        <v>7528</v>
      </c>
      <c r="BB139" t="s">
        <v>197</v>
      </c>
      <c r="BC139" t="s">
        <v>117</v>
      </c>
      <c r="BD139" t="s">
        <v>7528</v>
      </c>
      <c r="BF139" t="s">
        <v>534</v>
      </c>
      <c r="BG139" t="s">
        <v>98</v>
      </c>
      <c r="BH139" t="s">
        <v>98</v>
      </c>
      <c r="BI139" t="s">
        <v>98</v>
      </c>
      <c r="BK139" t="s">
        <v>110</v>
      </c>
      <c r="BL139" t="s">
        <v>7528</v>
      </c>
      <c r="CA139" t="s">
        <v>535</v>
      </c>
      <c r="CB139" t="s">
        <v>7573</v>
      </c>
      <c r="CL139" t="s">
        <v>98</v>
      </c>
      <c r="CM139" t="s">
        <v>98</v>
      </c>
      <c r="CN139" t="s">
        <v>200</v>
      </c>
      <c r="CO139" s="1">
        <v>39956</v>
      </c>
      <c r="CP139" s="1">
        <v>43633</v>
      </c>
    </row>
    <row r="140" spans="1:94" x14ac:dyDescent="0.25">
      <c r="A140" t="s">
        <v>536</v>
      </c>
      <c r="B140" t="str">
        <f xml:space="preserve"> "" &amp; 747396057262</f>
        <v>747396057262</v>
      </c>
      <c r="C140" t="s">
        <v>239</v>
      </c>
      <c r="D140" t="s">
        <v>6535</v>
      </c>
      <c r="E140" t="s">
        <v>537</v>
      </c>
      <c r="F140" t="s">
        <v>240</v>
      </c>
      <c r="G140">
        <v>1</v>
      </c>
      <c r="H140">
        <v>1</v>
      </c>
      <c r="I140" t="s">
        <v>97</v>
      </c>
      <c r="J140" s="10">
        <v>39</v>
      </c>
      <c r="K140" s="10">
        <v>117</v>
      </c>
      <c r="L140" s="10">
        <v>0</v>
      </c>
      <c r="N140" s="10">
        <v>0</v>
      </c>
      <c r="O140" t="s">
        <v>99</v>
      </c>
      <c r="P140" s="10">
        <v>74.95</v>
      </c>
      <c r="S140">
        <v>6</v>
      </c>
      <c r="T140">
        <v>7.75</v>
      </c>
      <c r="U140">
        <v>5</v>
      </c>
      <c r="W140">
        <v>3.44</v>
      </c>
      <c r="X140">
        <v>1</v>
      </c>
      <c r="Y140">
        <v>7.25</v>
      </c>
      <c r="Z140">
        <v>13</v>
      </c>
      <c r="AA140">
        <v>8</v>
      </c>
      <c r="AB140">
        <v>0.436</v>
      </c>
      <c r="AC140">
        <v>4.3899999999999997</v>
      </c>
      <c r="AE140">
        <v>1</v>
      </c>
      <c r="AF140" t="s">
        <v>233</v>
      </c>
      <c r="AG140">
        <v>100</v>
      </c>
      <c r="AK140" t="s">
        <v>98</v>
      </c>
      <c r="AM140" t="s">
        <v>98</v>
      </c>
      <c r="AN140" t="s">
        <v>98</v>
      </c>
      <c r="AO140" t="s">
        <v>99</v>
      </c>
      <c r="AP140" t="s">
        <v>100</v>
      </c>
      <c r="AQ140" t="s">
        <v>101</v>
      </c>
      <c r="AV140" t="s">
        <v>98</v>
      </c>
      <c r="AX140" t="s">
        <v>164</v>
      </c>
      <c r="AZ140" t="s">
        <v>392</v>
      </c>
      <c r="BB140" t="s">
        <v>235</v>
      </c>
      <c r="BC140" t="s">
        <v>538</v>
      </c>
      <c r="BD140" t="s">
        <v>7528</v>
      </c>
      <c r="BF140" t="s">
        <v>539</v>
      </c>
      <c r="BG140" t="s">
        <v>98</v>
      </c>
      <c r="BH140" t="s">
        <v>98</v>
      </c>
      <c r="BI140" t="s">
        <v>98</v>
      </c>
      <c r="BK140" t="s">
        <v>110</v>
      </c>
      <c r="BL140" t="s">
        <v>7528</v>
      </c>
      <c r="BR140">
        <v>2.88</v>
      </c>
      <c r="BT140">
        <v>4.88</v>
      </c>
      <c r="CA140">
        <v>1811</v>
      </c>
      <c r="CB140" t="s">
        <v>164</v>
      </c>
      <c r="CL140" t="s">
        <v>99</v>
      </c>
      <c r="CM140" t="s">
        <v>99</v>
      </c>
      <c r="CN140" t="s">
        <v>365</v>
      </c>
      <c r="CO140" s="1">
        <v>38898</v>
      </c>
      <c r="CP140" s="1">
        <v>43633</v>
      </c>
    </row>
    <row r="141" spans="1:94" x14ac:dyDescent="0.25">
      <c r="A141" t="s">
        <v>540</v>
      </c>
      <c r="B141" t="str">
        <f xml:space="preserve"> "" &amp; 747396057255</f>
        <v>747396057255</v>
      </c>
      <c r="C141" t="s">
        <v>239</v>
      </c>
      <c r="D141" t="s">
        <v>6535</v>
      </c>
      <c r="E141" t="s">
        <v>537</v>
      </c>
      <c r="F141" t="s">
        <v>240</v>
      </c>
      <c r="G141">
        <v>1</v>
      </c>
      <c r="H141">
        <v>1</v>
      </c>
      <c r="I141" t="s">
        <v>97</v>
      </c>
      <c r="J141" s="10">
        <v>39</v>
      </c>
      <c r="K141" s="10">
        <v>117</v>
      </c>
      <c r="L141" s="10">
        <v>0</v>
      </c>
      <c r="N141" s="10">
        <v>0</v>
      </c>
      <c r="O141" t="s">
        <v>99</v>
      </c>
      <c r="P141" s="10">
        <v>74.95</v>
      </c>
      <c r="S141">
        <v>6</v>
      </c>
      <c r="T141">
        <v>7.75</v>
      </c>
      <c r="U141">
        <v>5</v>
      </c>
      <c r="W141">
        <v>3.44</v>
      </c>
      <c r="X141">
        <v>1</v>
      </c>
      <c r="Y141">
        <v>7.25</v>
      </c>
      <c r="Z141">
        <v>13</v>
      </c>
      <c r="AA141">
        <v>8</v>
      </c>
      <c r="AB141">
        <v>0.436</v>
      </c>
      <c r="AC141">
        <v>4.3899999999999997</v>
      </c>
      <c r="AE141">
        <v>1</v>
      </c>
      <c r="AF141" t="s">
        <v>233</v>
      </c>
      <c r="AG141">
        <v>100</v>
      </c>
      <c r="AK141" t="s">
        <v>98</v>
      </c>
      <c r="AM141" t="s">
        <v>98</v>
      </c>
      <c r="AN141" t="s">
        <v>98</v>
      </c>
      <c r="AO141" t="s">
        <v>99</v>
      </c>
      <c r="AP141" t="s">
        <v>100</v>
      </c>
      <c r="AQ141" t="s">
        <v>101</v>
      </c>
      <c r="AV141" t="s">
        <v>98</v>
      </c>
      <c r="AX141" t="s">
        <v>279</v>
      </c>
      <c r="AZ141" t="s">
        <v>392</v>
      </c>
      <c r="BB141" t="s">
        <v>235</v>
      </c>
      <c r="BC141" t="s">
        <v>538</v>
      </c>
      <c r="BD141" t="s">
        <v>7528</v>
      </c>
      <c r="BF141" t="s">
        <v>541</v>
      </c>
      <c r="BG141" t="s">
        <v>98</v>
      </c>
      <c r="BH141" t="s">
        <v>98</v>
      </c>
      <c r="BI141" t="s">
        <v>98</v>
      </c>
      <c r="BK141" t="s">
        <v>110</v>
      </c>
      <c r="BL141" t="s">
        <v>7528</v>
      </c>
      <c r="BR141">
        <v>1.1299999999999999</v>
      </c>
      <c r="BT141">
        <v>4.75</v>
      </c>
      <c r="CA141">
        <v>1811</v>
      </c>
      <c r="CB141" t="s">
        <v>279</v>
      </c>
      <c r="CL141" t="s">
        <v>99</v>
      </c>
      <c r="CM141" t="s">
        <v>99</v>
      </c>
      <c r="CN141" t="s">
        <v>365</v>
      </c>
      <c r="CO141" s="1">
        <v>38898</v>
      </c>
      <c r="CP141" s="1">
        <v>43633</v>
      </c>
    </row>
    <row r="142" spans="1:94" x14ac:dyDescent="0.25">
      <c r="A142" t="s">
        <v>542</v>
      </c>
      <c r="B142" t="str">
        <f xml:space="preserve"> "" &amp; 747396057088</f>
        <v>747396057088</v>
      </c>
      <c r="C142" t="s">
        <v>543</v>
      </c>
      <c r="D142" t="s">
        <v>6536</v>
      </c>
      <c r="E142" t="s">
        <v>537</v>
      </c>
      <c r="F142" t="s">
        <v>249</v>
      </c>
      <c r="G142">
        <v>1</v>
      </c>
      <c r="H142">
        <v>1</v>
      </c>
      <c r="I142" t="s">
        <v>97</v>
      </c>
      <c r="J142" s="10">
        <v>89</v>
      </c>
      <c r="K142" s="10">
        <v>267</v>
      </c>
      <c r="L142" s="10">
        <v>0</v>
      </c>
      <c r="N142" s="10">
        <v>0</v>
      </c>
      <c r="O142" t="s">
        <v>99</v>
      </c>
      <c r="P142" s="10">
        <v>179.95</v>
      </c>
      <c r="S142">
        <v>17.25</v>
      </c>
      <c r="T142">
        <v>20</v>
      </c>
      <c r="U142">
        <v>20</v>
      </c>
      <c r="W142">
        <v>9.44</v>
      </c>
      <c r="X142">
        <v>1</v>
      </c>
      <c r="Y142">
        <v>17</v>
      </c>
      <c r="Z142">
        <v>21</v>
      </c>
      <c r="AA142">
        <v>10.5</v>
      </c>
      <c r="AB142">
        <v>2.169</v>
      </c>
      <c r="AC142">
        <v>12.87</v>
      </c>
      <c r="AE142">
        <v>3</v>
      </c>
      <c r="AF142" t="s">
        <v>233</v>
      </c>
      <c r="AG142">
        <v>100</v>
      </c>
      <c r="AK142" t="s">
        <v>98</v>
      </c>
      <c r="AL142">
        <v>3</v>
      </c>
      <c r="AM142" t="s">
        <v>98</v>
      </c>
      <c r="AN142" t="s">
        <v>98</v>
      </c>
      <c r="AO142" t="s">
        <v>99</v>
      </c>
      <c r="AP142" t="s">
        <v>100</v>
      </c>
      <c r="AQ142" t="s">
        <v>101</v>
      </c>
      <c r="AV142" t="s">
        <v>98</v>
      </c>
      <c r="AX142" t="s">
        <v>164</v>
      </c>
      <c r="AZ142" t="s">
        <v>392</v>
      </c>
      <c r="BB142" t="s">
        <v>235</v>
      </c>
      <c r="BC142" t="s">
        <v>538</v>
      </c>
      <c r="BD142" t="s">
        <v>7528</v>
      </c>
      <c r="BF142" t="s">
        <v>544</v>
      </c>
      <c r="BG142" t="s">
        <v>98</v>
      </c>
      <c r="BH142" t="s">
        <v>98</v>
      </c>
      <c r="BI142" t="s">
        <v>98</v>
      </c>
      <c r="BK142" t="s">
        <v>110</v>
      </c>
      <c r="BL142" t="s">
        <v>7528</v>
      </c>
      <c r="BR142">
        <v>1.1299999999999999</v>
      </c>
      <c r="BT142">
        <v>4.75</v>
      </c>
      <c r="CA142">
        <v>1813</v>
      </c>
      <c r="CB142" t="s">
        <v>164</v>
      </c>
      <c r="CL142" t="s">
        <v>99</v>
      </c>
      <c r="CM142" t="s">
        <v>99</v>
      </c>
      <c r="CN142" t="s">
        <v>365</v>
      </c>
      <c r="CO142" s="1">
        <v>38890</v>
      </c>
      <c r="CP142" s="1">
        <v>43633</v>
      </c>
    </row>
    <row r="143" spans="1:94" x14ac:dyDescent="0.25">
      <c r="A143" t="s">
        <v>545</v>
      </c>
      <c r="B143" t="str">
        <f xml:space="preserve"> "" &amp; 747396057071</f>
        <v>747396057071</v>
      </c>
      <c r="C143" t="s">
        <v>543</v>
      </c>
      <c r="D143" t="s">
        <v>6536</v>
      </c>
      <c r="E143" t="s">
        <v>537</v>
      </c>
      <c r="F143" t="s">
        <v>249</v>
      </c>
      <c r="G143">
        <v>1</v>
      </c>
      <c r="H143">
        <v>1</v>
      </c>
      <c r="I143" t="s">
        <v>97</v>
      </c>
      <c r="J143" s="10">
        <v>89</v>
      </c>
      <c r="K143" s="10">
        <v>267</v>
      </c>
      <c r="L143" s="10">
        <v>0</v>
      </c>
      <c r="N143" s="10">
        <v>0</v>
      </c>
      <c r="O143" t="s">
        <v>99</v>
      </c>
      <c r="P143" s="10">
        <v>179.95</v>
      </c>
      <c r="S143">
        <v>17.25</v>
      </c>
      <c r="T143">
        <v>20</v>
      </c>
      <c r="U143">
        <v>20</v>
      </c>
      <c r="W143">
        <v>9.44</v>
      </c>
      <c r="X143">
        <v>1</v>
      </c>
      <c r="Y143">
        <v>17</v>
      </c>
      <c r="Z143">
        <v>21</v>
      </c>
      <c r="AA143">
        <v>10.5</v>
      </c>
      <c r="AB143">
        <v>2.169</v>
      </c>
      <c r="AC143">
        <v>12.87</v>
      </c>
      <c r="AE143">
        <v>3</v>
      </c>
      <c r="AF143" t="s">
        <v>233</v>
      </c>
      <c r="AG143">
        <v>100</v>
      </c>
      <c r="AK143" t="s">
        <v>98</v>
      </c>
      <c r="AL143">
        <v>3</v>
      </c>
      <c r="AM143" t="s">
        <v>98</v>
      </c>
      <c r="AN143" t="s">
        <v>98</v>
      </c>
      <c r="AO143" t="s">
        <v>99</v>
      </c>
      <c r="AP143" t="s">
        <v>100</v>
      </c>
      <c r="AQ143" t="s">
        <v>101</v>
      </c>
      <c r="AV143" t="s">
        <v>98</v>
      </c>
      <c r="AX143" t="s">
        <v>279</v>
      </c>
      <c r="AZ143" t="s">
        <v>392</v>
      </c>
      <c r="BB143" t="s">
        <v>235</v>
      </c>
      <c r="BC143" t="s">
        <v>538</v>
      </c>
      <c r="BD143" t="s">
        <v>7528</v>
      </c>
      <c r="BF143" t="s">
        <v>546</v>
      </c>
      <c r="BG143" t="s">
        <v>98</v>
      </c>
      <c r="BH143" t="s">
        <v>98</v>
      </c>
      <c r="BI143" t="s">
        <v>98</v>
      </c>
      <c r="BK143" t="s">
        <v>110</v>
      </c>
      <c r="BL143" t="s">
        <v>7528</v>
      </c>
      <c r="BR143">
        <v>1.1299999999999999</v>
      </c>
      <c r="BT143">
        <v>4.75</v>
      </c>
      <c r="CA143">
        <v>1813</v>
      </c>
      <c r="CB143" t="s">
        <v>279</v>
      </c>
      <c r="CL143" t="s">
        <v>99</v>
      </c>
      <c r="CM143" t="s">
        <v>99</v>
      </c>
      <c r="CN143" t="s">
        <v>365</v>
      </c>
      <c r="CO143" s="1">
        <v>38895</v>
      </c>
      <c r="CP143" s="1">
        <v>43633</v>
      </c>
    </row>
    <row r="144" spans="1:94" x14ac:dyDescent="0.25">
      <c r="A144" t="s">
        <v>547</v>
      </c>
      <c r="B144" t="str">
        <f xml:space="preserve"> "" &amp; 747396057064</f>
        <v>747396057064</v>
      </c>
      <c r="C144" t="s">
        <v>343</v>
      </c>
      <c r="D144" t="s">
        <v>6537</v>
      </c>
      <c r="E144" t="s">
        <v>537</v>
      </c>
      <c r="F144" t="s">
        <v>249</v>
      </c>
      <c r="G144">
        <v>1</v>
      </c>
      <c r="H144">
        <v>1</v>
      </c>
      <c r="I144" t="s">
        <v>97</v>
      </c>
      <c r="J144" s="10">
        <v>139</v>
      </c>
      <c r="K144" s="10">
        <v>417</v>
      </c>
      <c r="L144" s="10">
        <v>0</v>
      </c>
      <c r="N144" s="10">
        <v>0</v>
      </c>
      <c r="O144" t="s">
        <v>99</v>
      </c>
      <c r="P144" s="10">
        <v>279.95</v>
      </c>
      <c r="S144">
        <v>19.5</v>
      </c>
      <c r="T144">
        <v>27</v>
      </c>
      <c r="U144">
        <v>27</v>
      </c>
      <c r="W144">
        <v>16.29</v>
      </c>
      <c r="X144">
        <v>1</v>
      </c>
      <c r="Y144">
        <v>19</v>
      </c>
      <c r="Z144">
        <v>27</v>
      </c>
      <c r="AA144">
        <v>14</v>
      </c>
      <c r="AB144">
        <v>4.1559999999999997</v>
      </c>
      <c r="AC144">
        <v>21.78</v>
      </c>
      <c r="AE144">
        <v>5</v>
      </c>
      <c r="AF144" t="s">
        <v>233</v>
      </c>
      <c r="AG144">
        <v>100</v>
      </c>
      <c r="AK144" t="s">
        <v>98</v>
      </c>
      <c r="AL144">
        <v>5</v>
      </c>
      <c r="AM144" t="s">
        <v>98</v>
      </c>
      <c r="AN144" t="s">
        <v>98</v>
      </c>
      <c r="AO144" t="s">
        <v>99</v>
      </c>
      <c r="AP144" t="s">
        <v>100</v>
      </c>
      <c r="AQ144" t="s">
        <v>101</v>
      </c>
      <c r="AV144" t="s">
        <v>98</v>
      </c>
      <c r="AX144" t="s">
        <v>164</v>
      </c>
      <c r="AZ144" t="s">
        <v>392</v>
      </c>
      <c r="BB144" t="s">
        <v>235</v>
      </c>
      <c r="BC144" t="s">
        <v>548</v>
      </c>
      <c r="BD144" t="s">
        <v>7528</v>
      </c>
      <c r="BF144" t="s">
        <v>549</v>
      </c>
      <c r="BG144" t="s">
        <v>98</v>
      </c>
      <c r="BH144" t="s">
        <v>98</v>
      </c>
      <c r="BI144" t="s">
        <v>98</v>
      </c>
      <c r="BK144" t="s">
        <v>110</v>
      </c>
      <c r="BL144" t="s">
        <v>7528</v>
      </c>
      <c r="BR144">
        <v>1.25</v>
      </c>
      <c r="BT144">
        <v>4.75</v>
      </c>
      <c r="CA144">
        <v>1815</v>
      </c>
      <c r="CB144" t="s">
        <v>164</v>
      </c>
      <c r="CL144" t="s">
        <v>99</v>
      </c>
      <c r="CM144" t="s">
        <v>99</v>
      </c>
      <c r="CN144" t="s">
        <v>365</v>
      </c>
      <c r="CO144" s="1">
        <v>38895</v>
      </c>
      <c r="CP144" s="1">
        <v>43633</v>
      </c>
    </row>
    <row r="145" spans="1:94" x14ac:dyDescent="0.25">
      <c r="A145" t="s">
        <v>550</v>
      </c>
      <c r="B145" t="str">
        <f xml:space="preserve"> "" &amp; 747396056821</f>
        <v>747396056821</v>
      </c>
      <c r="C145" t="s">
        <v>343</v>
      </c>
      <c r="D145" t="s">
        <v>6537</v>
      </c>
      <c r="E145" t="s">
        <v>537</v>
      </c>
      <c r="F145" t="s">
        <v>249</v>
      </c>
      <c r="G145">
        <v>1</v>
      </c>
      <c r="H145">
        <v>1</v>
      </c>
      <c r="I145" t="s">
        <v>97</v>
      </c>
      <c r="J145" s="10">
        <v>139</v>
      </c>
      <c r="K145" s="10">
        <v>417</v>
      </c>
      <c r="L145" s="10">
        <v>0</v>
      </c>
      <c r="N145" s="10">
        <v>0</v>
      </c>
      <c r="O145" t="s">
        <v>99</v>
      </c>
      <c r="P145" s="10">
        <v>279.95</v>
      </c>
      <c r="S145">
        <v>19.5</v>
      </c>
      <c r="T145">
        <v>27</v>
      </c>
      <c r="U145">
        <v>27</v>
      </c>
      <c r="W145">
        <v>16.29</v>
      </c>
      <c r="X145">
        <v>1</v>
      </c>
      <c r="Y145">
        <v>19</v>
      </c>
      <c r="Z145">
        <v>27</v>
      </c>
      <c r="AA145">
        <v>14</v>
      </c>
      <c r="AB145">
        <v>4.1559999999999997</v>
      </c>
      <c r="AC145">
        <v>21.78</v>
      </c>
      <c r="AE145">
        <v>5</v>
      </c>
      <c r="AF145" t="s">
        <v>282</v>
      </c>
      <c r="AG145">
        <v>100</v>
      </c>
      <c r="AK145" t="s">
        <v>98</v>
      </c>
      <c r="AL145">
        <v>5</v>
      </c>
      <c r="AM145" t="s">
        <v>98</v>
      </c>
      <c r="AN145" t="s">
        <v>98</v>
      </c>
      <c r="AO145" t="s">
        <v>99</v>
      </c>
      <c r="AP145" t="s">
        <v>100</v>
      </c>
      <c r="AQ145" t="s">
        <v>101</v>
      </c>
      <c r="AV145" t="s">
        <v>98</v>
      </c>
      <c r="AX145" t="s">
        <v>279</v>
      </c>
      <c r="AZ145" t="s">
        <v>392</v>
      </c>
      <c r="BB145" t="s">
        <v>235</v>
      </c>
      <c r="BC145" t="s">
        <v>538</v>
      </c>
      <c r="BD145" t="s">
        <v>7528</v>
      </c>
      <c r="BF145" t="s">
        <v>551</v>
      </c>
      <c r="BG145" t="s">
        <v>98</v>
      </c>
      <c r="BH145" t="s">
        <v>98</v>
      </c>
      <c r="BI145" t="s">
        <v>98</v>
      </c>
      <c r="BK145" t="s">
        <v>110</v>
      </c>
      <c r="BL145" t="s">
        <v>7528</v>
      </c>
      <c r="BR145">
        <v>1.1299999999999999</v>
      </c>
      <c r="BT145">
        <v>4.75</v>
      </c>
      <c r="CA145">
        <v>1815</v>
      </c>
      <c r="CB145" t="s">
        <v>279</v>
      </c>
      <c r="CL145" t="s">
        <v>99</v>
      </c>
      <c r="CM145" t="s">
        <v>99</v>
      </c>
      <c r="CN145" t="s">
        <v>394</v>
      </c>
      <c r="CO145" s="1">
        <v>38895</v>
      </c>
      <c r="CP145" s="1">
        <v>43633</v>
      </c>
    </row>
    <row r="146" spans="1:94" x14ac:dyDescent="0.25">
      <c r="A146" t="s">
        <v>552</v>
      </c>
      <c r="B146" t="str">
        <f xml:space="preserve"> "" &amp; 747396057224</f>
        <v>747396057224</v>
      </c>
      <c r="C146" t="s">
        <v>318</v>
      </c>
      <c r="D146" t="s">
        <v>6538</v>
      </c>
      <c r="E146" t="s">
        <v>537</v>
      </c>
      <c r="F146" t="s">
        <v>377</v>
      </c>
      <c r="G146">
        <v>1</v>
      </c>
      <c r="H146">
        <v>1</v>
      </c>
      <c r="I146" t="s">
        <v>97</v>
      </c>
      <c r="J146" s="10">
        <v>84</v>
      </c>
      <c r="K146" s="10">
        <v>252</v>
      </c>
      <c r="L146" s="10">
        <v>0</v>
      </c>
      <c r="N146" s="10">
        <v>0</v>
      </c>
      <c r="O146" t="s">
        <v>99</v>
      </c>
      <c r="P146" s="10">
        <v>169.95</v>
      </c>
      <c r="S146">
        <v>12.5</v>
      </c>
      <c r="T146">
        <v>15.5</v>
      </c>
      <c r="U146">
        <v>15.5</v>
      </c>
      <c r="W146">
        <v>10.98</v>
      </c>
      <c r="X146">
        <v>1</v>
      </c>
      <c r="Y146">
        <v>11.5</v>
      </c>
      <c r="Z146">
        <v>18.5</v>
      </c>
      <c r="AA146">
        <v>18.5</v>
      </c>
      <c r="AB146">
        <v>2.278</v>
      </c>
      <c r="AC146">
        <v>14.64</v>
      </c>
      <c r="AE146">
        <v>2</v>
      </c>
      <c r="AF146" t="s">
        <v>233</v>
      </c>
      <c r="AG146">
        <v>100</v>
      </c>
      <c r="AK146" t="s">
        <v>98</v>
      </c>
      <c r="AM146" t="s">
        <v>98</v>
      </c>
      <c r="AN146" t="s">
        <v>98</v>
      </c>
      <c r="AO146" t="s">
        <v>99</v>
      </c>
      <c r="AP146" t="s">
        <v>100</v>
      </c>
      <c r="AQ146" t="s">
        <v>101</v>
      </c>
      <c r="AV146" t="s">
        <v>98</v>
      </c>
      <c r="AX146" t="s">
        <v>164</v>
      </c>
      <c r="AZ146" t="s">
        <v>392</v>
      </c>
      <c r="BB146" t="s">
        <v>235</v>
      </c>
      <c r="BC146" t="s">
        <v>538</v>
      </c>
      <c r="BD146" t="s">
        <v>7528</v>
      </c>
      <c r="BF146" t="s">
        <v>553</v>
      </c>
      <c r="BG146" t="s">
        <v>98</v>
      </c>
      <c r="BH146" t="s">
        <v>98</v>
      </c>
      <c r="BI146" t="s">
        <v>98</v>
      </c>
      <c r="BK146" t="s">
        <v>127</v>
      </c>
      <c r="BL146" t="s">
        <v>7528</v>
      </c>
      <c r="BR146">
        <v>1.1299999999999999</v>
      </c>
      <c r="BT146">
        <v>4.75</v>
      </c>
      <c r="CA146">
        <v>1816</v>
      </c>
      <c r="CB146" t="s">
        <v>164</v>
      </c>
      <c r="CL146" t="s">
        <v>99</v>
      </c>
      <c r="CM146" t="s">
        <v>98</v>
      </c>
      <c r="CN146" t="s">
        <v>365</v>
      </c>
      <c r="CO146" s="1">
        <v>38898</v>
      </c>
      <c r="CP146" s="1">
        <v>43633</v>
      </c>
    </row>
    <row r="147" spans="1:94" x14ac:dyDescent="0.25">
      <c r="A147" t="s">
        <v>554</v>
      </c>
      <c r="B147" t="str">
        <f xml:space="preserve"> "" &amp; 747396057217</f>
        <v>747396057217</v>
      </c>
      <c r="C147" t="s">
        <v>318</v>
      </c>
      <c r="D147" t="s">
        <v>6538</v>
      </c>
      <c r="E147" t="s">
        <v>537</v>
      </c>
      <c r="F147" t="s">
        <v>377</v>
      </c>
      <c r="G147">
        <v>1</v>
      </c>
      <c r="H147">
        <v>1</v>
      </c>
      <c r="I147" t="s">
        <v>97</v>
      </c>
      <c r="J147" s="10">
        <v>84</v>
      </c>
      <c r="K147" s="10">
        <v>252</v>
      </c>
      <c r="L147" s="10">
        <v>0</v>
      </c>
      <c r="N147" s="10">
        <v>0</v>
      </c>
      <c r="O147" t="s">
        <v>99</v>
      </c>
      <c r="P147" s="10">
        <v>169.95</v>
      </c>
      <c r="S147">
        <v>12.5</v>
      </c>
      <c r="T147">
        <v>15.5</v>
      </c>
      <c r="U147">
        <v>15.5</v>
      </c>
      <c r="W147">
        <v>10.98</v>
      </c>
      <c r="X147">
        <v>1</v>
      </c>
      <c r="Y147">
        <v>11.5</v>
      </c>
      <c r="Z147">
        <v>18.5</v>
      </c>
      <c r="AA147">
        <v>18.5</v>
      </c>
      <c r="AB147">
        <v>2.278</v>
      </c>
      <c r="AC147">
        <v>14.64</v>
      </c>
      <c r="AE147">
        <v>2</v>
      </c>
      <c r="AF147" t="s">
        <v>233</v>
      </c>
      <c r="AG147">
        <v>100</v>
      </c>
      <c r="AK147" t="s">
        <v>98</v>
      </c>
      <c r="AM147" t="s">
        <v>98</v>
      </c>
      <c r="AN147" t="s">
        <v>98</v>
      </c>
      <c r="AO147" t="s">
        <v>99</v>
      </c>
      <c r="AP147" t="s">
        <v>100</v>
      </c>
      <c r="AQ147" t="s">
        <v>101</v>
      </c>
      <c r="AV147" t="s">
        <v>98</v>
      </c>
      <c r="AX147" t="s">
        <v>279</v>
      </c>
      <c r="AZ147" t="s">
        <v>392</v>
      </c>
      <c r="BB147" t="s">
        <v>235</v>
      </c>
      <c r="BC147" t="s">
        <v>538</v>
      </c>
      <c r="BD147" t="s">
        <v>7528</v>
      </c>
      <c r="BF147" t="s">
        <v>555</v>
      </c>
      <c r="BG147" t="s">
        <v>98</v>
      </c>
      <c r="BH147" t="s">
        <v>98</v>
      </c>
      <c r="BI147" t="s">
        <v>98</v>
      </c>
      <c r="BK147" t="s">
        <v>127</v>
      </c>
      <c r="BL147" t="s">
        <v>7528</v>
      </c>
      <c r="BR147">
        <v>1.1299999999999999</v>
      </c>
      <c r="BT147">
        <v>4.75</v>
      </c>
      <c r="CA147">
        <v>1816</v>
      </c>
      <c r="CB147" t="s">
        <v>279</v>
      </c>
      <c r="CL147" t="s">
        <v>99</v>
      </c>
      <c r="CM147" t="s">
        <v>98</v>
      </c>
      <c r="CN147" t="s">
        <v>365</v>
      </c>
      <c r="CO147" s="1">
        <v>38898</v>
      </c>
      <c r="CP147" s="1">
        <v>43633</v>
      </c>
    </row>
    <row r="148" spans="1:94" x14ac:dyDescent="0.25">
      <c r="A148" t="s">
        <v>556</v>
      </c>
      <c r="B148" t="str">
        <f xml:space="preserve"> "" &amp; 747396108513</f>
        <v>747396108513</v>
      </c>
      <c r="C148" t="s">
        <v>557</v>
      </c>
      <c r="D148" t="s">
        <v>558</v>
      </c>
      <c r="E148" t="s">
        <v>7528</v>
      </c>
      <c r="F148" t="s">
        <v>7532</v>
      </c>
      <c r="G148">
        <v>1</v>
      </c>
      <c r="H148">
        <v>1</v>
      </c>
      <c r="I148" t="s">
        <v>97</v>
      </c>
      <c r="J148" s="10">
        <v>219.95</v>
      </c>
      <c r="K148" s="10">
        <v>659.85</v>
      </c>
      <c r="L148" s="10">
        <v>0</v>
      </c>
      <c r="N148" s="10">
        <v>0</v>
      </c>
      <c r="O148" t="s">
        <v>99</v>
      </c>
      <c r="P148" s="10">
        <v>459.95</v>
      </c>
      <c r="S148">
        <v>7.5</v>
      </c>
      <c r="T148">
        <v>22</v>
      </c>
      <c r="U148">
        <v>22</v>
      </c>
      <c r="W148">
        <v>18.170000000000002</v>
      </c>
      <c r="X148">
        <v>1</v>
      </c>
      <c r="Y148">
        <v>13.5</v>
      </c>
      <c r="Z148">
        <v>21.75</v>
      </c>
      <c r="AA148">
        <v>21.75</v>
      </c>
      <c r="AB148">
        <v>3.6960000000000002</v>
      </c>
      <c r="AC148">
        <v>22.71</v>
      </c>
      <c r="AE148">
        <v>1</v>
      </c>
      <c r="AF148" t="s">
        <v>559</v>
      </c>
      <c r="AG148">
        <v>45</v>
      </c>
      <c r="AK148" t="s">
        <v>99</v>
      </c>
      <c r="AM148" t="s">
        <v>98</v>
      </c>
      <c r="AN148" t="s">
        <v>99</v>
      </c>
      <c r="AO148" t="s">
        <v>98</v>
      </c>
      <c r="AP148" t="s">
        <v>100</v>
      </c>
      <c r="AQ148" t="s">
        <v>101</v>
      </c>
      <c r="AV148" t="s">
        <v>98</v>
      </c>
      <c r="AX148" t="s">
        <v>560</v>
      </c>
      <c r="AZ148" t="s">
        <v>102</v>
      </c>
      <c r="BB148" t="s">
        <v>235</v>
      </c>
      <c r="BC148" t="s">
        <v>561</v>
      </c>
      <c r="BD148" t="s">
        <v>7528</v>
      </c>
      <c r="BF148" t="s">
        <v>562</v>
      </c>
      <c r="BG148" t="s">
        <v>98</v>
      </c>
      <c r="BH148" t="s">
        <v>98</v>
      </c>
      <c r="BI148" t="s">
        <v>98</v>
      </c>
      <c r="BK148" t="s">
        <v>127</v>
      </c>
      <c r="BL148" t="s">
        <v>7528</v>
      </c>
      <c r="BR148">
        <v>1.5</v>
      </c>
      <c r="BS148">
        <v>22</v>
      </c>
      <c r="BT148">
        <v>22</v>
      </c>
      <c r="CA148">
        <v>1824</v>
      </c>
      <c r="CB148" t="s">
        <v>560</v>
      </c>
      <c r="CG148">
        <v>3000</v>
      </c>
      <c r="CH148">
        <v>93</v>
      </c>
      <c r="CI148">
        <v>3974</v>
      </c>
      <c r="CJ148">
        <v>2668</v>
      </c>
      <c r="CK148">
        <v>30000</v>
      </c>
      <c r="CL148" t="s">
        <v>99</v>
      </c>
      <c r="CM148" t="s">
        <v>98</v>
      </c>
      <c r="CN148" t="s">
        <v>442</v>
      </c>
      <c r="CO148" s="1">
        <v>43236</v>
      </c>
      <c r="CP148" s="1">
        <v>43633</v>
      </c>
    </row>
    <row r="149" spans="1:94" x14ac:dyDescent="0.25">
      <c r="A149" t="s">
        <v>563</v>
      </c>
      <c r="B149" t="str">
        <f xml:space="preserve"> "" &amp; 747396108520</f>
        <v>747396108520</v>
      </c>
      <c r="C149" t="s">
        <v>564</v>
      </c>
      <c r="D149" t="s">
        <v>558</v>
      </c>
      <c r="E149" t="s">
        <v>7528</v>
      </c>
      <c r="F149" t="s">
        <v>7532</v>
      </c>
      <c r="G149">
        <v>1</v>
      </c>
      <c r="H149">
        <v>1</v>
      </c>
      <c r="I149" t="s">
        <v>97</v>
      </c>
      <c r="J149" s="10">
        <v>219.95</v>
      </c>
      <c r="K149" s="10">
        <v>659.85</v>
      </c>
      <c r="L149" s="10">
        <v>0</v>
      </c>
      <c r="N149" s="10">
        <v>0</v>
      </c>
      <c r="O149" t="s">
        <v>99</v>
      </c>
      <c r="P149" s="10">
        <v>459.95</v>
      </c>
      <c r="S149">
        <v>7.5</v>
      </c>
      <c r="T149">
        <v>22</v>
      </c>
      <c r="U149">
        <v>22</v>
      </c>
      <c r="W149">
        <v>18.170000000000002</v>
      </c>
      <c r="X149">
        <v>1</v>
      </c>
      <c r="Y149">
        <v>13.5</v>
      </c>
      <c r="Z149">
        <v>21.75</v>
      </c>
      <c r="AA149">
        <v>21.75</v>
      </c>
      <c r="AB149">
        <v>3.6960000000000002</v>
      </c>
      <c r="AC149">
        <v>22.71</v>
      </c>
      <c r="AE149">
        <v>1</v>
      </c>
      <c r="AF149" t="s">
        <v>559</v>
      </c>
      <c r="AG149">
        <v>49</v>
      </c>
      <c r="AK149" t="s">
        <v>99</v>
      </c>
      <c r="AM149" t="s">
        <v>98</v>
      </c>
      <c r="AN149" t="s">
        <v>99</v>
      </c>
      <c r="AO149" t="s">
        <v>98</v>
      </c>
      <c r="AP149" t="s">
        <v>100</v>
      </c>
      <c r="AQ149" t="s">
        <v>101</v>
      </c>
      <c r="AV149" t="s">
        <v>98</v>
      </c>
      <c r="AX149" t="s">
        <v>367</v>
      </c>
      <c r="AZ149" t="s">
        <v>102</v>
      </c>
      <c r="BB149" t="s">
        <v>235</v>
      </c>
      <c r="BC149" t="s">
        <v>561</v>
      </c>
      <c r="BD149" t="s">
        <v>7528</v>
      </c>
      <c r="BF149" t="s">
        <v>565</v>
      </c>
      <c r="BG149" t="s">
        <v>98</v>
      </c>
      <c r="BH149" t="s">
        <v>98</v>
      </c>
      <c r="BI149" t="s">
        <v>98</v>
      </c>
      <c r="BK149" t="s">
        <v>127</v>
      </c>
      <c r="BL149" t="s">
        <v>7528</v>
      </c>
      <c r="BR149">
        <v>1.5</v>
      </c>
      <c r="BT149">
        <v>22</v>
      </c>
      <c r="CA149">
        <v>1824</v>
      </c>
      <c r="CB149" t="s">
        <v>367</v>
      </c>
      <c r="CG149">
        <v>3000</v>
      </c>
      <c r="CH149">
        <v>92</v>
      </c>
      <c r="CI149">
        <v>4238</v>
      </c>
      <c r="CJ149">
        <v>2847</v>
      </c>
      <c r="CK149">
        <v>30000</v>
      </c>
      <c r="CL149" t="s">
        <v>99</v>
      </c>
      <c r="CM149" t="s">
        <v>98</v>
      </c>
      <c r="CN149" t="s">
        <v>442</v>
      </c>
      <c r="CO149" s="1">
        <v>43236</v>
      </c>
      <c r="CP149" s="1">
        <v>43633</v>
      </c>
    </row>
    <row r="150" spans="1:94" x14ac:dyDescent="0.25">
      <c r="A150" t="s">
        <v>566</v>
      </c>
      <c r="B150" t="str">
        <f xml:space="preserve"> "" &amp; 747396108506</f>
        <v>747396108506</v>
      </c>
      <c r="C150" t="s">
        <v>557</v>
      </c>
      <c r="D150" t="s">
        <v>558</v>
      </c>
      <c r="E150" t="s">
        <v>7528</v>
      </c>
      <c r="F150" t="s">
        <v>7532</v>
      </c>
      <c r="G150">
        <v>1</v>
      </c>
      <c r="H150">
        <v>1</v>
      </c>
      <c r="I150" t="s">
        <v>97</v>
      </c>
      <c r="J150" s="10">
        <v>219.95</v>
      </c>
      <c r="K150" s="10">
        <v>659.85</v>
      </c>
      <c r="L150" s="10">
        <v>0</v>
      </c>
      <c r="N150" s="10">
        <v>0</v>
      </c>
      <c r="O150" t="s">
        <v>99</v>
      </c>
      <c r="P150" s="10">
        <v>459.95</v>
      </c>
      <c r="S150">
        <v>7.5</v>
      </c>
      <c r="T150">
        <v>22</v>
      </c>
      <c r="U150">
        <v>22</v>
      </c>
      <c r="W150">
        <v>18.170000000000002</v>
      </c>
      <c r="X150">
        <v>1</v>
      </c>
      <c r="Y150">
        <v>13.5</v>
      </c>
      <c r="Z150">
        <v>21.75</v>
      </c>
      <c r="AA150">
        <v>21.75</v>
      </c>
      <c r="AB150">
        <v>3.6960000000000002</v>
      </c>
      <c r="AC150">
        <v>22.71</v>
      </c>
      <c r="AE150">
        <v>1</v>
      </c>
      <c r="AF150" t="s">
        <v>559</v>
      </c>
      <c r="AG150">
        <v>45</v>
      </c>
      <c r="AK150" t="s">
        <v>99</v>
      </c>
      <c r="AM150" t="s">
        <v>98</v>
      </c>
      <c r="AN150" t="s">
        <v>99</v>
      </c>
      <c r="AO150" t="s">
        <v>98</v>
      </c>
      <c r="AP150" t="s">
        <v>100</v>
      </c>
      <c r="AQ150" t="s">
        <v>101</v>
      </c>
      <c r="AV150" t="s">
        <v>98</v>
      </c>
      <c r="AX150" t="s">
        <v>484</v>
      </c>
      <c r="AZ150" t="s">
        <v>102</v>
      </c>
      <c r="BB150" t="s">
        <v>235</v>
      </c>
      <c r="BC150" t="s">
        <v>561</v>
      </c>
      <c r="BD150" t="s">
        <v>7528</v>
      </c>
      <c r="BF150" t="s">
        <v>567</v>
      </c>
      <c r="BG150" t="s">
        <v>98</v>
      </c>
      <c r="BH150" t="s">
        <v>98</v>
      </c>
      <c r="BI150" t="s">
        <v>98</v>
      </c>
      <c r="BK150" t="s">
        <v>127</v>
      </c>
      <c r="BL150" t="s">
        <v>7528</v>
      </c>
      <c r="BR150">
        <v>1.5</v>
      </c>
      <c r="BT150">
        <v>22</v>
      </c>
      <c r="CA150">
        <v>1824</v>
      </c>
      <c r="CB150" t="s">
        <v>484</v>
      </c>
      <c r="CG150">
        <v>3000</v>
      </c>
      <c r="CH150">
        <v>93</v>
      </c>
      <c r="CI150">
        <v>3975</v>
      </c>
      <c r="CJ150">
        <v>2343</v>
      </c>
      <c r="CK150">
        <v>30000</v>
      </c>
      <c r="CL150" t="s">
        <v>99</v>
      </c>
      <c r="CM150" t="s">
        <v>98</v>
      </c>
      <c r="CN150" t="s">
        <v>442</v>
      </c>
      <c r="CO150" s="1">
        <v>43236</v>
      </c>
      <c r="CP150" s="1">
        <v>43633</v>
      </c>
    </row>
    <row r="151" spans="1:94" x14ac:dyDescent="0.25">
      <c r="A151" t="s">
        <v>568</v>
      </c>
      <c r="B151" t="str">
        <f xml:space="preserve"> "" &amp; 747396103242</f>
        <v>747396103242</v>
      </c>
      <c r="C151" t="s">
        <v>569</v>
      </c>
      <c r="D151" t="s">
        <v>570</v>
      </c>
      <c r="E151" t="s">
        <v>7528</v>
      </c>
      <c r="F151" t="s">
        <v>478</v>
      </c>
      <c r="G151">
        <v>1</v>
      </c>
      <c r="H151">
        <v>1</v>
      </c>
      <c r="I151" t="s">
        <v>97</v>
      </c>
      <c r="J151" s="10">
        <v>189</v>
      </c>
      <c r="K151" s="10">
        <v>567</v>
      </c>
      <c r="L151" s="10">
        <v>0</v>
      </c>
      <c r="N151" s="10">
        <v>0</v>
      </c>
      <c r="O151" t="s">
        <v>99</v>
      </c>
      <c r="P151" s="10">
        <v>399.95</v>
      </c>
      <c r="S151">
        <v>6</v>
      </c>
      <c r="T151">
        <v>20</v>
      </c>
      <c r="U151">
        <v>20</v>
      </c>
      <c r="W151">
        <v>16.559999999999999</v>
      </c>
      <c r="X151">
        <v>1</v>
      </c>
      <c r="Y151">
        <v>12.88</v>
      </c>
      <c r="Z151">
        <v>22.25</v>
      </c>
      <c r="AA151">
        <v>22.25</v>
      </c>
      <c r="AB151">
        <v>3.69</v>
      </c>
      <c r="AC151">
        <v>22.09</v>
      </c>
      <c r="AE151">
        <v>5</v>
      </c>
      <c r="AF151" t="s">
        <v>282</v>
      </c>
      <c r="AG151">
        <v>40</v>
      </c>
      <c r="AK151" t="s">
        <v>98</v>
      </c>
      <c r="AM151" t="s">
        <v>98</v>
      </c>
      <c r="AN151" t="s">
        <v>99</v>
      </c>
      <c r="AO151" t="s">
        <v>98</v>
      </c>
      <c r="AP151" t="s">
        <v>100</v>
      </c>
      <c r="AQ151" t="s">
        <v>101</v>
      </c>
      <c r="AV151" t="s">
        <v>98</v>
      </c>
      <c r="AX151" t="s">
        <v>560</v>
      </c>
      <c r="AZ151" t="s">
        <v>102</v>
      </c>
      <c r="BB151" t="s">
        <v>235</v>
      </c>
      <c r="BC151" t="s">
        <v>460</v>
      </c>
      <c r="BD151" t="s">
        <v>7528</v>
      </c>
      <c r="BF151" t="s">
        <v>571</v>
      </c>
      <c r="BG151" t="s">
        <v>98</v>
      </c>
      <c r="BH151" t="s">
        <v>98</v>
      </c>
      <c r="BI151" t="s">
        <v>98</v>
      </c>
      <c r="BK151" t="s">
        <v>127</v>
      </c>
      <c r="BL151" t="s">
        <v>7528</v>
      </c>
      <c r="BR151">
        <v>1.1299999999999999</v>
      </c>
      <c r="BS151">
        <v>20</v>
      </c>
      <c r="BT151">
        <v>20</v>
      </c>
      <c r="CA151">
        <v>1826</v>
      </c>
      <c r="CB151" t="s">
        <v>560</v>
      </c>
      <c r="CL151" t="s">
        <v>99</v>
      </c>
      <c r="CM151" t="s">
        <v>98</v>
      </c>
      <c r="CN151" t="s">
        <v>442</v>
      </c>
      <c r="CO151" s="1">
        <v>42908</v>
      </c>
      <c r="CP151" s="1">
        <v>43633</v>
      </c>
    </row>
    <row r="152" spans="1:94" x14ac:dyDescent="0.25">
      <c r="A152" t="s">
        <v>572</v>
      </c>
      <c r="B152" t="str">
        <f xml:space="preserve"> "" &amp; 747396108452</f>
        <v>747396108452</v>
      </c>
      <c r="C152" t="s">
        <v>558</v>
      </c>
      <c r="D152" t="s">
        <v>558</v>
      </c>
      <c r="E152" t="s">
        <v>7528</v>
      </c>
      <c r="F152" t="s">
        <v>478</v>
      </c>
      <c r="G152">
        <v>1</v>
      </c>
      <c r="H152">
        <v>1</v>
      </c>
      <c r="I152" t="s">
        <v>97</v>
      </c>
      <c r="J152" s="10">
        <v>219.95</v>
      </c>
      <c r="K152" s="10">
        <v>659.85</v>
      </c>
      <c r="L152" s="10">
        <v>0</v>
      </c>
      <c r="N152" s="10">
        <v>0</v>
      </c>
      <c r="O152" t="s">
        <v>99</v>
      </c>
      <c r="P152" s="10">
        <v>459.95</v>
      </c>
      <c r="S152">
        <v>6</v>
      </c>
      <c r="T152">
        <v>20</v>
      </c>
      <c r="U152">
        <v>20</v>
      </c>
      <c r="W152">
        <v>16.559999999999999</v>
      </c>
      <c r="X152">
        <v>1</v>
      </c>
      <c r="Y152">
        <v>12.88</v>
      </c>
      <c r="Z152">
        <v>22.25</v>
      </c>
      <c r="AA152">
        <v>22.25</v>
      </c>
      <c r="AB152">
        <v>3.69</v>
      </c>
      <c r="AC152">
        <v>22.09</v>
      </c>
      <c r="AE152">
        <v>1</v>
      </c>
      <c r="AF152" t="s">
        <v>559</v>
      </c>
      <c r="AG152">
        <v>45</v>
      </c>
      <c r="AK152" t="s">
        <v>99</v>
      </c>
      <c r="AM152" t="s">
        <v>98</v>
      </c>
      <c r="AN152" t="s">
        <v>98</v>
      </c>
      <c r="AO152" t="s">
        <v>98</v>
      </c>
      <c r="AP152" t="s">
        <v>100</v>
      </c>
      <c r="AQ152" t="s">
        <v>101</v>
      </c>
      <c r="AV152" t="s">
        <v>98</v>
      </c>
      <c r="AX152" t="s">
        <v>560</v>
      </c>
      <c r="AZ152" t="s">
        <v>102</v>
      </c>
      <c r="BB152" t="s">
        <v>235</v>
      </c>
      <c r="BC152" t="s">
        <v>460</v>
      </c>
      <c r="BD152" t="s">
        <v>7528</v>
      </c>
      <c r="BF152" t="s">
        <v>573</v>
      </c>
      <c r="BG152" t="s">
        <v>98</v>
      </c>
      <c r="BH152" t="s">
        <v>98</v>
      </c>
      <c r="BI152" t="s">
        <v>98</v>
      </c>
      <c r="BK152" t="s">
        <v>127</v>
      </c>
      <c r="BL152" t="s">
        <v>7528</v>
      </c>
      <c r="BR152">
        <v>1.1299999999999999</v>
      </c>
      <c r="BS152">
        <v>20</v>
      </c>
      <c r="BT152">
        <v>20</v>
      </c>
      <c r="CA152">
        <v>1826</v>
      </c>
      <c r="CB152" t="s">
        <v>560</v>
      </c>
      <c r="CG152">
        <v>3000</v>
      </c>
      <c r="CH152">
        <v>90</v>
      </c>
      <c r="CK152">
        <v>30000</v>
      </c>
      <c r="CL152" t="s">
        <v>99</v>
      </c>
      <c r="CM152" t="s">
        <v>98</v>
      </c>
      <c r="CN152" t="s">
        <v>442</v>
      </c>
      <c r="CO152" s="1">
        <v>43298</v>
      </c>
      <c r="CP152" s="1">
        <v>43633</v>
      </c>
    </row>
    <row r="153" spans="1:94" x14ac:dyDescent="0.25">
      <c r="A153" t="s">
        <v>574</v>
      </c>
      <c r="B153" t="str">
        <f xml:space="preserve"> "" &amp; 747396103235</f>
        <v>747396103235</v>
      </c>
      <c r="C153" t="s">
        <v>569</v>
      </c>
      <c r="D153" t="s">
        <v>570</v>
      </c>
      <c r="E153" t="s">
        <v>7528</v>
      </c>
      <c r="F153" t="s">
        <v>478</v>
      </c>
      <c r="G153">
        <v>1</v>
      </c>
      <c r="H153">
        <v>1</v>
      </c>
      <c r="I153" t="s">
        <v>97</v>
      </c>
      <c r="J153" s="10">
        <v>189</v>
      </c>
      <c r="K153" s="10">
        <v>567</v>
      </c>
      <c r="L153" s="10">
        <v>0</v>
      </c>
      <c r="N153" s="10">
        <v>0</v>
      </c>
      <c r="O153" t="s">
        <v>99</v>
      </c>
      <c r="P153" s="10">
        <v>399.95</v>
      </c>
      <c r="S153">
        <v>6</v>
      </c>
      <c r="T153">
        <v>20</v>
      </c>
      <c r="U153">
        <v>20</v>
      </c>
      <c r="W153">
        <v>14.77</v>
      </c>
      <c r="X153">
        <v>1</v>
      </c>
      <c r="Y153">
        <v>12.88</v>
      </c>
      <c r="Z153">
        <v>22.25</v>
      </c>
      <c r="AA153">
        <v>22.25</v>
      </c>
      <c r="AB153">
        <v>3.69</v>
      </c>
      <c r="AC153">
        <v>19.399999999999999</v>
      </c>
      <c r="AE153">
        <v>5</v>
      </c>
      <c r="AF153" t="s">
        <v>282</v>
      </c>
      <c r="AG153">
        <v>60</v>
      </c>
      <c r="AK153" t="s">
        <v>98</v>
      </c>
      <c r="AM153" t="s">
        <v>98</v>
      </c>
      <c r="AN153" t="s">
        <v>99</v>
      </c>
      <c r="AO153" t="s">
        <v>98</v>
      </c>
      <c r="AP153" t="s">
        <v>100</v>
      </c>
      <c r="AQ153" t="s">
        <v>101</v>
      </c>
      <c r="AV153" t="s">
        <v>98</v>
      </c>
      <c r="AX153" t="s">
        <v>367</v>
      </c>
      <c r="AZ153" t="s">
        <v>102</v>
      </c>
      <c r="BB153" t="s">
        <v>235</v>
      </c>
      <c r="BC153" t="s">
        <v>460</v>
      </c>
      <c r="BD153" t="s">
        <v>7528</v>
      </c>
      <c r="BF153" t="s">
        <v>575</v>
      </c>
      <c r="BG153" t="s">
        <v>98</v>
      </c>
      <c r="BH153" t="s">
        <v>98</v>
      </c>
      <c r="BI153" t="s">
        <v>98</v>
      </c>
      <c r="BK153" t="s">
        <v>127</v>
      </c>
      <c r="BL153" t="s">
        <v>7528</v>
      </c>
      <c r="BR153">
        <v>1.1299999999999999</v>
      </c>
      <c r="BS153">
        <v>20</v>
      </c>
      <c r="BT153">
        <v>20</v>
      </c>
      <c r="CA153">
        <v>1826</v>
      </c>
      <c r="CB153" t="s">
        <v>367</v>
      </c>
      <c r="CL153" t="s">
        <v>99</v>
      </c>
      <c r="CM153" t="s">
        <v>98</v>
      </c>
      <c r="CN153" t="s">
        <v>442</v>
      </c>
      <c r="CO153" s="1">
        <v>42908</v>
      </c>
      <c r="CP153" s="1">
        <v>43633</v>
      </c>
    </row>
    <row r="154" spans="1:94" x14ac:dyDescent="0.25">
      <c r="A154" t="s">
        <v>576</v>
      </c>
      <c r="B154" t="str">
        <f xml:space="preserve"> "" &amp; 747396108469</f>
        <v>747396108469</v>
      </c>
      <c r="C154" t="s">
        <v>558</v>
      </c>
      <c r="D154" t="s">
        <v>558</v>
      </c>
      <c r="E154" t="s">
        <v>7528</v>
      </c>
      <c r="F154" t="s">
        <v>478</v>
      </c>
      <c r="G154">
        <v>1</v>
      </c>
      <c r="H154">
        <v>1</v>
      </c>
      <c r="I154" t="s">
        <v>97</v>
      </c>
      <c r="J154" s="10">
        <v>219.95</v>
      </c>
      <c r="K154" s="10">
        <v>659.85</v>
      </c>
      <c r="L154" s="10">
        <v>0</v>
      </c>
      <c r="N154" s="10">
        <v>0</v>
      </c>
      <c r="O154" t="s">
        <v>99</v>
      </c>
      <c r="P154" s="10">
        <v>459.95</v>
      </c>
      <c r="S154">
        <v>6</v>
      </c>
      <c r="T154">
        <v>20</v>
      </c>
      <c r="U154">
        <v>20</v>
      </c>
      <c r="W154">
        <v>14.7</v>
      </c>
      <c r="X154">
        <v>1</v>
      </c>
      <c r="Y154">
        <v>12.88</v>
      </c>
      <c r="Z154">
        <v>22.25</v>
      </c>
      <c r="AA154">
        <v>22.25</v>
      </c>
      <c r="AB154">
        <v>3.69</v>
      </c>
      <c r="AC154">
        <v>20.02</v>
      </c>
      <c r="AE154">
        <v>1</v>
      </c>
      <c r="AF154" t="s">
        <v>559</v>
      </c>
      <c r="AG154">
        <v>49</v>
      </c>
      <c r="AK154" t="s">
        <v>99</v>
      </c>
      <c r="AM154" t="s">
        <v>98</v>
      </c>
      <c r="AN154" t="s">
        <v>99</v>
      </c>
      <c r="AO154" t="s">
        <v>98</v>
      </c>
      <c r="AP154" t="s">
        <v>100</v>
      </c>
      <c r="AQ154" t="s">
        <v>101</v>
      </c>
      <c r="AV154" t="s">
        <v>98</v>
      </c>
      <c r="AX154" t="s">
        <v>367</v>
      </c>
      <c r="AZ154" t="s">
        <v>102</v>
      </c>
      <c r="BB154" t="s">
        <v>235</v>
      </c>
      <c r="BC154" t="s">
        <v>460</v>
      </c>
      <c r="BD154" t="s">
        <v>7528</v>
      </c>
      <c r="BF154" t="s">
        <v>577</v>
      </c>
      <c r="BG154" t="s">
        <v>98</v>
      </c>
      <c r="BH154" t="s">
        <v>98</v>
      </c>
      <c r="BI154" t="s">
        <v>98</v>
      </c>
      <c r="BK154" t="s">
        <v>127</v>
      </c>
      <c r="BL154" t="s">
        <v>7528</v>
      </c>
      <c r="BQ154">
        <v>20</v>
      </c>
      <c r="BR154">
        <v>1.1299999999999999</v>
      </c>
      <c r="BS154">
        <v>20</v>
      </c>
      <c r="BT154">
        <v>20</v>
      </c>
      <c r="CA154">
        <v>1826</v>
      </c>
      <c r="CB154" t="s">
        <v>367</v>
      </c>
      <c r="CG154">
        <v>3000</v>
      </c>
      <c r="CH154">
        <v>93</v>
      </c>
      <c r="CI154">
        <v>4101</v>
      </c>
      <c r="CJ154">
        <v>3073</v>
      </c>
      <c r="CK154">
        <v>30000</v>
      </c>
      <c r="CL154" t="s">
        <v>99</v>
      </c>
      <c r="CM154" t="s">
        <v>98</v>
      </c>
      <c r="CN154" t="s">
        <v>442</v>
      </c>
      <c r="CO154" s="1">
        <v>43298</v>
      </c>
      <c r="CP154" s="1">
        <v>43633</v>
      </c>
    </row>
    <row r="155" spans="1:94" x14ac:dyDescent="0.25">
      <c r="A155" t="s">
        <v>578</v>
      </c>
      <c r="B155" t="str">
        <f xml:space="preserve"> "" &amp; 747396108445</f>
        <v>747396108445</v>
      </c>
      <c r="C155" t="s">
        <v>558</v>
      </c>
      <c r="D155" t="s">
        <v>558</v>
      </c>
      <c r="E155" t="s">
        <v>7528</v>
      </c>
      <c r="F155" t="s">
        <v>478</v>
      </c>
      <c r="G155">
        <v>1</v>
      </c>
      <c r="H155">
        <v>1</v>
      </c>
      <c r="I155" t="s">
        <v>97</v>
      </c>
      <c r="J155" s="10">
        <v>219.95</v>
      </c>
      <c r="K155" s="10">
        <v>659.85</v>
      </c>
      <c r="L155" s="10">
        <v>0</v>
      </c>
      <c r="N155" s="10">
        <v>0</v>
      </c>
      <c r="O155" t="s">
        <v>99</v>
      </c>
      <c r="P155" s="10">
        <v>459.95</v>
      </c>
      <c r="S155">
        <v>6</v>
      </c>
      <c r="T155">
        <v>20</v>
      </c>
      <c r="U155">
        <v>20</v>
      </c>
      <c r="W155">
        <v>14.7</v>
      </c>
      <c r="X155">
        <v>1</v>
      </c>
      <c r="Y155">
        <v>12.88</v>
      </c>
      <c r="Z155">
        <v>22.25</v>
      </c>
      <c r="AA155">
        <v>22.25</v>
      </c>
      <c r="AB155">
        <v>3.69</v>
      </c>
      <c r="AC155">
        <v>20.02</v>
      </c>
      <c r="AE155">
        <v>1</v>
      </c>
      <c r="AF155" t="s">
        <v>559</v>
      </c>
      <c r="AG155">
        <v>45</v>
      </c>
      <c r="AK155" t="s">
        <v>99</v>
      </c>
      <c r="AM155" t="s">
        <v>98</v>
      </c>
      <c r="AN155" t="s">
        <v>99</v>
      </c>
      <c r="AO155" t="s">
        <v>98</v>
      </c>
      <c r="AP155" t="s">
        <v>100</v>
      </c>
      <c r="AQ155" t="s">
        <v>101</v>
      </c>
      <c r="AV155" t="s">
        <v>98</v>
      </c>
      <c r="AX155" t="s">
        <v>484</v>
      </c>
      <c r="AZ155" t="s">
        <v>102</v>
      </c>
      <c r="BB155" t="s">
        <v>7528</v>
      </c>
      <c r="BC155" t="s">
        <v>7528</v>
      </c>
      <c r="BD155" t="s">
        <v>7528</v>
      </c>
      <c r="BF155" t="s">
        <v>579</v>
      </c>
      <c r="BG155" t="s">
        <v>98</v>
      </c>
      <c r="BH155" t="s">
        <v>98</v>
      </c>
      <c r="BI155" t="s">
        <v>98</v>
      </c>
      <c r="BK155" t="s">
        <v>127</v>
      </c>
      <c r="BL155" t="s">
        <v>7528</v>
      </c>
      <c r="BQ155">
        <v>20</v>
      </c>
      <c r="BR155">
        <v>1.1299999999999999</v>
      </c>
      <c r="BS155">
        <v>20</v>
      </c>
      <c r="BT155">
        <v>20</v>
      </c>
      <c r="CA155">
        <v>1826</v>
      </c>
      <c r="CB155" t="s">
        <v>484</v>
      </c>
      <c r="CG155">
        <v>3000</v>
      </c>
      <c r="CH155">
        <v>94</v>
      </c>
      <c r="CI155">
        <v>3941</v>
      </c>
      <c r="CJ155">
        <v>2842</v>
      </c>
      <c r="CK155">
        <v>30000</v>
      </c>
      <c r="CL155" t="s">
        <v>99</v>
      </c>
      <c r="CM155" t="s">
        <v>98</v>
      </c>
      <c r="CN155" t="s">
        <v>442</v>
      </c>
      <c r="CO155" s="1">
        <v>43334</v>
      </c>
      <c r="CP155" s="1">
        <v>43633</v>
      </c>
    </row>
    <row r="156" spans="1:94" x14ac:dyDescent="0.25">
      <c r="A156" t="s">
        <v>580</v>
      </c>
      <c r="B156" t="str">
        <f xml:space="preserve"> "" &amp; 747396103747</f>
        <v>747396103747</v>
      </c>
      <c r="C156" t="s">
        <v>569</v>
      </c>
      <c r="D156" t="s">
        <v>570</v>
      </c>
      <c r="E156" t="s">
        <v>7528</v>
      </c>
      <c r="F156" t="s">
        <v>478</v>
      </c>
      <c r="G156">
        <v>1</v>
      </c>
      <c r="H156">
        <v>1</v>
      </c>
      <c r="I156" t="s">
        <v>97</v>
      </c>
      <c r="J156" s="10">
        <v>159</v>
      </c>
      <c r="K156" s="10">
        <v>477</v>
      </c>
      <c r="L156" s="10">
        <v>0</v>
      </c>
      <c r="N156" s="10">
        <v>0</v>
      </c>
      <c r="O156" t="s">
        <v>99</v>
      </c>
      <c r="P156" s="10">
        <v>334.95</v>
      </c>
      <c r="S156">
        <v>6</v>
      </c>
      <c r="T156">
        <v>20.25</v>
      </c>
      <c r="U156">
        <v>20.25</v>
      </c>
      <c r="W156">
        <v>19.27</v>
      </c>
      <c r="X156">
        <v>1</v>
      </c>
      <c r="Y156">
        <v>9.1300000000000008</v>
      </c>
      <c r="Z156">
        <v>22.25</v>
      </c>
      <c r="AA156">
        <v>22.25</v>
      </c>
      <c r="AB156">
        <v>2.6160000000000001</v>
      </c>
      <c r="AC156">
        <v>2.76</v>
      </c>
      <c r="AE156">
        <v>5</v>
      </c>
      <c r="AF156" t="s">
        <v>282</v>
      </c>
      <c r="AG156">
        <v>60</v>
      </c>
      <c r="AK156" t="s">
        <v>98</v>
      </c>
      <c r="AM156" t="s">
        <v>98</v>
      </c>
      <c r="AN156" t="s">
        <v>99</v>
      </c>
      <c r="AO156" t="s">
        <v>98</v>
      </c>
      <c r="AP156" t="s">
        <v>100</v>
      </c>
      <c r="AQ156" t="s">
        <v>101</v>
      </c>
      <c r="AV156" t="s">
        <v>98</v>
      </c>
      <c r="AX156" t="s">
        <v>7574</v>
      </c>
      <c r="AZ156" t="s">
        <v>102</v>
      </c>
      <c r="BB156" t="s">
        <v>235</v>
      </c>
      <c r="BC156" t="s">
        <v>460</v>
      </c>
      <c r="BD156" t="s">
        <v>7528</v>
      </c>
      <c r="BF156" t="s">
        <v>581</v>
      </c>
      <c r="BG156" t="s">
        <v>98</v>
      </c>
      <c r="BH156" t="s">
        <v>98</v>
      </c>
      <c r="BI156" t="s">
        <v>98</v>
      </c>
      <c r="BK156" t="s">
        <v>127</v>
      </c>
      <c r="BL156" t="s">
        <v>7528</v>
      </c>
      <c r="BR156">
        <v>1.1299999999999999</v>
      </c>
      <c r="BS156">
        <v>20</v>
      </c>
      <c r="BT156">
        <v>20</v>
      </c>
      <c r="CA156">
        <v>1827</v>
      </c>
      <c r="CB156" t="s">
        <v>7574</v>
      </c>
      <c r="CL156" t="s">
        <v>99</v>
      </c>
      <c r="CM156" t="s">
        <v>98</v>
      </c>
      <c r="CN156" t="s">
        <v>442</v>
      </c>
      <c r="CO156" s="1">
        <v>43052</v>
      </c>
      <c r="CP156" s="1">
        <v>43633</v>
      </c>
    </row>
    <row r="157" spans="1:94" x14ac:dyDescent="0.25">
      <c r="A157" t="s">
        <v>582</v>
      </c>
      <c r="B157" t="str">
        <f xml:space="preserve"> "" &amp; 747396108582</f>
        <v>747396108582</v>
      </c>
      <c r="C157" t="s">
        <v>558</v>
      </c>
      <c r="D157" t="s">
        <v>583</v>
      </c>
      <c r="E157" t="s">
        <v>7528</v>
      </c>
      <c r="F157" t="s">
        <v>7532</v>
      </c>
      <c r="G157">
        <v>1</v>
      </c>
      <c r="H157">
        <v>1</v>
      </c>
      <c r="I157" t="s">
        <v>97</v>
      </c>
      <c r="J157" s="10">
        <v>189.95</v>
      </c>
      <c r="K157" s="10">
        <v>569.85</v>
      </c>
      <c r="L157" s="10">
        <v>0</v>
      </c>
      <c r="N157" s="10">
        <v>0</v>
      </c>
      <c r="O157" t="s">
        <v>99</v>
      </c>
      <c r="P157" s="10">
        <v>399.95</v>
      </c>
      <c r="S157">
        <v>6</v>
      </c>
      <c r="T157">
        <v>20.25</v>
      </c>
      <c r="U157">
        <v>20.25</v>
      </c>
      <c r="W157">
        <v>16.62</v>
      </c>
      <c r="X157">
        <v>1</v>
      </c>
      <c r="Y157">
        <v>9.75</v>
      </c>
      <c r="Z157">
        <v>22.25</v>
      </c>
      <c r="AA157">
        <v>22.25</v>
      </c>
      <c r="AB157">
        <v>2.7930000000000001</v>
      </c>
      <c r="AC157">
        <v>20.37</v>
      </c>
      <c r="AE157">
        <v>1</v>
      </c>
      <c r="AF157" t="s">
        <v>584</v>
      </c>
      <c r="AG157">
        <v>49</v>
      </c>
      <c r="AK157" t="s">
        <v>99</v>
      </c>
      <c r="AM157" t="s">
        <v>98</v>
      </c>
      <c r="AN157" t="s">
        <v>99</v>
      </c>
      <c r="AO157" t="s">
        <v>98</v>
      </c>
      <c r="AP157" t="s">
        <v>100</v>
      </c>
      <c r="AQ157" t="s">
        <v>101</v>
      </c>
      <c r="AV157" t="s">
        <v>98</v>
      </c>
      <c r="AX157" t="s">
        <v>7574</v>
      </c>
      <c r="AZ157" t="s">
        <v>102</v>
      </c>
      <c r="BB157" t="s">
        <v>235</v>
      </c>
      <c r="BC157" t="s">
        <v>460</v>
      </c>
      <c r="BD157" t="s">
        <v>7528</v>
      </c>
      <c r="BF157" t="s">
        <v>585</v>
      </c>
      <c r="BG157" t="s">
        <v>98</v>
      </c>
      <c r="BH157" t="s">
        <v>98</v>
      </c>
      <c r="BI157" t="s">
        <v>98</v>
      </c>
      <c r="BK157" t="s">
        <v>127</v>
      </c>
      <c r="BL157" t="s">
        <v>7528</v>
      </c>
      <c r="BQ157">
        <v>20</v>
      </c>
      <c r="BR157">
        <v>1.1299999999999999</v>
      </c>
      <c r="BS157">
        <v>20</v>
      </c>
      <c r="BT157">
        <v>20</v>
      </c>
      <c r="CA157">
        <v>1827</v>
      </c>
      <c r="CB157" t="s">
        <v>7574</v>
      </c>
      <c r="CG157">
        <v>3000</v>
      </c>
      <c r="CH157">
        <v>92</v>
      </c>
      <c r="CI157">
        <v>4176</v>
      </c>
      <c r="CJ157">
        <v>3251</v>
      </c>
      <c r="CK157">
        <v>30000</v>
      </c>
      <c r="CL157" t="s">
        <v>99</v>
      </c>
      <c r="CM157" t="s">
        <v>98</v>
      </c>
      <c r="CN157" t="s">
        <v>442</v>
      </c>
      <c r="CO157" s="1">
        <v>43371</v>
      </c>
      <c r="CP157" s="1">
        <v>43633</v>
      </c>
    </row>
    <row r="158" spans="1:94" x14ac:dyDescent="0.25">
      <c r="A158" t="s">
        <v>586</v>
      </c>
      <c r="B158" t="str">
        <f xml:space="preserve"> "" &amp; 747396108575</f>
        <v>747396108575</v>
      </c>
      <c r="C158" t="s">
        <v>558</v>
      </c>
      <c r="D158" t="s">
        <v>583</v>
      </c>
      <c r="E158" t="s">
        <v>7528</v>
      </c>
      <c r="F158" t="s">
        <v>7532</v>
      </c>
      <c r="G158">
        <v>1</v>
      </c>
      <c r="H158">
        <v>1</v>
      </c>
      <c r="I158" t="s">
        <v>97</v>
      </c>
      <c r="J158" s="10">
        <v>189.95</v>
      </c>
      <c r="K158" s="10">
        <v>569.85</v>
      </c>
      <c r="L158" s="10">
        <v>0</v>
      </c>
      <c r="N158" s="10">
        <v>0</v>
      </c>
      <c r="O158" t="s">
        <v>99</v>
      </c>
      <c r="P158" s="10">
        <v>399.95</v>
      </c>
      <c r="S158">
        <v>6</v>
      </c>
      <c r="T158">
        <v>20.25</v>
      </c>
      <c r="U158">
        <v>20.25</v>
      </c>
      <c r="W158">
        <v>16.62</v>
      </c>
      <c r="X158">
        <v>1</v>
      </c>
      <c r="Y158">
        <v>9.75</v>
      </c>
      <c r="Z158">
        <v>22.25</v>
      </c>
      <c r="AA158">
        <v>22.25</v>
      </c>
      <c r="AB158">
        <v>2.7930000000000001</v>
      </c>
      <c r="AC158">
        <v>20.37</v>
      </c>
      <c r="AE158">
        <v>1</v>
      </c>
      <c r="AF158" t="s">
        <v>584</v>
      </c>
      <c r="AG158">
        <v>49</v>
      </c>
      <c r="AK158" t="s">
        <v>99</v>
      </c>
      <c r="AM158" t="s">
        <v>98</v>
      </c>
      <c r="AN158" t="s">
        <v>99</v>
      </c>
      <c r="AO158" t="s">
        <v>98</v>
      </c>
      <c r="AP158" t="s">
        <v>100</v>
      </c>
      <c r="AQ158" t="s">
        <v>101</v>
      </c>
      <c r="AV158" t="s">
        <v>98</v>
      </c>
      <c r="AX158" t="s">
        <v>560</v>
      </c>
      <c r="AZ158" t="s">
        <v>102</v>
      </c>
      <c r="BB158" t="s">
        <v>235</v>
      </c>
      <c r="BC158" t="s">
        <v>460</v>
      </c>
      <c r="BD158" t="s">
        <v>7528</v>
      </c>
      <c r="BF158" t="s">
        <v>587</v>
      </c>
      <c r="BG158" t="s">
        <v>98</v>
      </c>
      <c r="BH158" t="s">
        <v>98</v>
      </c>
      <c r="BI158" t="s">
        <v>98</v>
      </c>
      <c r="BK158" t="s">
        <v>127</v>
      </c>
      <c r="BL158" t="s">
        <v>7528</v>
      </c>
      <c r="BQ158">
        <v>20</v>
      </c>
      <c r="BR158">
        <v>1.1299999999999999</v>
      </c>
      <c r="BS158">
        <v>20</v>
      </c>
      <c r="BT158">
        <v>20</v>
      </c>
      <c r="CA158">
        <v>1827</v>
      </c>
      <c r="CB158" t="s">
        <v>560</v>
      </c>
      <c r="CG158">
        <v>3000</v>
      </c>
      <c r="CH158">
        <v>92</v>
      </c>
      <c r="CI158">
        <v>4320</v>
      </c>
      <c r="CJ158">
        <v>3260</v>
      </c>
      <c r="CK158">
        <v>30000</v>
      </c>
      <c r="CL158" t="s">
        <v>99</v>
      </c>
      <c r="CM158" t="s">
        <v>98</v>
      </c>
      <c r="CN158" t="s">
        <v>442</v>
      </c>
      <c r="CO158" s="1">
        <v>43371</v>
      </c>
      <c r="CP158" s="1">
        <v>43633</v>
      </c>
    </row>
    <row r="159" spans="1:94" x14ac:dyDescent="0.25">
      <c r="A159" t="s">
        <v>588</v>
      </c>
      <c r="B159" t="str">
        <f xml:space="preserve"> "" &amp; 747396103327</f>
        <v>747396103327</v>
      </c>
      <c r="C159" t="s">
        <v>569</v>
      </c>
      <c r="D159" t="s">
        <v>570</v>
      </c>
      <c r="E159" t="s">
        <v>7528</v>
      </c>
      <c r="F159" t="s">
        <v>478</v>
      </c>
      <c r="G159">
        <v>1</v>
      </c>
      <c r="H159">
        <v>1</v>
      </c>
      <c r="I159" t="s">
        <v>97</v>
      </c>
      <c r="J159" s="10">
        <v>159</v>
      </c>
      <c r="K159" s="10">
        <v>477</v>
      </c>
      <c r="L159" s="10">
        <v>0</v>
      </c>
      <c r="N159" s="10">
        <v>0</v>
      </c>
      <c r="O159" t="s">
        <v>99</v>
      </c>
      <c r="P159" s="10">
        <v>334.95</v>
      </c>
      <c r="S159">
        <v>6</v>
      </c>
      <c r="T159">
        <v>20.25</v>
      </c>
      <c r="U159">
        <v>20.25</v>
      </c>
      <c r="W159">
        <v>19.27</v>
      </c>
      <c r="X159">
        <v>1</v>
      </c>
      <c r="Y159">
        <v>9.1300000000000008</v>
      </c>
      <c r="Z159">
        <v>22.25</v>
      </c>
      <c r="AA159">
        <v>22.25</v>
      </c>
      <c r="AB159">
        <v>2.6160000000000001</v>
      </c>
      <c r="AC159">
        <v>22.6</v>
      </c>
      <c r="AE159">
        <v>5</v>
      </c>
      <c r="AF159" t="s">
        <v>282</v>
      </c>
      <c r="AG159">
        <v>60</v>
      </c>
      <c r="AK159" t="s">
        <v>98</v>
      </c>
      <c r="AM159" t="s">
        <v>98</v>
      </c>
      <c r="AN159" t="s">
        <v>99</v>
      </c>
      <c r="AO159" t="s">
        <v>98</v>
      </c>
      <c r="AP159" t="s">
        <v>100</v>
      </c>
      <c r="AQ159" t="s">
        <v>101</v>
      </c>
      <c r="AV159" t="s">
        <v>98</v>
      </c>
      <c r="AX159" t="s">
        <v>399</v>
      </c>
      <c r="AZ159" t="s">
        <v>102</v>
      </c>
      <c r="BB159" t="s">
        <v>235</v>
      </c>
      <c r="BC159" t="s">
        <v>561</v>
      </c>
      <c r="BD159" t="s">
        <v>7528</v>
      </c>
      <c r="BF159" t="s">
        <v>589</v>
      </c>
      <c r="BG159" t="s">
        <v>98</v>
      </c>
      <c r="BH159" t="s">
        <v>98</v>
      </c>
      <c r="BI159" t="s">
        <v>98</v>
      </c>
      <c r="BK159" t="s">
        <v>127</v>
      </c>
      <c r="BL159" t="s">
        <v>7528</v>
      </c>
      <c r="BR159">
        <v>1.1299999999999999</v>
      </c>
      <c r="BS159">
        <v>20</v>
      </c>
      <c r="BT159">
        <v>20</v>
      </c>
      <c r="CA159">
        <v>1827</v>
      </c>
      <c r="CB159" t="s">
        <v>399</v>
      </c>
      <c r="CL159" t="s">
        <v>99</v>
      </c>
      <c r="CM159" t="s">
        <v>98</v>
      </c>
      <c r="CN159" t="s">
        <v>442</v>
      </c>
      <c r="CO159" s="1">
        <v>42363</v>
      </c>
      <c r="CP159" s="1">
        <v>43633</v>
      </c>
    </row>
    <row r="160" spans="1:94" x14ac:dyDescent="0.25">
      <c r="A160" t="s">
        <v>590</v>
      </c>
      <c r="B160" t="str">
        <f xml:space="preserve"> "" &amp; 747396110196</f>
        <v>747396110196</v>
      </c>
      <c r="C160" t="s">
        <v>558</v>
      </c>
      <c r="D160" t="s">
        <v>558</v>
      </c>
      <c r="E160" t="s">
        <v>7528</v>
      </c>
      <c r="F160" t="s">
        <v>7532</v>
      </c>
      <c r="G160">
        <v>1</v>
      </c>
      <c r="H160">
        <v>1</v>
      </c>
      <c r="I160" t="s">
        <v>97</v>
      </c>
      <c r="J160" s="10">
        <v>189.95</v>
      </c>
      <c r="K160" s="10">
        <v>569.85</v>
      </c>
      <c r="L160" s="10">
        <v>0</v>
      </c>
      <c r="N160" s="10">
        <v>0</v>
      </c>
      <c r="O160" t="s">
        <v>99</v>
      </c>
      <c r="P160" s="10">
        <v>399.95</v>
      </c>
      <c r="S160">
        <v>6</v>
      </c>
      <c r="T160">
        <v>20.25</v>
      </c>
      <c r="U160">
        <v>20.25</v>
      </c>
      <c r="W160">
        <v>16.62</v>
      </c>
      <c r="X160">
        <v>1</v>
      </c>
      <c r="Y160">
        <v>9.75</v>
      </c>
      <c r="Z160">
        <v>22.25</v>
      </c>
      <c r="AA160">
        <v>22.25</v>
      </c>
      <c r="AB160">
        <v>2.7930000000000001</v>
      </c>
      <c r="AC160">
        <v>20.37</v>
      </c>
      <c r="AE160">
        <v>1</v>
      </c>
      <c r="AF160" t="s">
        <v>584</v>
      </c>
      <c r="AG160">
        <v>49</v>
      </c>
      <c r="AK160" t="s">
        <v>99</v>
      </c>
      <c r="AM160" t="s">
        <v>98</v>
      </c>
      <c r="AN160" t="s">
        <v>99</v>
      </c>
      <c r="AO160" t="s">
        <v>98</v>
      </c>
      <c r="AP160" t="s">
        <v>100</v>
      </c>
      <c r="AQ160" t="s">
        <v>101</v>
      </c>
      <c r="AV160" t="s">
        <v>98</v>
      </c>
      <c r="AX160" t="s">
        <v>399</v>
      </c>
      <c r="AZ160" t="s">
        <v>102</v>
      </c>
      <c r="BB160" t="s">
        <v>235</v>
      </c>
      <c r="BC160" t="s">
        <v>460</v>
      </c>
      <c r="BD160" t="s">
        <v>7528</v>
      </c>
      <c r="BF160" t="s">
        <v>591</v>
      </c>
      <c r="BG160" t="s">
        <v>98</v>
      </c>
      <c r="BH160" t="s">
        <v>98</v>
      </c>
      <c r="BI160" t="s">
        <v>98</v>
      </c>
      <c r="BK160" t="s">
        <v>127</v>
      </c>
      <c r="BL160" t="s">
        <v>7528</v>
      </c>
      <c r="BQ160">
        <v>20</v>
      </c>
      <c r="BR160">
        <v>1.1299999999999999</v>
      </c>
      <c r="BS160">
        <v>20</v>
      </c>
      <c r="BT160">
        <v>20</v>
      </c>
      <c r="CA160">
        <v>1827</v>
      </c>
      <c r="CB160" t="s">
        <v>399</v>
      </c>
      <c r="CG160">
        <v>3000</v>
      </c>
      <c r="CH160">
        <v>92</v>
      </c>
      <c r="CI160">
        <v>4350</v>
      </c>
      <c r="CJ160">
        <v>3347</v>
      </c>
      <c r="CK160">
        <v>30000</v>
      </c>
      <c r="CL160" t="s">
        <v>99</v>
      </c>
      <c r="CM160" t="s">
        <v>98</v>
      </c>
      <c r="CN160" t="s">
        <v>592</v>
      </c>
      <c r="CO160" s="1">
        <v>43371</v>
      </c>
      <c r="CP160" s="1">
        <v>43633</v>
      </c>
    </row>
    <row r="161" spans="1:94" x14ac:dyDescent="0.25">
      <c r="A161" t="s">
        <v>593</v>
      </c>
      <c r="B161" t="str">
        <f xml:space="preserve"> "" &amp; 747396103334</f>
        <v>747396103334</v>
      </c>
      <c r="C161" t="s">
        <v>569</v>
      </c>
      <c r="D161" t="s">
        <v>570</v>
      </c>
      <c r="E161" t="s">
        <v>7528</v>
      </c>
      <c r="F161" t="s">
        <v>478</v>
      </c>
      <c r="G161">
        <v>1</v>
      </c>
      <c r="H161">
        <v>1</v>
      </c>
      <c r="I161" t="s">
        <v>97</v>
      </c>
      <c r="J161" s="10">
        <v>159</v>
      </c>
      <c r="K161" s="10">
        <v>477</v>
      </c>
      <c r="L161" s="10">
        <v>0</v>
      </c>
      <c r="N161" s="10">
        <v>0</v>
      </c>
      <c r="O161" t="s">
        <v>99</v>
      </c>
      <c r="P161" s="10">
        <v>334.95</v>
      </c>
      <c r="S161">
        <v>6</v>
      </c>
      <c r="T161">
        <v>20.25</v>
      </c>
      <c r="U161">
        <v>20.25</v>
      </c>
      <c r="W161">
        <v>10.050000000000001</v>
      </c>
      <c r="X161">
        <v>1</v>
      </c>
      <c r="Y161">
        <v>9.1300000000000008</v>
      </c>
      <c r="Z161">
        <v>22.25</v>
      </c>
      <c r="AA161">
        <v>22.25</v>
      </c>
      <c r="AB161">
        <v>2.6160000000000001</v>
      </c>
      <c r="AC161">
        <v>15.41</v>
      </c>
      <c r="AE161">
        <v>5</v>
      </c>
      <c r="AF161" t="s">
        <v>282</v>
      </c>
      <c r="AG161">
        <v>40</v>
      </c>
      <c r="AK161" t="s">
        <v>98</v>
      </c>
      <c r="AM161" t="s">
        <v>98</v>
      </c>
      <c r="AN161" t="s">
        <v>99</v>
      </c>
      <c r="AO161" t="s">
        <v>98</v>
      </c>
      <c r="AP161" t="s">
        <v>100</v>
      </c>
      <c r="AQ161" t="s">
        <v>101</v>
      </c>
      <c r="AV161" t="s">
        <v>98</v>
      </c>
      <c r="AX161" t="s">
        <v>279</v>
      </c>
      <c r="AZ161" t="s">
        <v>102</v>
      </c>
      <c r="BB161" t="s">
        <v>235</v>
      </c>
      <c r="BC161" t="s">
        <v>561</v>
      </c>
      <c r="BD161" t="s">
        <v>7528</v>
      </c>
      <c r="BF161" t="s">
        <v>594</v>
      </c>
      <c r="BG161" t="s">
        <v>98</v>
      </c>
      <c r="BH161" t="s">
        <v>98</v>
      </c>
      <c r="BI161" t="s">
        <v>98</v>
      </c>
      <c r="BK161" t="s">
        <v>127</v>
      </c>
      <c r="BL161" t="s">
        <v>7528</v>
      </c>
      <c r="BR161">
        <v>1.1299999999999999</v>
      </c>
      <c r="BS161">
        <v>20</v>
      </c>
      <c r="BT161">
        <v>20</v>
      </c>
      <c r="CA161">
        <v>1827</v>
      </c>
      <c r="CB161" t="s">
        <v>279</v>
      </c>
      <c r="CL161" t="s">
        <v>99</v>
      </c>
      <c r="CM161" t="s">
        <v>98</v>
      </c>
      <c r="CN161" t="s">
        <v>442</v>
      </c>
      <c r="CO161" s="1">
        <v>42902</v>
      </c>
      <c r="CP161" s="1">
        <v>43633</v>
      </c>
    </row>
    <row r="162" spans="1:94" x14ac:dyDescent="0.25">
      <c r="A162" t="s">
        <v>595</v>
      </c>
      <c r="B162" t="str">
        <f xml:space="preserve"> "" &amp; 747396108568</f>
        <v>747396108568</v>
      </c>
      <c r="C162" t="s">
        <v>558</v>
      </c>
      <c r="D162" t="s">
        <v>570</v>
      </c>
      <c r="E162" t="s">
        <v>7528</v>
      </c>
      <c r="F162" t="s">
        <v>7532</v>
      </c>
      <c r="G162">
        <v>1</v>
      </c>
      <c r="H162">
        <v>1</v>
      </c>
      <c r="I162" t="s">
        <v>97</v>
      </c>
      <c r="J162" s="10">
        <v>189.95</v>
      </c>
      <c r="K162" s="10">
        <v>569.85</v>
      </c>
      <c r="L162" s="10">
        <v>0</v>
      </c>
      <c r="N162" s="10">
        <v>0</v>
      </c>
      <c r="O162" t="s">
        <v>99</v>
      </c>
      <c r="P162" s="10">
        <v>399.95</v>
      </c>
      <c r="S162">
        <v>6</v>
      </c>
      <c r="T162">
        <v>20.25</v>
      </c>
      <c r="U162">
        <v>20.25</v>
      </c>
      <c r="W162">
        <v>16.62</v>
      </c>
      <c r="X162">
        <v>1</v>
      </c>
      <c r="Y162">
        <v>9.75</v>
      </c>
      <c r="Z162">
        <v>22.25</v>
      </c>
      <c r="AA162">
        <v>22.25</v>
      </c>
      <c r="AB162">
        <v>2.7930000000000001</v>
      </c>
      <c r="AC162">
        <v>20.37</v>
      </c>
      <c r="AE162">
        <v>1</v>
      </c>
      <c r="AF162" t="s">
        <v>584</v>
      </c>
      <c r="AG162">
        <v>49</v>
      </c>
      <c r="AK162" t="s">
        <v>99</v>
      </c>
      <c r="AM162" t="s">
        <v>98</v>
      </c>
      <c r="AN162" t="s">
        <v>99</v>
      </c>
      <c r="AO162" t="s">
        <v>98</v>
      </c>
      <c r="AP162" t="s">
        <v>100</v>
      </c>
      <c r="AQ162" t="s">
        <v>101</v>
      </c>
      <c r="AV162" t="s">
        <v>98</v>
      </c>
      <c r="AX162" t="s">
        <v>279</v>
      </c>
      <c r="AZ162" t="s">
        <v>102</v>
      </c>
      <c r="BB162" t="s">
        <v>235</v>
      </c>
      <c r="BC162" t="s">
        <v>460</v>
      </c>
      <c r="BD162" t="s">
        <v>7528</v>
      </c>
      <c r="BF162" t="s">
        <v>596</v>
      </c>
      <c r="BG162" t="s">
        <v>98</v>
      </c>
      <c r="BH162" t="s">
        <v>98</v>
      </c>
      <c r="BI162" t="s">
        <v>98</v>
      </c>
      <c r="BK162" t="s">
        <v>127</v>
      </c>
      <c r="BL162" t="s">
        <v>7528</v>
      </c>
      <c r="BQ162">
        <v>20</v>
      </c>
      <c r="BR162">
        <v>1.1299999999999999</v>
      </c>
      <c r="BS162">
        <v>20</v>
      </c>
      <c r="BT162">
        <v>20</v>
      </c>
      <c r="CA162">
        <v>1827</v>
      </c>
      <c r="CB162" t="s">
        <v>279</v>
      </c>
      <c r="CG162">
        <v>3000</v>
      </c>
      <c r="CH162">
        <v>92</v>
      </c>
      <c r="CI162">
        <v>4320</v>
      </c>
      <c r="CJ162">
        <v>3311</v>
      </c>
      <c r="CK162">
        <v>30000</v>
      </c>
      <c r="CL162" t="s">
        <v>99</v>
      </c>
      <c r="CM162" t="s">
        <v>98</v>
      </c>
      <c r="CN162" t="s">
        <v>442</v>
      </c>
      <c r="CO162" s="1">
        <v>43371</v>
      </c>
      <c r="CP162" s="1">
        <v>43633</v>
      </c>
    </row>
    <row r="163" spans="1:94" x14ac:dyDescent="0.25">
      <c r="A163" t="s">
        <v>597</v>
      </c>
      <c r="B163" t="str">
        <f xml:space="preserve"> "" &amp; 747396103174</f>
        <v>747396103174</v>
      </c>
      <c r="C163" t="s">
        <v>569</v>
      </c>
      <c r="D163" t="s">
        <v>6539</v>
      </c>
      <c r="E163" t="s">
        <v>7528</v>
      </c>
      <c r="F163" t="s">
        <v>478</v>
      </c>
      <c r="G163">
        <v>1</v>
      </c>
      <c r="H163">
        <v>1</v>
      </c>
      <c r="I163" t="s">
        <v>97</v>
      </c>
      <c r="J163" s="10">
        <v>189</v>
      </c>
      <c r="K163" s="10">
        <v>567</v>
      </c>
      <c r="L163" s="10">
        <v>0</v>
      </c>
      <c r="N163" s="10">
        <v>0</v>
      </c>
      <c r="O163" t="s">
        <v>99</v>
      </c>
      <c r="P163" s="10">
        <v>399.95</v>
      </c>
      <c r="S163">
        <v>6</v>
      </c>
      <c r="T163">
        <v>20</v>
      </c>
      <c r="U163">
        <v>20</v>
      </c>
      <c r="W163">
        <v>14.11</v>
      </c>
      <c r="X163">
        <v>1</v>
      </c>
      <c r="Y163">
        <v>13.25</v>
      </c>
      <c r="Z163">
        <v>22.25</v>
      </c>
      <c r="AA163">
        <v>22.25</v>
      </c>
      <c r="AB163">
        <v>3.7959999999999998</v>
      </c>
      <c r="AC163">
        <v>18.52</v>
      </c>
      <c r="AE163">
        <v>5</v>
      </c>
      <c r="AF163" t="s">
        <v>598</v>
      </c>
      <c r="AG163">
        <v>60</v>
      </c>
      <c r="AK163" t="s">
        <v>98</v>
      </c>
      <c r="AM163" t="s">
        <v>98</v>
      </c>
      <c r="AN163" t="s">
        <v>99</v>
      </c>
      <c r="AO163" t="s">
        <v>98</v>
      </c>
      <c r="AP163" t="s">
        <v>100</v>
      </c>
      <c r="AQ163" t="s">
        <v>101</v>
      </c>
      <c r="AV163" t="s">
        <v>98</v>
      </c>
      <c r="AX163" t="s">
        <v>599</v>
      </c>
      <c r="AZ163" t="s">
        <v>102</v>
      </c>
      <c r="BB163" t="s">
        <v>235</v>
      </c>
      <c r="BC163" t="s">
        <v>460</v>
      </c>
      <c r="BD163" t="s">
        <v>7528</v>
      </c>
      <c r="BF163" t="s">
        <v>600</v>
      </c>
      <c r="BG163" t="s">
        <v>98</v>
      </c>
      <c r="BH163" t="s">
        <v>98</v>
      </c>
      <c r="BI163" t="s">
        <v>98</v>
      </c>
      <c r="BK163" t="s">
        <v>127</v>
      </c>
      <c r="BL163" t="s">
        <v>7528</v>
      </c>
      <c r="BS163">
        <v>20</v>
      </c>
      <c r="BT163">
        <v>20</v>
      </c>
      <c r="CA163">
        <v>1840</v>
      </c>
      <c r="CB163" t="s">
        <v>599</v>
      </c>
      <c r="CL163" t="s">
        <v>99</v>
      </c>
      <c r="CM163" t="s">
        <v>98</v>
      </c>
      <c r="CN163" t="s">
        <v>442</v>
      </c>
      <c r="CO163" s="1">
        <v>42908</v>
      </c>
      <c r="CP163" s="1">
        <v>43633</v>
      </c>
    </row>
    <row r="164" spans="1:94" x14ac:dyDescent="0.25">
      <c r="A164" t="s">
        <v>601</v>
      </c>
      <c r="B164" t="str">
        <f xml:space="preserve"> "" &amp; 747396108612</f>
        <v>747396108612</v>
      </c>
      <c r="C164" t="s">
        <v>558</v>
      </c>
      <c r="D164" t="s">
        <v>583</v>
      </c>
      <c r="E164" t="s">
        <v>7528</v>
      </c>
      <c r="F164" t="s">
        <v>7532</v>
      </c>
      <c r="G164">
        <v>1</v>
      </c>
      <c r="H164">
        <v>1</v>
      </c>
      <c r="I164" t="s">
        <v>97</v>
      </c>
      <c r="J164" s="10">
        <v>229.95</v>
      </c>
      <c r="K164" s="10">
        <v>689.85</v>
      </c>
      <c r="L164" s="10">
        <v>0</v>
      </c>
      <c r="N164" s="10">
        <v>0</v>
      </c>
      <c r="O164" t="s">
        <v>99</v>
      </c>
      <c r="P164" s="10">
        <v>489.95</v>
      </c>
      <c r="S164">
        <v>6</v>
      </c>
      <c r="T164">
        <v>20</v>
      </c>
      <c r="U164">
        <v>20</v>
      </c>
      <c r="W164">
        <v>18.559999999999999</v>
      </c>
      <c r="X164">
        <v>1</v>
      </c>
      <c r="Y164">
        <v>13.25</v>
      </c>
      <c r="Z164">
        <v>22.25</v>
      </c>
      <c r="AA164">
        <v>22.25</v>
      </c>
      <c r="AB164">
        <v>3.7959999999999998</v>
      </c>
      <c r="AC164">
        <v>23.61</v>
      </c>
      <c r="AE164">
        <v>1</v>
      </c>
      <c r="AF164" t="s">
        <v>559</v>
      </c>
      <c r="AG164">
        <v>49</v>
      </c>
      <c r="AK164" t="s">
        <v>99</v>
      </c>
      <c r="AM164" t="s">
        <v>98</v>
      </c>
      <c r="AN164" t="s">
        <v>99</v>
      </c>
      <c r="AO164" t="s">
        <v>98</v>
      </c>
      <c r="AP164" t="s">
        <v>100</v>
      </c>
      <c r="AQ164" t="s">
        <v>101</v>
      </c>
      <c r="AV164" t="s">
        <v>98</v>
      </c>
      <c r="AX164" t="s">
        <v>599</v>
      </c>
      <c r="AZ164" t="s">
        <v>102</v>
      </c>
      <c r="BB164" t="s">
        <v>235</v>
      </c>
      <c r="BC164" t="s">
        <v>7528</v>
      </c>
      <c r="BD164" t="s">
        <v>7528</v>
      </c>
      <c r="BF164" t="s">
        <v>602</v>
      </c>
      <c r="BG164" t="s">
        <v>98</v>
      </c>
      <c r="BH164" t="s">
        <v>98</v>
      </c>
      <c r="BI164" t="s">
        <v>98</v>
      </c>
      <c r="BK164" t="s">
        <v>127</v>
      </c>
      <c r="BL164" t="s">
        <v>7528</v>
      </c>
      <c r="BQ164">
        <v>20</v>
      </c>
      <c r="BR164">
        <v>0.75</v>
      </c>
      <c r="BS164">
        <v>20</v>
      </c>
      <c r="BT164">
        <v>20</v>
      </c>
      <c r="CA164">
        <v>1840</v>
      </c>
      <c r="CB164" t="s">
        <v>599</v>
      </c>
      <c r="CG164">
        <v>3000</v>
      </c>
      <c r="CH164">
        <v>93</v>
      </c>
      <c r="CI164">
        <v>4186</v>
      </c>
      <c r="CJ164">
        <v>3141</v>
      </c>
      <c r="CK164">
        <v>30000</v>
      </c>
      <c r="CL164" t="s">
        <v>99</v>
      </c>
      <c r="CM164" t="s">
        <v>98</v>
      </c>
      <c r="CN164" t="s">
        <v>442</v>
      </c>
      <c r="CO164" s="1">
        <v>43334</v>
      </c>
      <c r="CP164" s="1">
        <v>43633</v>
      </c>
    </row>
    <row r="165" spans="1:94" x14ac:dyDescent="0.25">
      <c r="A165" t="s">
        <v>603</v>
      </c>
      <c r="B165" t="str">
        <f xml:space="preserve"> "" &amp; 747396103181</f>
        <v>747396103181</v>
      </c>
      <c r="C165" t="s">
        <v>569</v>
      </c>
      <c r="D165" t="s">
        <v>570</v>
      </c>
      <c r="E165" t="s">
        <v>7528</v>
      </c>
      <c r="F165" t="s">
        <v>478</v>
      </c>
      <c r="G165">
        <v>1</v>
      </c>
      <c r="H165">
        <v>1</v>
      </c>
      <c r="I165" t="s">
        <v>97</v>
      </c>
      <c r="J165" s="10">
        <v>189</v>
      </c>
      <c r="K165" s="10">
        <v>567</v>
      </c>
      <c r="L165" s="10">
        <v>0</v>
      </c>
      <c r="N165" s="10">
        <v>0</v>
      </c>
      <c r="O165" t="s">
        <v>99</v>
      </c>
      <c r="P165" s="10">
        <v>399.95</v>
      </c>
      <c r="S165">
        <v>6</v>
      </c>
      <c r="T165">
        <v>20</v>
      </c>
      <c r="U165">
        <v>20</v>
      </c>
      <c r="W165">
        <v>14.11</v>
      </c>
      <c r="X165">
        <v>1</v>
      </c>
      <c r="Y165">
        <v>13.25</v>
      </c>
      <c r="Z165">
        <v>22.25</v>
      </c>
      <c r="AA165">
        <v>22.25</v>
      </c>
      <c r="AB165">
        <v>3.7959999999999998</v>
      </c>
      <c r="AC165">
        <v>18.52</v>
      </c>
      <c r="AE165">
        <v>5</v>
      </c>
      <c r="AF165" t="s">
        <v>598</v>
      </c>
      <c r="AG165">
        <v>60</v>
      </c>
      <c r="AK165" t="s">
        <v>98</v>
      </c>
      <c r="AM165" t="s">
        <v>98</v>
      </c>
      <c r="AN165" t="s">
        <v>99</v>
      </c>
      <c r="AO165" t="s">
        <v>98</v>
      </c>
      <c r="AP165" t="s">
        <v>100</v>
      </c>
      <c r="AQ165" t="s">
        <v>101</v>
      </c>
      <c r="AV165" t="s">
        <v>98</v>
      </c>
      <c r="AX165" t="s">
        <v>560</v>
      </c>
      <c r="AZ165" t="s">
        <v>102</v>
      </c>
      <c r="BB165" t="s">
        <v>235</v>
      </c>
      <c r="BC165" t="s">
        <v>460</v>
      </c>
      <c r="BD165" t="s">
        <v>7528</v>
      </c>
      <c r="BF165" t="s">
        <v>604</v>
      </c>
      <c r="BG165" t="s">
        <v>98</v>
      </c>
      <c r="BH165" t="s">
        <v>98</v>
      </c>
      <c r="BI165" t="s">
        <v>98</v>
      </c>
      <c r="BK165" t="s">
        <v>127</v>
      </c>
      <c r="BL165" t="s">
        <v>7528</v>
      </c>
      <c r="BS165">
        <v>20</v>
      </c>
      <c r="BT165">
        <v>20</v>
      </c>
      <c r="CA165">
        <v>1840</v>
      </c>
      <c r="CB165" t="s">
        <v>560</v>
      </c>
      <c r="CL165" t="s">
        <v>99</v>
      </c>
      <c r="CM165" t="s">
        <v>98</v>
      </c>
      <c r="CN165" t="s">
        <v>442</v>
      </c>
      <c r="CO165" s="1">
        <v>42908</v>
      </c>
      <c r="CP165" s="1">
        <v>43633</v>
      </c>
    </row>
    <row r="166" spans="1:94" x14ac:dyDescent="0.25">
      <c r="A166" t="s">
        <v>605</v>
      </c>
      <c r="B166" t="str">
        <f xml:space="preserve"> "" &amp; 747396108629</f>
        <v>747396108629</v>
      </c>
      <c r="C166" t="s">
        <v>558</v>
      </c>
      <c r="D166" t="s">
        <v>583</v>
      </c>
      <c r="E166" t="s">
        <v>7528</v>
      </c>
      <c r="F166" t="s">
        <v>7532</v>
      </c>
      <c r="G166">
        <v>1</v>
      </c>
      <c r="H166">
        <v>1</v>
      </c>
      <c r="I166" t="s">
        <v>97</v>
      </c>
      <c r="J166" s="10">
        <v>229.95</v>
      </c>
      <c r="K166" s="10">
        <v>689.85</v>
      </c>
      <c r="L166" s="10">
        <v>0</v>
      </c>
      <c r="N166" s="10">
        <v>0</v>
      </c>
      <c r="O166" t="s">
        <v>99</v>
      </c>
      <c r="P166" s="10">
        <v>489.95</v>
      </c>
      <c r="S166">
        <v>6</v>
      </c>
      <c r="T166">
        <v>20</v>
      </c>
      <c r="U166">
        <v>20</v>
      </c>
      <c r="W166">
        <v>18.559999999999999</v>
      </c>
      <c r="X166">
        <v>1</v>
      </c>
      <c r="Y166">
        <v>13.25</v>
      </c>
      <c r="Z166">
        <v>22.25</v>
      </c>
      <c r="AA166">
        <v>22.25</v>
      </c>
      <c r="AB166">
        <v>3.7959999999999998</v>
      </c>
      <c r="AC166">
        <v>23.61</v>
      </c>
      <c r="AE166">
        <v>1</v>
      </c>
      <c r="AF166" t="s">
        <v>559</v>
      </c>
      <c r="AG166">
        <v>45</v>
      </c>
      <c r="AK166" t="s">
        <v>99</v>
      </c>
      <c r="AM166" t="s">
        <v>98</v>
      </c>
      <c r="AN166" t="s">
        <v>99</v>
      </c>
      <c r="AO166" t="s">
        <v>98</v>
      </c>
      <c r="AP166" t="s">
        <v>100</v>
      </c>
      <c r="AQ166" t="s">
        <v>101</v>
      </c>
      <c r="AV166" t="s">
        <v>98</v>
      </c>
      <c r="AX166" t="s">
        <v>560</v>
      </c>
      <c r="AZ166" t="s">
        <v>102</v>
      </c>
      <c r="BB166" t="s">
        <v>7528</v>
      </c>
      <c r="BC166" t="s">
        <v>7528</v>
      </c>
      <c r="BD166" t="s">
        <v>7528</v>
      </c>
      <c r="BF166" t="s">
        <v>606</v>
      </c>
      <c r="BG166" t="s">
        <v>98</v>
      </c>
      <c r="BH166" t="s">
        <v>98</v>
      </c>
      <c r="BI166" t="s">
        <v>98</v>
      </c>
      <c r="BK166" t="s">
        <v>127</v>
      </c>
      <c r="BL166" t="s">
        <v>7528</v>
      </c>
      <c r="BQ166">
        <v>20</v>
      </c>
      <c r="BR166">
        <v>0.75</v>
      </c>
      <c r="BS166">
        <v>20</v>
      </c>
      <c r="BT166">
        <v>20</v>
      </c>
      <c r="CA166">
        <v>1840</v>
      </c>
      <c r="CB166" t="s">
        <v>560</v>
      </c>
      <c r="CG166">
        <v>3000</v>
      </c>
      <c r="CH166">
        <v>94</v>
      </c>
      <c r="CI166">
        <v>3967</v>
      </c>
      <c r="CJ166">
        <v>2185</v>
      </c>
      <c r="CK166">
        <v>30000</v>
      </c>
      <c r="CL166" t="s">
        <v>98</v>
      </c>
      <c r="CM166" t="s">
        <v>98</v>
      </c>
      <c r="CN166" t="s">
        <v>442</v>
      </c>
      <c r="CO166" s="1">
        <v>43334</v>
      </c>
      <c r="CP166" s="1">
        <v>43633</v>
      </c>
    </row>
    <row r="167" spans="1:94" x14ac:dyDescent="0.25">
      <c r="A167" t="s">
        <v>607</v>
      </c>
      <c r="B167" t="str">
        <f xml:space="preserve"> "" &amp; 747396103273</f>
        <v>747396103273</v>
      </c>
      <c r="C167" t="s">
        <v>569</v>
      </c>
      <c r="D167" t="s">
        <v>570</v>
      </c>
      <c r="E167" t="s">
        <v>7528</v>
      </c>
      <c r="F167" t="s">
        <v>478</v>
      </c>
      <c r="G167">
        <v>1</v>
      </c>
      <c r="H167">
        <v>1</v>
      </c>
      <c r="I167" t="s">
        <v>97</v>
      </c>
      <c r="J167" s="10">
        <v>189</v>
      </c>
      <c r="K167" s="10">
        <v>567</v>
      </c>
      <c r="L167" s="10">
        <v>0</v>
      </c>
      <c r="N167" s="10">
        <v>0</v>
      </c>
      <c r="O167" t="s">
        <v>99</v>
      </c>
      <c r="P167" s="10">
        <v>399.95</v>
      </c>
      <c r="S167">
        <v>6.5</v>
      </c>
      <c r="T167">
        <v>20</v>
      </c>
      <c r="U167">
        <v>20</v>
      </c>
      <c r="W167">
        <v>15.87</v>
      </c>
      <c r="X167">
        <v>1</v>
      </c>
      <c r="Y167">
        <v>9.5</v>
      </c>
      <c r="Z167">
        <v>22.25</v>
      </c>
      <c r="AA167">
        <v>22.25</v>
      </c>
      <c r="AB167">
        <v>2.722</v>
      </c>
      <c r="AC167">
        <v>20.94</v>
      </c>
      <c r="AE167">
        <v>5</v>
      </c>
      <c r="AF167" t="s">
        <v>598</v>
      </c>
      <c r="AG167">
        <v>40</v>
      </c>
      <c r="AK167" t="s">
        <v>98</v>
      </c>
      <c r="AM167" t="s">
        <v>98</v>
      </c>
      <c r="AN167" t="s">
        <v>99</v>
      </c>
      <c r="AO167" t="s">
        <v>98</v>
      </c>
      <c r="AP167" t="s">
        <v>100</v>
      </c>
      <c r="AQ167" t="s">
        <v>101</v>
      </c>
      <c r="AV167" t="s">
        <v>98</v>
      </c>
      <c r="AX167" t="s">
        <v>608</v>
      </c>
      <c r="AZ167" t="s">
        <v>102</v>
      </c>
      <c r="BB167" t="s">
        <v>197</v>
      </c>
      <c r="BC167" t="s">
        <v>7528</v>
      </c>
      <c r="BD167" t="s">
        <v>7528</v>
      </c>
      <c r="BF167" t="s">
        <v>609</v>
      </c>
      <c r="BG167" t="s">
        <v>98</v>
      </c>
      <c r="BH167" t="s">
        <v>98</v>
      </c>
      <c r="BI167" t="s">
        <v>98</v>
      </c>
      <c r="BK167" t="s">
        <v>127</v>
      </c>
      <c r="BL167" t="s">
        <v>7528</v>
      </c>
      <c r="BS167">
        <v>20</v>
      </c>
      <c r="BT167">
        <v>20</v>
      </c>
      <c r="CA167">
        <v>1845</v>
      </c>
      <c r="CB167" t="s">
        <v>608</v>
      </c>
      <c r="CL167" t="s">
        <v>99</v>
      </c>
      <c r="CM167" t="s">
        <v>98</v>
      </c>
      <c r="CN167" t="s">
        <v>610</v>
      </c>
      <c r="CO167" s="1">
        <v>42908</v>
      </c>
      <c r="CP167" s="1">
        <v>43633</v>
      </c>
    </row>
    <row r="168" spans="1:94" x14ac:dyDescent="0.25">
      <c r="A168" t="s">
        <v>611</v>
      </c>
      <c r="B168" t="str">
        <f xml:space="preserve"> "" &amp; 747396108667</f>
        <v>747396108667</v>
      </c>
      <c r="C168" t="s">
        <v>558</v>
      </c>
      <c r="D168" t="s">
        <v>583</v>
      </c>
      <c r="E168" t="s">
        <v>7528</v>
      </c>
      <c r="F168" t="s">
        <v>7532</v>
      </c>
      <c r="G168">
        <v>1</v>
      </c>
      <c r="H168">
        <v>1</v>
      </c>
      <c r="I168" t="s">
        <v>97</v>
      </c>
      <c r="J168" s="10">
        <v>209.95</v>
      </c>
      <c r="K168" s="10">
        <v>629.85</v>
      </c>
      <c r="L168" s="10">
        <v>0</v>
      </c>
      <c r="N168" s="10">
        <v>0</v>
      </c>
      <c r="O168" t="s">
        <v>99</v>
      </c>
      <c r="P168" s="10">
        <v>439.95</v>
      </c>
      <c r="S168">
        <v>6.75</v>
      </c>
      <c r="T168">
        <v>20</v>
      </c>
      <c r="U168">
        <v>20</v>
      </c>
      <c r="W168">
        <v>14.86</v>
      </c>
      <c r="X168">
        <v>1</v>
      </c>
      <c r="Y168">
        <v>9.5</v>
      </c>
      <c r="Z168">
        <v>22.25</v>
      </c>
      <c r="AA168">
        <v>22.25</v>
      </c>
      <c r="AB168">
        <v>2.722</v>
      </c>
      <c r="AC168">
        <v>19.399999999999999</v>
      </c>
      <c r="AE168">
        <v>1</v>
      </c>
      <c r="AF168" t="s">
        <v>559</v>
      </c>
      <c r="AG168">
        <v>45</v>
      </c>
      <c r="AK168" t="s">
        <v>99</v>
      </c>
      <c r="AM168" t="s">
        <v>98</v>
      </c>
      <c r="AN168" t="s">
        <v>99</v>
      </c>
      <c r="AO168" t="s">
        <v>98</v>
      </c>
      <c r="AP168" t="s">
        <v>100</v>
      </c>
      <c r="AQ168" t="s">
        <v>101</v>
      </c>
      <c r="AV168" t="s">
        <v>98</v>
      </c>
      <c r="AX168" t="s">
        <v>608</v>
      </c>
      <c r="AZ168" t="s">
        <v>102</v>
      </c>
      <c r="BB168" t="s">
        <v>197</v>
      </c>
      <c r="BC168" t="s">
        <v>7528</v>
      </c>
      <c r="BD168" t="s">
        <v>7528</v>
      </c>
      <c r="BF168" t="s">
        <v>612</v>
      </c>
      <c r="BG168" t="s">
        <v>98</v>
      </c>
      <c r="BH168" t="s">
        <v>98</v>
      </c>
      <c r="BI168" t="s">
        <v>98</v>
      </c>
      <c r="BK168" t="s">
        <v>127</v>
      </c>
      <c r="BL168" t="s">
        <v>7528</v>
      </c>
      <c r="BQ168">
        <v>20</v>
      </c>
      <c r="BR168">
        <v>0.75</v>
      </c>
      <c r="BS168">
        <v>20</v>
      </c>
      <c r="BT168">
        <v>20</v>
      </c>
      <c r="CA168">
        <v>1845</v>
      </c>
      <c r="CB168" t="s">
        <v>608</v>
      </c>
      <c r="CG168">
        <v>3000</v>
      </c>
      <c r="CH168">
        <v>93</v>
      </c>
      <c r="CI168">
        <v>4041</v>
      </c>
      <c r="CJ168">
        <v>2351</v>
      </c>
      <c r="CK168">
        <v>30000</v>
      </c>
      <c r="CL168" t="s">
        <v>99</v>
      </c>
      <c r="CM168" t="s">
        <v>98</v>
      </c>
      <c r="CN168" t="s">
        <v>610</v>
      </c>
      <c r="CO168" s="1">
        <v>43334</v>
      </c>
      <c r="CP168" s="1">
        <v>43633</v>
      </c>
    </row>
    <row r="169" spans="1:94" x14ac:dyDescent="0.25">
      <c r="A169" t="s">
        <v>613</v>
      </c>
      <c r="B169" t="str">
        <f xml:space="preserve"> "" &amp; 747396108650</f>
        <v>747396108650</v>
      </c>
      <c r="C169" t="s">
        <v>558</v>
      </c>
      <c r="D169" t="s">
        <v>558</v>
      </c>
      <c r="E169" t="s">
        <v>7528</v>
      </c>
      <c r="F169" t="s">
        <v>7532</v>
      </c>
      <c r="G169">
        <v>1</v>
      </c>
      <c r="H169">
        <v>1</v>
      </c>
      <c r="I169" t="s">
        <v>97</v>
      </c>
      <c r="J169" s="10">
        <v>209.95</v>
      </c>
      <c r="K169" s="10">
        <v>629.85</v>
      </c>
      <c r="L169" s="10">
        <v>0</v>
      </c>
      <c r="N169" s="10">
        <v>0</v>
      </c>
      <c r="O169" t="s">
        <v>99</v>
      </c>
      <c r="P169" s="10">
        <v>439.95</v>
      </c>
      <c r="S169">
        <v>6.75</v>
      </c>
      <c r="T169">
        <v>20</v>
      </c>
      <c r="U169">
        <v>20</v>
      </c>
      <c r="W169">
        <v>14.86</v>
      </c>
      <c r="X169">
        <v>1</v>
      </c>
      <c r="Y169">
        <v>9.5</v>
      </c>
      <c r="Z169">
        <v>22.25</v>
      </c>
      <c r="AA169">
        <v>22.25</v>
      </c>
      <c r="AB169">
        <v>2.722</v>
      </c>
      <c r="AC169">
        <v>19.579999999999998</v>
      </c>
      <c r="AE169">
        <v>1</v>
      </c>
      <c r="AF169" t="s">
        <v>559</v>
      </c>
      <c r="AG169">
        <v>45</v>
      </c>
      <c r="AK169" t="s">
        <v>99</v>
      </c>
      <c r="AM169" t="s">
        <v>98</v>
      </c>
      <c r="AN169" t="s">
        <v>99</v>
      </c>
      <c r="AO169" t="s">
        <v>98</v>
      </c>
      <c r="AP169" t="s">
        <v>100</v>
      </c>
      <c r="AQ169" t="s">
        <v>101</v>
      </c>
      <c r="AV169" t="s">
        <v>98</v>
      </c>
      <c r="AX169" t="s">
        <v>279</v>
      </c>
      <c r="AZ169" t="s">
        <v>102</v>
      </c>
      <c r="BB169" t="s">
        <v>197</v>
      </c>
      <c r="BC169" t="s">
        <v>285</v>
      </c>
      <c r="BD169" t="s">
        <v>7528</v>
      </c>
      <c r="BF169" t="s">
        <v>614</v>
      </c>
      <c r="BG169" t="s">
        <v>98</v>
      </c>
      <c r="BH169" t="s">
        <v>98</v>
      </c>
      <c r="BI169" t="s">
        <v>98</v>
      </c>
      <c r="BK169" t="s">
        <v>127</v>
      </c>
      <c r="BL169" t="s">
        <v>7528</v>
      </c>
      <c r="BQ169">
        <v>20</v>
      </c>
      <c r="BR169">
        <v>0.75</v>
      </c>
      <c r="BS169">
        <v>20</v>
      </c>
      <c r="BT169">
        <v>20</v>
      </c>
      <c r="CA169">
        <v>1845</v>
      </c>
      <c r="CB169" t="s">
        <v>279</v>
      </c>
      <c r="CG169">
        <v>3000</v>
      </c>
      <c r="CH169">
        <v>93</v>
      </c>
      <c r="CI169">
        <v>4012</v>
      </c>
      <c r="CJ169">
        <v>2299</v>
      </c>
      <c r="CK169">
        <v>30000</v>
      </c>
      <c r="CL169" t="s">
        <v>99</v>
      </c>
      <c r="CM169" t="s">
        <v>98</v>
      </c>
      <c r="CN169" t="s">
        <v>610</v>
      </c>
      <c r="CO169" s="1">
        <v>43298</v>
      </c>
      <c r="CP169" s="1">
        <v>43633</v>
      </c>
    </row>
    <row r="170" spans="1:94" x14ac:dyDescent="0.25">
      <c r="A170" t="s">
        <v>615</v>
      </c>
      <c r="B170" t="str">
        <f xml:space="preserve"> "" &amp; 747396103228</f>
        <v>747396103228</v>
      </c>
      <c r="C170" t="s">
        <v>569</v>
      </c>
      <c r="D170" t="s">
        <v>570</v>
      </c>
      <c r="E170" t="s">
        <v>7528</v>
      </c>
      <c r="F170" t="s">
        <v>478</v>
      </c>
      <c r="G170">
        <v>1</v>
      </c>
      <c r="H170">
        <v>1</v>
      </c>
      <c r="I170" t="s">
        <v>97</v>
      </c>
      <c r="J170" s="10">
        <v>189</v>
      </c>
      <c r="K170" s="10">
        <v>567</v>
      </c>
      <c r="L170" s="10">
        <v>0</v>
      </c>
      <c r="N170" s="10">
        <v>0</v>
      </c>
      <c r="O170" t="s">
        <v>99</v>
      </c>
      <c r="P170" s="10">
        <v>399.95</v>
      </c>
      <c r="S170">
        <v>6.75</v>
      </c>
      <c r="T170">
        <v>20</v>
      </c>
      <c r="U170">
        <v>20</v>
      </c>
      <c r="W170">
        <v>4.5199999999999996</v>
      </c>
      <c r="X170">
        <v>1</v>
      </c>
      <c r="Y170">
        <v>14.25</v>
      </c>
      <c r="Z170">
        <v>22.25</v>
      </c>
      <c r="AA170">
        <v>22.25</v>
      </c>
      <c r="AB170">
        <v>4.0830000000000002</v>
      </c>
      <c r="AC170">
        <v>6.02</v>
      </c>
      <c r="AE170">
        <v>5</v>
      </c>
      <c r="AF170" t="s">
        <v>282</v>
      </c>
      <c r="AG170">
        <v>60</v>
      </c>
      <c r="AK170" t="s">
        <v>98</v>
      </c>
      <c r="AM170" t="s">
        <v>98</v>
      </c>
      <c r="AN170" t="s">
        <v>99</v>
      </c>
      <c r="AO170" t="s">
        <v>98</v>
      </c>
      <c r="AP170" t="s">
        <v>100</v>
      </c>
      <c r="AQ170" t="s">
        <v>101</v>
      </c>
      <c r="AV170" t="s">
        <v>98</v>
      </c>
      <c r="AX170" t="s">
        <v>616</v>
      </c>
      <c r="AZ170" t="s">
        <v>102</v>
      </c>
      <c r="BB170" t="s">
        <v>235</v>
      </c>
      <c r="BC170" t="s">
        <v>133</v>
      </c>
      <c r="BD170" t="s">
        <v>7528</v>
      </c>
      <c r="BF170" t="s">
        <v>617</v>
      </c>
      <c r="BG170" t="s">
        <v>98</v>
      </c>
      <c r="BH170" t="s">
        <v>98</v>
      </c>
      <c r="BI170" t="s">
        <v>98</v>
      </c>
      <c r="BK170" t="s">
        <v>127</v>
      </c>
      <c r="BL170" t="s">
        <v>7528</v>
      </c>
      <c r="BS170">
        <v>20</v>
      </c>
      <c r="BT170">
        <v>20</v>
      </c>
      <c r="CA170">
        <v>1846</v>
      </c>
      <c r="CB170" t="s">
        <v>616</v>
      </c>
      <c r="CL170" t="s">
        <v>99</v>
      </c>
      <c r="CM170" t="s">
        <v>98</v>
      </c>
      <c r="CN170" t="s">
        <v>442</v>
      </c>
      <c r="CO170" s="1">
        <v>42905</v>
      </c>
      <c r="CP170" s="1">
        <v>43633</v>
      </c>
    </row>
    <row r="171" spans="1:94" x14ac:dyDescent="0.25">
      <c r="A171" t="s">
        <v>618</v>
      </c>
      <c r="B171" t="str">
        <f xml:space="preserve"> "" &amp; 747396108704</f>
        <v>747396108704</v>
      </c>
      <c r="C171" t="s">
        <v>558</v>
      </c>
      <c r="D171" t="s">
        <v>619</v>
      </c>
      <c r="E171" t="s">
        <v>7528</v>
      </c>
      <c r="F171" t="s">
        <v>7532</v>
      </c>
      <c r="G171">
        <v>1</v>
      </c>
      <c r="H171">
        <v>1</v>
      </c>
      <c r="I171" t="s">
        <v>97</v>
      </c>
      <c r="J171" s="10">
        <v>209.95</v>
      </c>
      <c r="K171" s="10">
        <v>629.85</v>
      </c>
      <c r="L171" s="10">
        <v>0</v>
      </c>
      <c r="N171" s="10">
        <v>0</v>
      </c>
      <c r="O171" t="s">
        <v>99</v>
      </c>
      <c r="P171" s="10">
        <v>439.95</v>
      </c>
      <c r="S171">
        <v>6.75</v>
      </c>
      <c r="T171">
        <v>20</v>
      </c>
      <c r="U171">
        <v>20</v>
      </c>
      <c r="W171">
        <v>19.29</v>
      </c>
      <c r="X171">
        <v>1</v>
      </c>
      <c r="Y171">
        <v>14.25</v>
      </c>
      <c r="Z171">
        <v>22.25</v>
      </c>
      <c r="AA171">
        <v>22.25</v>
      </c>
      <c r="AB171">
        <v>4.0830000000000002</v>
      </c>
      <c r="AC171">
        <v>24.41</v>
      </c>
      <c r="AE171">
        <v>1</v>
      </c>
      <c r="AF171" t="s">
        <v>559</v>
      </c>
      <c r="AG171">
        <v>49</v>
      </c>
      <c r="AK171" t="s">
        <v>99</v>
      </c>
      <c r="AM171" t="s">
        <v>98</v>
      </c>
      <c r="AN171" t="s">
        <v>99</v>
      </c>
      <c r="AO171" t="s">
        <v>98</v>
      </c>
      <c r="AP171" t="s">
        <v>100</v>
      </c>
      <c r="AQ171" t="s">
        <v>101</v>
      </c>
      <c r="AV171" t="s">
        <v>98</v>
      </c>
      <c r="AX171" t="s">
        <v>616</v>
      </c>
      <c r="AZ171" t="s">
        <v>102</v>
      </c>
      <c r="BB171" t="s">
        <v>235</v>
      </c>
      <c r="BC171" t="s">
        <v>7528</v>
      </c>
      <c r="BD171" t="s">
        <v>7528</v>
      </c>
      <c r="BF171" t="s">
        <v>620</v>
      </c>
      <c r="BG171" t="s">
        <v>98</v>
      </c>
      <c r="BH171" t="s">
        <v>98</v>
      </c>
      <c r="BI171" t="s">
        <v>98</v>
      </c>
      <c r="BK171" t="s">
        <v>127</v>
      </c>
      <c r="BL171" t="s">
        <v>7528</v>
      </c>
      <c r="BQ171">
        <v>20</v>
      </c>
      <c r="BR171">
        <v>1</v>
      </c>
      <c r="BS171">
        <v>20</v>
      </c>
      <c r="BT171">
        <v>20</v>
      </c>
      <c r="CA171">
        <v>1846</v>
      </c>
      <c r="CB171" t="s">
        <v>616</v>
      </c>
      <c r="CG171">
        <v>3000</v>
      </c>
      <c r="CH171">
        <v>92</v>
      </c>
      <c r="CI171">
        <v>4300</v>
      </c>
      <c r="CJ171">
        <v>3051</v>
      </c>
      <c r="CK171">
        <v>30000</v>
      </c>
      <c r="CL171" t="s">
        <v>99</v>
      </c>
      <c r="CM171" t="s">
        <v>98</v>
      </c>
      <c r="CN171" t="s">
        <v>442</v>
      </c>
      <c r="CO171" s="1">
        <v>43334</v>
      </c>
      <c r="CP171" s="1">
        <v>43633</v>
      </c>
    </row>
    <row r="172" spans="1:94" x14ac:dyDescent="0.25">
      <c r="A172" t="s">
        <v>621</v>
      </c>
      <c r="B172" t="str">
        <f xml:space="preserve"> "" &amp; 747396103211</f>
        <v>747396103211</v>
      </c>
      <c r="C172" t="s">
        <v>569</v>
      </c>
      <c r="D172" t="s">
        <v>570</v>
      </c>
      <c r="E172" t="s">
        <v>7528</v>
      </c>
      <c r="F172" t="s">
        <v>478</v>
      </c>
      <c r="G172">
        <v>1</v>
      </c>
      <c r="H172">
        <v>1</v>
      </c>
      <c r="I172" t="s">
        <v>97</v>
      </c>
      <c r="J172" s="10">
        <v>189</v>
      </c>
      <c r="K172" s="10">
        <v>567</v>
      </c>
      <c r="L172" s="10">
        <v>0</v>
      </c>
      <c r="N172" s="10">
        <v>0</v>
      </c>
      <c r="O172" t="s">
        <v>99</v>
      </c>
      <c r="P172" s="10">
        <v>399.95</v>
      </c>
      <c r="S172">
        <v>6.75</v>
      </c>
      <c r="T172">
        <v>20</v>
      </c>
      <c r="U172">
        <v>20</v>
      </c>
      <c r="W172">
        <v>4.5199999999999996</v>
      </c>
      <c r="X172">
        <v>1</v>
      </c>
      <c r="Y172">
        <v>14.25</v>
      </c>
      <c r="Z172">
        <v>22.25</v>
      </c>
      <c r="AA172">
        <v>22.25</v>
      </c>
      <c r="AB172">
        <v>4.0830000000000002</v>
      </c>
      <c r="AC172">
        <v>6.02</v>
      </c>
      <c r="AE172">
        <v>5</v>
      </c>
      <c r="AF172" t="s">
        <v>282</v>
      </c>
      <c r="AG172">
        <v>60</v>
      </c>
      <c r="AK172" t="s">
        <v>98</v>
      </c>
      <c r="AM172" t="s">
        <v>98</v>
      </c>
      <c r="AN172" t="s">
        <v>99</v>
      </c>
      <c r="AO172" t="s">
        <v>98</v>
      </c>
      <c r="AP172" t="s">
        <v>100</v>
      </c>
      <c r="AQ172" t="s">
        <v>101</v>
      </c>
      <c r="AV172" t="s">
        <v>98</v>
      </c>
      <c r="AX172" t="s">
        <v>622</v>
      </c>
      <c r="AZ172" t="s">
        <v>102</v>
      </c>
      <c r="BB172" t="s">
        <v>235</v>
      </c>
      <c r="BC172" t="s">
        <v>133</v>
      </c>
      <c r="BD172" t="s">
        <v>7528</v>
      </c>
      <c r="BF172" t="s">
        <v>623</v>
      </c>
      <c r="BG172" t="s">
        <v>98</v>
      </c>
      <c r="BH172" t="s">
        <v>98</v>
      </c>
      <c r="BI172" t="s">
        <v>98</v>
      </c>
      <c r="BK172" t="s">
        <v>127</v>
      </c>
      <c r="BL172" t="s">
        <v>7528</v>
      </c>
      <c r="BM172">
        <v>20</v>
      </c>
      <c r="BO172">
        <v>20</v>
      </c>
      <c r="BP172">
        <v>20</v>
      </c>
      <c r="CA172">
        <v>1846</v>
      </c>
      <c r="CB172" t="s">
        <v>622</v>
      </c>
      <c r="CL172" t="s">
        <v>99</v>
      </c>
      <c r="CM172" t="s">
        <v>98</v>
      </c>
      <c r="CN172" t="s">
        <v>442</v>
      </c>
      <c r="CO172" s="1">
        <v>42905</v>
      </c>
      <c r="CP172" s="1">
        <v>43633</v>
      </c>
    </row>
    <row r="173" spans="1:94" x14ac:dyDescent="0.25">
      <c r="A173" t="s">
        <v>624</v>
      </c>
      <c r="B173" t="str">
        <f xml:space="preserve"> "" &amp; 747396108698</f>
        <v>747396108698</v>
      </c>
      <c r="C173" t="s">
        <v>558</v>
      </c>
      <c r="D173" t="s">
        <v>619</v>
      </c>
      <c r="E173" t="s">
        <v>7528</v>
      </c>
      <c r="F173" t="s">
        <v>7532</v>
      </c>
      <c r="G173">
        <v>1</v>
      </c>
      <c r="H173">
        <v>1</v>
      </c>
      <c r="I173" t="s">
        <v>97</v>
      </c>
      <c r="J173" s="10">
        <v>209.95</v>
      </c>
      <c r="K173" s="10">
        <v>629.85</v>
      </c>
      <c r="L173" s="10">
        <v>0</v>
      </c>
      <c r="N173" s="10">
        <v>0</v>
      </c>
      <c r="O173" t="s">
        <v>99</v>
      </c>
      <c r="P173" s="10">
        <v>439.95</v>
      </c>
      <c r="S173">
        <v>6.75</v>
      </c>
      <c r="T173">
        <v>20</v>
      </c>
      <c r="U173">
        <v>20</v>
      </c>
      <c r="W173">
        <v>19.29</v>
      </c>
      <c r="X173">
        <v>1</v>
      </c>
      <c r="Y173">
        <v>14.25</v>
      </c>
      <c r="Z173">
        <v>22.25</v>
      </c>
      <c r="AA173">
        <v>22.25</v>
      </c>
      <c r="AB173">
        <v>4.0830000000000002</v>
      </c>
      <c r="AC173">
        <v>24.41</v>
      </c>
      <c r="AE173">
        <v>1</v>
      </c>
      <c r="AF173" t="s">
        <v>559</v>
      </c>
      <c r="AG173">
        <v>49</v>
      </c>
      <c r="AK173" t="s">
        <v>99</v>
      </c>
      <c r="AM173" t="s">
        <v>98</v>
      </c>
      <c r="AN173" t="s">
        <v>99</v>
      </c>
      <c r="AO173" t="s">
        <v>98</v>
      </c>
      <c r="AP173" t="s">
        <v>100</v>
      </c>
      <c r="AQ173" t="s">
        <v>101</v>
      </c>
      <c r="AV173" t="s">
        <v>98</v>
      </c>
      <c r="AX173" t="s">
        <v>622</v>
      </c>
      <c r="AZ173" t="s">
        <v>102</v>
      </c>
      <c r="BB173" t="s">
        <v>235</v>
      </c>
      <c r="BC173" t="s">
        <v>7528</v>
      </c>
      <c r="BD173" t="s">
        <v>7528</v>
      </c>
      <c r="BF173" t="s">
        <v>625</v>
      </c>
      <c r="BG173" t="s">
        <v>98</v>
      </c>
      <c r="BH173" t="s">
        <v>98</v>
      </c>
      <c r="BI173" t="s">
        <v>98</v>
      </c>
      <c r="BK173" t="s">
        <v>127</v>
      </c>
      <c r="BL173" t="s">
        <v>7528</v>
      </c>
      <c r="BQ173">
        <v>20</v>
      </c>
      <c r="BR173">
        <v>1</v>
      </c>
      <c r="BS173">
        <v>20</v>
      </c>
      <c r="BT173">
        <v>20</v>
      </c>
      <c r="CA173">
        <v>1846</v>
      </c>
      <c r="CB173" t="s">
        <v>622</v>
      </c>
      <c r="CG173">
        <v>3000</v>
      </c>
      <c r="CH173">
        <v>93</v>
      </c>
      <c r="CI173">
        <v>4341</v>
      </c>
      <c r="CJ173">
        <v>3141</v>
      </c>
      <c r="CK173">
        <v>30000</v>
      </c>
      <c r="CL173" t="s">
        <v>99</v>
      </c>
      <c r="CM173" t="s">
        <v>98</v>
      </c>
      <c r="CN173" t="s">
        <v>442</v>
      </c>
      <c r="CO173" s="1">
        <v>43334</v>
      </c>
      <c r="CP173" s="1">
        <v>43633</v>
      </c>
    </row>
    <row r="174" spans="1:94" x14ac:dyDescent="0.25">
      <c r="A174" t="s">
        <v>634</v>
      </c>
      <c r="B174" t="str">
        <f xml:space="preserve"> "" &amp; 747396044880</f>
        <v>747396044880</v>
      </c>
      <c r="C174" t="s">
        <v>521</v>
      </c>
      <c r="D174" t="s">
        <v>6540</v>
      </c>
      <c r="E174" t="s">
        <v>635</v>
      </c>
      <c r="F174" t="s">
        <v>358</v>
      </c>
      <c r="G174">
        <v>1</v>
      </c>
      <c r="H174">
        <v>1</v>
      </c>
      <c r="I174" t="s">
        <v>97</v>
      </c>
      <c r="J174" s="10">
        <v>63.95</v>
      </c>
      <c r="K174" s="10">
        <v>191.85</v>
      </c>
      <c r="L174" s="10">
        <v>0</v>
      </c>
      <c r="N174" s="10">
        <v>0</v>
      </c>
      <c r="O174" t="s">
        <v>99</v>
      </c>
      <c r="P174" s="10">
        <v>127.9</v>
      </c>
      <c r="S174">
        <v>1.75</v>
      </c>
      <c r="T174">
        <v>20.75</v>
      </c>
      <c r="U174">
        <v>20.75</v>
      </c>
      <c r="W174">
        <v>2.89</v>
      </c>
      <c r="X174">
        <v>1</v>
      </c>
      <c r="Y174">
        <v>4</v>
      </c>
      <c r="Z174">
        <v>24</v>
      </c>
      <c r="AA174">
        <v>24</v>
      </c>
      <c r="AB174">
        <v>1.333</v>
      </c>
      <c r="AC174">
        <v>4.6500000000000004</v>
      </c>
      <c r="AF174" t="s">
        <v>7528</v>
      </c>
      <c r="AK174" t="s">
        <v>98</v>
      </c>
      <c r="AM174" t="s">
        <v>98</v>
      </c>
      <c r="AN174" t="s">
        <v>99</v>
      </c>
      <c r="AO174" t="s">
        <v>98</v>
      </c>
      <c r="AP174" t="s">
        <v>100</v>
      </c>
      <c r="AQ174" t="s">
        <v>101</v>
      </c>
      <c r="AV174" t="s">
        <v>98</v>
      </c>
      <c r="AX174" t="s">
        <v>636</v>
      </c>
      <c r="AZ174" t="s">
        <v>124</v>
      </c>
      <c r="BB174" t="s">
        <v>7528</v>
      </c>
      <c r="BC174" t="s">
        <v>7528</v>
      </c>
      <c r="BD174" t="s">
        <v>7528</v>
      </c>
      <c r="BF174" t="s">
        <v>637</v>
      </c>
      <c r="BG174" t="s">
        <v>98</v>
      </c>
      <c r="BH174" t="s">
        <v>98</v>
      </c>
      <c r="BI174" t="s">
        <v>98</v>
      </c>
      <c r="BK174" t="s">
        <v>7528</v>
      </c>
      <c r="BL174" t="s">
        <v>7528</v>
      </c>
      <c r="CA174">
        <v>1940</v>
      </c>
      <c r="CB174" t="s">
        <v>636</v>
      </c>
      <c r="CL174" t="s">
        <v>98</v>
      </c>
      <c r="CM174" t="s">
        <v>98</v>
      </c>
      <c r="CN174" t="s">
        <v>638</v>
      </c>
      <c r="CO174" s="1">
        <v>38307</v>
      </c>
      <c r="CP174" s="1">
        <v>43633</v>
      </c>
    </row>
    <row r="175" spans="1:94" x14ac:dyDescent="0.25">
      <c r="A175" t="s">
        <v>639</v>
      </c>
      <c r="B175" t="str">
        <f xml:space="preserve"> "" &amp; 747396044606</f>
        <v>747396044606</v>
      </c>
      <c r="C175" t="s">
        <v>230</v>
      </c>
      <c r="D175" t="s">
        <v>6541</v>
      </c>
      <c r="E175" t="s">
        <v>7521</v>
      </c>
      <c r="F175" t="s">
        <v>232</v>
      </c>
      <c r="G175">
        <v>1</v>
      </c>
      <c r="H175">
        <v>1</v>
      </c>
      <c r="I175" t="s">
        <v>97</v>
      </c>
      <c r="J175" s="10">
        <v>50</v>
      </c>
      <c r="K175" s="10">
        <v>150</v>
      </c>
      <c r="L175" s="10">
        <v>0</v>
      </c>
      <c r="N175" s="10">
        <v>0</v>
      </c>
      <c r="O175" t="s">
        <v>99</v>
      </c>
      <c r="P175" s="10">
        <v>84.95</v>
      </c>
      <c r="S175">
        <v>6.5</v>
      </c>
      <c r="U175">
        <v>12.75</v>
      </c>
      <c r="V175">
        <v>6.5</v>
      </c>
      <c r="W175">
        <v>3.2</v>
      </c>
      <c r="X175">
        <v>1</v>
      </c>
      <c r="Y175">
        <v>8.75</v>
      </c>
      <c r="Z175">
        <v>15.25</v>
      </c>
      <c r="AA175">
        <v>14.75</v>
      </c>
      <c r="AB175">
        <v>1.139</v>
      </c>
      <c r="AC175">
        <v>5.22</v>
      </c>
      <c r="AE175">
        <v>1</v>
      </c>
      <c r="AF175" t="s">
        <v>340</v>
      </c>
      <c r="AG175">
        <v>100</v>
      </c>
      <c r="AK175" t="s">
        <v>98</v>
      </c>
      <c r="AM175" t="s">
        <v>98</v>
      </c>
      <c r="AN175" t="s">
        <v>99</v>
      </c>
      <c r="AO175" t="s">
        <v>98</v>
      </c>
      <c r="AP175" t="s">
        <v>100</v>
      </c>
      <c r="AQ175" t="s">
        <v>101</v>
      </c>
      <c r="AV175" t="s">
        <v>98</v>
      </c>
      <c r="AX175" t="s">
        <v>640</v>
      </c>
      <c r="AZ175" t="s">
        <v>124</v>
      </c>
      <c r="BB175" t="s">
        <v>235</v>
      </c>
      <c r="BC175" t="s">
        <v>641</v>
      </c>
      <c r="BD175" t="s">
        <v>7528</v>
      </c>
      <c r="BF175" t="s">
        <v>642</v>
      </c>
      <c r="BG175" t="s">
        <v>98</v>
      </c>
      <c r="BH175" t="s">
        <v>98</v>
      </c>
      <c r="BI175" t="s">
        <v>98</v>
      </c>
      <c r="BK175" t="s">
        <v>127</v>
      </c>
      <c r="BL175" t="s">
        <v>236</v>
      </c>
      <c r="BR175">
        <v>6.38</v>
      </c>
      <c r="BT175">
        <v>12.5</v>
      </c>
      <c r="CA175">
        <v>1971</v>
      </c>
      <c r="CB175" t="s">
        <v>640</v>
      </c>
      <c r="CL175" t="s">
        <v>99</v>
      </c>
      <c r="CM175" t="s">
        <v>98</v>
      </c>
      <c r="CN175" t="s">
        <v>442</v>
      </c>
      <c r="CO175" s="1">
        <v>38276</v>
      </c>
      <c r="CP175" s="1">
        <v>43633</v>
      </c>
    </row>
    <row r="176" spans="1:94" x14ac:dyDescent="0.25">
      <c r="A176" t="s">
        <v>643</v>
      </c>
      <c r="B176" t="str">
        <f xml:space="preserve"> "" &amp; 747396044613</f>
        <v>747396044613</v>
      </c>
      <c r="C176" t="s">
        <v>230</v>
      </c>
      <c r="D176" t="s">
        <v>6541</v>
      </c>
      <c r="E176" t="s">
        <v>7521</v>
      </c>
      <c r="F176" t="s">
        <v>232</v>
      </c>
      <c r="G176">
        <v>1</v>
      </c>
      <c r="H176">
        <v>1</v>
      </c>
      <c r="I176" t="s">
        <v>97</v>
      </c>
      <c r="J176" s="10">
        <v>65</v>
      </c>
      <c r="K176" s="10">
        <v>195</v>
      </c>
      <c r="L176" s="10">
        <v>0</v>
      </c>
      <c r="N176" s="10">
        <v>0</v>
      </c>
      <c r="O176" t="s">
        <v>99</v>
      </c>
      <c r="P176" s="10">
        <v>104.95</v>
      </c>
      <c r="S176">
        <v>12.5</v>
      </c>
      <c r="U176">
        <v>9.25</v>
      </c>
      <c r="V176">
        <v>5.25</v>
      </c>
      <c r="W176">
        <v>5.03</v>
      </c>
      <c r="X176">
        <v>1</v>
      </c>
      <c r="Y176">
        <v>9</v>
      </c>
      <c r="Z176">
        <v>14.75</v>
      </c>
      <c r="AA176">
        <v>11.5</v>
      </c>
      <c r="AB176">
        <v>0.88300000000000001</v>
      </c>
      <c r="AC176">
        <v>6.55</v>
      </c>
      <c r="AE176">
        <v>1</v>
      </c>
      <c r="AF176" t="s">
        <v>340</v>
      </c>
      <c r="AG176">
        <v>100</v>
      </c>
      <c r="AK176" t="s">
        <v>98</v>
      </c>
      <c r="AM176" t="s">
        <v>98</v>
      </c>
      <c r="AN176" t="s">
        <v>99</v>
      </c>
      <c r="AO176" t="s">
        <v>98</v>
      </c>
      <c r="AP176" t="s">
        <v>100</v>
      </c>
      <c r="AQ176" t="s">
        <v>101</v>
      </c>
      <c r="AV176" t="s">
        <v>98</v>
      </c>
      <c r="AX176" t="s">
        <v>640</v>
      </c>
      <c r="AZ176" t="s">
        <v>124</v>
      </c>
      <c r="BB176" t="s">
        <v>235</v>
      </c>
      <c r="BC176" t="s">
        <v>641</v>
      </c>
      <c r="BD176" t="s">
        <v>7528</v>
      </c>
      <c r="BF176" t="s">
        <v>644</v>
      </c>
      <c r="BG176" t="s">
        <v>98</v>
      </c>
      <c r="BH176" t="s">
        <v>98</v>
      </c>
      <c r="BI176" t="s">
        <v>98</v>
      </c>
      <c r="BK176" t="s">
        <v>127</v>
      </c>
      <c r="BL176" t="s">
        <v>645</v>
      </c>
      <c r="BR176">
        <v>11.5</v>
      </c>
      <c r="BT176">
        <v>8.25</v>
      </c>
      <c r="CA176">
        <v>1972</v>
      </c>
      <c r="CB176" t="s">
        <v>640</v>
      </c>
      <c r="CL176" t="s">
        <v>99</v>
      </c>
      <c r="CM176" t="s">
        <v>98</v>
      </c>
      <c r="CN176" t="s">
        <v>442</v>
      </c>
      <c r="CO176" s="1">
        <v>38276</v>
      </c>
      <c r="CP176" s="1">
        <v>43633</v>
      </c>
    </row>
    <row r="177" spans="1:94" x14ac:dyDescent="0.25">
      <c r="A177" t="s">
        <v>646</v>
      </c>
      <c r="B177" t="str">
        <f xml:space="preserve"> "" &amp; 747396055732</f>
        <v>747396055732</v>
      </c>
      <c r="C177" t="s">
        <v>230</v>
      </c>
      <c r="D177" t="s">
        <v>6542</v>
      </c>
      <c r="E177" t="s">
        <v>7521</v>
      </c>
      <c r="F177" t="s">
        <v>232</v>
      </c>
      <c r="G177">
        <v>1</v>
      </c>
      <c r="H177">
        <v>1</v>
      </c>
      <c r="I177" t="s">
        <v>97</v>
      </c>
      <c r="J177" s="10">
        <v>49</v>
      </c>
      <c r="K177" s="10">
        <v>147</v>
      </c>
      <c r="L177" s="10">
        <v>0</v>
      </c>
      <c r="N177" s="10">
        <v>0</v>
      </c>
      <c r="S177">
        <v>9.25</v>
      </c>
      <c r="U177">
        <v>6</v>
      </c>
      <c r="V177">
        <v>4.5</v>
      </c>
      <c r="W177">
        <v>2.78</v>
      </c>
      <c r="X177">
        <v>1</v>
      </c>
      <c r="Y177">
        <v>9</v>
      </c>
      <c r="Z177">
        <v>11.75</v>
      </c>
      <c r="AA177">
        <v>8.25</v>
      </c>
      <c r="AB177">
        <v>0.505</v>
      </c>
      <c r="AC177">
        <v>3.73</v>
      </c>
      <c r="AE177">
        <v>1</v>
      </c>
      <c r="AF177" t="s">
        <v>519</v>
      </c>
      <c r="AG177">
        <v>60</v>
      </c>
      <c r="AK177" t="s">
        <v>98</v>
      </c>
      <c r="AM177" t="s">
        <v>98</v>
      </c>
      <c r="AN177" t="s">
        <v>99</v>
      </c>
      <c r="AO177" t="s">
        <v>98</v>
      </c>
      <c r="AP177" t="s">
        <v>100</v>
      </c>
      <c r="AQ177" t="s">
        <v>101</v>
      </c>
      <c r="AV177" t="s">
        <v>98</v>
      </c>
      <c r="AX177" t="s">
        <v>640</v>
      </c>
      <c r="AZ177" t="s">
        <v>124</v>
      </c>
      <c r="BB177" t="s">
        <v>235</v>
      </c>
      <c r="BC177" t="s">
        <v>641</v>
      </c>
      <c r="BD177" t="s">
        <v>7528</v>
      </c>
      <c r="BF177" t="s">
        <v>647</v>
      </c>
      <c r="BG177" t="s">
        <v>98</v>
      </c>
      <c r="BH177" t="s">
        <v>98</v>
      </c>
      <c r="BI177" t="s">
        <v>98</v>
      </c>
      <c r="BK177" t="s">
        <v>127</v>
      </c>
      <c r="BL177" t="s">
        <v>645</v>
      </c>
      <c r="BM177">
        <v>6</v>
      </c>
      <c r="BN177">
        <v>9.1300000000000008</v>
      </c>
      <c r="CA177" t="s">
        <v>648</v>
      </c>
      <c r="CB177" t="s">
        <v>640</v>
      </c>
      <c r="CL177" t="s">
        <v>99</v>
      </c>
      <c r="CM177" t="s">
        <v>98</v>
      </c>
      <c r="CN177" t="s">
        <v>442</v>
      </c>
      <c r="CO177" s="1">
        <v>38936</v>
      </c>
      <c r="CP177" s="1">
        <v>43633</v>
      </c>
    </row>
    <row r="178" spans="1:94" x14ac:dyDescent="0.25">
      <c r="A178" t="s">
        <v>649</v>
      </c>
      <c r="B178" t="str">
        <f xml:space="preserve"> "" &amp; 747396055725</f>
        <v>747396055725</v>
      </c>
      <c r="C178" t="s">
        <v>322</v>
      </c>
      <c r="D178" t="s">
        <v>6543</v>
      </c>
      <c r="E178" t="s">
        <v>7521</v>
      </c>
      <c r="F178" t="s">
        <v>232</v>
      </c>
      <c r="G178">
        <v>1</v>
      </c>
      <c r="H178">
        <v>1</v>
      </c>
      <c r="I178" t="s">
        <v>97</v>
      </c>
      <c r="J178" s="10">
        <v>95</v>
      </c>
      <c r="K178" s="10">
        <v>285</v>
      </c>
      <c r="L178" s="10">
        <v>0</v>
      </c>
      <c r="N178" s="10">
        <v>0</v>
      </c>
      <c r="S178">
        <v>18.5</v>
      </c>
      <c r="U178">
        <v>9.5</v>
      </c>
      <c r="V178">
        <v>5.75</v>
      </c>
      <c r="W178">
        <v>7.67</v>
      </c>
      <c r="X178">
        <v>1</v>
      </c>
      <c r="Y178">
        <v>10.5</v>
      </c>
      <c r="Z178">
        <v>21.5</v>
      </c>
      <c r="AA178">
        <v>12</v>
      </c>
      <c r="AB178">
        <v>1.5680000000000001</v>
      </c>
      <c r="AC178">
        <v>10.119999999999999</v>
      </c>
      <c r="AE178">
        <v>2</v>
      </c>
      <c r="AF178" t="s">
        <v>340</v>
      </c>
      <c r="AG178">
        <v>100</v>
      </c>
      <c r="AK178" t="s">
        <v>98</v>
      </c>
      <c r="AM178" t="s">
        <v>98</v>
      </c>
      <c r="AN178" t="s">
        <v>99</v>
      </c>
      <c r="AO178" t="s">
        <v>98</v>
      </c>
      <c r="AP178" t="s">
        <v>100</v>
      </c>
      <c r="AQ178" t="s">
        <v>101</v>
      </c>
      <c r="AV178" t="s">
        <v>98</v>
      </c>
      <c r="AX178" t="s">
        <v>640</v>
      </c>
      <c r="AZ178" t="s">
        <v>124</v>
      </c>
      <c r="BB178" t="s">
        <v>235</v>
      </c>
      <c r="BC178" t="s">
        <v>641</v>
      </c>
      <c r="BD178" t="s">
        <v>7528</v>
      </c>
      <c r="BF178" t="s">
        <v>650</v>
      </c>
      <c r="BG178" t="s">
        <v>98</v>
      </c>
      <c r="BH178" t="s">
        <v>98</v>
      </c>
      <c r="BI178" t="s">
        <v>98</v>
      </c>
      <c r="BK178" t="s">
        <v>127</v>
      </c>
      <c r="BL178" t="s">
        <v>645</v>
      </c>
      <c r="BM178">
        <v>9.5</v>
      </c>
      <c r="BN178">
        <v>18.5</v>
      </c>
      <c r="CA178" t="s">
        <v>651</v>
      </c>
      <c r="CB178" t="s">
        <v>640</v>
      </c>
      <c r="CL178" t="s">
        <v>99</v>
      </c>
      <c r="CM178" t="s">
        <v>98</v>
      </c>
      <c r="CN178" t="s">
        <v>442</v>
      </c>
      <c r="CO178" s="1">
        <v>38912</v>
      </c>
      <c r="CP178" s="1">
        <v>43633</v>
      </c>
    </row>
    <row r="179" spans="1:94" x14ac:dyDescent="0.25">
      <c r="A179" t="s">
        <v>652</v>
      </c>
      <c r="B179" t="str">
        <f xml:space="preserve"> "" &amp; 747396076812</f>
        <v>747396076812</v>
      </c>
      <c r="C179" t="s">
        <v>653</v>
      </c>
      <c r="D179" t="s">
        <v>654</v>
      </c>
      <c r="E179" t="s">
        <v>655</v>
      </c>
      <c r="F179" t="s">
        <v>7533</v>
      </c>
      <c r="G179">
        <v>1</v>
      </c>
      <c r="H179">
        <v>1</v>
      </c>
      <c r="I179" t="s">
        <v>97</v>
      </c>
      <c r="J179" s="10">
        <v>49</v>
      </c>
      <c r="K179" s="10">
        <v>147</v>
      </c>
      <c r="L179" s="10">
        <v>0</v>
      </c>
      <c r="N179" s="10">
        <v>0</v>
      </c>
      <c r="S179">
        <v>28.5</v>
      </c>
      <c r="U179">
        <v>28.25</v>
      </c>
      <c r="W179">
        <v>23.63</v>
      </c>
      <c r="Y179">
        <v>25.5</v>
      </c>
      <c r="Z179">
        <v>28.25</v>
      </c>
      <c r="AA179">
        <v>27.5</v>
      </c>
      <c r="AB179">
        <v>11.464</v>
      </c>
      <c r="AC179">
        <v>35.6</v>
      </c>
      <c r="AE179">
        <v>3</v>
      </c>
      <c r="AF179" t="s">
        <v>282</v>
      </c>
      <c r="AG179">
        <v>100</v>
      </c>
      <c r="AK179" t="s">
        <v>98</v>
      </c>
      <c r="AM179" t="s">
        <v>98</v>
      </c>
      <c r="AN179" t="s">
        <v>99</v>
      </c>
      <c r="AO179" t="s">
        <v>98</v>
      </c>
      <c r="AP179" t="s">
        <v>100</v>
      </c>
      <c r="AQ179" t="s">
        <v>101</v>
      </c>
      <c r="AV179" t="s">
        <v>98</v>
      </c>
      <c r="AX179" t="s">
        <v>656</v>
      </c>
      <c r="AZ179" t="s">
        <v>124</v>
      </c>
      <c r="BB179" t="s">
        <v>235</v>
      </c>
      <c r="BC179" t="s">
        <v>7599</v>
      </c>
      <c r="BD179" t="s">
        <v>7528</v>
      </c>
      <c r="BF179" t="s">
        <v>657</v>
      </c>
      <c r="BG179" t="s">
        <v>98</v>
      </c>
      <c r="BH179" t="s">
        <v>98</v>
      </c>
      <c r="BI179" t="s">
        <v>98</v>
      </c>
      <c r="BK179" t="s">
        <v>110</v>
      </c>
      <c r="BL179" t="s">
        <v>7528</v>
      </c>
      <c r="BR179">
        <v>1.75</v>
      </c>
      <c r="BT179">
        <v>6.13</v>
      </c>
      <c r="CA179">
        <v>1983</v>
      </c>
      <c r="CB179" t="s">
        <v>656</v>
      </c>
      <c r="CL179" t="s">
        <v>98</v>
      </c>
      <c r="CM179" t="s">
        <v>99</v>
      </c>
      <c r="CN179" t="s">
        <v>658</v>
      </c>
      <c r="CO179" s="1">
        <v>40466</v>
      </c>
      <c r="CP179" s="1">
        <v>43633</v>
      </c>
    </row>
    <row r="180" spans="1:94" x14ac:dyDescent="0.25">
      <c r="A180" t="s">
        <v>659</v>
      </c>
      <c r="B180" t="str">
        <f xml:space="preserve"> "" &amp; 840253038821</f>
        <v>840253038821</v>
      </c>
      <c r="C180" t="s">
        <v>660</v>
      </c>
      <c r="D180" t="s">
        <v>661</v>
      </c>
      <c r="E180" t="s">
        <v>7528</v>
      </c>
      <c r="F180" t="s">
        <v>661</v>
      </c>
      <c r="G180">
        <v>1</v>
      </c>
      <c r="H180">
        <v>1</v>
      </c>
      <c r="I180" t="s">
        <v>97</v>
      </c>
      <c r="J180" s="10">
        <v>69.95</v>
      </c>
      <c r="K180" s="10">
        <v>209.85</v>
      </c>
      <c r="L180" s="10">
        <v>0</v>
      </c>
      <c r="N180" s="10">
        <v>0</v>
      </c>
      <c r="U180">
        <v>18</v>
      </c>
      <c r="W180">
        <v>29.19</v>
      </c>
      <c r="X180">
        <v>1</v>
      </c>
      <c r="Y180">
        <v>21.06</v>
      </c>
      <c r="Z180">
        <v>21.85</v>
      </c>
      <c r="AA180">
        <v>13.98</v>
      </c>
      <c r="AB180">
        <v>3.7229999999999999</v>
      </c>
      <c r="AC180">
        <v>35.049999999999997</v>
      </c>
      <c r="AE180">
        <v>1</v>
      </c>
      <c r="AF180" t="s">
        <v>662</v>
      </c>
      <c r="AG180">
        <v>150</v>
      </c>
      <c r="AH180">
        <v>0</v>
      </c>
      <c r="AJ180">
        <v>0</v>
      </c>
      <c r="AK180" t="s">
        <v>98</v>
      </c>
      <c r="AM180" t="s">
        <v>98</v>
      </c>
      <c r="AN180" t="s">
        <v>98</v>
      </c>
      <c r="AO180" t="s">
        <v>99</v>
      </c>
      <c r="AP180" t="s">
        <v>100</v>
      </c>
      <c r="AQ180" t="s">
        <v>101</v>
      </c>
      <c r="AV180" t="s">
        <v>98</v>
      </c>
      <c r="AX180" t="s">
        <v>663</v>
      </c>
      <c r="AZ180" t="s">
        <v>124</v>
      </c>
      <c r="BB180" t="s">
        <v>7528</v>
      </c>
      <c r="BC180" t="s">
        <v>7528</v>
      </c>
      <c r="BD180" t="s">
        <v>7528</v>
      </c>
      <c r="BF180" t="s">
        <v>664</v>
      </c>
      <c r="BG180" t="s">
        <v>98</v>
      </c>
      <c r="BH180" t="s">
        <v>98</v>
      </c>
      <c r="BI180" t="s">
        <v>98</v>
      </c>
      <c r="BK180" t="s">
        <v>110</v>
      </c>
      <c r="BL180" t="s">
        <v>7528</v>
      </c>
      <c r="CA180">
        <v>200702</v>
      </c>
      <c r="CB180" t="s">
        <v>663</v>
      </c>
      <c r="CL180" t="s">
        <v>98</v>
      </c>
      <c r="CM180" t="s">
        <v>98</v>
      </c>
      <c r="CN180" t="s">
        <v>692</v>
      </c>
      <c r="CO180" s="1">
        <v>38616</v>
      </c>
      <c r="CP180" s="1">
        <v>43633</v>
      </c>
    </row>
    <row r="181" spans="1:94" x14ac:dyDescent="0.25">
      <c r="A181" t="s">
        <v>665</v>
      </c>
      <c r="B181" t="str">
        <f xml:space="preserve"> "" &amp; 840253039040</f>
        <v>840253039040</v>
      </c>
      <c r="C181" t="s">
        <v>666</v>
      </c>
      <c r="D181" t="s">
        <v>661</v>
      </c>
      <c r="E181" t="s">
        <v>7528</v>
      </c>
      <c r="F181" t="s">
        <v>661</v>
      </c>
      <c r="G181">
        <v>1</v>
      </c>
      <c r="H181">
        <v>1</v>
      </c>
      <c r="I181" t="s">
        <v>97</v>
      </c>
      <c r="J181" s="10">
        <v>119.95</v>
      </c>
      <c r="K181" s="10">
        <v>359.85</v>
      </c>
      <c r="L181" s="10">
        <v>0</v>
      </c>
      <c r="N181" s="10">
        <v>0</v>
      </c>
      <c r="O181" t="s">
        <v>99</v>
      </c>
      <c r="P181" s="10">
        <v>239.9</v>
      </c>
      <c r="S181">
        <v>63.5</v>
      </c>
      <c r="T181">
        <v>16</v>
      </c>
      <c r="U181">
        <v>8.75</v>
      </c>
      <c r="W181">
        <v>11.24</v>
      </c>
      <c r="X181">
        <v>1</v>
      </c>
      <c r="Y181">
        <v>10.75</v>
      </c>
      <c r="Z181">
        <v>58.63</v>
      </c>
      <c r="AA181">
        <v>17.38</v>
      </c>
      <c r="AB181">
        <v>6.3390000000000004</v>
      </c>
      <c r="AC181">
        <v>17.64</v>
      </c>
      <c r="AE181">
        <v>1</v>
      </c>
      <c r="AF181" t="s">
        <v>667</v>
      </c>
      <c r="AG181">
        <v>9</v>
      </c>
      <c r="AH181">
        <v>0</v>
      </c>
      <c r="AJ181">
        <v>0</v>
      </c>
      <c r="AK181" t="s">
        <v>99</v>
      </c>
      <c r="AM181" t="s">
        <v>98</v>
      </c>
      <c r="AN181" t="s">
        <v>98</v>
      </c>
      <c r="AO181" t="s">
        <v>99</v>
      </c>
      <c r="AP181" t="s">
        <v>100</v>
      </c>
      <c r="AQ181" t="s">
        <v>101</v>
      </c>
      <c r="AV181" t="s">
        <v>98</v>
      </c>
      <c r="AX181" t="s">
        <v>668</v>
      </c>
      <c r="AZ181" t="s">
        <v>102</v>
      </c>
      <c r="BB181" t="s">
        <v>197</v>
      </c>
      <c r="BC181" t="s">
        <v>7528</v>
      </c>
      <c r="BD181" t="s">
        <v>7528</v>
      </c>
      <c r="BF181" t="s">
        <v>669</v>
      </c>
      <c r="BG181" t="s">
        <v>98</v>
      </c>
      <c r="BH181" t="s">
        <v>98</v>
      </c>
      <c r="BI181" t="s">
        <v>98</v>
      </c>
      <c r="BK181" t="s">
        <v>110</v>
      </c>
      <c r="BL181" t="s">
        <v>7528</v>
      </c>
      <c r="CA181">
        <v>20710</v>
      </c>
      <c r="CB181" t="s">
        <v>668</v>
      </c>
      <c r="CL181" t="s">
        <v>98</v>
      </c>
      <c r="CM181" t="s">
        <v>98</v>
      </c>
      <c r="CN181" t="s">
        <v>294</v>
      </c>
      <c r="CO181" s="1">
        <v>38419</v>
      </c>
      <c r="CP181" s="1">
        <v>43633</v>
      </c>
    </row>
    <row r="182" spans="1:94" x14ac:dyDescent="0.25">
      <c r="A182" t="s">
        <v>670</v>
      </c>
      <c r="B182" t="str">
        <f xml:space="preserve"> "" &amp; 747396087658</f>
        <v>747396087658</v>
      </c>
      <c r="C182" t="s">
        <v>239</v>
      </c>
      <c r="D182" t="s">
        <v>671</v>
      </c>
      <c r="E182" t="s">
        <v>7528</v>
      </c>
      <c r="F182" t="s">
        <v>240</v>
      </c>
      <c r="G182">
        <v>1</v>
      </c>
      <c r="H182">
        <v>1</v>
      </c>
      <c r="I182" t="s">
        <v>97</v>
      </c>
      <c r="J182" s="10">
        <v>85</v>
      </c>
      <c r="K182" s="10">
        <v>255</v>
      </c>
      <c r="L182" s="10">
        <v>0</v>
      </c>
      <c r="N182" s="10">
        <v>0</v>
      </c>
      <c r="O182" t="s">
        <v>99</v>
      </c>
      <c r="P182" s="10">
        <v>169.95</v>
      </c>
      <c r="S182">
        <v>6.75</v>
      </c>
      <c r="T182">
        <v>7.75</v>
      </c>
      <c r="U182">
        <v>7.75</v>
      </c>
      <c r="W182">
        <v>4.41</v>
      </c>
      <c r="Y182">
        <v>10.25</v>
      </c>
      <c r="Z182">
        <v>15.13</v>
      </c>
      <c r="AA182">
        <v>6.88</v>
      </c>
      <c r="AB182">
        <v>0.61699999999999999</v>
      </c>
      <c r="AC182">
        <v>5.31</v>
      </c>
      <c r="AE182">
        <v>1</v>
      </c>
      <c r="AF182" t="s">
        <v>598</v>
      </c>
      <c r="AG182">
        <v>100</v>
      </c>
      <c r="AK182" t="s">
        <v>98</v>
      </c>
      <c r="AM182" t="s">
        <v>98</v>
      </c>
      <c r="AN182" t="s">
        <v>99</v>
      </c>
      <c r="AO182" t="s">
        <v>98</v>
      </c>
      <c r="AP182" t="s">
        <v>100</v>
      </c>
      <c r="AQ182" t="s">
        <v>101</v>
      </c>
      <c r="AV182" t="s">
        <v>98</v>
      </c>
      <c r="AX182" t="s">
        <v>399</v>
      </c>
      <c r="AZ182" t="s">
        <v>124</v>
      </c>
      <c r="BB182" t="s">
        <v>235</v>
      </c>
      <c r="BC182" t="s">
        <v>460</v>
      </c>
      <c r="BD182" t="s">
        <v>7528</v>
      </c>
      <c r="BF182" t="s">
        <v>672</v>
      </c>
      <c r="BG182" t="s">
        <v>98</v>
      </c>
      <c r="BH182" t="s">
        <v>98</v>
      </c>
      <c r="BI182" t="s">
        <v>98</v>
      </c>
      <c r="BK182" t="s">
        <v>110</v>
      </c>
      <c r="BL182" t="s">
        <v>7528</v>
      </c>
      <c r="BQ182">
        <v>4.88</v>
      </c>
      <c r="BR182">
        <v>0.88</v>
      </c>
      <c r="BS182">
        <v>4.88</v>
      </c>
      <c r="BT182">
        <v>4.88</v>
      </c>
      <c r="CA182">
        <v>2240</v>
      </c>
      <c r="CB182" t="s">
        <v>399</v>
      </c>
      <c r="CL182" t="s">
        <v>99</v>
      </c>
      <c r="CM182" t="s">
        <v>99</v>
      </c>
      <c r="CN182" t="s">
        <v>442</v>
      </c>
      <c r="CO182" s="1">
        <v>41243</v>
      </c>
      <c r="CP182" s="1">
        <v>43633</v>
      </c>
    </row>
    <row r="183" spans="1:94" x14ac:dyDescent="0.25">
      <c r="A183" t="s">
        <v>673</v>
      </c>
      <c r="B183" t="str">
        <f xml:space="preserve"> "" &amp; 747396087702</f>
        <v>747396087702</v>
      </c>
      <c r="C183" t="s">
        <v>239</v>
      </c>
      <c r="D183" t="s">
        <v>239</v>
      </c>
      <c r="E183" t="s">
        <v>7528</v>
      </c>
      <c r="F183" t="s">
        <v>240</v>
      </c>
      <c r="G183">
        <v>1</v>
      </c>
      <c r="H183">
        <v>1</v>
      </c>
      <c r="I183" t="s">
        <v>97</v>
      </c>
      <c r="J183" s="10">
        <v>75</v>
      </c>
      <c r="K183" s="10">
        <v>225</v>
      </c>
      <c r="L183" s="10">
        <v>0</v>
      </c>
      <c r="N183" s="10">
        <v>0</v>
      </c>
      <c r="S183">
        <v>8.75</v>
      </c>
      <c r="T183">
        <v>8</v>
      </c>
      <c r="U183">
        <v>8</v>
      </c>
      <c r="W183">
        <v>5.1100000000000003</v>
      </c>
      <c r="X183">
        <v>1</v>
      </c>
      <c r="Y183">
        <v>15.13</v>
      </c>
      <c r="Z183">
        <v>10.5</v>
      </c>
      <c r="AA183">
        <v>9.8800000000000008</v>
      </c>
      <c r="AB183">
        <v>0.90800000000000003</v>
      </c>
      <c r="AC183">
        <v>6.66</v>
      </c>
      <c r="AE183">
        <v>1</v>
      </c>
      <c r="AF183" t="s">
        <v>598</v>
      </c>
      <c r="AG183">
        <v>100</v>
      </c>
      <c r="AK183" t="s">
        <v>98</v>
      </c>
      <c r="AM183" t="s">
        <v>98</v>
      </c>
      <c r="AN183" t="s">
        <v>99</v>
      </c>
      <c r="AO183" t="s">
        <v>98</v>
      </c>
      <c r="AP183" t="s">
        <v>100</v>
      </c>
      <c r="AQ183" t="s">
        <v>101</v>
      </c>
      <c r="AV183" t="s">
        <v>98</v>
      </c>
      <c r="AX183" t="s">
        <v>406</v>
      </c>
      <c r="AZ183" t="s">
        <v>124</v>
      </c>
      <c r="BB183" t="s">
        <v>235</v>
      </c>
      <c r="BC183" t="s">
        <v>7600</v>
      </c>
      <c r="BD183" t="s">
        <v>7528</v>
      </c>
      <c r="BF183" t="s">
        <v>674</v>
      </c>
      <c r="BG183" t="s">
        <v>98</v>
      </c>
      <c r="BH183" t="s">
        <v>98</v>
      </c>
      <c r="BI183" t="s">
        <v>98</v>
      </c>
      <c r="BK183" t="s">
        <v>110</v>
      </c>
      <c r="BL183" t="s">
        <v>7528</v>
      </c>
      <c r="BQ183">
        <v>4.88</v>
      </c>
      <c r="BR183">
        <v>0.88</v>
      </c>
      <c r="BS183">
        <v>4.88</v>
      </c>
      <c r="BT183">
        <v>4.88</v>
      </c>
      <c r="CA183">
        <v>2242</v>
      </c>
      <c r="CB183" t="s">
        <v>406</v>
      </c>
      <c r="CL183" t="s">
        <v>99</v>
      </c>
      <c r="CM183" t="s">
        <v>99</v>
      </c>
      <c r="CN183" t="s">
        <v>442</v>
      </c>
      <c r="CO183" s="1">
        <v>41244</v>
      </c>
      <c r="CP183" s="1">
        <v>43633</v>
      </c>
    </row>
    <row r="184" spans="1:94" x14ac:dyDescent="0.25">
      <c r="A184" t="s">
        <v>675</v>
      </c>
      <c r="B184" t="str">
        <f xml:space="preserve"> "" &amp; 747396087696</f>
        <v>747396087696</v>
      </c>
      <c r="C184" t="s">
        <v>239</v>
      </c>
      <c r="D184" t="s">
        <v>239</v>
      </c>
      <c r="E184" t="s">
        <v>7528</v>
      </c>
      <c r="F184" t="s">
        <v>240</v>
      </c>
      <c r="G184">
        <v>1</v>
      </c>
      <c r="H184">
        <v>1</v>
      </c>
      <c r="I184" t="s">
        <v>97</v>
      </c>
      <c r="J184" s="10">
        <v>75</v>
      </c>
      <c r="K184" s="10">
        <v>225</v>
      </c>
      <c r="L184" s="10">
        <v>0</v>
      </c>
      <c r="N184" s="10">
        <v>0</v>
      </c>
      <c r="S184">
        <v>8.75</v>
      </c>
      <c r="T184">
        <v>8</v>
      </c>
      <c r="U184">
        <v>8</v>
      </c>
      <c r="W184">
        <v>5.1100000000000003</v>
      </c>
      <c r="Y184">
        <v>15.13</v>
      </c>
      <c r="Z184">
        <v>10.5</v>
      </c>
      <c r="AA184">
        <v>9.8800000000000008</v>
      </c>
      <c r="AB184">
        <v>0.90800000000000003</v>
      </c>
      <c r="AC184">
        <v>6.66</v>
      </c>
      <c r="AE184">
        <v>1</v>
      </c>
      <c r="AF184" t="s">
        <v>598</v>
      </c>
      <c r="AG184">
        <v>100</v>
      </c>
      <c r="AK184" t="s">
        <v>98</v>
      </c>
      <c r="AM184" t="s">
        <v>98</v>
      </c>
      <c r="AN184" t="s">
        <v>99</v>
      </c>
      <c r="AO184" t="s">
        <v>98</v>
      </c>
      <c r="AP184" t="s">
        <v>100</v>
      </c>
      <c r="AQ184" t="s">
        <v>101</v>
      </c>
      <c r="AV184" t="s">
        <v>98</v>
      </c>
      <c r="AX184" t="s">
        <v>399</v>
      </c>
      <c r="AZ184" t="s">
        <v>124</v>
      </c>
      <c r="BB184" t="s">
        <v>235</v>
      </c>
      <c r="BC184" t="s">
        <v>7600</v>
      </c>
      <c r="BD184" t="s">
        <v>7528</v>
      </c>
      <c r="BF184" t="s">
        <v>676</v>
      </c>
      <c r="BG184" t="s">
        <v>98</v>
      </c>
      <c r="BH184" t="s">
        <v>98</v>
      </c>
      <c r="BI184" t="s">
        <v>98</v>
      </c>
      <c r="BK184" t="s">
        <v>110</v>
      </c>
      <c r="BL184" t="s">
        <v>7528</v>
      </c>
      <c r="BQ184">
        <v>4.88</v>
      </c>
      <c r="BR184">
        <v>0.88</v>
      </c>
      <c r="BS184">
        <v>4.88</v>
      </c>
      <c r="BT184">
        <v>4.88</v>
      </c>
      <c r="CA184">
        <v>2242</v>
      </c>
      <c r="CB184" t="s">
        <v>399</v>
      </c>
      <c r="CL184" t="s">
        <v>99</v>
      </c>
      <c r="CM184" t="s">
        <v>99</v>
      </c>
      <c r="CN184" t="s">
        <v>442</v>
      </c>
      <c r="CO184" s="1">
        <v>41244</v>
      </c>
      <c r="CP184" s="1">
        <v>43633</v>
      </c>
    </row>
    <row r="185" spans="1:94" x14ac:dyDescent="0.25">
      <c r="A185" t="s">
        <v>677</v>
      </c>
      <c r="B185" t="str">
        <f xml:space="preserve"> "" &amp; 747396087726</f>
        <v>747396087726</v>
      </c>
      <c r="C185" t="s">
        <v>678</v>
      </c>
      <c r="D185" t="s">
        <v>678</v>
      </c>
      <c r="E185" t="s">
        <v>7528</v>
      </c>
      <c r="F185" t="s">
        <v>240</v>
      </c>
      <c r="G185">
        <v>1</v>
      </c>
      <c r="H185">
        <v>1</v>
      </c>
      <c r="I185" t="s">
        <v>97</v>
      </c>
      <c r="J185" s="10">
        <v>98</v>
      </c>
      <c r="K185" s="10">
        <v>294</v>
      </c>
      <c r="L185" s="10">
        <v>0</v>
      </c>
      <c r="N185" s="10">
        <v>0</v>
      </c>
      <c r="S185">
        <v>10</v>
      </c>
      <c r="U185">
        <v>16</v>
      </c>
      <c r="W185">
        <v>7.63</v>
      </c>
      <c r="Y185">
        <v>15.25</v>
      </c>
      <c r="Z185">
        <v>17.25</v>
      </c>
      <c r="AA185">
        <v>17.25</v>
      </c>
      <c r="AB185">
        <v>2.6259999999999999</v>
      </c>
      <c r="AC185">
        <v>11.33</v>
      </c>
      <c r="AE185">
        <v>1</v>
      </c>
      <c r="AF185" t="s">
        <v>735</v>
      </c>
      <c r="AG185">
        <v>150</v>
      </c>
      <c r="AK185" t="s">
        <v>98</v>
      </c>
      <c r="AM185" t="s">
        <v>98</v>
      </c>
      <c r="AN185" t="s">
        <v>99</v>
      </c>
      <c r="AO185" t="s">
        <v>98</v>
      </c>
      <c r="AP185" t="s">
        <v>100</v>
      </c>
      <c r="AQ185" t="s">
        <v>101</v>
      </c>
      <c r="AV185" t="s">
        <v>98</v>
      </c>
      <c r="AX185" t="s">
        <v>406</v>
      </c>
      <c r="AZ185" t="s">
        <v>124</v>
      </c>
      <c r="BB185" t="s">
        <v>235</v>
      </c>
      <c r="BC185" t="s">
        <v>7600</v>
      </c>
      <c r="BD185" t="s">
        <v>7528</v>
      </c>
      <c r="BF185" t="s">
        <v>679</v>
      </c>
      <c r="BG185" t="s">
        <v>98</v>
      </c>
      <c r="BH185" t="s">
        <v>98</v>
      </c>
      <c r="BI185" t="s">
        <v>98</v>
      </c>
      <c r="BK185" t="s">
        <v>110</v>
      </c>
      <c r="BL185" t="s">
        <v>7528</v>
      </c>
      <c r="BR185">
        <v>0.88</v>
      </c>
      <c r="BT185">
        <v>4.88</v>
      </c>
      <c r="CA185">
        <v>2243</v>
      </c>
      <c r="CB185" t="s">
        <v>406</v>
      </c>
      <c r="CL185" t="s">
        <v>99</v>
      </c>
      <c r="CM185" t="s">
        <v>99</v>
      </c>
      <c r="CN185" t="s">
        <v>442</v>
      </c>
      <c r="CO185" s="1">
        <v>41244</v>
      </c>
      <c r="CP185" s="1">
        <v>43633</v>
      </c>
    </row>
    <row r="186" spans="1:94" x14ac:dyDescent="0.25">
      <c r="A186" t="s">
        <v>680</v>
      </c>
      <c r="B186" t="str">
        <f xml:space="preserve"> "" &amp; 747396087740</f>
        <v>747396087740</v>
      </c>
      <c r="C186" t="s">
        <v>239</v>
      </c>
      <c r="D186" t="s">
        <v>239</v>
      </c>
      <c r="E186" t="s">
        <v>7528</v>
      </c>
      <c r="F186" t="s">
        <v>240</v>
      </c>
      <c r="G186">
        <v>1</v>
      </c>
      <c r="H186">
        <v>1</v>
      </c>
      <c r="I186" t="s">
        <v>97</v>
      </c>
      <c r="J186" s="10">
        <v>59</v>
      </c>
      <c r="K186" s="10">
        <v>177</v>
      </c>
      <c r="L186" s="10">
        <v>0</v>
      </c>
      <c r="N186" s="10">
        <v>0</v>
      </c>
      <c r="S186">
        <v>8</v>
      </c>
      <c r="U186">
        <v>6.75</v>
      </c>
      <c r="W186">
        <v>3.26</v>
      </c>
      <c r="X186">
        <v>1</v>
      </c>
      <c r="Y186">
        <v>13.5</v>
      </c>
      <c r="Z186">
        <v>9.25</v>
      </c>
      <c r="AA186">
        <v>9.25</v>
      </c>
      <c r="AB186">
        <v>0.66800000000000004</v>
      </c>
      <c r="AC186">
        <v>4.34</v>
      </c>
      <c r="AE186">
        <v>1</v>
      </c>
      <c r="AF186" t="s">
        <v>282</v>
      </c>
      <c r="AG186">
        <v>100</v>
      </c>
      <c r="AK186" t="s">
        <v>98</v>
      </c>
      <c r="AM186" t="s">
        <v>98</v>
      </c>
      <c r="AN186" t="s">
        <v>99</v>
      </c>
      <c r="AO186" t="s">
        <v>98</v>
      </c>
      <c r="AP186" t="s">
        <v>100</v>
      </c>
      <c r="AQ186" t="s">
        <v>101</v>
      </c>
      <c r="AV186" t="s">
        <v>98</v>
      </c>
      <c r="AX186" t="s">
        <v>406</v>
      </c>
      <c r="AZ186" t="s">
        <v>124</v>
      </c>
      <c r="BB186" t="s">
        <v>235</v>
      </c>
      <c r="BC186" t="s">
        <v>1446</v>
      </c>
      <c r="BD186" t="s">
        <v>7528</v>
      </c>
      <c r="BF186" t="s">
        <v>681</v>
      </c>
      <c r="BG186" t="s">
        <v>98</v>
      </c>
      <c r="BH186" t="s">
        <v>98</v>
      </c>
      <c r="BI186" t="s">
        <v>98</v>
      </c>
      <c r="BK186" t="s">
        <v>110</v>
      </c>
      <c r="BL186" t="s">
        <v>7528</v>
      </c>
      <c r="BR186">
        <v>0.88</v>
      </c>
      <c r="BT186">
        <v>4.88</v>
      </c>
      <c r="CA186">
        <v>2244</v>
      </c>
      <c r="CB186" t="s">
        <v>406</v>
      </c>
      <c r="CL186" t="s">
        <v>99</v>
      </c>
      <c r="CM186" t="s">
        <v>99</v>
      </c>
      <c r="CN186" t="s">
        <v>7528</v>
      </c>
      <c r="CO186" s="1">
        <v>41243</v>
      </c>
      <c r="CP186" s="1">
        <v>43633</v>
      </c>
    </row>
    <row r="187" spans="1:94" x14ac:dyDescent="0.25">
      <c r="A187" t="s">
        <v>682</v>
      </c>
      <c r="B187" t="str">
        <f xml:space="preserve"> "" &amp; 747396087733</f>
        <v>747396087733</v>
      </c>
      <c r="C187" t="s">
        <v>239</v>
      </c>
      <c r="D187" t="s">
        <v>239</v>
      </c>
      <c r="E187" t="s">
        <v>7528</v>
      </c>
      <c r="F187" t="s">
        <v>240</v>
      </c>
      <c r="G187">
        <v>1</v>
      </c>
      <c r="H187">
        <v>1</v>
      </c>
      <c r="I187" t="s">
        <v>97</v>
      </c>
      <c r="J187" s="10">
        <v>59</v>
      </c>
      <c r="K187" s="10">
        <v>177</v>
      </c>
      <c r="L187" s="10">
        <v>0</v>
      </c>
      <c r="N187" s="10">
        <v>0</v>
      </c>
      <c r="S187">
        <v>8</v>
      </c>
      <c r="U187">
        <v>6.75</v>
      </c>
      <c r="W187">
        <v>3.26</v>
      </c>
      <c r="Y187">
        <v>13.5</v>
      </c>
      <c r="Z187">
        <v>9.25</v>
      </c>
      <c r="AA187">
        <v>9.25</v>
      </c>
      <c r="AB187">
        <v>0.66800000000000004</v>
      </c>
      <c r="AC187">
        <v>4.34</v>
      </c>
      <c r="AE187">
        <v>1</v>
      </c>
      <c r="AF187" t="s">
        <v>282</v>
      </c>
      <c r="AG187">
        <v>100</v>
      </c>
      <c r="AK187" t="s">
        <v>98</v>
      </c>
      <c r="AM187" t="s">
        <v>98</v>
      </c>
      <c r="AN187" t="s">
        <v>99</v>
      </c>
      <c r="AO187" t="s">
        <v>98</v>
      </c>
      <c r="AP187" t="s">
        <v>100</v>
      </c>
      <c r="AQ187" t="s">
        <v>101</v>
      </c>
      <c r="AV187" t="s">
        <v>98</v>
      </c>
      <c r="AX187" t="s">
        <v>399</v>
      </c>
      <c r="AZ187" t="s">
        <v>124</v>
      </c>
      <c r="BB187" t="s">
        <v>235</v>
      </c>
      <c r="BC187" t="s">
        <v>1446</v>
      </c>
      <c r="BD187" t="s">
        <v>7528</v>
      </c>
      <c r="BF187" t="s">
        <v>683</v>
      </c>
      <c r="BG187" t="s">
        <v>98</v>
      </c>
      <c r="BH187" t="s">
        <v>98</v>
      </c>
      <c r="BI187" t="s">
        <v>98</v>
      </c>
      <c r="BK187" t="s">
        <v>110</v>
      </c>
      <c r="BL187" t="s">
        <v>7528</v>
      </c>
      <c r="BR187">
        <v>0.88</v>
      </c>
      <c r="BT187">
        <v>4.88</v>
      </c>
      <c r="CA187">
        <v>2244</v>
      </c>
      <c r="CB187" t="s">
        <v>399</v>
      </c>
      <c r="CL187" t="s">
        <v>99</v>
      </c>
      <c r="CM187" t="s">
        <v>99</v>
      </c>
      <c r="CN187" t="s">
        <v>442</v>
      </c>
      <c r="CO187" s="1">
        <v>41243</v>
      </c>
      <c r="CP187" s="1">
        <v>43633</v>
      </c>
    </row>
    <row r="188" spans="1:94" x14ac:dyDescent="0.25">
      <c r="A188" t="s">
        <v>684</v>
      </c>
      <c r="B188" t="str">
        <f xml:space="preserve"> "" &amp; 747396087771</f>
        <v>747396087771</v>
      </c>
      <c r="C188" t="s">
        <v>239</v>
      </c>
      <c r="D188" t="s">
        <v>678</v>
      </c>
      <c r="E188" t="s">
        <v>7528</v>
      </c>
      <c r="F188" t="s">
        <v>240</v>
      </c>
      <c r="G188">
        <v>1</v>
      </c>
      <c r="H188">
        <v>1</v>
      </c>
      <c r="I188" t="s">
        <v>97</v>
      </c>
      <c r="J188" s="10">
        <v>65</v>
      </c>
      <c r="K188" s="10">
        <v>195</v>
      </c>
      <c r="L188" s="10">
        <v>0</v>
      </c>
      <c r="N188" s="10">
        <v>0</v>
      </c>
      <c r="O188" t="s">
        <v>99</v>
      </c>
      <c r="P188" s="10">
        <v>129.94999999999999</v>
      </c>
      <c r="S188">
        <v>11</v>
      </c>
      <c r="U188">
        <v>9</v>
      </c>
      <c r="W188">
        <v>4.12</v>
      </c>
      <c r="X188">
        <v>1</v>
      </c>
      <c r="Y188">
        <v>13.38</v>
      </c>
      <c r="Z188">
        <v>11</v>
      </c>
      <c r="AA188">
        <v>11</v>
      </c>
      <c r="AB188">
        <v>0.93700000000000006</v>
      </c>
      <c r="AC188">
        <v>6</v>
      </c>
      <c r="AE188">
        <v>1</v>
      </c>
      <c r="AF188" t="s">
        <v>282</v>
      </c>
      <c r="AG188">
        <v>100</v>
      </c>
      <c r="AK188" t="s">
        <v>98</v>
      </c>
      <c r="AM188" t="s">
        <v>98</v>
      </c>
      <c r="AN188" t="s">
        <v>99</v>
      </c>
      <c r="AO188" t="s">
        <v>98</v>
      </c>
      <c r="AP188" t="s">
        <v>100</v>
      </c>
      <c r="AQ188" t="s">
        <v>101</v>
      </c>
      <c r="AV188" t="s">
        <v>98</v>
      </c>
      <c r="AX188" t="s">
        <v>367</v>
      </c>
      <c r="AZ188" t="s">
        <v>124</v>
      </c>
      <c r="BB188" t="s">
        <v>690</v>
      </c>
      <c r="BC188" t="s">
        <v>7528</v>
      </c>
      <c r="BD188" t="s">
        <v>7528</v>
      </c>
      <c r="BF188" t="s">
        <v>685</v>
      </c>
      <c r="BG188" t="s">
        <v>98</v>
      </c>
      <c r="BH188" t="s">
        <v>98</v>
      </c>
      <c r="BI188" t="s">
        <v>98</v>
      </c>
      <c r="BK188" t="s">
        <v>110</v>
      </c>
      <c r="BL188" t="s">
        <v>7528</v>
      </c>
      <c r="BR188">
        <v>0.88</v>
      </c>
      <c r="BT188">
        <v>4.88</v>
      </c>
      <c r="CA188">
        <v>2246</v>
      </c>
      <c r="CB188" t="s">
        <v>367</v>
      </c>
      <c r="CL188" t="s">
        <v>99</v>
      </c>
      <c r="CM188" t="s">
        <v>99</v>
      </c>
      <c r="CN188" t="s">
        <v>692</v>
      </c>
      <c r="CO188" s="1">
        <v>41244</v>
      </c>
      <c r="CP188" s="1">
        <v>43633</v>
      </c>
    </row>
    <row r="189" spans="1:94" x14ac:dyDescent="0.25">
      <c r="A189" t="s">
        <v>686</v>
      </c>
      <c r="B189" t="str">
        <f xml:space="preserve"> "" &amp; 747396087788</f>
        <v>747396087788</v>
      </c>
      <c r="C189" t="s">
        <v>239</v>
      </c>
      <c r="D189" t="s">
        <v>678</v>
      </c>
      <c r="E189" t="s">
        <v>7528</v>
      </c>
      <c r="F189" t="s">
        <v>240</v>
      </c>
      <c r="G189">
        <v>1</v>
      </c>
      <c r="H189">
        <v>1</v>
      </c>
      <c r="I189" t="s">
        <v>97</v>
      </c>
      <c r="J189" s="10">
        <v>65</v>
      </c>
      <c r="K189" s="10">
        <v>195</v>
      </c>
      <c r="L189" s="10">
        <v>0</v>
      </c>
      <c r="N189" s="10">
        <v>0</v>
      </c>
      <c r="O189" t="s">
        <v>99</v>
      </c>
      <c r="P189" s="10">
        <v>129.94999999999999</v>
      </c>
      <c r="S189">
        <v>11</v>
      </c>
      <c r="T189">
        <v>9</v>
      </c>
      <c r="U189">
        <v>9</v>
      </c>
      <c r="W189">
        <v>4.12</v>
      </c>
      <c r="Y189">
        <v>13.38</v>
      </c>
      <c r="Z189">
        <v>11</v>
      </c>
      <c r="AA189">
        <v>11</v>
      </c>
      <c r="AB189">
        <v>0.93700000000000006</v>
      </c>
      <c r="AC189">
        <v>6</v>
      </c>
      <c r="AE189">
        <v>1</v>
      </c>
      <c r="AF189" t="s">
        <v>282</v>
      </c>
      <c r="AG189">
        <v>100</v>
      </c>
      <c r="AK189" t="s">
        <v>98</v>
      </c>
      <c r="AM189" t="s">
        <v>98</v>
      </c>
      <c r="AN189" t="s">
        <v>99</v>
      </c>
      <c r="AO189" t="s">
        <v>98</v>
      </c>
      <c r="AP189" t="s">
        <v>100</v>
      </c>
      <c r="AQ189" t="s">
        <v>101</v>
      </c>
      <c r="AV189" t="s">
        <v>98</v>
      </c>
      <c r="AX189" t="s">
        <v>484</v>
      </c>
      <c r="AZ189" t="s">
        <v>124</v>
      </c>
      <c r="BB189" t="s">
        <v>690</v>
      </c>
      <c r="BC189" t="s">
        <v>484</v>
      </c>
      <c r="BD189" t="s">
        <v>7528</v>
      </c>
      <c r="BF189" t="s">
        <v>687</v>
      </c>
      <c r="BG189" t="s">
        <v>98</v>
      </c>
      <c r="BH189" t="s">
        <v>98</v>
      </c>
      <c r="BI189" t="s">
        <v>98</v>
      </c>
      <c r="BK189" t="s">
        <v>110</v>
      </c>
      <c r="BL189" t="s">
        <v>7528</v>
      </c>
      <c r="BR189">
        <v>0.88</v>
      </c>
      <c r="BT189">
        <v>4.88</v>
      </c>
      <c r="CA189">
        <v>2246</v>
      </c>
      <c r="CB189" t="s">
        <v>484</v>
      </c>
      <c r="CL189" t="s">
        <v>99</v>
      </c>
      <c r="CM189" t="s">
        <v>99</v>
      </c>
      <c r="CN189" t="s">
        <v>692</v>
      </c>
      <c r="CO189" s="1">
        <v>41244</v>
      </c>
      <c r="CP189" s="1">
        <v>43633</v>
      </c>
    </row>
    <row r="190" spans="1:94" x14ac:dyDescent="0.25">
      <c r="A190" t="s">
        <v>688</v>
      </c>
      <c r="B190" t="str">
        <f xml:space="preserve"> "" &amp; 747396087801</f>
        <v>747396087801</v>
      </c>
      <c r="C190" t="s">
        <v>678</v>
      </c>
      <c r="D190" t="s">
        <v>678</v>
      </c>
      <c r="E190" t="s">
        <v>7528</v>
      </c>
      <c r="F190" t="s">
        <v>240</v>
      </c>
      <c r="G190">
        <v>1</v>
      </c>
      <c r="H190">
        <v>1</v>
      </c>
      <c r="I190" t="s">
        <v>97</v>
      </c>
      <c r="J190" s="10">
        <v>79</v>
      </c>
      <c r="K190" s="10">
        <v>237</v>
      </c>
      <c r="L190" s="10">
        <v>0</v>
      </c>
      <c r="N190" s="10">
        <v>0</v>
      </c>
      <c r="O190" t="s">
        <v>99</v>
      </c>
      <c r="P190" s="10">
        <v>159.94999999999999</v>
      </c>
      <c r="S190">
        <v>11</v>
      </c>
      <c r="T190">
        <v>12</v>
      </c>
      <c r="U190">
        <v>12</v>
      </c>
      <c r="W190">
        <v>4.87</v>
      </c>
      <c r="Y190">
        <v>11.63</v>
      </c>
      <c r="Z190">
        <v>14.5</v>
      </c>
      <c r="AA190">
        <v>14.5</v>
      </c>
      <c r="AB190">
        <v>1.415</v>
      </c>
      <c r="AC190">
        <v>7.36</v>
      </c>
      <c r="AE190">
        <v>1</v>
      </c>
      <c r="AF190" t="s">
        <v>689</v>
      </c>
      <c r="AG190">
        <v>150</v>
      </c>
      <c r="AK190" t="s">
        <v>98</v>
      </c>
      <c r="AM190" t="s">
        <v>98</v>
      </c>
      <c r="AN190" t="s">
        <v>99</v>
      </c>
      <c r="AO190" t="s">
        <v>98</v>
      </c>
      <c r="AP190" t="s">
        <v>100</v>
      </c>
      <c r="AQ190" t="s">
        <v>101</v>
      </c>
      <c r="AV190" t="s">
        <v>98</v>
      </c>
      <c r="AX190" t="s">
        <v>367</v>
      </c>
      <c r="AZ190" t="s">
        <v>124</v>
      </c>
      <c r="BB190" t="s">
        <v>690</v>
      </c>
      <c r="BC190" t="s">
        <v>367</v>
      </c>
      <c r="BD190" t="s">
        <v>7528</v>
      </c>
      <c r="BF190" t="s">
        <v>691</v>
      </c>
      <c r="BG190" t="s">
        <v>98</v>
      </c>
      <c r="BH190" t="s">
        <v>98</v>
      </c>
      <c r="BI190" t="s">
        <v>98</v>
      </c>
      <c r="BK190" t="s">
        <v>110</v>
      </c>
      <c r="BL190" t="s">
        <v>7528</v>
      </c>
      <c r="BR190">
        <v>0.88</v>
      </c>
      <c r="BT190">
        <v>4.88</v>
      </c>
      <c r="CA190">
        <v>2247</v>
      </c>
      <c r="CB190" t="s">
        <v>367</v>
      </c>
      <c r="CL190" t="s">
        <v>99</v>
      </c>
      <c r="CM190" t="s">
        <v>99</v>
      </c>
      <c r="CN190" t="s">
        <v>692</v>
      </c>
      <c r="CO190" s="1">
        <v>41244</v>
      </c>
      <c r="CP190" s="1">
        <v>43633</v>
      </c>
    </row>
    <row r="191" spans="1:94" x14ac:dyDescent="0.25">
      <c r="A191" t="s">
        <v>693</v>
      </c>
      <c r="B191" t="str">
        <f xml:space="preserve"> "" &amp; 747396087795</f>
        <v>747396087795</v>
      </c>
      <c r="C191" t="s">
        <v>678</v>
      </c>
      <c r="D191" t="s">
        <v>678</v>
      </c>
      <c r="E191" t="s">
        <v>7528</v>
      </c>
      <c r="F191" t="s">
        <v>240</v>
      </c>
      <c r="G191">
        <v>1</v>
      </c>
      <c r="H191">
        <v>1</v>
      </c>
      <c r="I191" t="s">
        <v>97</v>
      </c>
      <c r="J191" s="10">
        <v>79</v>
      </c>
      <c r="K191" s="10">
        <v>237</v>
      </c>
      <c r="L191" s="10">
        <v>0</v>
      </c>
      <c r="N191" s="10">
        <v>0</v>
      </c>
      <c r="O191" t="s">
        <v>99</v>
      </c>
      <c r="P191" s="10">
        <v>159.94999999999999</v>
      </c>
      <c r="S191">
        <v>11</v>
      </c>
      <c r="T191">
        <v>12</v>
      </c>
      <c r="U191">
        <v>12</v>
      </c>
      <c r="W191">
        <v>4.87</v>
      </c>
      <c r="X191">
        <v>1</v>
      </c>
      <c r="Y191">
        <v>11.63</v>
      </c>
      <c r="Z191">
        <v>14.5</v>
      </c>
      <c r="AA191">
        <v>14.5</v>
      </c>
      <c r="AB191">
        <v>1.415</v>
      </c>
      <c r="AC191">
        <v>7.36</v>
      </c>
      <c r="AE191">
        <v>1</v>
      </c>
      <c r="AF191" t="s">
        <v>689</v>
      </c>
      <c r="AG191">
        <v>150</v>
      </c>
      <c r="AK191" t="s">
        <v>98</v>
      </c>
      <c r="AM191" t="s">
        <v>98</v>
      </c>
      <c r="AN191" t="s">
        <v>99</v>
      </c>
      <c r="AO191" t="s">
        <v>98</v>
      </c>
      <c r="AP191" t="s">
        <v>100</v>
      </c>
      <c r="AQ191" t="s">
        <v>101</v>
      </c>
      <c r="AV191" t="s">
        <v>98</v>
      </c>
      <c r="AX191" t="s">
        <v>484</v>
      </c>
      <c r="AZ191" t="s">
        <v>124</v>
      </c>
      <c r="BB191" t="s">
        <v>690</v>
      </c>
      <c r="BC191" t="s">
        <v>484</v>
      </c>
      <c r="BD191" t="s">
        <v>7528</v>
      </c>
      <c r="BF191" t="s">
        <v>694</v>
      </c>
      <c r="BG191" t="s">
        <v>98</v>
      </c>
      <c r="BH191" t="s">
        <v>98</v>
      </c>
      <c r="BI191" t="s">
        <v>98</v>
      </c>
      <c r="BK191" t="s">
        <v>110</v>
      </c>
      <c r="BL191" t="s">
        <v>7528</v>
      </c>
      <c r="BR191">
        <v>0.88</v>
      </c>
      <c r="BT191">
        <v>4.88</v>
      </c>
      <c r="CA191">
        <v>2247</v>
      </c>
      <c r="CB191" t="s">
        <v>484</v>
      </c>
      <c r="CL191" t="s">
        <v>99</v>
      </c>
      <c r="CM191" t="s">
        <v>99</v>
      </c>
      <c r="CN191" t="s">
        <v>692</v>
      </c>
      <c r="CO191" s="1">
        <v>41244</v>
      </c>
      <c r="CP191" s="1">
        <v>43633</v>
      </c>
    </row>
    <row r="192" spans="1:94" x14ac:dyDescent="0.25">
      <c r="A192" t="s">
        <v>695</v>
      </c>
      <c r="B192" t="str">
        <f xml:space="preserve"> "" &amp; 747396087856</f>
        <v>747396087856</v>
      </c>
      <c r="C192" t="s">
        <v>678</v>
      </c>
      <c r="D192" t="s">
        <v>678</v>
      </c>
      <c r="E192" t="s">
        <v>7528</v>
      </c>
      <c r="F192" t="s">
        <v>240</v>
      </c>
      <c r="G192">
        <v>1</v>
      </c>
      <c r="H192">
        <v>1</v>
      </c>
      <c r="I192" t="s">
        <v>97</v>
      </c>
      <c r="J192" s="10">
        <v>69</v>
      </c>
      <c r="K192" s="10">
        <v>207</v>
      </c>
      <c r="L192" s="10">
        <v>0</v>
      </c>
      <c r="N192" s="10">
        <v>0</v>
      </c>
      <c r="O192" t="s">
        <v>99</v>
      </c>
      <c r="P192" s="10">
        <v>139.94999999999999</v>
      </c>
      <c r="S192">
        <v>8</v>
      </c>
      <c r="T192">
        <v>7.5</v>
      </c>
      <c r="U192">
        <v>7.5</v>
      </c>
      <c r="W192">
        <v>3.09</v>
      </c>
      <c r="X192">
        <v>1</v>
      </c>
      <c r="Y192">
        <v>5.75</v>
      </c>
      <c r="Z192">
        <v>14.5</v>
      </c>
      <c r="AA192">
        <v>10</v>
      </c>
      <c r="AB192">
        <v>0.48199999999999998</v>
      </c>
      <c r="AC192">
        <v>4.37</v>
      </c>
      <c r="AE192">
        <v>1</v>
      </c>
      <c r="AF192" t="s">
        <v>696</v>
      </c>
      <c r="AG192">
        <v>40</v>
      </c>
      <c r="AK192" t="s">
        <v>98</v>
      </c>
      <c r="AM192" t="s">
        <v>98</v>
      </c>
      <c r="AN192" t="s">
        <v>99</v>
      </c>
      <c r="AO192" t="s">
        <v>98</v>
      </c>
      <c r="AP192" t="s">
        <v>100</v>
      </c>
      <c r="AQ192" t="s">
        <v>101</v>
      </c>
      <c r="AV192" t="s">
        <v>98</v>
      </c>
      <c r="AX192" t="s">
        <v>697</v>
      </c>
      <c r="AZ192" t="s">
        <v>124</v>
      </c>
      <c r="BB192" t="s">
        <v>692</v>
      </c>
      <c r="BC192" t="s">
        <v>697</v>
      </c>
      <c r="BD192" t="s">
        <v>7528</v>
      </c>
      <c r="BF192" t="s">
        <v>698</v>
      </c>
      <c r="BG192" t="s">
        <v>98</v>
      </c>
      <c r="BH192" t="s">
        <v>98</v>
      </c>
      <c r="BI192" t="s">
        <v>98</v>
      </c>
      <c r="BK192" t="s">
        <v>110</v>
      </c>
      <c r="BL192" t="s">
        <v>7528</v>
      </c>
      <c r="BR192">
        <v>0.88</v>
      </c>
      <c r="BS192">
        <v>4.88</v>
      </c>
      <c r="BT192">
        <v>4.88</v>
      </c>
      <c r="CA192">
        <v>2250</v>
      </c>
      <c r="CB192" t="s">
        <v>697</v>
      </c>
      <c r="CL192" t="s">
        <v>99</v>
      </c>
      <c r="CM192" t="s">
        <v>99</v>
      </c>
      <c r="CN192" t="s">
        <v>692</v>
      </c>
      <c r="CO192" s="1">
        <v>41244</v>
      </c>
      <c r="CP192" s="1">
        <v>43633</v>
      </c>
    </row>
    <row r="193" spans="1:94" x14ac:dyDescent="0.25">
      <c r="A193" t="s">
        <v>699</v>
      </c>
      <c r="B193" t="str">
        <f xml:space="preserve"> "" &amp; 747396087863</f>
        <v>747396087863</v>
      </c>
      <c r="C193" t="s">
        <v>678</v>
      </c>
      <c r="D193" t="s">
        <v>678</v>
      </c>
      <c r="E193" t="s">
        <v>7528</v>
      </c>
      <c r="F193" t="s">
        <v>240</v>
      </c>
      <c r="G193">
        <v>1</v>
      </c>
      <c r="H193">
        <v>1</v>
      </c>
      <c r="I193" t="s">
        <v>97</v>
      </c>
      <c r="J193" s="10">
        <v>69</v>
      </c>
      <c r="K193" s="10">
        <v>207</v>
      </c>
      <c r="L193" s="10">
        <v>0</v>
      </c>
      <c r="N193" s="10">
        <v>0</v>
      </c>
      <c r="O193" t="s">
        <v>99</v>
      </c>
      <c r="P193" s="10">
        <v>139.94999999999999</v>
      </c>
      <c r="S193">
        <v>8</v>
      </c>
      <c r="T193">
        <v>7.5</v>
      </c>
      <c r="U193">
        <v>7.5</v>
      </c>
      <c r="W193">
        <v>3.09</v>
      </c>
      <c r="X193">
        <v>1</v>
      </c>
      <c r="Y193">
        <v>5.75</v>
      </c>
      <c r="Z193">
        <v>14.5</v>
      </c>
      <c r="AA193">
        <v>10</v>
      </c>
      <c r="AB193">
        <v>0.48199999999999998</v>
      </c>
      <c r="AC193">
        <v>4.37</v>
      </c>
      <c r="AE193">
        <v>1</v>
      </c>
      <c r="AF193" t="s">
        <v>696</v>
      </c>
      <c r="AG193">
        <v>40</v>
      </c>
      <c r="AK193" t="s">
        <v>98</v>
      </c>
      <c r="AM193" t="s">
        <v>98</v>
      </c>
      <c r="AN193" t="s">
        <v>99</v>
      </c>
      <c r="AO193" t="s">
        <v>98</v>
      </c>
      <c r="AP193" t="s">
        <v>100</v>
      </c>
      <c r="AQ193" t="s">
        <v>101</v>
      </c>
      <c r="AV193" t="s">
        <v>98</v>
      </c>
      <c r="AX193" t="s">
        <v>279</v>
      </c>
      <c r="AZ193" t="s">
        <v>124</v>
      </c>
      <c r="BB193" t="s">
        <v>692</v>
      </c>
      <c r="BC193" t="s">
        <v>279</v>
      </c>
      <c r="BD193" t="s">
        <v>7528</v>
      </c>
      <c r="BF193" t="s">
        <v>700</v>
      </c>
      <c r="BG193" t="s">
        <v>98</v>
      </c>
      <c r="BH193" t="s">
        <v>98</v>
      </c>
      <c r="BI193" t="s">
        <v>98</v>
      </c>
      <c r="BK193" t="s">
        <v>110</v>
      </c>
      <c r="BL193" t="s">
        <v>7528</v>
      </c>
      <c r="BR193">
        <v>0.88</v>
      </c>
      <c r="BS193">
        <v>4.88</v>
      </c>
      <c r="BT193">
        <v>4.88</v>
      </c>
      <c r="CA193">
        <v>2250</v>
      </c>
      <c r="CB193" t="s">
        <v>279</v>
      </c>
      <c r="CL193" t="s">
        <v>99</v>
      </c>
      <c r="CM193" t="s">
        <v>99</v>
      </c>
      <c r="CN193" t="s">
        <v>692</v>
      </c>
      <c r="CO193" s="1">
        <v>41244</v>
      </c>
      <c r="CP193" s="1">
        <v>43633</v>
      </c>
    </row>
    <row r="194" spans="1:94" x14ac:dyDescent="0.25">
      <c r="A194" t="s">
        <v>701</v>
      </c>
      <c r="B194" t="str">
        <f xml:space="preserve"> "" &amp; 747396087870</f>
        <v>747396087870</v>
      </c>
      <c r="C194" t="s">
        <v>243</v>
      </c>
      <c r="D194" t="s">
        <v>243</v>
      </c>
      <c r="E194" t="s">
        <v>7528</v>
      </c>
      <c r="F194" t="s">
        <v>240</v>
      </c>
      <c r="G194">
        <v>1</v>
      </c>
      <c r="H194">
        <v>1</v>
      </c>
      <c r="I194" t="s">
        <v>97</v>
      </c>
      <c r="J194" s="10">
        <v>99.95</v>
      </c>
      <c r="K194" s="10">
        <v>299.85000000000002</v>
      </c>
      <c r="L194" s="10">
        <v>0</v>
      </c>
      <c r="N194" s="10">
        <v>0</v>
      </c>
      <c r="O194" t="s">
        <v>99</v>
      </c>
      <c r="P194" s="10">
        <v>199.9</v>
      </c>
      <c r="S194">
        <v>7</v>
      </c>
      <c r="T194">
        <v>18</v>
      </c>
      <c r="U194">
        <v>18</v>
      </c>
      <c r="W194">
        <v>5.86</v>
      </c>
      <c r="X194">
        <v>1</v>
      </c>
      <c r="Y194">
        <v>9.75</v>
      </c>
      <c r="Z194">
        <v>20.5</v>
      </c>
      <c r="AA194">
        <v>20.5</v>
      </c>
      <c r="AB194">
        <v>2.371</v>
      </c>
      <c r="AC194">
        <v>9.33</v>
      </c>
      <c r="AE194">
        <v>3</v>
      </c>
      <c r="AF194" t="s">
        <v>702</v>
      </c>
      <c r="AG194">
        <v>40</v>
      </c>
      <c r="AK194" t="s">
        <v>98</v>
      </c>
      <c r="AM194" t="s">
        <v>98</v>
      </c>
      <c r="AN194" t="s">
        <v>99</v>
      </c>
      <c r="AO194" t="s">
        <v>98</v>
      </c>
      <c r="AP194" t="s">
        <v>100</v>
      </c>
      <c r="AQ194" t="s">
        <v>101</v>
      </c>
      <c r="AV194" t="s">
        <v>98</v>
      </c>
      <c r="AX194" t="s">
        <v>697</v>
      </c>
      <c r="AZ194" t="s">
        <v>124</v>
      </c>
      <c r="BB194" t="s">
        <v>692</v>
      </c>
      <c r="BC194" t="s">
        <v>697</v>
      </c>
      <c r="BD194" t="s">
        <v>7528</v>
      </c>
      <c r="BF194" t="s">
        <v>703</v>
      </c>
      <c r="BG194" t="s">
        <v>98</v>
      </c>
      <c r="BH194" t="s">
        <v>98</v>
      </c>
      <c r="BI194" t="s">
        <v>98</v>
      </c>
      <c r="BK194" t="s">
        <v>110</v>
      </c>
      <c r="BL194" t="s">
        <v>7528</v>
      </c>
      <c r="BR194">
        <v>0.88</v>
      </c>
      <c r="BS194">
        <v>4.88</v>
      </c>
      <c r="BT194">
        <v>4.88</v>
      </c>
      <c r="CA194">
        <v>2251</v>
      </c>
      <c r="CB194" t="s">
        <v>697</v>
      </c>
      <c r="CL194" t="s">
        <v>99</v>
      </c>
      <c r="CM194" t="s">
        <v>99</v>
      </c>
      <c r="CN194" t="s">
        <v>692</v>
      </c>
      <c r="CO194" s="1">
        <v>41244</v>
      </c>
      <c r="CP194" s="1">
        <v>43633</v>
      </c>
    </row>
    <row r="195" spans="1:94" x14ac:dyDescent="0.25">
      <c r="A195" t="s">
        <v>704</v>
      </c>
      <c r="B195" t="str">
        <f xml:space="preserve"> "" &amp; 747396087887</f>
        <v>747396087887</v>
      </c>
      <c r="C195" t="s">
        <v>243</v>
      </c>
      <c r="D195" t="s">
        <v>243</v>
      </c>
      <c r="E195" t="s">
        <v>7528</v>
      </c>
      <c r="F195" t="s">
        <v>240</v>
      </c>
      <c r="G195">
        <v>1</v>
      </c>
      <c r="H195">
        <v>1</v>
      </c>
      <c r="I195" t="s">
        <v>97</v>
      </c>
      <c r="J195" s="10">
        <v>99.95</v>
      </c>
      <c r="K195" s="10">
        <v>299.85000000000002</v>
      </c>
      <c r="L195" s="10">
        <v>0</v>
      </c>
      <c r="N195" s="10">
        <v>0</v>
      </c>
      <c r="O195" t="s">
        <v>99</v>
      </c>
      <c r="P195" s="10">
        <v>199.9</v>
      </c>
      <c r="S195">
        <v>7</v>
      </c>
      <c r="T195">
        <v>18</v>
      </c>
      <c r="U195">
        <v>18</v>
      </c>
      <c r="W195">
        <v>5.86</v>
      </c>
      <c r="X195">
        <v>1</v>
      </c>
      <c r="Y195">
        <v>9.75</v>
      </c>
      <c r="Z195">
        <v>20.5</v>
      </c>
      <c r="AA195">
        <v>20.5</v>
      </c>
      <c r="AB195">
        <v>2.371</v>
      </c>
      <c r="AC195">
        <v>9.33</v>
      </c>
      <c r="AE195">
        <v>3</v>
      </c>
      <c r="AF195" t="s">
        <v>702</v>
      </c>
      <c r="AG195">
        <v>40</v>
      </c>
      <c r="AK195" t="s">
        <v>98</v>
      </c>
      <c r="AM195" t="s">
        <v>98</v>
      </c>
      <c r="AN195" t="s">
        <v>99</v>
      </c>
      <c r="AO195" t="s">
        <v>98</v>
      </c>
      <c r="AP195" t="s">
        <v>100</v>
      </c>
      <c r="AQ195" t="s">
        <v>101</v>
      </c>
      <c r="AV195" t="s">
        <v>98</v>
      </c>
      <c r="AX195" t="s">
        <v>279</v>
      </c>
      <c r="AZ195" t="s">
        <v>124</v>
      </c>
      <c r="BB195" t="s">
        <v>692</v>
      </c>
      <c r="BC195" t="s">
        <v>279</v>
      </c>
      <c r="BD195" t="s">
        <v>7528</v>
      </c>
      <c r="BF195" t="s">
        <v>705</v>
      </c>
      <c r="BG195" t="s">
        <v>98</v>
      </c>
      <c r="BH195" t="s">
        <v>98</v>
      </c>
      <c r="BI195" t="s">
        <v>98</v>
      </c>
      <c r="BK195" t="s">
        <v>110</v>
      </c>
      <c r="BL195" t="s">
        <v>7528</v>
      </c>
      <c r="BR195">
        <v>0.88</v>
      </c>
      <c r="BT195">
        <v>4.88</v>
      </c>
      <c r="CA195">
        <v>2251</v>
      </c>
      <c r="CB195" t="s">
        <v>279</v>
      </c>
      <c r="CL195" t="s">
        <v>99</v>
      </c>
      <c r="CM195" t="s">
        <v>99</v>
      </c>
      <c r="CN195" t="s">
        <v>692</v>
      </c>
      <c r="CO195" s="1">
        <v>41244</v>
      </c>
      <c r="CP195" s="1">
        <v>43633</v>
      </c>
    </row>
    <row r="196" spans="1:94" x14ac:dyDescent="0.25">
      <c r="A196" t="s">
        <v>706</v>
      </c>
      <c r="B196" t="str">
        <f xml:space="preserve"> "" &amp; 747396087900</f>
        <v>747396087900</v>
      </c>
      <c r="C196" t="s">
        <v>678</v>
      </c>
      <c r="D196" t="s">
        <v>678</v>
      </c>
      <c r="E196" t="s">
        <v>7528</v>
      </c>
      <c r="F196" t="s">
        <v>240</v>
      </c>
      <c r="G196">
        <v>1</v>
      </c>
      <c r="H196">
        <v>1</v>
      </c>
      <c r="I196" t="s">
        <v>97</v>
      </c>
      <c r="J196" s="10">
        <v>68</v>
      </c>
      <c r="K196" s="10">
        <v>204</v>
      </c>
      <c r="L196" s="10">
        <v>0</v>
      </c>
      <c r="N196" s="10">
        <v>0</v>
      </c>
      <c r="O196" t="s">
        <v>99</v>
      </c>
      <c r="P196" s="10">
        <v>134.94999999999999</v>
      </c>
      <c r="S196">
        <v>8.5</v>
      </c>
      <c r="T196">
        <v>9</v>
      </c>
      <c r="U196">
        <v>9</v>
      </c>
      <c r="W196">
        <v>4.0599999999999996</v>
      </c>
      <c r="Y196">
        <v>9.25</v>
      </c>
      <c r="Z196">
        <v>12.5</v>
      </c>
      <c r="AA196">
        <v>9.75</v>
      </c>
      <c r="AB196">
        <v>0.65200000000000002</v>
      </c>
      <c r="AC196">
        <v>5.34</v>
      </c>
      <c r="AE196">
        <v>1</v>
      </c>
      <c r="AF196" t="s">
        <v>347</v>
      </c>
      <c r="AG196">
        <v>100</v>
      </c>
      <c r="AK196" t="s">
        <v>98</v>
      </c>
      <c r="AM196" t="s">
        <v>98</v>
      </c>
      <c r="AN196" t="s">
        <v>99</v>
      </c>
      <c r="AO196" t="s">
        <v>98</v>
      </c>
      <c r="AP196" t="s">
        <v>100</v>
      </c>
      <c r="AQ196" t="s">
        <v>101</v>
      </c>
      <c r="AV196" t="s">
        <v>98</v>
      </c>
      <c r="AX196" t="s">
        <v>707</v>
      </c>
      <c r="AZ196" t="s">
        <v>124</v>
      </c>
      <c r="BB196" t="s">
        <v>235</v>
      </c>
      <c r="BC196" t="s">
        <v>708</v>
      </c>
      <c r="BD196" t="s">
        <v>7528</v>
      </c>
      <c r="BF196" t="s">
        <v>709</v>
      </c>
      <c r="BG196" t="s">
        <v>98</v>
      </c>
      <c r="BH196" t="s">
        <v>98</v>
      </c>
      <c r="BI196" t="s">
        <v>98</v>
      </c>
      <c r="BK196" t="s">
        <v>110</v>
      </c>
      <c r="BL196" t="s">
        <v>7528</v>
      </c>
      <c r="BR196">
        <v>0.88</v>
      </c>
      <c r="BT196">
        <v>4.75</v>
      </c>
      <c r="CA196">
        <v>2252</v>
      </c>
      <c r="CB196" t="s">
        <v>707</v>
      </c>
      <c r="CL196" t="s">
        <v>99</v>
      </c>
      <c r="CM196" t="s">
        <v>99</v>
      </c>
      <c r="CN196" t="s">
        <v>692</v>
      </c>
      <c r="CO196" s="1">
        <v>41243</v>
      </c>
      <c r="CP196" s="1">
        <v>43633</v>
      </c>
    </row>
    <row r="197" spans="1:94" x14ac:dyDescent="0.25">
      <c r="A197" t="s">
        <v>710</v>
      </c>
      <c r="B197" t="str">
        <f xml:space="preserve"> "" &amp; 747396087894</f>
        <v>747396087894</v>
      </c>
      <c r="C197" t="s">
        <v>678</v>
      </c>
      <c r="D197" t="s">
        <v>678</v>
      </c>
      <c r="E197" t="s">
        <v>7528</v>
      </c>
      <c r="F197" t="s">
        <v>240</v>
      </c>
      <c r="G197">
        <v>1</v>
      </c>
      <c r="H197">
        <v>1</v>
      </c>
      <c r="I197" t="s">
        <v>97</v>
      </c>
      <c r="J197" s="10">
        <v>68</v>
      </c>
      <c r="K197" s="10">
        <v>204</v>
      </c>
      <c r="L197" s="10">
        <v>0</v>
      </c>
      <c r="N197" s="10">
        <v>0</v>
      </c>
      <c r="O197" t="s">
        <v>99</v>
      </c>
      <c r="P197" s="10">
        <v>134.94999999999999</v>
      </c>
      <c r="S197">
        <v>8.5</v>
      </c>
      <c r="T197">
        <v>9</v>
      </c>
      <c r="U197">
        <v>9</v>
      </c>
      <c r="W197">
        <v>4.0599999999999996</v>
      </c>
      <c r="X197">
        <v>1</v>
      </c>
      <c r="Y197">
        <v>9.25</v>
      </c>
      <c r="Z197">
        <v>12.5</v>
      </c>
      <c r="AA197">
        <v>9.75</v>
      </c>
      <c r="AB197">
        <v>0.65200000000000002</v>
      </c>
      <c r="AC197">
        <v>5.34</v>
      </c>
      <c r="AE197">
        <v>1</v>
      </c>
      <c r="AF197" t="s">
        <v>347</v>
      </c>
      <c r="AG197">
        <v>100</v>
      </c>
      <c r="AK197" t="s">
        <v>98</v>
      </c>
      <c r="AM197" t="s">
        <v>98</v>
      </c>
      <c r="AN197" t="s">
        <v>99</v>
      </c>
      <c r="AO197" t="s">
        <v>98</v>
      </c>
      <c r="AP197" t="s">
        <v>100</v>
      </c>
      <c r="AQ197" t="s">
        <v>101</v>
      </c>
      <c r="AV197" t="s">
        <v>98</v>
      </c>
      <c r="AX197" t="s">
        <v>399</v>
      </c>
      <c r="AZ197" t="s">
        <v>124</v>
      </c>
      <c r="BB197" t="s">
        <v>235</v>
      </c>
      <c r="BC197" t="s">
        <v>708</v>
      </c>
      <c r="BD197" t="s">
        <v>7528</v>
      </c>
      <c r="BF197" t="s">
        <v>711</v>
      </c>
      <c r="BG197" t="s">
        <v>98</v>
      </c>
      <c r="BH197" t="s">
        <v>98</v>
      </c>
      <c r="BI197" t="s">
        <v>98</v>
      </c>
      <c r="BK197" t="s">
        <v>110</v>
      </c>
      <c r="BL197" t="s">
        <v>7528</v>
      </c>
      <c r="BR197">
        <v>0.88</v>
      </c>
      <c r="BT197">
        <v>4.75</v>
      </c>
      <c r="CA197">
        <v>2252</v>
      </c>
      <c r="CB197" t="s">
        <v>399</v>
      </c>
      <c r="CL197" t="s">
        <v>99</v>
      </c>
      <c r="CM197" t="s">
        <v>99</v>
      </c>
      <c r="CN197" t="s">
        <v>692</v>
      </c>
      <c r="CO197" s="1">
        <v>41243</v>
      </c>
      <c r="CP197" s="1">
        <v>43633</v>
      </c>
    </row>
    <row r="198" spans="1:94" x14ac:dyDescent="0.25">
      <c r="A198" t="s">
        <v>712</v>
      </c>
      <c r="B198" t="str">
        <f xml:space="preserve"> "" &amp; 747396087948</f>
        <v>747396087948</v>
      </c>
      <c r="C198" t="s">
        <v>678</v>
      </c>
      <c r="D198" t="s">
        <v>678</v>
      </c>
      <c r="E198" t="s">
        <v>7528</v>
      </c>
      <c r="F198" t="s">
        <v>240</v>
      </c>
      <c r="G198">
        <v>1</v>
      </c>
      <c r="H198">
        <v>1</v>
      </c>
      <c r="I198" t="s">
        <v>97</v>
      </c>
      <c r="J198" s="10">
        <v>64</v>
      </c>
      <c r="K198" s="10">
        <v>192</v>
      </c>
      <c r="L198" s="10">
        <v>0</v>
      </c>
      <c r="N198" s="10">
        <v>0</v>
      </c>
      <c r="O198" t="s">
        <v>99</v>
      </c>
      <c r="P198" s="10">
        <v>129.94999999999999</v>
      </c>
      <c r="S198">
        <v>10.75</v>
      </c>
      <c r="T198">
        <v>12</v>
      </c>
      <c r="U198">
        <v>12</v>
      </c>
      <c r="W198">
        <v>5.51</v>
      </c>
      <c r="Y198">
        <v>16</v>
      </c>
      <c r="Z198">
        <v>14.5</v>
      </c>
      <c r="AA198">
        <v>14.5</v>
      </c>
      <c r="AB198">
        <v>1.9470000000000001</v>
      </c>
      <c r="AC198">
        <v>8.27</v>
      </c>
      <c r="AE198">
        <v>1</v>
      </c>
      <c r="AF198" t="s">
        <v>689</v>
      </c>
      <c r="AG198">
        <v>150</v>
      </c>
      <c r="AK198" t="s">
        <v>98</v>
      </c>
      <c r="AM198" t="s">
        <v>98</v>
      </c>
      <c r="AN198" t="s">
        <v>99</v>
      </c>
      <c r="AO198" t="s">
        <v>98</v>
      </c>
      <c r="AP198" t="s">
        <v>100</v>
      </c>
      <c r="AQ198" t="s">
        <v>101</v>
      </c>
      <c r="AV198" t="s">
        <v>98</v>
      </c>
      <c r="AX198" t="s">
        <v>707</v>
      </c>
      <c r="AZ198" t="s">
        <v>124</v>
      </c>
      <c r="BB198" t="s">
        <v>235</v>
      </c>
      <c r="BC198" t="s">
        <v>713</v>
      </c>
      <c r="BD198" t="s">
        <v>7528</v>
      </c>
      <c r="BF198" t="s">
        <v>714</v>
      </c>
      <c r="BG198" t="s">
        <v>98</v>
      </c>
      <c r="BH198" t="s">
        <v>98</v>
      </c>
      <c r="BI198" t="s">
        <v>98</v>
      </c>
      <c r="BK198" t="s">
        <v>110</v>
      </c>
      <c r="BL198" t="s">
        <v>7528</v>
      </c>
      <c r="BR198">
        <v>1</v>
      </c>
      <c r="BT198">
        <v>4.88</v>
      </c>
      <c r="CA198">
        <v>2254</v>
      </c>
      <c r="CB198" t="s">
        <v>707</v>
      </c>
      <c r="CL198" t="s">
        <v>99</v>
      </c>
      <c r="CM198" t="s">
        <v>99</v>
      </c>
      <c r="CN198" t="s">
        <v>442</v>
      </c>
      <c r="CO198" s="1">
        <v>41492</v>
      </c>
      <c r="CP198" s="1">
        <v>43633</v>
      </c>
    </row>
    <row r="199" spans="1:94" x14ac:dyDescent="0.25">
      <c r="A199" t="s">
        <v>715</v>
      </c>
      <c r="B199" t="str">
        <f xml:space="preserve"> "" &amp; 747396087931</f>
        <v>747396087931</v>
      </c>
      <c r="C199" t="s">
        <v>678</v>
      </c>
      <c r="D199" t="s">
        <v>678</v>
      </c>
      <c r="E199" t="s">
        <v>7528</v>
      </c>
      <c r="F199" t="s">
        <v>240</v>
      </c>
      <c r="G199">
        <v>1</v>
      </c>
      <c r="H199">
        <v>1</v>
      </c>
      <c r="I199" t="s">
        <v>97</v>
      </c>
      <c r="J199" s="10">
        <v>64</v>
      </c>
      <c r="K199" s="10">
        <v>192</v>
      </c>
      <c r="L199" s="10">
        <v>0</v>
      </c>
      <c r="N199" s="10">
        <v>0</v>
      </c>
      <c r="O199" t="s">
        <v>99</v>
      </c>
      <c r="P199" s="10">
        <v>129.94999999999999</v>
      </c>
      <c r="S199">
        <v>10.75</v>
      </c>
      <c r="T199">
        <v>12</v>
      </c>
      <c r="U199">
        <v>12</v>
      </c>
      <c r="W199">
        <v>5.51</v>
      </c>
      <c r="X199">
        <v>1</v>
      </c>
      <c r="Y199">
        <v>16</v>
      </c>
      <c r="Z199">
        <v>14.5</v>
      </c>
      <c r="AA199">
        <v>14.5</v>
      </c>
      <c r="AB199">
        <v>1.9470000000000001</v>
      </c>
      <c r="AC199">
        <v>8.27</v>
      </c>
      <c r="AE199">
        <v>1</v>
      </c>
      <c r="AF199" t="s">
        <v>738</v>
      </c>
      <c r="AG199">
        <v>150</v>
      </c>
      <c r="AK199" t="s">
        <v>98</v>
      </c>
      <c r="AM199" t="s">
        <v>98</v>
      </c>
      <c r="AN199" t="s">
        <v>99</v>
      </c>
      <c r="AO199" t="s">
        <v>98</v>
      </c>
      <c r="AP199" t="s">
        <v>100</v>
      </c>
      <c r="AQ199" t="s">
        <v>101</v>
      </c>
      <c r="AV199" t="s">
        <v>98</v>
      </c>
      <c r="AX199" t="s">
        <v>484</v>
      </c>
      <c r="AZ199" t="s">
        <v>124</v>
      </c>
      <c r="BB199" t="s">
        <v>235</v>
      </c>
      <c r="BC199" t="s">
        <v>713</v>
      </c>
      <c r="BD199" t="s">
        <v>7528</v>
      </c>
      <c r="BF199" t="s">
        <v>716</v>
      </c>
      <c r="BG199" t="s">
        <v>98</v>
      </c>
      <c r="BH199" t="s">
        <v>98</v>
      </c>
      <c r="BI199" t="s">
        <v>98</v>
      </c>
      <c r="BK199" t="s">
        <v>110</v>
      </c>
      <c r="BL199" t="s">
        <v>7528</v>
      </c>
      <c r="BQ199">
        <v>4.88</v>
      </c>
      <c r="BR199">
        <v>1</v>
      </c>
      <c r="BS199">
        <v>4.88</v>
      </c>
      <c r="BT199">
        <v>4.88</v>
      </c>
      <c r="CA199">
        <v>2254</v>
      </c>
      <c r="CB199" t="s">
        <v>484</v>
      </c>
      <c r="CL199" t="s">
        <v>99</v>
      </c>
      <c r="CM199" t="s">
        <v>99</v>
      </c>
      <c r="CN199" t="s">
        <v>592</v>
      </c>
      <c r="CO199" s="1">
        <v>41493</v>
      </c>
      <c r="CP199" s="1">
        <v>43633</v>
      </c>
    </row>
    <row r="200" spans="1:94" x14ac:dyDescent="0.25">
      <c r="A200" t="s">
        <v>717</v>
      </c>
      <c r="B200" t="str">
        <f xml:space="preserve"> "" &amp; 747396087962</f>
        <v>747396087962</v>
      </c>
      <c r="C200" t="s">
        <v>718</v>
      </c>
      <c r="D200" t="s">
        <v>719</v>
      </c>
      <c r="E200" t="s">
        <v>7528</v>
      </c>
      <c r="F200" t="s">
        <v>377</v>
      </c>
      <c r="G200">
        <v>1</v>
      </c>
      <c r="H200">
        <v>1</v>
      </c>
      <c r="I200" t="s">
        <v>97</v>
      </c>
      <c r="J200" s="10">
        <v>58</v>
      </c>
      <c r="K200" s="10">
        <v>174</v>
      </c>
      <c r="L200" s="10">
        <v>0</v>
      </c>
      <c r="N200" s="10">
        <v>0</v>
      </c>
      <c r="O200" t="s">
        <v>99</v>
      </c>
      <c r="P200" s="10">
        <v>114.95</v>
      </c>
      <c r="S200">
        <v>11.25</v>
      </c>
      <c r="T200">
        <v>12</v>
      </c>
      <c r="U200">
        <v>12</v>
      </c>
      <c r="W200">
        <v>4.63</v>
      </c>
      <c r="Y200">
        <v>16</v>
      </c>
      <c r="Z200">
        <v>14.5</v>
      </c>
      <c r="AA200">
        <v>14.5</v>
      </c>
      <c r="AB200">
        <v>1.9470000000000001</v>
      </c>
      <c r="AC200">
        <v>7.28</v>
      </c>
      <c r="AE200">
        <v>1</v>
      </c>
      <c r="AF200" t="s">
        <v>727</v>
      </c>
      <c r="AG200">
        <v>150</v>
      </c>
      <c r="AK200" t="s">
        <v>98</v>
      </c>
      <c r="AM200" t="s">
        <v>98</v>
      </c>
      <c r="AN200" t="s">
        <v>99</v>
      </c>
      <c r="AO200" t="s">
        <v>98</v>
      </c>
      <c r="AP200" t="s">
        <v>100</v>
      </c>
      <c r="AQ200" t="s">
        <v>101</v>
      </c>
      <c r="AV200" t="s">
        <v>98</v>
      </c>
      <c r="AX200" t="s">
        <v>707</v>
      </c>
      <c r="AZ200" t="s">
        <v>124</v>
      </c>
      <c r="BB200" t="s">
        <v>235</v>
      </c>
      <c r="BC200" t="s">
        <v>3172</v>
      </c>
      <c r="BD200" t="s">
        <v>7528</v>
      </c>
      <c r="BF200" t="s">
        <v>720</v>
      </c>
      <c r="BG200" t="s">
        <v>98</v>
      </c>
      <c r="BH200" t="s">
        <v>98</v>
      </c>
      <c r="BI200" t="s">
        <v>98</v>
      </c>
      <c r="BK200" t="s">
        <v>127</v>
      </c>
      <c r="BL200" t="s">
        <v>7528</v>
      </c>
      <c r="BQ200">
        <v>7.63</v>
      </c>
      <c r="BR200">
        <v>2.38</v>
      </c>
      <c r="BS200">
        <v>7.63</v>
      </c>
      <c r="BT200">
        <v>7.63</v>
      </c>
      <c r="CA200" t="s">
        <v>721</v>
      </c>
      <c r="CB200" t="s">
        <v>707</v>
      </c>
      <c r="CL200" t="s">
        <v>99</v>
      </c>
      <c r="CM200" t="s">
        <v>98</v>
      </c>
      <c r="CN200" t="s">
        <v>442</v>
      </c>
      <c r="CO200" s="1">
        <v>41492</v>
      </c>
      <c r="CP200" s="1">
        <v>43633</v>
      </c>
    </row>
    <row r="201" spans="1:94" x14ac:dyDescent="0.25">
      <c r="A201" t="s">
        <v>722</v>
      </c>
      <c r="B201" t="str">
        <f xml:space="preserve"> "" &amp; 747396087955</f>
        <v>747396087955</v>
      </c>
      <c r="C201" t="s">
        <v>718</v>
      </c>
      <c r="D201" t="s">
        <v>719</v>
      </c>
      <c r="E201" t="s">
        <v>7528</v>
      </c>
      <c r="F201" t="s">
        <v>377</v>
      </c>
      <c r="G201">
        <v>1</v>
      </c>
      <c r="H201">
        <v>1</v>
      </c>
      <c r="I201" t="s">
        <v>97</v>
      </c>
      <c r="J201" s="10">
        <v>58</v>
      </c>
      <c r="K201" s="10">
        <v>174</v>
      </c>
      <c r="L201" s="10">
        <v>0</v>
      </c>
      <c r="N201" s="10">
        <v>0</v>
      </c>
      <c r="O201" t="s">
        <v>99</v>
      </c>
      <c r="P201" s="10">
        <v>114.95</v>
      </c>
      <c r="S201">
        <v>11.25</v>
      </c>
      <c r="T201">
        <v>12</v>
      </c>
      <c r="U201">
        <v>12</v>
      </c>
      <c r="W201">
        <v>4.63</v>
      </c>
      <c r="X201">
        <v>1</v>
      </c>
      <c r="Y201">
        <v>16</v>
      </c>
      <c r="Z201">
        <v>14.5</v>
      </c>
      <c r="AA201">
        <v>14.5</v>
      </c>
      <c r="AB201">
        <v>1.9470000000000001</v>
      </c>
      <c r="AC201">
        <v>7.28</v>
      </c>
      <c r="AE201">
        <v>1</v>
      </c>
      <c r="AF201" t="s">
        <v>727</v>
      </c>
      <c r="AG201">
        <v>150</v>
      </c>
      <c r="AK201" t="s">
        <v>98</v>
      </c>
      <c r="AM201" t="s">
        <v>98</v>
      </c>
      <c r="AN201" t="s">
        <v>99</v>
      </c>
      <c r="AO201" t="s">
        <v>98</v>
      </c>
      <c r="AP201" t="s">
        <v>100</v>
      </c>
      <c r="AQ201" t="s">
        <v>101</v>
      </c>
      <c r="AV201" t="s">
        <v>98</v>
      </c>
      <c r="AX201" t="s">
        <v>484</v>
      </c>
      <c r="AZ201" t="s">
        <v>124</v>
      </c>
      <c r="BB201" t="s">
        <v>235</v>
      </c>
      <c r="BC201" t="s">
        <v>713</v>
      </c>
      <c r="BD201" t="s">
        <v>7528</v>
      </c>
      <c r="BF201" t="s">
        <v>723</v>
      </c>
      <c r="BG201" t="s">
        <v>98</v>
      </c>
      <c r="BH201" t="s">
        <v>98</v>
      </c>
      <c r="BI201" t="s">
        <v>98</v>
      </c>
      <c r="BK201" t="s">
        <v>127</v>
      </c>
      <c r="BL201" t="s">
        <v>7528</v>
      </c>
      <c r="BR201">
        <v>2.38</v>
      </c>
      <c r="BT201">
        <v>7.63</v>
      </c>
      <c r="CA201">
        <v>2255</v>
      </c>
      <c r="CB201" t="s">
        <v>484</v>
      </c>
      <c r="CL201" t="s">
        <v>99</v>
      </c>
      <c r="CM201" t="s">
        <v>98</v>
      </c>
      <c r="CN201" t="s">
        <v>442</v>
      </c>
      <c r="CO201" s="1">
        <v>41243</v>
      </c>
      <c r="CP201" s="1">
        <v>43633</v>
      </c>
    </row>
    <row r="202" spans="1:94" x14ac:dyDescent="0.25">
      <c r="A202" t="s">
        <v>724</v>
      </c>
      <c r="B202" t="str">
        <f xml:space="preserve"> "" &amp; 747396087986</f>
        <v>747396087986</v>
      </c>
      <c r="C202" t="s">
        <v>678</v>
      </c>
      <c r="D202" t="s">
        <v>678</v>
      </c>
      <c r="E202" t="s">
        <v>7528</v>
      </c>
      <c r="F202" t="s">
        <v>240</v>
      </c>
      <c r="G202">
        <v>1</v>
      </c>
      <c r="H202">
        <v>1</v>
      </c>
      <c r="I202" t="s">
        <v>97</v>
      </c>
      <c r="J202" s="10">
        <v>74</v>
      </c>
      <c r="K202" s="10">
        <v>222</v>
      </c>
      <c r="L202" s="10">
        <v>0</v>
      </c>
      <c r="N202" s="10">
        <v>0</v>
      </c>
      <c r="O202" t="s">
        <v>99</v>
      </c>
      <c r="P202" s="10">
        <v>149.94999999999999</v>
      </c>
      <c r="S202">
        <v>12.25</v>
      </c>
      <c r="T202">
        <v>13.75</v>
      </c>
      <c r="U202">
        <v>13.75</v>
      </c>
      <c r="W202">
        <v>5.89</v>
      </c>
      <c r="Y202">
        <v>0</v>
      </c>
      <c r="Z202">
        <v>0</v>
      </c>
      <c r="AA202">
        <v>0</v>
      </c>
      <c r="AB202">
        <v>0</v>
      </c>
      <c r="AC202">
        <v>9.26</v>
      </c>
      <c r="AE202">
        <v>1</v>
      </c>
      <c r="AF202" t="s">
        <v>738</v>
      </c>
      <c r="AG202">
        <v>150</v>
      </c>
      <c r="AK202" t="s">
        <v>98</v>
      </c>
      <c r="AM202" t="s">
        <v>98</v>
      </c>
      <c r="AN202" t="s">
        <v>99</v>
      </c>
      <c r="AO202" t="s">
        <v>98</v>
      </c>
      <c r="AP202" t="s">
        <v>100</v>
      </c>
      <c r="AQ202" t="s">
        <v>101</v>
      </c>
      <c r="AV202" t="s">
        <v>98</v>
      </c>
      <c r="AX202" t="s">
        <v>707</v>
      </c>
      <c r="AZ202" t="s">
        <v>124</v>
      </c>
      <c r="BB202" t="s">
        <v>235</v>
      </c>
      <c r="BC202" t="s">
        <v>713</v>
      </c>
      <c r="BD202" t="s">
        <v>7528</v>
      </c>
      <c r="BF202" t="s">
        <v>725</v>
      </c>
      <c r="BG202" t="s">
        <v>98</v>
      </c>
      <c r="BH202" t="s">
        <v>98</v>
      </c>
      <c r="BI202" t="s">
        <v>98</v>
      </c>
      <c r="BK202" t="s">
        <v>110</v>
      </c>
      <c r="BL202" t="s">
        <v>7528</v>
      </c>
      <c r="BR202">
        <v>1</v>
      </c>
      <c r="BT202">
        <v>4.88</v>
      </c>
      <c r="CA202">
        <v>2256</v>
      </c>
      <c r="CB202" t="s">
        <v>707</v>
      </c>
      <c r="CL202" t="s">
        <v>99</v>
      </c>
      <c r="CM202" t="s">
        <v>99</v>
      </c>
      <c r="CN202" t="s">
        <v>442</v>
      </c>
      <c r="CO202" s="1">
        <v>41491</v>
      </c>
      <c r="CP202" s="1">
        <v>43633</v>
      </c>
    </row>
    <row r="203" spans="1:94" x14ac:dyDescent="0.25">
      <c r="A203" t="s">
        <v>726</v>
      </c>
      <c r="B203" t="str">
        <f xml:space="preserve"> "" &amp; 747396087979</f>
        <v>747396087979</v>
      </c>
      <c r="C203" t="s">
        <v>678</v>
      </c>
      <c r="D203" t="s">
        <v>678</v>
      </c>
      <c r="E203" t="s">
        <v>7528</v>
      </c>
      <c r="F203" t="s">
        <v>240</v>
      </c>
      <c r="G203">
        <v>1</v>
      </c>
      <c r="H203">
        <v>1</v>
      </c>
      <c r="I203" t="s">
        <v>97</v>
      </c>
      <c r="J203" s="10">
        <v>74</v>
      </c>
      <c r="K203" s="10">
        <v>222</v>
      </c>
      <c r="L203" s="10">
        <v>0</v>
      </c>
      <c r="N203" s="10">
        <v>0</v>
      </c>
      <c r="O203" t="s">
        <v>99</v>
      </c>
      <c r="P203" s="10">
        <v>149.94999999999999</v>
      </c>
      <c r="S203">
        <v>12.25</v>
      </c>
      <c r="T203">
        <v>13.75</v>
      </c>
      <c r="U203">
        <v>13.75</v>
      </c>
      <c r="W203">
        <v>5.89</v>
      </c>
      <c r="X203">
        <v>1</v>
      </c>
      <c r="Y203">
        <v>0</v>
      </c>
      <c r="Z203">
        <v>0</v>
      </c>
      <c r="AA203">
        <v>0</v>
      </c>
      <c r="AB203">
        <v>0</v>
      </c>
      <c r="AC203">
        <v>9.26</v>
      </c>
      <c r="AE203">
        <v>1</v>
      </c>
      <c r="AF203" t="s">
        <v>727</v>
      </c>
      <c r="AG203">
        <v>150</v>
      </c>
      <c r="AK203" t="s">
        <v>98</v>
      </c>
      <c r="AM203" t="s">
        <v>98</v>
      </c>
      <c r="AN203" t="s">
        <v>99</v>
      </c>
      <c r="AO203" t="s">
        <v>98</v>
      </c>
      <c r="AP203" t="s">
        <v>100</v>
      </c>
      <c r="AQ203" t="s">
        <v>101</v>
      </c>
      <c r="AV203" t="s">
        <v>98</v>
      </c>
      <c r="AX203" t="s">
        <v>484</v>
      </c>
      <c r="AZ203" t="s">
        <v>124</v>
      </c>
      <c r="BB203" t="s">
        <v>235</v>
      </c>
      <c r="BC203" t="s">
        <v>713</v>
      </c>
      <c r="BD203" t="s">
        <v>7528</v>
      </c>
      <c r="BF203" t="s">
        <v>728</v>
      </c>
      <c r="BG203" t="s">
        <v>98</v>
      </c>
      <c r="BH203" t="s">
        <v>98</v>
      </c>
      <c r="BI203" t="s">
        <v>98</v>
      </c>
      <c r="BK203" t="s">
        <v>110</v>
      </c>
      <c r="BL203" t="s">
        <v>7528</v>
      </c>
      <c r="BR203">
        <v>1</v>
      </c>
      <c r="BT203">
        <v>4.88</v>
      </c>
      <c r="CA203">
        <v>2256</v>
      </c>
      <c r="CB203" t="s">
        <v>484</v>
      </c>
      <c r="CL203" t="s">
        <v>99</v>
      </c>
      <c r="CM203" t="s">
        <v>99</v>
      </c>
      <c r="CN203" t="s">
        <v>729</v>
      </c>
      <c r="CO203" s="1">
        <v>41243</v>
      </c>
      <c r="CP203" s="1">
        <v>43633</v>
      </c>
    </row>
    <row r="204" spans="1:94" x14ac:dyDescent="0.25">
      <c r="A204" t="s">
        <v>730</v>
      </c>
      <c r="B204" t="str">
        <f xml:space="preserve"> "" &amp; 747396088006</f>
        <v>747396088006</v>
      </c>
      <c r="C204" t="s">
        <v>718</v>
      </c>
      <c r="D204" t="s">
        <v>719</v>
      </c>
      <c r="E204" t="s">
        <v>7528</v>
      </c>
      <c r="F204" t="s">
        <v>377</v>
      </c>
      <c r="G204">
        <v>1</v>
      </c>
      <c r="H204">
        <v>1</v>
      </c>
      <c r="I204" t="s">
        <v>97</v>
      </c>
      <c r="J204" s="10">
        <v>68</v>
      </c>
      <c r="K204" s="10">
        <v>204</v>
      </c>
      <c r="L204" s="10">
        <v>0</v>
      </c>
      <c r="N204" s="10">
        <v>0</v>
      </c>
      <c r="O204" t="s">
        <v>99</v>
      </c>
      <c r="P204" s="10">
        <v>134.94999999999999</v>
      </c>
      <c r="S204">
        <v>14.5</v>
      </c>
      <c r="T204">
        <v>13.75</v>
      </c>
      <c r="U204">
        <v>13.75</v>
      </c>
      <c r="W204">
        <v>4.5199999999999996</v>
      </c>
      <c r="Y204">
        <v>0</v>
      </c>
      <c r="Z204">
        <v>0</v>
      </c>
      <c r="AA204">
        <v>0</v>
      </c>
      <c r="AB204">
        <v>0</v>
      </c>
      <c r="AC204">
        <v>8.0500000000000007</v>
      </c>
      <c r="AE204">
        <v>1</v>
      </c>
      <c r="AF204" t="s">
        <v>727</v>
      </c>
      <c r="AG204">
        <v>150</v>
      </c>
      <c r="AK204" t="s">
        <v>98</v>
      </c>
      <c r="AM204" t="s">
        <v>98</v>
      </c>
      <c r="AN204" t="s">
        <v>99</v>
      </c>
      <c r="AO204" t="s">
        <v>98</v>
      </c>
      <c r="AP204" t="s">
        <v>100</v>
      </c>
      <c r="AQ204" t="s">
        <v>101</v>
      </c>
      <c r="AV204" t="s">
        <v>98</v>
      </c>
      <c r="AX204" t="s">
        <v>707</v>
      </c>
      <c r="AZ204" t="s">
        <v>124</v>
      </c>
      <c r="BB204" t="s">
        <v>235</v>
      </c>
      <c r="BC204" t="s">
        <v>713</v>
      </c>
      <c r="BD204" t="s">
        <v>7528</v>
      </c>
      <c r="BF204" t="s">
        <v>731</v>
      </c>
      <c r="BG204" t="s">
        <v>98</v>
      </c>
      <c r="BH204" t="s">
        <v>98</v>
      </c>
      <c r="BI204" t="s">
        <v>98</v>
      </c>
      <c r="BK204" t="s">
        <v>127</v>
      </c>
      <c r="BL204" t="s">
        <v>7528</v>
      </c>
      <c r="BQ204">
        <v>6.25</v>
      </c>
      <c r="BR204">
        <v>2.38</v>
      </c>
      <c r="BT204">
        <v>6.25</v>
      </c>
      <c r="CA204">
        <v>2257</v>
      </c>
      <c r="CB204" t="s">
        <v>707</v>
      </c>
      <c r="CL204" t="s">
        <v>99</v>
      </c>
      <c r="CM204" t="s">
        <v>98</v>
      </c>
      <c r="CN204" t="s">
        <v>442</v>
      </c>
      <c r="CO204" s="1">
        <v>41569</v>
      </c>
      <c r="CP204" s="1">
        <v>43633</v>
      </c>
    </row>
    <row r="205" spans="1:94" x14ac:dyDescent="0.25">
      <c r="A205" t="s">
        <v>732</v>
      </c>
      <c r="B205" t="str">
        <f xml:space="preserve"> "" &amp; 747396087993</f>
        <v>747396087993</v>
      </c>
      <c r="C205" t="s">
        <v>718</v>
      </c>
      <c r="D205" t="s">
        <v>719</v>
      </c>
      <c r="E205" t="s">
        <v>7528</v>
      </c>
      <c r="F205" t="s">
        <v>240</v>
      </c>
      <c r="G205">
        <v>1</v>
      </c>
      <c r="H205">
        <v>1</v>
      </c>
      <c r="I205" t="s">
        <v>97</v>
      </c>
      <c r="J205" s="10">
        <v>68</v>
      </c>
      <c r="K205" s="10">
        <v>204</v>
      </c>
      <c r="L205" s="10">
        <v>0</v>
      </c>
      <c r="N205" s="10">
        <v>0</v>
      </c>
      <c r="O205" t="s">
        <v>99</v>
      </c>
      <c r="P205" s="10">
        <v>134.94999999999999</v>
      </c>
      <c r="S205">
        <v>14.5</v>
      </c>
      <c r="T205">
        <v>13.75</v>
      </c>
      <c r="U205">
        <v>13.75</v>
      </c>
      <c r="W205">
        <v>4.5199999999999996</v>
      </c>
      <c r="X205">
        <v>1</v>
      </c>
      <c r="Y205">
        <v>0</v>
      </c>
      <c r="Z205">
        <v>0</v>
      </c>
      <c r="AA205">
        <v>0</v>
      </c>
      <c r="AB205">
        <v>0</v>
      </c>
      <c r="AC205">
        <v>8.0500000000000007</v>
      </c>
      <c r="AE205">
        <v>1</v>
      </c>
      <c r="AF205" t="s">
        <v>727</v>
      </c>
      <c r="AG205">
        <v>150</v>
      </c>
      <c r="AK205" t="s">
        <v>98</v>
      </c>
      <c r="AM205" t="s">
        <v>98</v>
      </c>
      <c r="AN205" t="s">
        <v>99</v>
      </c>
      <c r="AO205" t="s">
        <v>98</v>
      </c>
      <c r="AP205" t="s">
        <v>100</v>
      </c>
      <c r="AQ205" t="s">
        <v>101</v>
      </c>
      <c r="AV205" t="s">
        <v>98</v>
      </c>
      <c r="AX205" t="s">
        <v>484</v>
      </c>
      <c r="AZ205" t="s">
        <v>124</v>
      </c>
      <c r="BB205" t="s">
        <v>235</v>
      </c>
      <c r="BC205" t="s">
        <v>713</v>
      </c>
      <c r="BD205" t="s">
        <v>7528</v>
      </c>
      <c r="BF205" t="s">
        <v>733</v>
      </c>
      <c r="BG205" t="s">
        <v>98</v>
      </c>
      <c r="BH205" t="s">
        <v>98</v>
      </c>
      <c r="BI205" t="s">
        <v>98</v>
      </c>
      <c r="BK205" t="s">
        <v>127</v>
      </c>
      <c r="BL205" t="s">
        <v>7528</v>
      </c>
      <c r="BQ205">
        <v>6.25</v>
      </c>
      <c r="BR205">
        <v>2.38</v>
      </c>
      <c r="BT205">
        <v>6.25</v>
      </c>
      <c r="CA205">
        <v>2257</v>
      </c>
      <c r="CB205" t="s">
        <v>484</v>
      </c>
      <c r="CL205" t="s">
        <v>99</v>
      </c>
      <c r="CM205" t="s">
        <v>98</v>
      </c>
      <c r="CN205" t="s">
        <v>442</v>
      </c>
      <c r="CO205" s="1">
        <v>41243</v>
      </c>
      <c r="CP205" s="1">
        <v>43633</v>
      </c>
    </row>
    <row r="206" spans="1:94" x14ac:dyDescent="0.25">
      <c r="A206" t="s">
        <v>734</v>
      </c>
      <c r="B206" t="str">
        <f xml:space="preserve"> "" &amp; 747396088020</f>
        <v>747396088020</v>
      </c>
      <c r="C206" t="s">
        <v>678</v>
      </c>
      <c r="D206" t="s">
        <v>678</v>
      </c>
      <c r="E206" t="s">
        <v>7528</v>
      </c>
      <c r="F206" t="s">
        <v>240</v>
      </c>
      <c r="G206">
        <v>1</v>
      </c>
      <c r="H206">
        <v>1</v>
      </c>
      <c r="I206" t="s">
        <v>97</v>
      </c>
      <c r="J206" s="10">
        <v>105</v>
      </c>
      <c r="K206" s="10">
        <v>315</v>
      </c>
      <c r="L206" s="10">
        <v>0</v>
      </c>
      <c r="N206" s="10">
        <v>0</v>
      </c>
      <c r="O206" t="s">
        <v>99</v>
      </c>
      <c r="P206" s="10">
        <v>209.95</v>
      </c>
      <c r="S206">
        <v>13.25</v>
      </c>
      <c r="T206">
        <v>17.25</v>
      </c>
      <c r="U206">
        <v>17.25</v>
      </c>
      <c r="W206">
        <v>7.94</v>
      </c>
      <c r="Y206">
        <v>0</v>
      </c>
      <c r="Z206">
        <v>0</v>
      </c>
      <c r="AA206">
        <v>0</v>
      </c>
      <c r="AB206">
        <v>0</v>
      </c>
      <c r="AC206">
        <v>12.79</v>
      </c>
      <c r="AE206">
        <v>1</v>
      </c>
      <c r="AF206" t="s">
        <v>735</v>
      </c>
      <c r="AG206">
        <v>150</v>
      </c>
      <c r="AK206" t="s">
        <v>98</v>
      </c>
      <c r="AM206" t="s">
        <v>98</v>
      </c>
      <c r="AN206" t="s">
        <v>99</v>
      </c>
      <c r="AO206" t="s">
        <v>98</v>
      </c>
      <c r="AP206" t="s">
        <v>100</v>
      </c>
      <c r="AQ206" t="s">
        <v>101</v>
      </c>
      <c r="AV206" t="s">
        <v>98</v>
      </c>
      <c r="AX206" t="s">
        <v>707</v>
      </c>
      <c r="AZ206" t="s">
        <v>124</v>
      </c>
      <c r="BB206" t="s">
        <v>235</v>
      </c>
      <c r="BC206" t="s">
        <v>713</v>
      </c>
      <c r="BD206" t="s">
        <v>7528</v>
      </c>
      <c r="BF206" t="s">
        <v>736</v>
      </c>
      <c r="BG206" t="s">
        <v>98</v>
      </c>
      <c r="BH206" t="s">
        <v>98</v>
      </c>
      <c r="BI206" t="s">
        <v>98</v>
      </c>
      <c r="BK206" t="s">
        <v>110</v>
      </c>
      <c r="BL206" t="s">
        <v>7528</v>
      </c>
      <c r="BR206">
        <v>1</v>
      </c>
      <c r="BT206">
        <v>4.88</v>
      </c>
      <c r="CA206">
        <v>2258</v>
      </c>
      <c r="CB206" t="s">
        <v>707</v>
      </c>
      <c r="CL206" t="s">
        <v>99</v>
      </c>
      <c r="CM206" t="s">
        <v>99</v>
      </c>
      <c r="CN206" t="s">
        <v>442</v>
      </c>
      <c r="CO206" s="1">
        <v>41492</v>
      </c>
      <c r="CP206" s="1">
        <v>43633</v>
      </c>
    </row>
    <row r="207" spans="1:94" x14ac:dyDescent="0.25">
      <c r="A207" t="s">
        <v>737</v>
      </c>
      <c r="B207" t="str">
        <f xml:space="preserve"> "" &amp; 747396088013</f>
        <v>747396088013</v>
      </c>
      <c r="C207" t="s">
        <v>678</v>
      </c>
      <c r="D207" t="s">
        <v>678</v>
      </c>
      <c r="E207" t="s">
        <v>7528</v>
      </c>
      <c r="F207" t="s">
        <v>240</v>
      </c>
      <c r="G207">
        <v>1</v>
      </c>
      <c r="H207">
        <v>1</v>
      </c>
      <c r="I207" t="s">
        <v>97</v>
      </c>
      <c r="J207" s="10">
        <v>105</v>
      </c>
      <c r="K207" s="10">
        <v>315</v>
      </c>
      <c r="L207" s="10">
        <v>0</v>
      </c>
      <c r="N207" s="10">
        <v>0</v>
      </c>
      <c r="O207" t="s">
        <v>99</v>
      </c>
      <c r="P207" s="10">
        <v>209.95</v>
      </c>
      <c r="S207">
        <v>13.25</v>
      </c>
      <c r="T207">
        <v>17.25</v>
      </c>
      <c r="U207">
        <v>17.25</v>
      </c>
      <c r="W207">
        <v>7.94</v>
      </c>
      <c r="X207">
        <v>1</v>
      </c>
      <c r="Y207">
        <v>0</v>
      </c>
      <c r="Z207">
        <v>0</v>
      </c>
      <c r="AA207">
        <v>0</v>
      </c>
      <c r="AB207">
        <v>0</v>
      </c>
      <c r="AC207">
        <v>12.79</v>
      </c>
      <c r="AE207">
        <v>1</v>
      </c>
      <c r="AF207" t="s">
        <v>738</v>
      </c>
      <c r="AG207">
        <v>150</v>
      </c>
      <c r="AK207" t="s">
        <v>98</v>
      </c>
      <c r="AM207" t="s">
        <v>98</v>
      </c>
      <c r="AN207" t="s">
        <v>99</v>
      </c>
      <c r="AO207" t="s">
        <v>98</v>
      </c>
      <c r="AP207" t="s">
        <v>100</v>
      </c>
      <c r="AQ207" t="s">
        <v>101</v>
      </c>
      <c r="AV207" t="s">
        <v>98</v>
      </c>
      <c r="AX207" t="s">
        <v>484</v>
      </c>
      <c r="AZ207" t="s">
        <v>124</v>
      </c>
      <c r="BB207" t="s">
        <v>235</v>
      </c>
      <c r="BC207" t="s">
        <v>713</v>
      </c>
      <c r="BD207" t="s">
        <v>7528</v>
      </c>
      <c r="BF207" t="s">
        <v>739</v>
      </c>
      <c r="BG207" t="s">
        <v>98</v>
      </c>
      <c r="BH207" t="s">
        <v>98</v>
      </c>
      <c r="BI207" t="s">
        <v>98</v>
      </c>
      <c r="BK207" t="s">
        <v>110</v>
      </c>
      <c r="BL207" t="s">
        <v>7528</v>
      </c>
      <c r="BR207">
        <v>1</v>
      </c>
      <c r="BT207">
        <v>4.88</v>
      </c>
      <c r="CA207">
        <v>2258</v>
      </c>
      <c r="CB207" t="s">
        <v>484</v>
      </c>
      <c r="CL207" t="s">
        <v>99</v>
      </c>
      <c r="CM207" t="s">
        <v>99</v>
      </c>
      <c r="CN207" t="s">
        <v>442</v>
      </c>
      <c r="CO207" s="1">
        <v>41492</v>
      </c>
      <c r="CP207" s="1">
        <v>43633</v>
      </c>
    </row>
    <row r="208" spans="1:94" x14ac:dyDescent="0.25">
      <c r="A208" t="s">
        <v>740</v>
      </c>
      <c r="B208" t="str">
        <f xml:space="preserve"> "" &amp; 747396088044</f>
        <v>747396088044</v>
      </c>
      <c r="C208" t="s">
        <v>718</v>
      </c>
      <c r="D208" t="s">
        <v>719</v>
      </c>
      <c r="E208" t="s">
        <v>7528</v>
      </c>
      <c r="F208" t="s">
        <v>377</v>
      </c>
      <c r="G208">
        <v>1</v>
      </c>
      <c r="H208">
        <v>1</v>
      </c>
      <c r="I208" t="s">
        <v>97</v>
      </c>
      <c r="J208" s="10">
        <v>95</v>
      </c>
      <c r="K208" s="10">
        <v>285</v>
      </c>
      <c r="L208" s="10">
        <v>0</v>
      </c>
      <c r="N208" s="10">
        <v>0</v>
      </c>
      <c r="O208" t="s">
        <v>99</v>
      </c>
      <c r="P208" s="10">
        <v>189.95</v>
      </c>
      <c r="S208">
        <v>15.25</v>
      </c>
      <c r="T208">
        <v>17.25</v>
      </c>
      <c r="U208">
        <v>17.25</v>
      </c>
      <c r="W208">
        <v>6.75</v>
      </c>
      <c r="Y208">
        <v>0</v>
      </c>
      <c r="Z208">
        <v>0</v>
      </c>
      <c r="AA208">
        <v>0</v>
      </c>
      <c r="AB208">
        <v>0</v>
      </c>
      <c r="AC208">
        <v>11.46</v>
      </c>
      <c r="AE208">
        <v>1</v>
      </c>
      <c r="AF208" t="s">
        <v>727</v>
      </c>
      <c r="AG208">
        <v>150</v>
      </c>
      <c r="AK208" t="s">
        <v>98</v>
      </c>
      <c r="AM208" t="s">
        <v>98</v>
      </c>
      <c r="AN208" t="s">
        <v>99</v>
      </c>
      <c r="AO208" t="s">
        <v>98</v>
      </c>
      <c r="AP208" t="s">
        <v>100</v>
      </c>
      <c r="AQ208" t="s">
        <v>101</v>
      </c>
      <c r="AV208" t="s">
        <v>98</v>
      </c>
      <c r="AX208" t="s">
        <v>707</v>
      </c>
      <c r="AZ208" t="s">
        <v>124</v>
      </c>
      <c r="BB208" t="s">
        <v>235</v>
      </c>
      <c r="BC208" t="s">
        <v>713</v>
      </c>
      <c r="BD208" t="s">
        <v>7528</v>
      </c>
      <c r="BF208" t="s">
        <v>741</v>
      </c>
      <c r="BG208" t="s">
        <v>98</v>
      </c>
      <c r="BH208" t="s">
        <v>98</v>
      </c>
      <c r="BI208" t="s">
        <v>98</v>
      </c>
      <c r="BK208" t="s">
        <v>127</v>
      </c>
      <c r="BL208" t="s">
        <v>7528</v>
      </c>
      <c r="BR208">
        <v>1.1299999999999999</v>
      </c>
      <c r="BT208">
        <v>6.88</v>
      </c>
      <c r="CA208">
        <v>2259</v>
      </c>
      <c r="CB208" t="s">
        <v>707</v>
      </c>
      <c r="CL208" t="s">
        <v>99</v>
      </c>
      <c r="CM208" t="s">
        <v>98</v>
      </c>
      <c r="CN208" t="s">
        <v>442</v>
      </c>
      <c r="CO208" s="1">
        <v>41243</v>
      </c>
      <c r="CP208" s="1">
        <v>43633</v>
      </c>
    </row>
    <row r="209" spans="1:94" x14ac:dyDescent="0.25">
      <c r="A209" t="s">
        <v>742</v>
      </c>
      <c r="B209" t="str">
        <f xml:space="preserve"> "" &amp; 747396088037</f>
        <v>747396088037</v>
      </c>
      <c r="C209" t="s">
        <v>718</v>
      </c>
      <c r="D209" t="s">
        <v>719</v>
      </c>
      <c r="E209" t="s">
        <v>7528</v>
      </c>
      <c r="F209" t="s">
        <v>377</v>
      </c>
      <c r="G209">
        <v>1</v>
      </c>
      <c r="H209">
        <v>1</v>
      </c>
      <c r="I209" t="s">
        <v>97</v>
      </c>
      <c r="J209" s="10">
        <v>95</v>
      </c>
      <c r="K209" s="10">
        <v>285</v>
      </c>
      <c r="L209" s="10">
        <v>0</v>
      </c>
      <c r="N209" s="10">
        <v>0</v>
      </c>
      <c r="O209" t="s">
        <v>99</v>
      </c>
      <c r="P209" s="10">
        <v>189.95</v>
      </c>
      <c r="S209">
        <v>15.5</v>
      </c>
      <c r="T209">
        <v>17.25</v>
      </c>
      <c r="U209">
        <v>17.25</v>
      </c>
      <c r="W209">
        <v>6.75</v>
      </c>
      <c r="X209">
        <v>1</v>
      </c>
      <c r="Y209">
        <v>0</v>
      </c>
      <c r="Z209">
        <v>0</v>
      </c>
      <c r="AA209">
        <v>0</v>
      </c>
      <c r="AB209">
        <v>0</v>
      </c>
      <c r="AC209">
        <v>11.46</v>
      </c>
      <c r="AE209">
        <v>1</v>
      </c>
      <c r="AF209" t="s">
        <v>727</v>
      </c>
      <c r="AG209">
        <v>150</v>
      </c>
      <c r="AK209" t="s">
        <v>98</v>
      </c>
      <c r="AM209" t="s">
        <v>98</v>
      </c>
      <c r="AN209" t="s">
        <v>99</v>
      </c>
      <c r="AO209" t="s">
        <v>98</v>
      </c>
      <c r="AP209" t="s">
        <v>100</v>
      </c>
      <c r="AQ209" t="s">
        <v>101</v>
      </c>
      <c r="AV209" t="s">
        <v>98</v>
      </c>
      <c r="AX209" t="s">
        <v>484</v>
      </c>
      <c r="AZ209" t="s">
        <v>124</v>
      </c>
      <c r="BB209" t="s">
        <v>235</v>
      </c>
      <c r="BC209" t="s">
        <v>713</v>
      </c>
      <c r="BD209" t="s">
        <v>7528</v>
      </c>
      <c r="BF209" t="s">
        <v>743</v>
      </c>
      <c r="BG209" t="s">
        <v>98</v>
      </c>
      <c r="BH209" t="s">
        <v>98</v>
      </c>
      <c r="BI209" t="s">
        <v>98</v>
      </c>
      <c r="BK209" t="s">
        <v>127</v>
      </c>
      <c r="BL209" t="s">
        <v>7528</v>
      </c>
      <c r="BR209">
        <v>1.1299999999999999</v>
      </c>
      <c r="BT209">
        <v>6.88</v>
      </c>
      <c r="CA209">
        <v>2259</v>
      </c>
      <c r="CB209" t="s">
        <v>484</v>
      </c>
      <c r="CL209" t="s">
        <v>99</v>
      </c>
      <c r="CM209" t="s">
        <v>98</v>
      </c>
      <c r="CN209" t="s">
        <v>442</v>
      </c>
      <c r="CO209" s="1">
        <v>41243</v>
      </c>
      <c r="CP209" s="1">
        <v>43633</v>
      </c>
    </row>
    <row r="210" spans="1:94" x14ac:dyDescent="0.25">
      <c r="A210" t="s">
        <v>744</v>
      </c>
      <c r="B210" t="str">
        <f xml:space="preserve"> "" &amp; 747396091266</f>
        <v>747396091266</v>
      </c>
      <c r="C210" t="s">
        <v>239</v>
      </c>
      <c r="D210" t="s">
        <v>239</v>
      </c>
      <c r="E210" t="s">
        <v>7528</v>
      </c>
      <c r="F210" t="s">
        <v>240</v>
      </c>
      <c r="G210">
        <v>1</v>
      </c>
      <c r="H210">
        <v>1</v>
      </c>
      <c r="I210" t="s">
        <v>97</v>
      </c>
      <c r="J210" s="10">
        <v>82</v>
      </c>
      <c r="K210" s="10">
        <v>246</v>
      </c>
      <c r="L210" s="10">
        <v>0</v>
      </c>
      <c r="N210" s="10">
        <v>0</v>
      </c>
      <c r="O210" t="s">
        <v>99</v>
      </c>
      <c r="P210" s="10">
        <v>164.95</v>
      </c>
      <c r="S210">
        <v>11.5</v>
      </c>
      <c r="T210">
        <v>12.25</v>
      </c>
      <c r="U210">
        <v>12.25</v>
      </c>
      <c r="W210">
        <v>4.59</v>
      </c>
      <c r="Y210">
        <v>14.25</v>
      </c>
      <c r="Z210">
        <v>15.5</v>
      </c>
      <c r="AA210">
        <v>14.25</v>
      </c>
      <c r="AB210">
        <v>1.821</v>
      </c>
      <c r="AC210">
        <v>6.61</v>
      </c>
      <c r="AE210">
        <v>1</v>
      </c>
      <c r="AF210" t="s">
        <v>745</v>
      </c>
      <c r="AG210">
        <v>40</v>
      </c>
      <c r="AK210" t="s">
        <v>98</v>
      </c>
      <c r="AM210" t="s">
        <v>98</v>
      </c>
      <c r="AN210" t="s">
        <v>99</v>
      </c>
      <c r="AO210" t="s">
        <v>98</v>
      </c>
      <c r="AP210" t="s">
        <v>100</v>
      </c>
      <c r="AQ210" t="s">
        <v>101</v>
      </c>
      <c r="AV210" t="s">
        <v>98</v>
      </c>
      <c r="AX210" t="s">
        <v>279</v>
      </c>
      <c r="AZ210" t="s">
        <v>124</v>
      </c>
      <c r="BB210" t="s">
        <v>235</v>
      </c>
      <c r="BC210" t="s">
        <v>746</v>
      </c>
      <c r="BD210" t="s">
        <v>7528</v>
      </c>
      <c r="BF210" t="s">
        <v>747</v>
      </c>
      <c r="BG210" t="s">
        <v>98</v>
      </c>
      <c r="BH210" t="s">
        <v>98</v>
      </c>
      <c r="BI210" t="s">
        <v>98</v>
      </c>
      <c r="BK210" t="s">
        <v>110</v>
      </c>
      <c r="BL210" t="s">
        <v>7528</v>
      </c>
      <c r="BR210">
        <v>1</v>
      </c>
      <c r="BT210">
        <v>4.88</v>
      </c>
      <c r="CA210">
        <v>2260</v>
      </c>
      <c r="CB210" t="s">
        <v>279</v>
      </c>
      <c r="CL210" t="s">
        <v>99</v>
      </c>
      <c r="CM210" t="s">
        <v>99</v>
      </c>
      <c r="CN210" t="s">
        <v>442</v>
      </c>
      <c r="CO210" s="1">
        <v>41729</v>
      </c>
      <c r="CP210" s="1">
        <v>43633</v>
      </c>
    </row>
    <row r="211" spans="1:94" x14ac:dyDescent="0.25">
      <c r="A211" t="s">
        <v>748</v>
      </c>
      <c r="B211" t="str">
        <f xml:space="preserve"> "" &amp; 747396091280</f>
        <v>747396091280</v>
      </c>
      <c r="C211" t="s">
        <v>239</v>
      </c>
      <c r="D211" t="s">
        <v>239</v>
      </c>
      <c r="E211" t="s">
        <v>7528</v>
      </c>
      <c r="F211" t="s">
        <v>240</v>
      </c>
      <c r="G211">
        <v>1</v>
      </c>
      <c r="H211">
        <v>1</v>
      </c>
      <c r="I211" t="s">
        <v>97</v>
      </c>
      <c r="J211" s="10">
        <v>86</v>
      </c>
      <c r="K211" s="10">
        <v>258</v>
      </c>
      <c r="L211" s="10">
        <v>0</v>
      </c>
      <c r="N211" s="10">
        <v>0</v>
      </c>
      <c r="O211" t="s">
        <v>99</v>
      </c>
      <c r="P211" s="10">
        <v>169.95</v>
      </c>
      <c r="S211">
        <v>9</v>
      </c>
      <c r="T211">
        <v>13.25</v>
      </c>
      <c r="U211">
        <v>13.25</v>
      </c>
      <c r="W211">
        <v>4.1900000000000004</v>
      </c>
      <c r="Y211">
        <v>15.25</v>
      </c>
      <c r="Z211">
        <v>15.25</v>
      </c>
      <c r="AA211">
        <v>11</v>
      </c>
      <c r="AB211">
        <v>1.48</v>
      </c>
      <c r="AC211">
        <v>5.91</v>
      </c>
      <c r="AE211">
        <v>1</v>
      </c>
      <c r="AF211" t="s">
        <v>745</v>
      </c>
      <c r="AG211">
        <v>40</v>
      </c>
      <c r="AK211" t="s">
        <v>98</v>
      </c>
      <c r="AM211" t="s">
        <v>98</v>
      </c>
      <c r="AN211" t="s">
        <v>99</v>
      </c>
      <c r="AO211" t="s">
        <v>98</v>
      </c>
      <c r="AP211" t="s">
        <v>100</v>
      </c>
      <c r="AQ211" t="s">
        <v>101</v>
      </c>
      <c r="AV211" t="s">
        <v>98</v>
      </c>
      <c r="AX211" t="s">
        <v>279</v>
      </c>
      <c r="AZ211" t="s">
        <v>124</v>
      </c>
      <c r="BB211" t="s">
        <v>235</v>
      </c>
      <c r="BC211" t="s">
        <v>746</v>
      </c>
      <c r="BD211" t="s">
        <v>7528</v>
      </c>
      <c r="BF211" t="s">
        <v>749</v>
      </c>
      <c r="BG211" t="s">
        <v>98</v>
      </c>
      <c r="BH211" t="s">
        <v>98</v>
      </c>
      <c r="BI211" t="s">
        <v>98</v>
      </c>
      <c r="BK211" t="s">
        <v>110</v>
      </c>
      <c r="BL211" t="s">
        <v>7528</v>
      </c>
      <c r="BR211">
        <v>1</v>
      </c>
      <c r="BT211">
        <v>4.88</v>
      </c>
      <c r="CA211">
        <v>2262</v>
      </c>
      <c r="CB211" t="s">
        <v>279</v>
      </c>
      <c r="CL211" t="s">
        <v>99</v>
      </c>
      <c r="CM211" t="s">
        <v>98</v>
      </c>
      <c r="CN211" t="s">
        <v>442</v>
      </c>
      <c r="CO211" s="1">
        <v>41729</v>
      </c>
      <c r="CP211" s="1">
        <v>43633</v>
      </c>
    </row>
    <row r="212" spans="1:94" x14ac:dyDescent="0.25">
      <c r="A212" t="s">
        <v>750</v>
      </c>
      <c r="B212" t="str">
        <f xml:space="preserve"> "" &amp; 747396097015</f>
        <v>747396097015</v>
      </c>
      <c r="C212" t="s">
        <v>751</v>
      </c>
      <c r="D212" t="s">
        <v>752</v>
      </c>
      <c r="E212" t="s">
        <v>753</v>
      </c>
      <c r="F212" t="s">
        <v>323</v>
      </c>
      <c r="G212">
        <v>1</v>
      </c>
      <c r="H212">
        <v>1</v>
      </c>
      <c r="I212" t="s">
        <v>97</v>
      </c>
      <c r="J212" s="10">
        <v>32</v>
      </c>
      <c r="K212" s="10">
        <v>96</v>
      </c>
      <c r="L212" s="10">
        <v>0</v>
      </c>
      <c r="N212" s="10">
        <v>0</v>
      </c>
      <c r="O212" t="s">
        <v>99</v>
      </c>
      <c r="P212" s="10">
        <v>64.95</v>
      </c>
      <c r="S212">
        <v>8</v>
      </c>
      <c r="T212">
        <v>10</v>
      </c>
      <c r="U212">
        <v>6.25</v>
      </c>
      <c r="V212">
        <v>7.5</v>
      </c>
      <c r="W212">
        <v>2.2000000000000002</v>
      </c>
      <c r="Y212">
        <v>8.25</v>
      </c>
      <c r="Z212">
        <v>10</v>
      </c>
      <c r="AA212">
        <v>9.5</v>
      </c>
      <c r="AB212">
        <v>0.45400000000000001</v>
      </c>
      <c r="AC212">
        <v>2.87</v>
      </c>
      <c r="AE212">
        <v>1</v>
      </c>
      <c r="AF212" t="s">
        <v>282</v>
      </c>
      <c r="AG212">
        <v>100</v>
      </c>
      <c r="AK212" t="s">
        <v>98</v>
      </c>
      <c r="AM212" t="s">
        <v>98</v>
      </c>
      <c r="AN212" t="s">
        <v>99</v>
      </c>
      <c r="AO212" t="s">
        <v>98</v>
      </c>
      <c r="AP212" t="s">
        <v>100</v>
      </c>
      <c r="AQ212" t="s">
        <v>101</v>
      </c>
      <c r="AV212" t="s">
        <v>98</v>
      </c>
      <c r="AX212" t="s">
        <v>754</v>
      </c>
      <c r="AZ212" t="s">
        <v>102</v>
      </c>
      <c r="BB212" t="s">
        <v>235</v>
      </c>
      <c r="BC212" t="s">
        <v>561</v>
      </c>
      <c r="BD212" t="s">
        <v>7528</v>
      </c>
      <c r="BF212" t="s">
        <v>755</v>
      </c>
      <c r="BG212" t="s">
        <v>98</v>
      </c>
      <c r="BH212" t="s">
        <v>98</v>
      </c>
      <c r="BI212" t="s">
        <v>98</v>
      </c>
      <c r="BK212" t="s">
        <v>127</v>
      </c>
      <c r="BL212" t="s">
        <v>756</v>
      </c>
      <c r="BR212">
        <v>8</v>
      </c>
      <c r="BT212">
        <v>5</v>
      </c>
      <c r="CA212">
        <v>2281</v>
      </c>
      <c r="CB212" t="s">
        <v>754</v>
      </c>
      <c r="CL212" t="s">
        <v>99</v>
      </c>
      <c r="CM212" t="s">
        <v>98</v>
      </c>
      <c r="CN212" t="s">
        <v>442</v>
      </c>
      <c r="CO212" s="1">
        <v>42324</v>
      </c>
      <c r="CP212" s="1">
        <v>43633</v>
      </c>
    </row>
    <row r="213" spans="1:94" x14ac:dyDescent="0.25">
      <c r="A213" t="s">
        <v>757</v>
      </c>
      <c r="B213" t="str">
        <f xml:space="preserve"> "" &amp; 747396097022</f>
        <v>747396097022</v>
      </c>
      <c r="C213" t="s">
        <v>758</v>
      </c>
      <c r="D213" t="s">
        <v>759</v>
      </c>
      <c r="E213" t="s">
        <v>753</v>
      </c>
      <c r="F213" t="s">
        <v>323</v>
      </c>
      <c r="G213">
        <v>1</v>
      </c>
      <c r="H213">
        <v>1</v>
      </c>
      <c r="I213" t="s">
        <v>97</v>
      </c>
      <c r="J213" s="10">
        <v>48</v>
      </c>
      <c r="K213" s="10">
        <v>144</v>
      </c>
      <c r="L213" s="10">
        <v>0</v>
      </c>
      <c r="N213" s="10">
        <v>0</v>
      </c>
      <c r="O213" t="s">
        <v>99</v>
      </c>
      <c r="P213" s="10">
        <v>94.95</v>
      </c>
      <c r="S213">
        <v>8.25</v>
      </c>
      <c r="T213">
        <v>18.25</v>
      </c>
      <c r="U213">
        <v>16</v>
      </c>
      <c r="V213">
        <v>7.5</v>
      </c>
      <c r="W213">
        <v>4.17</v>
      </c>
      <c r="Y213">
        <v>10</v>
      </c>
      <c r="Z213">
        <v>18.25</v>
      </c>
      <c r="AA213">
        <v>9.5</v>
      </c>
      <c r="AB213">
        <v>1.0029999999999999</v>
      </c>
      <c r="AC213">
        <v>5.29</v>
      </c>
      <c r="AE213">
        <v>2</v>
      </c>
      <c r="AF213" t="s">
        <v>282</v>
      </c>
      <c r="AG213">
        <v>100</v>
      </c>
      <c r="AK213" t="s">
        <v>98</v>
      </c>
      <c r="AM213" t="s">
        <v>98</v>
      </c>
      <c r="AN213" t="s">
        <v>99</v>
      </c>
      <c r="AO213" t="s">
        <v>98</v>
      </c>
      <c r="AP213" t="s">
        <v>100</v>
      </c>
      <c r="AQ213" t="s">
        <v>101</v>
      </c>
      <c r="AV213" t="s">
        <v>98</v>
      </c>
      <c r="AX213" t="s">
        <v>754</v>
      </c>
      <c r="AZ213" t="s">
        <v>102</v>
      </c>
      <c r="BB213" t="s">
        <v>235</v>
      </c>
      <c r="BC213" t="s">
        <v>561</v>
      </c>
      <c r="BD213" t="s">
        <v>7528</v>
      </c>
      <c r="BF213" t="s">
        <v>760</v>
      </c>
      <c r="BG213" t="s">
        <v>98</v>
      </c>
      <c r="BH213" t="s">
        <v>98</v>
      </c>
      <c r="BI213" t="s">
        <v>98</v>
      </c>
      <c r="BK213" t="s">
        <v>127</v>
      </c>
      <c r="BL213" t="s">
        <v>756</v>
      </c>
      <c r="BR213">
        <v>5</v>
      </c>
      <c r="BT213">
        <v>8</v>
      </c>
      <c r="CA213">
        <v>2282</v>
      </c>
      <c r="CB213" t="s">
        <v>754</v>
      </c>
      <c r="CL213" t="s">
        <v>99</v>
      </c>
      <c r="CM213" t="s">
        <v>98</v>
      </c>
      <c r="CN213" t="s">
        <v>442</v>
      </c>
      <c r="CO213" s="1">
        <v>42324</v>
      </c>
      <c r="CP213" s="1">
        <v>43633</v>
      </c>
    </row>
    <row r="214" spans="1:94" x14ac:dyDescent="0.25">
      <c r="A214" t="s">
        <v>761</v>
      </c>
      <c r="B214" t="str">
        <f xml:space="preserve"> "" &amp; 747396097039</f>
        <v>747396097039</v>
      </c>
      <c r="C214" t="s">
        <v>762</v>
      </c>
      <c r="D214" t="s">
        <v>763</v>
      </c>
      <c r="E214" t="s">
        <v>753</v>
      </c>
      <c r="F214" t="s">
        <v>323</v>
      </c>
      <c r="G214">
        <v>1</v>
      </c>
      <c r="H214">
        <v>1</v>
      </c>
      <c r="I214" t="s">
        <v>97</v>
      </c>
      <c r="J214" s="10">
        <v>64</v>
      </c>
      <c r="K214" s="10">
        <v>192</v>
      </c>
      <c r="L214" s="10">
        <v>0</v>
      </c>
      <c r="N214" s="10">
        <v>0</v>
      </c>
      <c r="O214" t="s">
        <v>99</v>
      </c>
      <c r="P214" s="10">
        <v>129.94999999999999</v>
      </c>
      <c r="S214">
        <v>8.25</v>
      </c>
      <c r="U214">
        <v>23</v>
      </c>
      <c r="V214">
        <v>7.5</v>
      </c>
      <c r="W214">
        <v>5.8</v>
      </c>
      <c r="Y214">
        <v>10</v>
      </c>
      <c r="Z214">
        <v>25</v>
      </c>
      <c r="AA214">
        <v>9.5</v>
      </c>
      <c r="AB214">
        <v>1.3740000000000001</v>
      </c>
      <c r="AC214">
        <v>7.45</v>
      </c>
      <c r="AE214">
        <v>3</v>
      </c>
      <c r="AF214" t="s">
        <v>282</v>
      </c>
      <c r="AG214">
        <v>100</v>
      </c>
      <c r="AK214" t="s">
        <v>98</v>
      </c>
      <c r="AM214" t="s">
        <v>98</v>
      </c>
      <c r="AN214" t="s">
        <v>99</v>
      </c>
      <c r="AO214" t="s">
        <v>98</v>
      </c>
      <c r="AP214" t="s">
        <v>100</v>
      </c>
      <c r="AQ214" t="s">
        <v>101</v>
      </c>
      <c r="AV214" t="s">
        <v>98</v>
      </c>
      <c r="AX214" t="s">
        <v>754</v>
      </c>
      <c r="AZ214" t="s">
        <v>102</v>
      </c>
      <c r="BB214" t="s">
        <v>235</v>
      </c>
      <c r="BC214" t="s">
        <v>561</v>
      </c>
      <c r="BD214" t="s">
        <v>7528</v>
      </c>
      <c r="BF214" t="s">
        <v>764</v>
      </c>
      <c r="BG214" t="s">
        <v>98</v>
      </c>
      <c r="BH214" t="s">
        <v>98</v>
      </c>
      <c r="BI214" t="s">
        <v>98</v>
      </c>
      <c r="BK214" t="s">
        <v>127</v>
      </c>
      <c r="BL214" t="s">
        <v>756</v>
      </c>
      <c r="BR214">
        <v>5</v>
      </c>
      <c r="BT214">
        <v>8</v>
      </c>
      <c r="CA214">
        <v>2283</v>
      </c>
      <c r="CB214" t="s">
        <v>754</v>
      </c>
      <c r="CL214" t="s">
        <v>99</v>
      </c>
      <c r="CM214" t="s">
        <v>98</v>
      </c>
      <c r="CN214" t="s">
        <v>442</v>
      </c>
      <c r="CO214" s="1">
        <v>42324</v>
      </c>
      <c r="CP214" s="1">
        <v>43633</v>
      </c>
    </row>
    <row r="215" spans="1:94" x14ac:dyDescent="0.25">
      <c r="A215" t="s">
        <v>765</v>
      </c>
      <c r="B215" t="str">
        <f xml:space="preserve"> "" &amp; 747396097046</f>
        <v>747396097046</v>
      </c>
      <c r="C215" t="s">
        <v>766</v>
      </c>
      <c r="D215" t="s">
        <v>767</v>
      </c>
      <c r="E215" t="s">
        <v>753</v>
      </c>
      <c r="F215" t="s">
        <v>323</v>
      </c>
      <c r="G215">
        <v>1</v>
      </c>
      <c r="H215">
        <v>1</v>
      </c>
      <c r="I215" t="s">
        <v>97</v>
      </c>
      <c r="J215" s="10">
        <v>84</v>
      </c>
      <c r="K215" s="10">
        <v>252</v>
      </c>
      <c r="L215" s="10">
        <v>0</v>
      </c>
      <c r="N215" s="10">
        <v>0</v>
      </c>
      <c r="O215" t="s">
        <v>99</v>
      </c>
      <c r="P215" s="10">
        <v>169.95</v>
      </c>
      <c r="S215">
        <v>8.75</v>
      </c>
      <c r="U215">
        <v>31.5</v>
      </c>
      <c r="V215">
        <v>7.5</v>
      </c>
      <c r="W215">
        <v>7.5</v>
      </c>
      <c r="Y215">
        <v>10</v>
      </c>
      <c r="Z215">
        <v>34</v>
      </c>
      <c r="AA215">
        <v>9.5</v>
      </c>
      <c r="AB215">
        <v>1.869</v>
      </c>
      <c r="AC215">
        <v>9.59</v>
      </c>
      <c r="AE215">
        <v>4</v>
      </c>
      <c r="AF215" t="s">
        <v>282</v>
      </c>
      <c r="AG215">
        <v>100</v>
      </c>
      <c r="AK215" t="s">
        <v>98</v>
      </c>
      <c r="AM215" t="s">
        <v>98</v>
      </c>
      <c r="AN215" t="s">
        <v>99</v>
      </c>
      <c r="AO215" t="s">
        <v>98</v>
      </c>
      <c r="AP215" t="s">
        <v>100</v>
      </c>
      <c r="AQ215" t="s">
        <v>101</v>
      </c>
      <c r="AV215" t="s">
        <v>98</v>
      </c>
      <c r="AX215" t="s">
        <v>754</v>
      </c>
      <c r="AZ215" t="s">
        <v>102</v>
      </c>
      <c r="BB215" t="s">
        <v>235</v>
      </c>
      <c r="BC215" t="s">
        <v>561</v>
      </c>
      <c r="BD215" t="s">
        <v>7528</v>
      </c>
      <c r="BF215" t="s">
        <v>768</v>
      </c>
      <c r="BG215" t="s">
        <v>98</v>
      </c>
      <c r="BH215" t="s">
        <v>98</v>
      </c>
      <c r="BI215" t="s">
        <v>98</v>
      </c>
      <c r="BK215" t="s">
        <v>127</v>
      </c>
      <c r="BL215" t="s">
        <v>756</v>
      </c>
      <c r="BR215">
        <v>5</v>
      </c>
      <c r="BT215">
        <v>8</v>
      </c>
      <c r="CA215">
        <v>2284</v>
      </c>
      <c r="CB215" t="s">
        <v>754</v>
      </c>
      <c r="CL215" t="s">
        <v>99</v>
      </c>
      <c r="CM215" t="s">
        <v>98</v>
      </c>
      <c r="CN215" t="s">
        <v>442</v>
      </c>
      <c r="CO215" s="1">
        <v>42353</v>
      </c>
      <c r="CP215" s="1">
        <v>43633</v>
      </c>
    </row>
    <row r="216" spans="1:94" x14ac:dyDescent="0.25">
      <c r="A216" t="s">
        <v>769</v>
      </c>
      <c r="B216" t="str">
        <f xml:space="preserve"> "" &amp; 747396101965</f>
        <v>747396101965</v>
      </c>
      <c r="C216" t="s">
        <v>243</v>
      </c>
      <c r="D216" t="s">
        <v>6544</v>
      </c>
      <c r="E216" t="s">
        <v>771</v>
      </c>
      <c r="F216" t="s">
        <v>240</v>
      </c>
      <c r="G216">
        <v>1</v>
      </c>
      <c r="H216">
        <v>1</v>
      </c>
      <c r="I216" t="s">
        <v>97</v>
      </c>
      <c r="J216" s="10">
        <v>115</v>
      </c>
      <c r="K216" s="10">
        <v>345</v>
      </c>
      <c r="L216" s="10">
        <v>0</v>
      </c>
      <c r="N216" s="10">
        <v>0</v>
      </c>
      <c r="O216" t="s">
        <v>99</v>
      </c>
      <c r="P216" s="10">
        <v>244.95</v>
      </c>
      <c r="S216">
        <v>20</v>
      </c>
      <c r="U216">
        <v>12</v>
      </c>
      <c r="W216">
        <v>7.5</v>
      </c>
      <c r="X216">
        <v>1</v>
      </c>
      <c r="Y216">
        <v>15.5</v>
      </c>
      <c r="Z216">
        <v>23.88</v>
      </c>
      <c r="AA216">
        <v>11.88</v>
      </c>
      <c r="AB216">
        <v>2.5449999999999999</v>
      </c>
      <c r="AC216">
        <v>11.07</v>
      </c>
      <c r="AE216">
        <v>3</v>
      </c>
      <c r="AF216" t="s">
        <v>772</v>
      </c>
      <c r="AG216">
        <v>60</v>
      </c>
      <c r="AK216" t="s">
        <v>98</v>
      </c>
      <c r="AM216" t="s">
        <v>98</v>
      </c>
      <c r="AN216" t="s">
        <v>98</v>
      </c>
      <c r="AO216" t="s">
        <v>98</v>
      </c>
      <c r="AP216" t="s">
        <v>100</v>
      </c>
      <c r="AQ216" t="s">
        <v>101</v>
      </c>
      <c r="AV216" t="s">
        <v>98</v>
      </c>
      <c r="AX216" t="s">
        <v>560</v>
      </c>
      <c r="AZ216" t="s">
        <v>102</v>
      </c>
      <c r="BB216" t="s">
        <v>235</v>
      </c>
      <c r="BC216" t="s">
        <v>746</v>
      </c>
      <c r="BD216" t="s">
        <v>7528</v>
      </c>
      <c r="BF216" t="s">
        <v>773</v>
      </c>
      <c r="BG216" t="s">
        <v>98</v>
      </c>
      <c r="BH216" t="s">
        <v>98</v>
      </c>
      <c r="BI216" t="s">
        <v>98</v>
      </c>
      <c r="BK216" t="s">
        <v>110</v>
      </c>
      <c r="BL216" t="s">
        <v>7528</v>
      </c>
      <c r="BQ216">
        <v>4.75</v>
      </c>
      <c r="BR216">
        <v>1</v>
      </c>
      <c r="BS216">
        <v>4.75</v>
      </c>
      <c r="BT216">
        <v>4.75</v>
      </c>
      <c r="CA216">
        <v>2290</v>
      </c>
      <c r="CB216" t="s">
        <v>560</v>
      </c>
      <c r="CL216" t="s">
        <v>99</v>
      </c>
      <c r="CM216" t="s">
        <v>99</v>
      </c>
      <c r="CN216" t="s">
        <v>442</v>
      </c>
      <c r="CO216" s="1">
        <v>42839</v>
      </c>
      <c r="CP216" s="1">
        <v>43633</v>
      </c>
    </row>
    <row r="217" spans="1:94" x14ac:dyDescent="0.25">
      <c r="A217" t="s">
        <v>774</v>
      </c>
      <c r="B217" t="str">
        <f xml:space="preserve"> "" &amp; 747396101972</f>
        <v>747396101972</v>
      </c>
      <c r="C217" t="s">
        <v>243</v>
      </c>
      <c r="D217" t="s">
        <v>6544</v>
      </c>
      <c r="E217" t="s">
        <v>771</v>
      </c>
      <c r="F217" t="s">
        <v>240</v>
      </c>
      <c r="G217">
        <v>1</v>
      </c>
      <c r="H217">
        <v>1</v>
      </c>
      <c r="I217" t="s">
        <v>97</v>
      </c>
      <c r="J217" s="10">
        <v>115</v>
      </c>
      <c r="K217" s="10">
        <v>345</v>
      </c>
      <c r="L217" s="10">
        <v>0</v>
      </c>
      <c r="N217" s="10">
        <v>0</v>
      </c>
      <c r="O217" t="s">
        <v>99</v>
      </c>
      <c r="P217" s="10">
        <v>244.95</v>
      </c>
      <c r="S217">
        <v>20</v>
      </c>
      <c r="U217">
        <v>12</v>
      </c>
      <c r="W217">
        <v>7.5</v>
      </c>
      <c r="X217">
        <v>1</v>
      </c>
      <c r="Y217">
        <v>15.5</v>
      </c>
      <c r="Z217">
        <v>23.88</v>
      </c>
      <c r="AA217">
        <v>11.88</v>
      </c>
      <c r="AB217">
        <v>2.5449999999999999</v>
      </c>
      <c r="AC217">
        <v>11.07</v>
      </c>
      <c r="AE217">
        <v>3</v>
      </c>
      <c r="AF217" t="s">
        <v>308</v>
      </c>
      <c r="AG217">
        <v>60</v>
      </c>
      <c r="AK217" t="s">
        <v>98</v>
      </c>
      <c r="AM217" t="s">
        <v>98</v>
      </c>
      <c r="AN217" t="s">
        <v>98</v>
      </c>
      <c r="AO217" t="s">
        <v>98</v>
      </c>
      <c r="AP217" t="s">
        <v>100</v>
      </c>
      <c r="AQ217" t="s">
        <v>101</v>
      </c>
      <c r="AV217" t="s">
        <v>98</v>
      </c>
      <c r="AX217" t="s">
        <v>367</v>
      </c>
      <c r="AZ217" t="s">
        <v>102</v>
      </c>
      <c r="BB217" t="s">
        <v>235</v>
      </c>
      <c r="BC217" t="s">
        <v>746</v>
      </c>
      <c r="BD217" t="s">
        <v>7528</v>
      </c>
      <c r="BF217" t="s">
        <v>775</v>
      </c>
      <c r="BG217" t="s">
        <v>98</v>
      </c>
      <c r="BH217" t="s">
        <v>98</v>
      </c>
      <c r="BI217" t="s">
        <v>98</v>
      </c>
      <c r="BK217" t="s">
        <v>110</v>
      </c>
      <c r="BL217" t="s">
        <v>7528</v>
      </c>
      <c r="BR217">
        <v>1</v>
      </c>
      <c r="BS217">
        <v>4.75</v>
      </c>
      <c r="BT217">
        <v>4.75</v>
      </c>
      <c r="CA217">
        <v>2290</v>
      </c>
      <c r="CB217" t="s">
        <v>367</v>
      </c>
      <c r="CL217" t="s">
        <v>99</v>
      </c>
      <c r="CM217" t="s">
        <v>99</v>
      </c>
      <c r="CN217" t="s">
        <v>442</v>
      </c>
      <c r="CO217" s="1">
        <v>42839</v>
      </c>
      <c r="CP217" s="1">
        <v>43633</v>
      </c>
    </row>
    <row r="218" spans="1:94" x14ac:dyDescent="0.25">
      <c r="A218" t="s">
        <v>776</v>
      </c>
      <c r="B218" t="str">
        <f xml:space="preserve"> "" &amp; 747396802923</f>
        <v>747396802923</v>
      </c>
      <c r="C218" t="s">
        <v>243</v>
      </c>
      <c r="D218" t="s">
        <v>6544</v>
      </c>
      <c r="E218" t="s">
        <v>771</v>
      </c>
      <c r="F218" t="s">
        <v>240</v>
      </c>
      <c r="G218">
        <v>1</v>
      </c>
      <c r="H218">
        <v>1</v>
      </c>
      <c r="I218" t="s">
        <v>97</v>
      </c>
      <c r="J218" s="10">
        <v>115</v>
      </c>
      <c r="K218" s="10">
        <v>345</v>
      </c>
      <c r="L218" s="10">
        <v>0</v>
      </c>
      <c r="N218" s="10">
        <v>0</v>
      </c>
      <c r="O218" t="s">
        <v>99</v>
      </c>
      <c r="P218" s="10">
        <v>244.95</v>
      </c>
      <c r="S218">
        <v>20</v>
      </c>
      <c r="U218">
        <v>12</v>
      </c>
      <c r="W218">
        <v>7.67</v>
      </c>
      <c r="X218">
        <v>1</v>
      </c>
      <c r="Y218">
        <v>15.5</v>
      </c>
      <c r="Z218">
        <v>23.88</v>
      </c>
      <c r="AA218">
        <v>11.88</v>
      </c>
      <c r="AB218">
        <v>2.5449999999999999</v>
      </c>
      <c r="AC218">
        <v>11.51</v>
      </c>
      <c r="AE218">
        <v>3</v>
      </c>
      <c r="AF218" t="s">
        <v>772</v>
      </c>
      <c r="AG218">
        <v>60</v>
      </c>
      <c r="AK218" t="s">
        <v>98</v>
      </c>
      <c r="AM218" t="s">
        <v>98</v>
      </c>
      <c r="AN218" t="s">
        <v>99</v>
      </c>
      <c r="AO218" t="s">
        <v>98</v>
      </c>
      <c r="AP218" t="s">
        <v>100</v>
      </c>
      <c r="AQ218" t="s">
        <v>101</v>
      </c>
      <c r="AV218" t="s">
        <v>98</v>
      </c>
      <c r="AX218" t="s">
        <v>484</v>
      </c>
      <c r="AZ218" t="s">
        <v>102</v>
      </c>
      <c r="BB218" t="s">
        <v>235</v>
      </c>
      <c r="BC218" t="s">
        <v>746</v>
      </c>
      <c r="BD218" t="s">
        <v>7528</v>
      </c>
      <c r="BF218" t="s">
        <v>777</v>
      </c>
      <c r="BG218" t="s">
        <v>98</v>
      </c>
      <c r="BH218" t="s">
        <v>98</v>
      </c>
      <c r="BI218" t="s">
        <v>98</v>
      </c>
      <c r="BK218" t="s">
        <v>110</v>
      </c>
      <c r="BL218" t="s">
        <v>7528</v>
      </c>
      <c r="BQ218">
        <v>4.75</v>
      </c>
      <c r="BR218">
        <v>1</v>
      </c>
      <c r="BS218">
        <v>4.75</v>
      </c>
      <c r="BT218">
        <v>4.75</v>
      </c>
      <c r="CA218">
        <v>2290</v>
      </c>
      <c r="CB218" t="s">
        <v>484</v>
      </c>
      <c r="CL218" t="s">
        <v>99</v>
      </c>
      <c r="CM218" t="s">
        <v>99</v>
      </c>
      <c r="CN218" t="s">
        <v>442</v>
      </c>
      <c r="CO218" s="1">
        <v>42724</v>
      </c>
      <c r="CP218" s="1">
        <v>43633</v>
      </c>
    </row>
    <row r="219" spans="1:94" x14ac:dyDescent="0.25">
      <c r="A219" t="s">
        <v>778</v>
      </c>
      <c r="B219" t="str">
        <f xml:space="preserve"> "" &amp; 747396101989</f>
        <v>747396101989</v>
      </c>
      <c r="C219" t="s">
        <v>243</v>
      </c>
      <c r="D219" t="s">
        <v>6544</v>
      </c>
      <c r="E219" t="s">
        <v>771</v>
      </c>
      <c r="F219" t="s">
        <v>240</v>
      </c>
      <c r="G219">
        <v>1</v>
      </c>
      <c r="H219">
        <v>1</v>
      </c>
      <c r="I219" t="s">
        <v>97</v>
      </c>
      <c r="J219" s="10">
        <v>135</v>
      </c>
      <c r="K219" s="10">
        <v>405</v>
      </c>
      <c r="L219" s="10">
        <v>0</v>
      </c>
      <c r="N219" s="10">
        <v>0</v>
      </c>
      <c r="O219" t="s">
        <v>99</v>
      </c>
      <c r="P219" s="10">
        <v>259.95</v>
      </c>
      <c r="S219">
        <v>24</v>
      </c>
      <c r="U219">
        <v>15.5</v>
      </c>
      <c r="W219">
        <v>9.8800000000000008</v>
      </c>
      <c r="X219">
        <v>1</v>
      </c>
      <c r="Y219">
        <v>18.25</v>
      </c>
      <c r="Z219">
        <v>26.63</v>
      </c>
      <c r="AA219">
        <v>15</v>
      </c>
      <c r="AB219">
        <v>4.2190000000000003</v>
      </c>
      <c r="AC219">
        <v>15.63</v>
      </c>
      <c r="AF219" t="s">
        <v>308</v>
      </c>
      <c r="AK219" t="s">
        <v>98</v>
      </c>
      <c r="AM219" t="s">
        <v>98</v>
      </c>
      <c r="AN219" t="s">
        <v>98</v>
      </c>
      <c r="AO219" t="s">
        <v>98</v>
      </c>
      <c r="AP219" t="s">
        <v>100</v>
      </c>
      <c r="AQ219" t="s">
        <v>101</v>
      </c>
      <c r="AV219" t="s">
        <v>98</v>
      </c>
      <c r="AX219" t="s">
        <v>560</v>
      </c>
      <c r="AZ219" t="s">
        <v>102</v>
      </c>
      <c r="BB219" t="s">
        <v>235</v>
      </c>
      <c r="BC219" t="s">
        <v>746</v>
      </c>
      <c r="BD219" t="s">
        <v>7528</v>
      </c>
      <c r="BF219" t="s">
        <v>779</v>
      </c>
      <c r="BG219" t="s">
        <v>98</v>
      </c>
      <c r="BH219" t="s">
        <v>98</v>
      </c>
      <c r="BI219" t="s">
        <v>98</v>
      </c>
      <c r="BK219" t="s">
        <v>110</v>
      </c>
      <c r="BL219" t="s">
        <v>7528</v>
      </c>
      <c r="BQ219">
        <v>4.75</v>
      </c>
      <c r="BR219">
        <v>1</v>
      </c>
      <c r="BS219">
        <v>4.75</v>
      </c>
      <c r="BT219">
        <v>4.75</v>
      </c>
      <c r="CA219">
        <v>2291</v>
      </c>
      <c r="CB219" t="s">
        <v>560</v>
      </c>
      <c r="CL219" t="s">
        <v>99</v>
      </c>
      <c r="CM219" t="s">
        <v>99</v>
      </c>
      <c r="CN219" t="s">
        <v>442</v>
      </c>
      <c r="CO219" s="1">
        <v>42839</v>
      </c>
      <c r="CP219" s="1">
        <v>43633</v>
      </c>
    </row>
    <row r="220" spans="1:94" x14ac:dyDescent="0.25">
      <c r="A220" t="s">
        <v>780</v>
      </c>
      <c r="B220" t="str">
        <f xml:space="preserve"> "" &amp; 747396101996</f>
        <v>747396101996</v>
      </c>
      <c r="C220" t="s">
        <v>243</v>
      </c>
      <c r="D220" t="s">
        <v>6544</v>
      </c>
      <c r="E220" t="s">
        <v>771</v>
      </c>
      <c r="F220" t="s">
        <v>240</v>
      </c>
      <c r="G220">
        <v>1</v>
      </c>
      <c r="H220">
        <v>1</v>
      </c>
      <c r="I220" t="s">
        <v>97</v>
      </c>
      <c r="J220" s="10">
        <v>135</v>
      </c>
      <c r="K220" s="10">
        <v>405</v>
      </c>
      <c r="L220" s="10">
        <v>0</v>
      </c>
      <c r="N220" s="10">
        <v>0</v>
      </c>
      <c r="O220" t="s">
        <v>99</v>
      </c>
      <c r="P220" s="10">
        <v>259.95</v>
      </c>
      <c r="S220">
        <v>24</v>
      </c>
      <c r="U220">
        <v>15.5</v>
      </c>
      <c r="W220">
        <v>9.8800000000000008</v>
      </c>
      <c r="X220">
        <v>1</v>
      </c>
      <c r="Y220">
        <v>18.25</v>
      </c>
      <c r="Z220">
        <v>26.63</v>
      </c>
      <c r="AA220">
        <v>15</v>
      </c>
      <c r="AB220">
        <v>4.2190000000000003</v>
      </c>
      <c r="AC220">
        <v>15.63</v>
      </c>
      <c r="AE220">
        <v>3</v>
      </c>
      <c r="AF220" t="s">
        <v>772</v>
      </c>
      <c r="AG220">
        <v>60</v>
      </c>
      <c r="AK220" t="s">
        <v>98</v>
      </c>
      <c r="AM220" t="s">
        <v>98</v>
      </c>
      <c r="AN220" t="s">
        <v>98</v>
      </c>
      <c r="AO220" t="s">
        <v>98</v>
      </c>
      <c r="AP220" t="s">
        <v>100</v>
      </c>
      <c r="AQ220" t="s">
        <v>101</v>
      </c>
      <c r="AV220" t="s">
        <v>98</v>
      </c>
      <c r="AX220" t="s">
        <v>367</v>
      </c>
      <c r="AZ220" t="s">
        <v>102</v>
      </c>
      <c r="BB220" t="s">
        <v>235</v>
      </c>
      <c r="BC220" t="s">
        <v>746</v>
      </c>
      <c r="BD220" t="s">
        <v>7528</v>
      </c>
      <c r="BF220" t="s">
        <v>781</v>
      </c>
      <c r="BG220" t="s">
        <v>98</v>
      </c>
      <c r="BH220" t="s">
        <v>98</v>
      </c>
      <c r="BI220" t="s">
        <v>98</v>
      </c>
      <c r="BK220" t="s">
        <v>110</v>
      </c>
      <c r="BL220" t="s">
        <v>7528</v>
      </c>
      <c r="BQ220">
        <v>4.75</v>
      </c>
      <c r="BR220">
        <v>1</v>
      </c>
      <c r="BS220">
        <v>4.75</v>
      </c>
      <c r="BT220">
        <v>4.75</v>
      </c>
      <c r="CA220">
        <v>2291</v>
      </c>
      <c r="CB220" t="s">
        <v>367</v>
      </c>
      <c r="CL220" t="s">
        <v>99</v>
      </c>
      <c r="CM220" t="s">
        <v>99</v>
      </c>
      <c r="CN220" t="s">
        <v>442</v>
      </c>
      <c r="CO220" s="1">
        <v>42839</v>
      </c>
      <c r="CP220" s="1">
        <v>43633</v>
      </c>
    </row>
    <row r="221" spans="1:94" x14ac:dyDescent="0.25">
      <c r="A221" t="s">
        <v>782</v>
      </c>
      <c r="B221" t="str">
        <f xml:space="preserve"> "" &amp; 747396802930</f>
        <v>747396802930</v>
      </c>
      <c r="C221" t="s">
        <v>243</v>
      </c>
      <c r="D221" t="s">
        <v>6544</v>
      </c>
      <c r="E221" t="s">
        <v>771</v>
      </c>
      <c r="F221" t="s">
        <v>240</v>
      </c>
      <c r="G221">
        <v>1</v>
      </c>
      <c r="H221">
        <v>1</v>
      </c>
      <c r="I221" t="s">
        <v>97</v>
      </c>
      <c r="J221" s="10">
        <v>135</v>
      </c>
      <c r="K221" s="10">
        <v>405</v>
      </c>
      <c r="L221" s="10">
        <v>0</v>
      </c>
      <c r="N221" s="10">
        <v>0</v>
      </c>
      <c r="O221" t="s">
        <v>99</v>
      </c>
      <c r="P221" s="10">
        <v>259.95</v>
      </c>
      <c r="S221">
        <v>24</v>
      </c>
      <c r="U221">
        <v>15.5</v>
      </c>
      <c r="W221">
        <v>9.8800000000000008</v>
      </c>
      <c r="X221">
        <v>1</v>
      </c>
      <c r="Y221">
        <v>18.25</v>
      </c>
      <c r="Z221">
        <v>26.63</v>
      </c>
      <c r="AA221">
        <v>15</v>
      </c>
      <c r="AB221">
        <v>4.2190000000000003</v>
      </c>
      <c r="AC221">
        <v>15.63</v>
      </c>
      <c r="AE221">
        <v>3</v>
      </c>
      <c r="AF221" t="s">
        <v>772</v>
      </c>
      <c r="AG221">
        <v>60</v>
      </c>
      <c r="AK221" t="s">
        <v>98</v>
      </c>
      <c r="AM221" t="s">
        <v>98</v>
      </c>
      <c r="AN221" t="s">
        <v>99</v>
      </c>
      <c r="AO221" t="s">
        <v>98</v>
      </c>
      <c r="AP221" t="s">
        <v>100</v>
      </c>
      <c r="AQ221" t="s">
        <v>101</v>
      </c>
      <c r="AV221" t="s">
        <v>98</v>
      </c>
      <c r="AX221" t="s">
        <v>484</v>
      </c>
      <c r="AZ221" t="s">
        <v>102</v>
      </c>
      <c r="BB221" t="s">
        <v>235</v>
      </c>
      <c r="BC221" t="s">
        <v>746</v>
      </c>
      <c r="BD221" t="s">
        <v>7528</v>
      </c>
      <c r="BF221" t="s">
        <v>783</v>
      </c>
      <c r="BG221" t="s">
        <v>98</v>
      </c>
      <c r="BH221" t="s">
        <v>98</v>
      </c>
      <c r="BI221" t="s">
        <v>98</v>
      </c>
      <c r="BK221" t="s">
        <v>110</v>
      </c>
      <c r="BL221" t="s">
        <v>7528</v>
      </c>
      <c r="BQ221">
        <v>4.75</v>
      </c>
      <c r="BR221">
        <v>1</v>
      </c>
      <c r="BS221">
        <v>4.75</v>
      </c>
      <c r="BT221">
        <v>4.75</v>
      </c>
      <c r="CA221">
        <v>2291</v>
      </c>
      <c r="CB221" t="s">
        <v>484</v>
      </c>
      <c r="CL221" t="s">
        <v>99</v>
      </c>
      <c r="CM221" t="s">
        <v>99</v>
      </c>
      <c r="CN221" t="s">
        <v>237</v>
      </c>
      <c r="CO221" s="1">
        <v>42724</v>
      </c>
      <c r="CP221" s="1">
        <v>43633</v>
      </c>
    </row>
    <row r="222" spans="1:94" x14ac:dyDescent="0.25">
      <c r="A222" t="s">
        <v>784</v>
      </c>
      <c r="B222" t="str">
        <f xml:space="preserve"> "" &amp; 747396102009</f>
        <v>747396102009</v>
      </c>
      <c r="C222" t="s">
        <v>339</v>
      </c>
      <c r="D222" t="s">
        <v>785</v>
      </c>
      <c r="E222" t="s">
        <v>771</v>
      </c>
      <c r="F222" t="s">
        <v>240</v>
      </c>
      <c r="G222">
        <v>1</v>
      </c>
      <c r="H222">
        <v>1</v>
      </c>
      <c r="I222" t="s">
        <v>97</v>
      </c>
      <c r="J222" s="10">
        <v>155</v>
      </c>
      <c r="K222" s="10">
        <v>465</v>
      </c>
      <c r="L222" s="10">
        <v>0</v>
      </c>
      <c r="N222" s="10">
        <v>0</v>
      </c>
      <c r="O222" t="s">
        <v>99</v>
      </c>
      <c r="P222" s="10">
        <v>279.95</v>
      </c>
      <c r="S222">
        <v>28.75</v>
      </c>
      <c r="U222">
        <v>19</v>
      </c>
      <c r="W222">
        <v>14.55</v>
      </c>
      <c r="X222">
        <v>1</v>
      </c>
      <c r="Y222">
        <v>21.5</v>
      </c>
      <c r="Z222">
        <v>31.5</v>
      </c>
      <c r="AA222">
        <v>18.5</v>
      </c>
      <c r="AB222">
        <v>7.2510000000000003</v>
      </c>
      <c r="AC222">
        <v>22.49</v>
      </c>
      <c r="AE222">
        <v>4</v>
      </c>
      <c r="AF222" t="s">
        <v>308</v>
      </c>
      <c r="AG222">
        <v>60</v>
      </c>
      <c r="AK222" t="s">
        <v>98</v>
      </c>
      <c r="AM222" t="s">
        <v>98</v>
      </c>
      <c r="AN222" t="s">
        <v>98</v>
      </c>
      <c r="AO222" t="s">
        <v>98</v>
      </c>
      <c r="AP222" t="s">
        <v>100</v>
      </c>
      <c r="AQ222" t="s">
        <v>101</v>
      </c>
      <c r="AV222" t="s">
        <v>98</v>
      </c>
      <c r="AX222" t="s">
        <v>560</v>
      </c>
      <c r="AZ222" t="s">
        <v>102</v>
      </c>
      <c r="BB222" t="s">
        <v>235</v>
      </c>
      <c r="BC222" t="s">
        <v>746</v>
      </c>
      <c r="BD222" t="s">
        <v>7528</v>
      </c>
      <c r="BF222" t="s">
        <v>786</v>
      </c>
      <c r="BG222" t="s">
        <v>98</v>
      </c>
      <c r="BH222" t="s">
        <v>98</v>
      </c>
      <c r="BI222" t="s">
        <v>98</v>
      </c>
      <c r="BK222" t="s">
        <v>110</v>
      </c>
      <c r="BL222" t="s">
        <v>7528</v>
      </c>
      <c r="BQ222">
        <v>4.75</v>
      </c>
      <c r="BR222">
        <v>1</v>
      </c>
      <c r="BS222">
        <v>4.75</v>
      </c>
      <c r="BT222">
        <v>4.75</v>
      </c>
      <c r="CA222">
        <v>2292</v>
      </c>
      <c r="CB222" t="s">
        <v>560</v>
      </c>
      <c r="CL222" t="s">
        <v>99</v>
      </c>
      <c r="CM222" t="s">
        <v>99</v>
      </c>
      <c r="CN222" t="s">
        <v>442</v>
      </c>
      <c r="CO222" s="1">
        <v>42839</v>
      </c>
      <c r="CP222" s="1">
        <v>43633</v>
      </c>
    </row>
    <row r="223" spans="1:94" x14ac:dyDescent="0.25">
      <c r="A223" t="s">
        <v>787</v>
      </c>
      <c r="B223" t="str">
        <f xml:space="preserve"> "" &amp; 747396102016</f>
        <v>747396102016</v>
      </c>
      <c r="C223" t="s">
        <v>339</v>
      </c>
      <c r="D223" t="s">
        <v>785</v>
      </c>
      <c r="E223" t="s">
        <v>771</v>
      </c>
      <c r="F223" t="s">
        <v>240</v>
      </c>
      <c r="G223">
        <v>1</v>
      </c>
      <c r="H223">
        <v>1</v>
      </c>
      <c r="I223" t="s">
        <v>97</v>
      </c>
      <c r="J223" s="10">
        <v>155</v>
      </c>
      <c r="K223" s="10">
        <v>465</v>
      </c>
      <c r="L223" s="10">
        <v>0</v>
      </c>
      <c r="N223" s="10">
        <v>0</v>
      </c>
      <c r="O223" t="s">
        <v>99</v>
      </c>
      <c r="P223" s="10">
        <v>279.95</v>
      </c>
      <c r="S223">
        <v>28.75</v>
      </c>
      <c r="U223">
        <v>19</v>
      </c>
      <c r="W223">
        <v>14.55</v>
      </c>
      <c r="X223">
        <v>1</v>
      </c>
      <c r="Y223">
        <v>21.5</v>
      </c>
      <c r="Z223">
        <v>31.5</v>
      </c>
      <c r="AA223">
        <v>18.5</v>
      </c>
      <c r="AB223">
        <v>7.2510000000000003</v>
      </c>
      <c r="AC223">
        <v>22.49</v>
      </c>
      <c r="AE223">
        <v>4</v>
      </c>
      <c r="AF223" t="s">
        <v>308</v>
      </c>
      <c r="AG223">
        <v>60</v>
      </c>
      <c r="AK223" t="s">
        <v>98</v>
      </c>
      <c r="AM223" t="s">
        <v>98</v>
      </c>
      <c r="AN223" t="s">
        <v>98</v>
      </c>
      <c r="AO223" t="s">
        <v>98</v>
      </c>
      <c r="AP223" t="s">
        <v>100</v>
      </c>
      <c r="AQ223" t="s">
        <v>101</v>
      </c>
      <c r="AV223" t="s">
        <v>98</v>
      </c>
      <c r="AX223" t="s">
        <v>367</v>
      </c>
      <c r="AZ223" t="s">
        <v>102</v>
      </c>
      <c r="BB223" t="s">
        <v>235</v>
      </c>
      <c r="BC223" t="s">
        <v>746</v>
      </c>
      <c r="BD223" t="s">
        <v>7528</v>
      </c>
      <c r="BF223" t="s">
        <v>788</v>
      </c>
      <c r="BG223" t="s">
        <v>98</v>
      </c>
      <c r="BH223" t="s">
        <v>98</v>
      </c>
      <c r="BI223" t="s">
        <v>98</v>
      </c>
      <c r="BK223" t="s">
        <v>110</v>
      </c>
      <c r="BL223" t="s">
        <v>7528</v>
      </c>
      <c r="BQ223">
        <v>4.75</v>
      </c>
      <c r="BR223">
        <v>1</v>
      </c>
      <c r="BS223">
        <v>4.75</v>
      </c>
      <c r="BT223">
        <v>4.75</v>
      </c>
      <c r="CA223">
        <v>2292</v>
      </c>
      <c r="CB223" t="s">
        <v>367</v>
      </c>
      <c r="CL223" t="s">
        <v>99</v>
      </c>
      <c r="CM223" t="s">
        <v>99</v>
      </c>
      <c r="CN223" t="s">
        <v>442</v>
      </c>
      <c r="CO223" s="1">
        <v>42839</v>
      </c>
      <c r="CP223" s="1">
        <v>43633</v>
      </c>
    </row>
    <row r="224" spans="1:94" x14ac:dyDescent="0.25">
      <c r="A224" t="s">
        <v>789</v>
      </c>
      <c r="B224" t="str">
        <f xml:space="preserve"> "" &amp; 747396802916</f>
        <v>747396802916</v>
      </c>
      <c r="C224" t="s">
        <v>339</v>
      </c>
      <c r="D224" t="s">
        <v>785</v>
      </c>
      <c r="E224" t="s">
        <v>771</v>
      </c>
      <c r="F224" t="s">
        <v>240</v>
      </c>
      <c r="G224">
        <v>1</v>
      </c>
      <c r="H224">
        <v>1</v>
      </c>
      <c r="I224" t="s">
        <v>97</v>
      </c>
      <c r="J224" s="10">
        <v>155</v>
      </c>
      <c r="K224" s="10">
        <v>465</v>
      </c>
      <c r="L224" s="10">
        <v>0</v>
      </c>
      <c r="N224" s="10">
        <v>0</v>
      </c>
      <c r="O224" t="s">
        <v>99</v>
      </c>
      <c r="P224" s="10">
        <v>279.95</v>
      </c>
      <c r="S224">
        <v>28.75</v>
      </c>
      <c r="U224">
        <v>19</v>
      </c>
      <c r="W224">
        <v>14.55</v>
      </c>
      <c r="X224">
        <v>1</v>
      </c>
      <c r="AB224">
        <v>7.2510000000000003</v>
      </c>
      <c r="AC224">
        <v>22.49</v>
      </c>
      <c r="AE224">
        <v>4</v>
      </c>
      <c r="AF224" t="s">
        <v>308</v>
      </c>
      <c r="AG224">
        <v>60</v>
      </c>
      <c r="AK224" t="s">
        <v>98</v>
      </c>
      <c r="AM224" t="s">
        <v>98</v>
      </c>
      <c r="AN224" t="s">
        <v>99</v>
      </c>
      <c r="AO224" t="s">
        <v>98</v>
      </c>
      <c r="AP224" t="s">
        <v>100</v>
      </c>
      <c r="AQ224" t="s">
        <v>101</v>
      </c>
      <c r="AV224" t="s">
        <v>98</v>
      </c>
      <c r="AX224" t="s">
        <v>484</v>
      </c>
      <c r="AZ224" t="s">
        <v>102</v>
      </c>
      <c r="BB224" t="s">
        <v>235</v>
      </c>
      <c r="BC224" t="s">
        <v>746</v>
      </c>
      <c r="BD224" t="s">
        <v>7528</v>
      </c>
      <c r="BF224" t="s">
        <v>790</v>
      </c>
      <c r="BG224" t="s">
        <v>98</v>
      </c>
      <c r="BH224" t="s">
        <v>98</v>
      </c>
      <c r="BI224" t="s">
        <v>98</v>
      </c>
      <c r="BK224" t="s">
        <v>110</v>
      </c>
      <c r="BL224" t="s">
        <v>7528</v>
      </c>
      <c r="BQ224">
        <v>4.75</v>
      </c>
      <c r="BR224">
        <v>1</v>
      </c>
      <c r="BS224">
        <v>4.75</v>
      </c>
      <c r="BT224">
        <v>4.75</v>
      </c>
      <c r="CA224">
        <v>2292</v>
      </c>
      <c r="CB224" t="s">
        <v>484</v>
      </c>
      <c r="CL224" t="s">
        <v>99</v>
      </c>
      <c r="CM224" t="s">
        <v>99</v>
      </c>
      <c r="CN224" t="s">
        <v>442</v>
      </c>
      <c r="CO224" s="1">
        <v>42724</v>
      </c>
      <c r="CP224" s="1">
        <v>43633</v>
      </c>
    </row>
    <row r="225" spans="1:94" x14ac:dyDescent="0.25">
      <c r="A225" t="s">
        <v>791</v>
      </c>
      <c r="B225" t="str">
        <f xml:space="preserve"> "" &amp; 747396097305</f>
        <v>747396097305</v>
      </c>
      <c r="C225" t="s">
        <v>751</v>
      </c>
      <c r="D225" t="s">
        <v>792</v>
      </c>
      <c r="E225" t="s">
        <v>793</v>
      </c>
      <c r="F225" t="s">
        <v>232</v>
      </c>
      <c r="G225">
        <v>1</v>
      </c>
      <c r="H225">
        <v>1</v>
      </c>
      <c r="I225" t="s">
        <v>97</v>
      </c>
      <c r="J225" s="10">
        <v>55</v>
      </c>
      <c r="K225" s="10">
        <v>165</v>
      </c>
      <c r="L225" s="10">
        <v>0</v>
      </c>
      <c r="N225" s="10">
        <v>0</v>
      </c>
      <c r="O225" t="s">
        <v>99</v>
      </c>
      <c r="P225" s="10">
        <v>114.95</v>
      </c>
      <c r="S225">
        <v>16</v>
      </c>
      <c r="T225">
        <v>14</v>
      </c>
      <c r="U225">
        <v>5.5</v>
      </c>
      <c r="V225">
        <v>5.5</v>
      </c>
      <c r="W225">
        <v>4.0999999999999996</v>
      </c>
      <c r="Y225">
        <v>9</v>
      </c>
      <c r="Z225">
        <v>14</v>
      </c>
      <c r="AA225">
        <v>7.75</v>
      </c>
      <c r="AB225">
        <v>0.56499999999999995</v>
      </c>
      <c r="AC225">
        <v>5.31</v>
      </c>
      <c r="AE225">
        <v>1</v>
      </c>
      <c r="AF225" t="s">
        <v>794</v>
      </c>
      <c r="AG225">
        <v>60</v>
      </c>
      <c r="AK225" t="s">
        <v>98</v>
      </c>
      <c r="AM225" t="s">
        <v>98</v>
      </c>
      <c r="AN225" t="s">
        <v>99</v>
      </c>
      <c r="AO225" t="s">
        <v>98</v>
      </c>
      <c r="AP225" t="s">
        <v>100</v>
      </c>
      <c r="AQ225" t="s">
        <v>101</v>
      </c>
      <c r="AV225" t="s">
        <v>98</v>
      </c>
      <c r="AX225" t="s">
        <v>279</v>
      </c>
      <c r="AZ225" t="s">
        <v>102</v>
      </c>
      <c r="BB225" t="s">
        <v>235</v>
      </c>
      <c r="BC225" t="s">
        <v>746</v>
      </c>
      <c r="BD225" t="s">
        <v>7528</v>
      </c>
      <c r="BF225" t="s">
        <v>795</v>
      </c>
      <c r="BG225" t="s">
        <v>98</v>
      </c>
      <c r="BH225" t="s">
        <v>98</v>
      </c>
      <c r="BI225" t="s">
        <v>98</v>
      </c>
      <c r="BK225" t="s">
        <v>127</v>
      </c>
      <c r="BL225" t="s">
        <v>756</v>
      </c>
      <c r="BM225">
        <v>5.38</v>
      </c>
      <c r="BN225">
        <v>8</v>
      </c>
      <c r="CA225">
        <v>2301</v>
      </c>
      <c r="CB225" t="s">
        <v>279</v>
      </c>
      <c r="CL225" t="s">
        <v>99</v>
      </c>
      <c r="CM225" t="s">
        <v>98</v>
      </c>
      <c r="CN225" t="s">
        <v>442</v>
      </c>
      <c r="CO225" s="1">
        <v>42324</v>
      </c>
      <c r="CP225" s="1">
        <v>43633</v>
      </c>
    </row>
    <row r="226" spans="1:94" x14ac:dyDescent="0.25">
      <c r="A226" t="s">
        <v>796</v>
      </c>
      <c r="B226" t="str">
        <f xml:space="preserve"> "" &amp; 747396096964</f>
        <v>747396096964</v>
      </c>
      <c r="C226" t="s">
        <v>758</v>
      </c>
      <c r="D226" t="s">
        <v>797</v>
      </c>
      <c r="E226" t="s">
        <v>793</v>
      </c>
      <c r="F226" t="s">
        <v>323</v>
      </c>
      <c r="G226">
        <v>1</v>
      </c>
      <c r="H226">
        <v>1</v>
      </c>
      <c r="I226" t="s">
        <v>97</v>
      </c>
      <c r="J226" s="10">
        <v>79</v>
      </c>
      <c r="K226" s="10">
        <v>237</v>
      </c>
      <c r="L226" s="10">
        <v>0</v>
      </c>
      <c r="N226" s="10">
        <v>0</v>
      </c>
      <c r="O226" t="s">
        <v>99</v>
      </c>
      <c r="P226" s="10">
        <v>169.95</v>
      </c>
      <c r="S226">
        <v>9</v>
      </c>
      <c r="U226">
        <v>16</v>
      </c>
      <c r="V226">
        <v>7</v>
      </c>
      <c r="W226">
        <v>7.23</v>
      </c>
      <c r="Y226">
        <v>9.5</v>
      </c>
      <c r="Z226">
        <v>18.5</v>
      </c>
      <c r="AA226">
        <v>9.75</v>
      </c>
      <c r="AB226">
        <v>0.99199999999999999</v>
      </c>
      <c r="AC226">
        <v>9.33</v>
      </c>
      <c r="AE226">
        <v>2</v>
      </c>
      <c r="AF226" t="s">
        <v>794</v>
      </c>
      <c r="AG226">
        <v>60</v>
      </c>
      <c r="AK226" t="s">
        <v>98</v>
      </c>
      <c r="AM226" t="s">
        <v>98</v>
      </c>
      <c r="AN226" t="s">
        <v>99</v>
      </c>
      <c r="AO226" t="s">
        <v>98</v>
      </c>
      <c r="AP226" t="s">
        <v>100</v>
      </c>
      <c r="AQ226" t="s">
        <v>101</v>
      </c>
      <c r="AV226" t="s">
        <v>98</v>
      </c>
      <c r="AX226" t="s">
        <v>279</v>
      </c>
      <c r="AZ226" t="s">
        <v>102</v>
      </c>
      <c r="BB226" t="s">
        <v>235</v>
      </c>
      <c r="BC226" t="s">
        <v>746</v>
      </c>
      <c r="BD226" t="s">
        <v>7528</v>
      </c>
      <c r="BF226" t="s">
        <v>798</v>
      </c>
      <c r="BG226" t="s">
        <v>98</v>
      </c>
      <c r="BH226" t="s">
        <v>98</v>
      </c>
      <c r="BI226" t="s">
        <v>98</v>
      </c>
      <c r="BK226" t="s">
        <v>127</v>
      </c>
      <c r="BL226" t="s">
        <v>128</v>
      </c>
      <c r="BM226">
        <v>8</v>
      </c>
      <c r="BN226">
        <v>5.38</v>
      </c>
      <c r="CA226">
        <v>2302</v>
      </c>
      <c r="CB226" t="s">
        <v>279</v>
      </c>
      <c r="CL226" t="s">
        <v>99</v>
      </c>
      <c r="CM226" t="s">
        <v>98</v>
      </c>
      <c r="CN226" t="s">
        <v>442</v>
      </c>
      <c r="CO226" s="1">
        <v>42324</v>
      </c>
      <c r="CP226" s="1">
        <v>43633</v>
      </c>
    </row>
    <row r="227" spans="1:94" x14ac:dyDescent="0.25">
      <c r="A227" t="s">
        <v>799</v>
      </c>
      <c r="B227" t="str">
        <f xml:space="preserve"> "" &amp; 747396096971</f>
        <v>747396096971</v>
      </c>
      <c r="C227" t="s">
        <v>762</v>
      </c>
      <c r="D227" t="s">
        <v>800</v>
      </c>
      <c r="E227" t="s">
        <v>793</v>
      </c>
      <c r="F227" t="s">
        <v>323</v>
      </c>
      <c r="G227">
        <v>1</v>
      </c>
      <c r="H227">
        <v>1</v>
      </c>
      <c r="I227" t="s">
        <v>97</v>
      </c>
      <c r="J227" s="10">
        <v>109</v>
      </c>
      <c r="K227" s="10">
        <v>327</v>
      </c>
      <c r="L227" s="10">
        <v>0</v>
      </c>
      <c r="N227" s="10">
        <v>0</v>
      </c>
      <c r="O227" t="s">
        <v>99</v>
      </c>
      <c r="P227" s="10">
        <v>229.95</v>
      </c>
      <c r="S227">
        <v>9</v>
      </c>
      <c r="U227">
        <v>24</v>
      </c>
      <c r="V227">
        <v>7</v>
      </c>
      <c r="W227">
        <v>10.14</v>
      </c>
      <c r="Y227">
        <v>9.5</v>
      </c>
      <c r="Z227">
        <v>26.38</v>
      </c>
      <c r="AA227">
        <v>9.75</v>
      </c>
      <c r="AB227">
        <v>1.4139999999999999</v>
      </c>
      <c r="AC227">
        <v>12.94</v>
      </c>
      <c r="AE227">
        <v>3</v>
      </c>
      <c r="AF227" t="s">
        <v>794</v>
      </c>
      <c r="AG227">
        <v>60</v>
      </c>
      <c r="AK227" t="s">
        <v>98</v>
      </c>
      <c r="AM227" t="s">
        <v>98</v>
      </c>
      <c r="AN227" t="s">
        <v>99</v>
      </c>
      <c r="AO227" t="s">
        <v>98</v>
      </c>
      <c r="AP227" t="s">
        <v>100</v>
      </c>
      <c r="AQ227" t="s">
        <v>101</v>
      </c>
      <c r="AV227" t="s">
        <v>98</v>
      </c>
      <c r="AX227" t="s">
        <v>279</v>
      </c>
      <c r="AZ227" t="s">
        <v>102</v>
      </c>
      <c r="BB227" t="s">
        <v>235</v>
      </c>
      <c r="BC227" t="s">
        <v>746</v>
      </c>
      <c r="BD227" t="s">
        <v>7528</v>
      </c>
      <c r="BF227" t="s">
        <v>801</v>
      </c>
      <c r="BG227" t="s">
        <v>98</v>
      </c>
      <c r="BH227" t="s">
        <v>98</v>
      </c>
      <c r="BI227" t="s">
        <v>98</v>
      </c>
      <c r="BK227" t="s">
        <v>127</v>
      </c>
      <c r="BL227" t="s">
        <v>128</v>
      </c>
      <c r="BM227">
        <v>8</v>
      </c>
      <c r="BN227">
        <v>5.38</v>
      </c>
      <c r="CA227">
        <v>2303</v>
      </c>
      <c r="CB227" t="s">
        <v>279</v>
      </c>
      <c r="CL227" t="s">
        <v>99</v>
      </c>
      <c r="CM227" t="s">
        <v>98</v>
      </c>
      <c r="CN227" t="s">
        <v>394</v>
      </c>
      <c r="CO227" s="1">
        <v>42324</v>
      </c>
      <c r="CP227" s="1">
        <v>43633</v>
      </c>
    </row>
    <row r="228" spans="1:94" x14ac:dyDescent="0.25">
      <c r="A228" t="s">
        <v>802</v>
      </c>
      <c r="B228" t="str">
        <f xml:space="preserve"> "" &amp; 747396096988</f>
        <v>747396096988</v>
      </c>
      <c r="C228" t="s">
        <v>766</v>
      </c>
      <c r="D228" t="s">
        <v>803</v>
      </c>
      <c r="E228" t="s">
        <v>793</v>
      </c>
      <c r="F228" t="s">
        <v>323</v>
      </c>
      <c r="G228">
        <v>1</v>
      </c>
      <c r="H228">
        <v>1</v>
      </c>
      <c r="I228" t="s">
        <v>97</v>
      </c>
      <c r="J228" s="10">
        <v>129</v>
      </c>
      <c r="K228" s="10">
        <v>387</v>
      </c>
      <c r="L228" s="10">
        <v>0</v>
      </c>
      <c r="N228" s="10">
        <v>0</v>
      </c>
      <c r="O228" t="s">
        <v>99</v>
      </c>
      <c r="P228" s="10">
        <v>269.95</v>
      </c>
      <c r="S228">
        <v>9</v>
      </c>
      <c r="U228">
        <v>32</v>
      </c>
      <c r="V228">
        <v>7</v>
      </c>
      <c r="W228">
        <v>13.25</v>
      </c>
      <c r="Y228">
        <v>9.5</v>
      </c>
      <c r="Z228">
        <v>34.5</v>
      </c>
      <c r="AA228">
        <v>9.75</v>
      </c>
      <c r="AB228">
        <v>1.849</v>
      </c>
      <c r="AC228">
        <v>16.8</v>
      </c>
      <c r="AE228">
        <v>4</v>
      </c>
      <c r="AF228" t="s">
        <v>804</v>
      </c>
      <c r="AG228">
        <v>60</v>
      </c>
      <c r="AK228" t="s">
        <v>98</v>
      </c>
      <c r="AM228" t="s">
        <v>98</v>
      </c>
      <c r="AN228" t="s">
        <v>99</v>
      </c>
      <c r="AO228" t="s">
        <v>98</v>
      </c>
      <c r="AP228" t="s">
        <v>100</v>
      </c>
      <c r="AQ228" t="s">
        <v>101</v>
      </c>
      <c r="AV228" t="s">
        <v>98</v>
      </c>
      <c r="AX228" t="s">
        <v>279</v>
      </c>
      <c r="AZ228" t="s">
        <v>102</v>
      </c>
      <c r="BB228" t="s">
        <v>235</v>
      </c>
      <c r="BC228" t="s">
        <v>746</v>
      </c>
      <c r="BD228" t="s">
        <v>7528</v>
      </c>
      <c r="BF228" t="s">
        <v>805</v>
      </c>
      <c r="BG228" t="s">
        <v>98</v>
      </c>
      <c r="BH228" t="s">
        <v>98</v>
      </c>
      <c r="BI228" t="s">
        <v>98</v>
      </c>
      <c r="BK228" t="s">
        <v>127</v>
      </c>
      <c r="BL228" t="s">
        <v>128</v>
      </c>
      <c r="BM228">
        <v>8</v>
      </c>
      <c r="BN228">
        <v>5.38</v>
      </c>
      <c r="CA228">
        <v>2304</v>
      </c>
      <c r="CB228" t="s">
        <v>279</v>
      </c>
      <c r="CL228" t="s">
        <v>99</v>
      </c>
      <c r="CM228" t="s">
        <v>98</v>
      </c>
      <c r="CN228" t="s">
        <v>442</v>
      </c>
      <c r="CO228" s="1">
        <v>42324</v>
      </c>
      <c r="CP228" s="1">
        <v>43633</v>
      </c>
    </row>
    <row r="229" spans="1:94" x14ac:dyDescent="0.25">
      <c r="A229" t="s">
        <v>806</v>
      </c>
      <c r="B229" t="str">
        <f xml:space="preserve"> "" &amp; 747396101361</f>
        <v>747396101361</v>
      </c>
      <c r="C229" t="s">
        <v>807</v>
      </c>
      <c r="D229" t="s">
        <v>807</v>
      </c>
      <c r="E229" t="s">
        <v>7528</v>
      </c>
      <c r="F229" t="s">
        <v>7532</v>
      </c>
      <c r="G229">
        <v>1</v>
      </c>
      <c r="H229">
        <v>1</v>
      </c>
      <c r="I229" t="s">
        <v>97</v>
      </c>
      <c r="J229" s="10">
        <v>129</v>
      </c>
      <c r="K229" s="10">
        <v>387</v>
      </c>
      <c r="L229" s="10">
        <v>0</v>
      </c>
      <c r="N229" s="10">
        <v>0</v>
      </c>
      <c r="O229" t="s">
        <v>99</v>
      </c>
      <c r="P229" s="10">
        <v>274.95</v>
      </c>
      <c r="S229">
        <v>4.75</v>
      </c>
      <c r="U229">
        <v>24.25</v>
      </c>
      <c r="V229">
        <v>4.25</v>
      </c>
      <c r="W229">
        <v>5.93</v>
      </c>
      <c r="X229">
        <v>1</v>
      </c>
      <c r="Y229">
        <v>8</v>
      </c>
      <c r="Z229">
        <v>26.25</v>
      </c>
      <c r="AA229">
        <v>7.5</v>
      </c>
      <c r="AB229">
        <v>0.91100000000000003</v>
      </c>
      <c r="AC229">
        <v>7.39</v>
      </c>
      <c r="AE229">
        <v>1</v>
      </c>
      <c r="AF229" t="s">
        <v>559</v>
      </c>
      <c r="AG229">
        <v>30</v>
      </c>
      <c r="AK229" t="s">
        <v>99</v>
      </c>
      <c r="AM229" t="s">
        <v>98</v>
      </c>
      <c r="AN229" t="s">
        <v>99</v>
      </c>
      <c r="AO229" t="s">
        <v>98</v>
      </c>
      <c r="AP229" t="s">
        <v>100</v>
      </c>
      <c r="AQ229" t="s">
        <v>101</v>
      </c>
      <c r="AV229" t="s">
        <v>98</v>
      </c>
      <c r="AX229" t="s">
        <v>484</v>
      </c>
      <c r="AZ229" t="s">
        <v>102</v>
      </c>
      <c r="BB229" t="s">
        <v>235</v>
      </c>
      <c r="BC229" t="s">
        <v>808</v>
      </c>
      <c r="BD229" t="s">
        <v>7528</v>
      </c>
      <c r="BF229" t="s">
        <v>809</v>
      </c>
      <c r="BG229" t="s">
        <v>98</v>
      </c>
      <c r="BH229" t="s">
        <v>98</v>
      </c>
      <c r="BI229" t="s">
        <v>98</v>
      </c>
      <c r="BK229" t="s">
        <v>127</v>
      </c>
      <c r="BL229" t="s">
        <v>756</v>
      </c>
      <c r="BM229">
        <v>23.5</v>
      </c>
      <c r="BN229">
        <v>4.75</v>
      </c>
      <c r="CA229">
        <v>231</v>
      </c>
      <c r="CB229" t="s">
        <v>484</v>
      </c>
      <c r="CG229">
        <v>3000</v>
      </c>
      <c r="CH229">
        <v>91</v>
      </c>
      <c r="CI229">
        <v>3081</v>
      </c>
      <c r="CJ229">
        <v>1600</v>
      </c>
      <c r="CK229">
        <v>30000</v>
      </c>
      <c r="CL229" t="s">
        <v>99</v>
      </c>
      <c r="CM229" t="s">
        <v>98</v>
      </c>
      <c r="CN229" t="s">
        <v>810</v>
      </c>
      <c r="CO229" s="1">
        <v>42755</v>
      </c>
      <c r="CP229" s="1">
        <v>43633</v>
      </c>
    </row>
    <row r="230" spans="1:94" x14ac:dyDescent="0.25">
      <c r="A230" t="s">
        <v>811</v>
      </c>
      <c r="B230" t="str">
        <f xml:space="preserve"> "" &amp; 747396103365</f>
        <v>747396103365</v>
      </c>
      <c r="C230" t="s">
        <v>853</v>
      </c>
      <c r="D230" t="s">
        <v>812</v>
      </c>
      <c r="E230" t="s">
        <v>771</v>
      </c>
      <c r="F230" t="s">
        <v>377</v>
      </c>
      <c r="G230">
        <v>1</v>
      </c>
      <c r="H230">
        <v>1</v>
      </c>
      <c r="I230" t="s">
        <v>97</v>
      </c>
      <c r="J230" s="10">
        <v>79</v>
      </c>
      <c r="K230" s="10">
        <v>237</v>
      </c>
      <c r="L230" s="10">
        <v>0</v>
      </c>
      <c r="N230" s="10">
        <v>0</v>
      </c>
      <c r="O230" t="s">
        <v>99</v>
      </c>
      <c r="P230" s="10">
        <v>169.95</v>
      </c>
      <c r="S230">
        <v>11.5</v>
      </c>
      <c r="T230">
        <v>8.5</v>
      </c>
      <c r="U230">
        <v>8.5</v>
      </c>
      <c r="W230">
        <v>5.47</v>
      </c>
      <c r="X230">
        <v>1</v>
      </c>
      <c r="Y230">
        <v>9.75</v>
      </c>
      <c r="Z230">
        <v>12</v>
      </c>
      <c r="AA230">
        <v>12</v>
      </c>
      <c r="AB230">
        <v>0.81299999999999994</v>
      </c>
      <c r="AC230">
        <v>6.7</v>
      </c>
      <c r="AE230">
        <v>1</v>
      </c>
      <c r="AF230" t="s">
        <v>282</v>
      </c>
      <c r="AG230">
        <v>100</v>
      </c>
      <c r="AK230" t="s">
        <v>98</v>
      </c>
      <c r="AM230" t="s">
        <v>98</v>
      </c>
      <c r="AN230" t="s">
        <v>99</v>
      </c>
      <c r="AO230" t="s">
        <v>98</v>
      </c>
      <c r="AP230" t="s">
        <v>100</v>
      </c>
      <c r="AQ230" t="s">
        <v>101</v>
      </c>
      <c r="AV230" t="s">
        <v>98</v>
      </c>
      <c r="AX230" t="s">
        <v>279</v>
      </c>
      <c r="AZ230" t="s">
        <v>102</v>
      </c>
      <c r="BB230" t="s">
        <v>235</v>
      </c>
      <c r="BC230" t="s">
        <v>813</v>
      </c>
      <c r="BD230" t="s">
        <v>7528</v>
      </c>
      <c r="BF230" t="s">
        <v>814</v>
      </c>
      <c r="BG230" t="s">
        <v>98</v>
      </c>
      <c r="BH230" t="s">
        <v>98</v>
      </c>
      <c r="BI230" t="s">
        <v>98</v>
      </c>
      <c r="BK230" t="s">
        <v>127</v>
      </c>
      <c r="BL230" t="s">
        <v>7528</v>
      </c>
      <c r="BQ230">
        <v>5</v>
      </c>
      <c r="BR230">
        <v>0.75</v>
      </c>
      <c r="BS230">
        <v>5</v>
      </c>
      <c r="BT230">
        <v>5</v>
      </c>
      <c r="CA230">
        <v>2320</v>
      </c>
      <c r="CB230" t="s">
        <v>279</v>
      </c>
      <c r="CL230" t="s">
        <v>99</v>
      </c>
      <c r="CM230" t="s">
        <v>99</v>
      </c>
      <c r="CN230" t="s">
        <v>442</v>
      </c>
      <c r="CO230" s="1">
        <v>42902</v>
      </c>
      <c r="CP230" s="1">
        <v>43633</v>
      </c>
    </row>
    <row r="231" spans="1:94" x14ac:dyDescent="0.25">
      <c r="A231" t="s">
        <v>815</v>
      </c>
      <c r="B231" t="str">
        <f xml:space="preserve"> "" &amp; 747396802855</f>
        <v>747396802855</v>
      </c>
      <c r="C231" t="s">
        <v>678</v>
      </c>
      <c r="D231" t="s">
        <v>816</v>
      </c>
      <c r="E231" t="s">
        <v>771</v>
      </c>
      <c r="F231" t="s">
        <v>240</v>
      </c>
      <c r="G231">
        <v>1</v>
      </c>
      <c r="H231">
        <v>1</v>
      </c>
      <c r="I231" t="s">
        <v>97</v>
      </c>
      <c r="J231" s="10">
        <v>69</v>
      </c>
      <c r="K231" s="10">
        <v>207</v>
      </c>
      <c r="L231" s="10">
        <v>0</v>
      </c>
      <c r="N231" s="10">
        <v>0</v>
      </c>
      <c r="O231" t="s">
        <v>99</v>
      </c>
      <c r="P231" s="10">
        <v>144.94999999999999</v>
      </c>
      <c r="S231">
        <v>16</v>
      </c>
      <c r="U231">
        <v>8.25</v>
      </c>
      <c r="W231">
        <v>5.34</v>
      </c>
      <c r="X231">
        <v>1</v>
      </c>
      <c r="Y231">
        <v>9.75</v>
      </c>
      <c r="Z231">
        <v>12</v>
      </c>
      <c r="AA231">
        <v>12</v>
      </c>
      <c r="AB231">
        <v>0.81299999999999994</v>
      </c>
      <c r="AC231">
        <v>6.94</v>
      </c>
      <c r="AE231">
        <v>1</v>
      </c>
      <c r="AF231" t="s">
        <v>817</v>
      </c>
      <c r="AG231">
        <v>100</v>
      </c>
      <c r="AK231" t="s">
        <v>98</v>
      </c>
      <c r="AM231" t="s">
        <v>98</v>
      </c>
      <c r="AN231" t="s">
        <v>99</v>
      </c>
      <c r="AO231" t="s">
        <v>98</v>
      </c>
      <c r="AP231" t="s">
        <v>100</v>
      </c>
      <c r="AQ231" t="s">
        <v>101</v>
      </c>
      <c r="AV231" t="s">
        <v>98</v>
      </c>
      <c r="AX231" t="s">
        <v>279</v>
      </c>
      <c r="AZ231" t="s">
        <v>102</v>
      </c>
      <c r="BB231" t="s">
        <v>235</v>
      </c>
      <c r="BC231" t="s">
        <v>818</v>
      </c>
      <c r="BD231" t="s">
        <v>7528</v>
      </c>
      <c r="BF231" t="s">
        <v>819</v>
      </c>
      <c r="BG231" t="s">
        <v>98</v>
      </c>
      <c r="BH231" t="s">
        <v>98</v>
      </c>
      <c r="BI231" t="s">
        <v>98</v>
      </c>
      <c r="BK231" t="s">
        <v>110</v>
      </c>
      <c r="BL231" t="s">
        <v>7528</v>
      </c>
      <c r="BR231">
        <v>1</v>
      </c>
      <c r="BS231">
        <v>4.88</v>
      </c>
      <c r="BT231">
        <v>4.88</v>
      </c>
      <c r="CA231">
        <v>2321</v>
      </c>
      <c r="CB231" t="s">
        <v>279</v>
      </c>
      <c r="CL231" t="s">
        <v>99</v>
      </c>
      <c r="CM231" t="s">
        <v>99</v>
      </c>
      <c r="CN231" t="s">
        <v>442</v>
      </c>
      <c r="CO231" s="1">
        <v>42724</v>
      </c>
      <c r="CP231" s="1">
        <v>43633</v>
      </c>
    </row>
    <row r="232" spans="1:94" x14ac:dyDescent="0.25">
      <c r="A232" t="s">
        <v>820</v>
      </c>
      <c r="B232" t="str">
        <f xml:space="preserve"> "" &amp; 747396103358</f>
        <v>747396103358</v>
      </c>
      <c r="C232" t="s">
        <v>6545</v>
      </c>
      <c r="D232" t="s">
        <v>821</v>
      </c>
      <c r="E232" t="s">
        <v>771</v>
      </c>
      <c r="F232" t="s">
        <v>377</v>
      </c>
      <c r="G232">
        <v>1</v>
      </c>
      <c r="H232">
        <v>1</v>
      </c>
      <c r="I232" t="s">
        <v>97</v>
      </c>
      <c r="J232" s="10">
        <v>100</v>
      </c>
      <c r="K232" s="10">
        <v>300</v>
      </c>
      <c r="L232" s="10">
        <v>0</v>
      </c>
      <c r="N232" s="10">
        <v>0</v>
      </c>
      <c r="O232" t="s">
        <v>99</v>
      </c>
      <c r="P232" s="10">
        <v>209.95</v>
      </c>
      <c r="S232">
        <v>13.5</v>
      </c>
      <c r="T232">
        <v>11.5</v>
      </c>
      <c r="U232">
        <v>11.5</v>
      </c>
      <c r="W232">
        <v>8.99</v>
      </c>
      <c r="X232">
        <v>1</v>
      </c>
      <c r="Y232">
        <v>14</v>
      </c>
      <c r="Z232">
        <v>13</v>
      </c>
      <c r="AA232">
        <v>13</v>
      </c>
      <c r="AB232">
        <v>1.369</v>
      </c>
      <c r="AC232">
        <v>10.85</v>
      </c>
      <c r="AE232">
        <v>3</v>
      </c>
      <c r="AF232" t="s">
        <v>519</v>
      </c>
      <c r="AG232">
        <v>60</v>
      </c>
      <c r="AK232" t="s">
        <v>98</v>
      </c>
      <c r="AM232" t="s">
        <v>98</v>
      </c>
      <c r="AN232" t="s">
        <v>99</v>
      </c>
      <c r="AO232" t="s">
        <v>98</v>
      </c>
      <c r="AP232" t="s">
        <v>100</v>
      </c>
      <c r="AQ232" t="s">
        <v>101</v>
      </c>
      <c r="AV232" t="s">
        <v>98</v>
      </c>
      <c r="AX232" t="s">
        <v>279</v>
      </c>
      <c r="AZ232" t="s">
        <v>102</v>
      </c>
      <c r="BB232" t="s">
        <v>235</v>
      </c>
      <c r="BC232" t="s">
        <v>822</v>
      </c>
      <c r="BD232" t="s">
        <v>7528</v>
      </c>
      <c r="BF232" t="s">
        <v>823</v>
      </c>
      <c r="BG232" t="s">
        <v>98</v>
      </c>
      <c r="BH232" t="s">
        <v>98</v>
      </c>
      <c r="BI232" t="s">
        <v>98</v>
      </c>
      <c r="BK232" t="s">
        <v>127</v>
      </c>
      <c r="BL232" t="s">
        <v>7528</v>
      </c>
      <c r="BQ232">
        <v>5</v>
      </c>
      <c r="BR232">
        <v>0.75</v>
      </c>
      <c r="BS232">
        <v>5</v>
      </c>
      <c r="BT232">
        <v>5</v>
      </c>
      <c r="CA232">
        <v>2322</v>
      </c>
      <c r="CB232" t="s">
        <v>279</v>
      </c>
      <c r="CL232" t="s">
        <v>99</v>
      </c>
      <c r="CM232" t="s">
        <v>99</v>
      </c>
      <c r="CN232" t="s">
        <v>442</v>
      </c>
      <c r="CO232" s="1">
        <v>42902</v>
      </c>
      <c r="CP232" s="1">
        <v>43633</v>
      </c>
    </row>
    <row r="233" spans="1:94" x14ac:dyDescent="0.25">
      <c r="A233" t="s">
        <v>824</v>
      </c>
      <c r="B233" t="str">
        <f xml:space="preserve"> "" &amp; 747396802862</f>
        <v>747396802862</v>
      </c>
      <c r="C233" t="s">
        <v>243</v>
      </c>
      <c r="D233" t="s">
        <v>770</v>
      </c>
      <c r="E233" t="s">
        <v>771</v>
      </c>
      <c r="F233" t="s">
        <v>240</v>
      </c>
      <c r="G233">
        <v>1</v>
      </c>
      <c r="H233">
        <v>1</v>
      </c>
      <c r="I233" t="s">
        <v>97</v>
      </c>
      <c r="J233" s="10">
        <v>89</v>
      </c>
      <c r="K233" s="10">
        <v>267</v>
      </c>
      <c r="L233" s="10">
        <v>0</v>
      </c>
      <c r="N233" s="10">
        <v>0</v>
      </c>
      <c r="O233" t="s">
        <v>99</v>
      </c>
      <c r="P233" s="10">
        <v>189.95</v>
      </c>
      <c r="S233">
        <v>21</v>
      </c>
      <c r="U233">
        <v>11.25</v>
      </c>
      <c r="W233">
        <v>8.7100000000000009</v>
      </c>
      <c r="X233">
        <v>1</v>
      </c>
      <c r="Y233">
        <v>14</v>
      </c>
      <c r="Z233">
        <v>13</v>
      </c>
      <c r="AA233">
        <v>13</v>
      </c>
      <c r="AB233">
        <v>1.369</v>
      </c>
      <c r="AC233">
        <v>10.96</v>
      </c>
      <c r="AE233">
        <v>3</v>
      </c>
      <c r="AF233" t="s">
        <v>519</v>
      </c>
      <c r="AG233">
        <v>60</v>
      </c>
      <c r="AK233" t="s">
        <v>98</v>
      </c>
      <c r="AM233" t="s">
        <v>98</v>
      </c>
      <c r="AN233" t="s">
        <v>99</v>
      </c>
      <c r="AO233" t="s">
        <v>98</v>
      </c>
      <c r="AP233" t="s">
        <v>100</v>
      </c>
      <c r="AQ233" t="s">
        <v>101</v>
      </c>
      <c r="AV233" t="s">
        <v>98</v>
      </c>
      <c r="AX233" t="s">
        <v>279</v>
      </c>
      <c r="AZ233" t="s">
        <v>102</v>
      </c>
      <c r="BB233" t="s">
        <v>235</v>
      </c>
      <c r="BC233" t="s">
        <v>818</v>
      </c>
      <c r="BD233" t="s">
        <v>7528</v>
      </c>
      <c r="BF233" t="s">
        <v>825</v>
      </c>
      <c r="BG233" t="s">
        <v>98</v>
      </c>
      <c r="BH233" t="s">
        <v>98</v>
      </c>
      <c r="BI233" t="s">
        <v>98</v>
      </c>
      <c r="BK233" t="s">
        <v>110</v>
      </c>
      <c r="BL233" t="s">
        <v>7528</v>
      </c>
      <c r="BR233">
        <v>1</v>
      </c>
      <c r="BS233">
        <v>4.88</v>
      </c>
      <c r="BT233">
        <v>4.88</v>
      </c>
      <c r="CA233">
        <v>2323</v>
      </c>
      <c r="CB233" t="s">
        <v>279</v>
      </c>
      <c r="CL233" t="s">
        <v>99</v>
      </c>
      <c r="CM233" t="s">
        <v>99</v>
      </c>
      <c r="CN233" t="s">
        <v>442</v>
      </c>
      <c r="CO233" s="1">
        <v>42724</v>
      </c>
      <c r="CP233" s="1">
        <v>43633</v>
      </c>
    </row>
    <row r="234" spans="1:94" x14ac:dyDescent="0.25">
      <c r="A234" t="s">
        <v>826</v>
      </c>
      <c r="B234" t="str">
        <f xml:space="preserve"> "" &amp; 747396802879</f>
        <v>747396802879</v>
      </c>
      <c r="C234" t="s">
        <v>339</v>
      </c>
      <c r="D234" t="s">
        <v>785</v>
      </c>
      <c r="E234" t="s">
        <v>771</v>
      </c>
      <c r="F234" t="s">
        <v>240</v>
      </c>
      <c r="G234">
        <v>1</v>
      </c>
      <c r="H234">
        <v>1</v>
      </c>
      <c r="I234" t="s">
        <v>97</v>
      </c>
      <c r="J234" s="10">
        <v>129</v>
      </c>
      <c r="K234" s="10">
        <v>387</v>
      </c>
      <c r="L234" s="10">
        <v>0</v>
      </c>
      <c r="N234" s="10">
        <v>0</v>
      </c>
      <c r="O234" t="s">
        <v>99</v>
      </c>
      <c r="P234" s="10">
        <v>274.95</v>
      </c>
      <c r="S234">
        <v>28</v>
      </c>
      <c r="U234">
        <v>14.75</v>
      </c>
      <c r="W234">
        <v>16.8</v>
      </c>
      <c r="X234">
        <v>1</v>
      </c>
      <c r="Y234">
        <v>15.75</v>
      </c>
      <c r="Z234">
        <v>16.5</v>
      </c>
      <c r="AA234">
        <v>16.5</v>
      </c>
      <c r="AB234">
        <v>2.4809999999999999</v>
      </c>
      <c r="AC234">
        <v>20.57</v>
      </c>
      <c r="AE234">
        <v>4</v>
      </c>
      <c r="AF234" t="s">
        <v>519</v>
      </c>
      <c r="AG234">
        <v>60</v>
      </c>
      <c r="AK234" t="s">
        <v>98</v>
      </c>
      <c r="AM234" t="s">
        <v>98</v>
      </c>
      <c r="AN234" t="s">
        <v>99</v>
      </c>
      <c r="AO234" t="s">
        <v>98</v>
      </c>
      <c r="AP234" t="s">
        <v>100</v>
      </c>
      <c r="AQ234" t="s">
        <v>101</v>
      </c>
      <c r="AV234" t="s">
        <v>98</v>
      </c>
      <c r="AX234" t="s">
        <v>279</v>
      </c>
      <c r="AZ234" t="s">
        <v>102</v>
      </c>
      <c r="BB234" t="s">
        <v>235</v>
      </c>
      <c r="BC234" t="s">
        <v>818</v>
      </c>
      <c r="BD234" t="s">
        <v>7528</v>
      </c>
      <c r="BF234" t="s">
        <v>827</v>
      </c>
      <c r="BG234" t="s">
        <v>98</v>
      </c>
      <c r="BH234" t="s">
        <v>98</v>
      </c>
      <c r="BI234" t="s">
        <v>98</v>
      </c>
      <c r="BK234" t="s">
        <v>110</v>
      </c>
      <c r="BL234" t="s">
        <v>7528</v>
      </c>
      <c r="BQ234">
        <v>4.88</v>
      </c>
      <c r="BR234">
        <v>1</v>
      </c>
      <c r="BS234">
        <v>4.88</v>
      </c>
      <c r="BT234">
        <v>4.88</v>
      </c>
      <c r="CA234">
        <v>2324</v>
      </c>
      <c r="CB234" t="s">
        <v>279</v>
      </c>
      <c r="CL234" t="s">
        <v>99</v>
      </c>
      <c r="CM234" t="s">
        <v>99</v>
      </c>
      <c r="CN234" t="s">
        <v>442</v>
      </c>
      <c r="CO234" s="1">
        <v>42724</v>
      </c>
      <c r="CP234" s="1">
        <v>43633</v>
      </c>
    </row>
    <row r="235" spans="1:94" x14ac:dyDescent="0.25">
      <c r="A235" t="s">
        <v>828</v>
      </c>
      <c r="B235" t="str">
        <f xml:space="preserve"> "" &amp; 747396802886</f>
        <v>747396802886</v>
      </c>
      <c r="C235" t="s">
        <v>6546</v>
      </c>
      <c r="D235" t="s">
        <v>816</v>
      </c>
      <c r="E235" t="s">
        <v>771</v>
      </c>
      <c r="F235" t="s">
        <v>240</v>
      </c>
      <c r="G235">
        <v>1</v>
      </c>
      <c r="H235">
        <v>1</v>
      </c>
      <c r="I235" t="s">
        <v>97</v>
      </c>
      <c r="J235" s="10">
        <v>75</v>
      </c>
      <c r="K235" s="10">
        <v>225</v>
      </c>
      <c r="L235" s="10">
        <v>0</v>
      </c>
      <c r="N235" s="10">
        <v>0</v>
      </c>
      <c r="S235">
        <v>19</v>
      </c>
      <c r="U235">
        <v>10</v>
      </c>
      <c r="W235">
        <v>5.73</v>
      </c>
      <c r="X235">
        <v>1</v>
      </c>
      <c r="Y235">
        <v>13.25</v>
      </c>
      <c r="Z235">
        <v>15</v>
      </c>
      <c r="AA235">
        <v>10.75</v>
      </c>
      <c r="AB235">
        <v>1.236</v>
      </c>
      <c r="AC235">
        <v>7.41</v>
      </c>
      <c r="AE235">
        <v>1</v>
      </c>
      <c r="AF235" t="s">
        <v>662</v>
      </c>
      <c r="AG235">
        <v>100</v>
      </c>
      <c r="AK235" t="s">
        <v>98</v>
      </c>
      <c r="AM235" t="s">
        <v>98</v>
      </c>
      <c r="AN235" t="s">
        <v>99</v>
      </c>
      <c r="AO235" t="s">
        <v>98</v>
      </c>
      <c r="AP235" t="s">
        <v>100</v>
      </c>
      <c r="AQ235" t="s">
        <v>101</v>
      </c>
      <c r="AV235" t="s">
        <v>98</v>
      </c>
      <c r="AX235" t="s">
        <v>399</v>
      </c>
      <c r="AZ235" t="s">
        <v>102</v>
      </c>
      <c r="BB235" t="s">
        <v>235</v>
      </c>
      <c r="BC235" t="s">
        <v>746</v>
      </c>
      <c r="BD235" t="s">
        <v>7528</v>
      </c>
      <c r="BF235" t="s">
        <v>829</v>
      </c>
      <c r="BG235" t="s">
        <v>98</v>
      </c>
      <c r="BH235" t="s">
        <v>98</v>
      </c>
      <c r="BI235" t="s">
        <v>98</v>
      </c>
      <c r="BK235" t="s">
        <v>127</v>
      </c>
      <c r="BL235" t="s">
        <v>7528</v>
      </c>
      <c r="BQ235">
        <v>5.5</v>
      </c>
      <c r="BR235">
        <v>0.75</v>
      </c>
      <c r="BS235">
        <v>5.5</v>
      </c>
      <c r="BT235">
        <v>5.5</v>
      </c>
      <c r="CA235">
        <v>2331</v>
      </c>
      <c r="CB235" t="s">
        <v>399</v>
      </c>
      <c r="CL235" t="s">
        <v>99</v>
      </c>
      <c r="CM235" t="s">
        <v>99</v>
      </c>
      <c r="CN235" t="s">
        <v>442</v>
      </c>
      <c r="CO235" s="1">
        <v>42724</v>
      </c>
      <c r="CP235" s="1">
        <v>43633</v>
      </c>
    </row>
    <row r="236" spans="1:94" x14ac:dyDescent="0.25">
      <c r="A236" t="s">
        <v>830</v>
      </c>
      <c r="B236" t="str">
        <f xml:space="preserve"> "" &amp; 747396802893</f>
        <v>747396802893</v>
      </c>
      <c r="C236" t="s">
        <v>243</v>
      </c>
      <c r="D236" t="s">
        <v>770</v>
      </c>
      <c r="E236" t="s">
        <v>771</v>
      </c>
      <c r="F236" t="s">
        <v>240</v>
      </c>
      <c r="G236">
        <v>1</v>
      </c>
      <c r="H236">
        <v>1</v>
      </c>
      <c r="I236" t="s">
        <v>97</v>
      </c>
      <c r="J236" s="10">
        <v>99</v>
      </c>
      <c r="K236" s="10">
        <v>297</v>
      </c>
      <c r="L236" s="10">
        <v>0</v>
      </c>
      <c r="N236" s="10">
        <v>0</v>
      </c>
      <c r="O236" t="s">
        <v>99</v>
      </c>
      <c r="P236" s="10">
        <v>209.95</v>
      </c>
      <c r="S236">
        <v>26.5</v>
      </c>
      <c r="U236">
        <v>14.5</v>
      </c>
      <c r="W236">
        <v>8.7100000000000009</v>
      </c>
      <c r="X236">
        <v>1</v>
      </c>
      <c r="Y236">
        <v>16.25</v>
      </c>
      <c r="Z236">
        <v>16.25</v>
      </c>
      <c r="AA236">
        <v>15</v>
      </c>
      <c r="AB236">
        <v>2.2919999999999998</v>
      </c>
      <c r="AC236">
        <v>11.24</v>
      </c>
      <c r="AE236">
        <v>3</v>
      </c>
      <c r="AF236" t="s">
        <v>519</v>
      </c>
      <c r="AG236">
        <v>60</v>
      </c>
      <c r="AK236" t="s">
        <v>98</v>
      </c>
      <c r="AM236" t="s">
        <v>98</v>
      </c>
      <c r="AN236" t="s">
        <v>99</v>
      </c>
      <c r="AO236" t="s">
        <v>98</v>
      </c>
      <c r="AP236" t="s">
        <v>100</v>
      </c>
      <c r="AQ236" t="s">
        <v>101</v>
      </c>
      <c r="AV236" t="s">
        <v>98</v>
      </c>
      <c r="AX236" t="s">
        <v>399</v>
      </c>
      <c r="AZ236" t="s">
        <v>102</v>
      </c>
      <c r="BB236" t="s">
        <v>235</v>
      </c>
      <c r="BC236" t="s">
        <v>746</v>
      </c>
      <c r="BD236" t="s">
        <v>7528</v>
      </c>
      <c r="BF236" t="s">
        <v>831</v>
      </c>
      <c r="BG236" t="s">
        <v>98</v>
      </c>
      <c r="BH236" t="s">
        <v>98</v>
      </c>
      <c r="BI236" t="s">
        <v>98</v>
      </c>
      <c r="BK236" t="s">
        <v>110</v>
      </c>
      <c r="BL236" t="s">
        <v>7528</v>
      </c>
      <c r="BQ236">
        <v>5.5</v>
      </c>
      <c r="BR236">
        <v>0.75</v>
      </c>
      <c r="BS236">
        <v>5.5</v>
      </c>
      <c r="BT236">
        <v>5.5</v>
      </c>
      <c r="CA236">
        <v>2333</v>
      </c>
      <c r="CB236" t="s">
        <v>399</v>
      </c>
      <c r="CL236" t="s">
        <v>99</v>
      </c>
      <c r="CM236" t="s">
        <v>99</v>
      </c>
      <c r="CN236" t="s">
        <v>442</v>
      </c>
      <c r="CO236" s="1">
        <v>42803</v>
      </c>
      <c r="CP236" s="1">
        <v>43633</v>
      </c>
    </row>
    <row r="237" spans="1:94" x14ac:dyDescent="0.25">
      <c r="A237" t="s">
        <v>832</v>
      </c>
      <c r="B237" t="str">
        <f xml:space="preserve"> "" &amp; 747396802909</f>
        <v>747396802909</v>
      </c>
      <c r="C237" t="s">
        <v>339</v>
      </c>
      <c r="D237" t="s">
        <v>785</v>
      </c>
      <c r="E237" t="s">
        <v>771</v>
      </c>
      <c r="F237" t="s">
        <v>240</v>
      </c>
      <c r="G237">
        <v>1</v>
      </c>
      <c r="H237">
        <v>1</v>
      </c>
      <c r="I237" t="s">
        <v>97</v>
      </c>
      <c r="J237" s="10">
        <v>139</v>
      </c>
      <c r="K237" s="10">
        <v>417</v>
      </c>
      <c r="L237" s="10">
        <v>0</v>
      </c>
      <c r="N237" s="10">
        <v>0</v>
      </c>
      <c r="S237">
        <v>36</v>
      </c>
      <c r="U237">
        <v>20</v>
      </c>
      <c r="W237">
        <v>13.03</v>
      </c>
      <c r="X237">
        <v>1</v>
      </c>
      <c r="Y237">
        <v>20.5</v>
      </c>
      <c r="Z237">
        <v>21.5</v>
      </c>
      <c r="AA237">
        <v>19.5</v>
      </c>
      <c r="AB237">
        <v>4.9740000000000002</v>
      </c>
      <c r="AC237">
        <v>18.809999999999999</v>
      </c>
      <c r="AE237">
        <v>4</v>
      </c>
      <c r="AF237" t="s">
        <v>519</v>
      </c>
      <c r="AG237">
        <v>60</v>
      </c>
      <c r="AK237" t="s">
        <v>98</v>
      </c>
      <c r="AM237" t="s">
        <v>98</v>
      </c>
      <c r="AN237" t="s">
        <v>99</v>
      </c>
      <c r="AO237" t="s">
        <v>98</v>
      </c>
      <c r="AP237" t="s">
        <v>100</v>
      </c>
      <c r="AQ237" t="s">
        <v>101</v>
      </c>
      <c r="AV237" t="s">
        <v>98</v>
      </c>
      <c r="AX237" t="s">
        <v>399</v>
      </c>
      <c r="AZ237" t="s">
        <v>102</v>
      </c>
      <c r="BB237" t="s">
        <v>235</v>
      </c>
      <c r="BC237" t="s">
        <v>746</v>
      </c>
      <c r="BD237" t="s">
        <v>7528</v>
      </c>
      <c r="BF237" t="s">
        <v>833</v>
      </c>
      <c r="BG237" t="s">
        <v>98</v>
      </c>
      <c r="BH237" t="s">
        <v>98</v>
      </c>
      <c r="BI237" t="s">
        <v>98</v>
      </c>
      <c r="BK237" t="s">
        <v>110</v>
      </c>
      <c r="BL237" t="s">
        <v>7528</v>
      </c>
      <c r="BQ237">
        <v>5.5</v>
      </c>
      <c r="BR237">
        <v>0.75</v>
      </c>
      <c r="BS237">
        <v>5.5</v>
      </c>
      <c r="BT237">
        <v>5.5</v>
      </c>
      <c r="CA237">
        <v>2334</v>
      </c>
      <c r="CB237" t="s">
        <v>399</v>
      </c>
      <c r="CL237" t="s">
        <v>99</v>
      </c>
      <c r="CM237" t="s">
        <v>99</v>
      </c>
      <c r="CN237" t="s">
        <v>442</v>
      </c>
      <c r="CO237" s="1">
        <v>42724</v>
      </c>
      <c r="CP237" s="1">
        <v>43633</v>
      </c>
    </row>
    <row r="238" spans="1:94" x14ac:dyDescent="0.25">
      <c r="A238" t="s">
        <v>834</v>
      </c>
      <c r="B238" t="str">
        <f xml:space="preserve"> "" &amp; 747396102924</f>
        <v>747396102924</v>
      </c>
      <c r="C238" t="s">
        <v>835</v>
      </c>
      <c r="D238" t="s">
        <v>6547</v>
      </c>
      <c r="E238" t="s">
        <v>836</v>
      </c>
      <c r="F238" t="s">
        <v>232</v>
      </c>
      <c r="G238">
        <v>1</v>
      </c>
      <c r="H238">
        <v>1</v>
      </c>
      <c r="I238" t="s">
        <v>97</v>
      </c>
      <c r="J238" s="10">
        <v>55</v>
      </c>
      <c r="K238" s="10">
        <v>165</v>
      </c>
      <c r="L238" s="10">
        <v>0</v>
      </c>
      <c r="N238" s="10">
        <v>0</v>
      </c>
      <c r="S238">
        <v>12</v>
      </c>
      <c r="U238">
        <v>11</v>
      </c>
      <c r="V238">
        <v>6.5</v>
      </c>
      <c r="W238">
        <v>3.75</v>
      </c>
      <c r="X238">
        <v>1</v>
      </c>
      <c r="Y238">
        <v>8.75</v>
      </c>
      <c r="Z238">
        <v>14.25</v>
      </c>
      <c r="AA238">
        <v>13.13</v>
      </c>
      <c r="AB238">
        <v>0.94699999999999995</v>
      </c>
      <c r="AC238">
        <v>4.8499999999999996</v>
      </c>
      <c r="AE238">
        <v>3</v>
      </c>
      <c r="AF238" t="s">
        <v>519</v>
      </c>
      <c r="AG238">
        <v>60</v>
      </c>
      <c r="AK238" t="s">
        <v>98</v>
      </c>
      <c r="AM238" t="s">
        <v>98</v>
      </c>
      <c r="AN238" t="s">
        <v>98</v>
      </c>
      <c r="AO238" t="s">
        <v>99</v>
      </c>
      <c r="AP238" t="s">
        <v>100</v>
      </c>
      <c r="AQ238" t="s">
        <v>101</v>
      </c>
      <c r="AV238" t="s">
        <v>98</v>
      </c>
      <c r="AX238" t="s">
        <v>399</v>
      </c>
      <c r="AZ238" t="s">
        <v>102</v>
      </c>
      <c r="BB238" t="s">
        <v>7528</v>
      </c>
      <c r="BC238" t="s">
        <v>7528</v>
      </c>
      <c r="BD238" t="s">
        <v>7528</v>
      </c>
      <c r="BF238" t="s">
        <v>837</v>
      </c>
      <c r="BG238" t="s">
        <v>98</v>
      </c>
      <c r="BH238" t="s">
        <v>98</v>
      </c>
      <c r="BI238" t="s">
        <v>98</v>
      </c>
      <c r="BK238" t="s">
        <v>127</v>
      </c>
      <c r="BL238" t="s">
        <v>645</v>
      </c>
      <c r="BM238">
        <v>7</v>
      </c>
      <c r="BN238">
        <v>9.25</v>
      </c>
      <c r="BR238">
        <v>9.25</v>
      </c>
      <c r="CA238">
        <v>2340</v>
      </c>
      <c r="CB238" t="s">
        <v>399</v>
      </c>
      <c r="CL238" t="s">
        <v>99</v>
      </c>
      <c r="CM238" t="s">
        <v>98</v>
      </c>
      <c r="CN238" t="s">
        <v>838</v>
      </c>
      <c r="CO238" s="1">
        <v>42905</v>
      </c>
      <c r="CP238" s="1">
        <v>43633</v>
      </c>
    </row>
    <row r="239" spans="1:94" x14ac:dyDescent="0.25">
      <c r="A239" t="s">
        <v>839</v>
      </c>
      <c r="B239" t="str">
        <f xml:space="preserve"> "" &amp; 747396802947</f>
        <v>747396802947</v>
      </c>
      <c r="C239" t="s">
        <v>239</v>
      </c>
      <c r="D239" t="s">
        <v>6548</v>
      </c>
      <c r="E239" t="s">
        <v>836</v>
      </c>
      <c r="F239" t="s">
        <v>240</v>
      </c>
      <c r="G239">
        <v>1</v>
      </c>
      <c r="H239">
        <v>1</v>
      </c>
      <c r="I239" t="s">
        <v>97</v>
      </c>
      <c r="J239" s="10">
        <v>59</v>
      </c>
      <c r="K239" s="10">
        <v>177</v>
      </c>
      <c r="L239" s="10">
        <v>0</v>
      </c>
      <c r="N239" s="10">
        <v>0</v>
      </c>
      <c r="O239" t="s">
        <v>99</v>
      </c>
      <c r="P239" s="10">
        <v>129.94999999999999</v>
      </c>
      <c r="S239">
        <v>10.25</v>
      </c>
      <c r="T239">
        <v>7.25</v>
      </c>
      <c r="U239">
        <v>7.25</v>
      </c>
      <c r="W239">
        <v>4.1900000000000004</v>
      </c>
      <c r="X239">
        <v>1</v>
      </c>
      <c r="Y239">
        <v>14.63</v>
      </c>
      <c r="Z239">
        <v>9.25</v>
      </c>
      <c r="AA239">
        <v>9.25</v>
      </c>
      <c r="AB239">
        <v>0.72399999999999998</v>
      </c>
      <c r="AC239">
        <v>5.38</v>
      </c>
      <c r="AE239">
        <v>1</v>
      </c>
      <c r="AF239" t="s">
        <v>340</v>
      </c>
      <c r="AG239">
        <v>100</v>
      </c>
      <c r="AK239" t="s">
        <v>98</v>
      </c>
      <c r="AM239" t="s">
        <v>98</v>
      </c>
      <c r="AN239" t="s">
        <v>98</v>
      </c>
      <c r="AO239" t="s">
        <v>99</v>
      </c>
      <c r="AP239" t="s">
        <v>100</v>
      </c>
      <c r="AQ239" t="s">
        <v>101</v>
      </c>
      <c r="AV239" t="s">
        <v>98</v>
      </c>
      <c r="AX239" t="s">
        <v>399</v>
      </c>
      <c r="AZ239" t="s">
        <v>124</v>
      </c>
      <c r="BB239" t="s">
        <v>7528</v>
      </c>
      <c r="BC239" t="s">
        <v>840</v>
      </c>
      <c r="BD239" t="s">
        <v>7528</v>
      </c>
      <c r="BF239" t="s">
        <v>841</v>
      </c>
      <c r="BG239" t="s">
        <v>98</v>
      </c>
      <c r="BH239" t="s">
        <v>98</v>
      </c>
      <c r="BI239" t="s">
        <v>98</v>
      </c>
      <c r="BK239" t="s">
        <v>110</v>
      </c>
      <c r="BL239" t="s">
        <v>7528</v>
      </c>
      <c r="BQ239">
        <v>5.25</v>
      </c>
      <c r="BR239">
        <v>0.75</v>
      </c>
      <c r="BS239">
        <v>5.25</v>
      </c>
      <c r="BT239">
        <v>5.25</v>
      </c>
      <c r="CA239">
        <v>2341</v>
      </c>
      <c r="CB239" t="s">
        <v>399</v>
      </c>
      <c r="CL239" t="s">
        <v>99</v>
      </c>
      <c r="CM239" t="s">
        <v>99</v>
      </c>
      <c r="CN239" t="s">
        <v>838</v>
      </c>
      <c r="CO239" s="1">
        <v>42724</v>
      </c>
      <c r="CP239" s="1">
        <v>43633</v>
      </c>
    </row>
    <row r="240" spans="1:94" x14ac:dyDescent="0.25">
      <c r="A240" t="s">
        <v>842</v>
      </c>
      <c r="B240" t="str">
        <f xml:space="preserve"> "" &amp; 747396102894</f>
        <v>747396102894</v>
      </c>
      <c r="C240" t="s">
        <v>835</v>
      </c>
      <c r="D240" t="s">
        <v>6549</v>
      </c>
      <c r="E240" t="s">
        <v>836</v>
      </c>
      <c r="F240" t="s">
        <v>232</v>
      </c>
      <c r="G240">
        <v>1</v>
      </c>
      <c r="H240">
        <v>1</v>
      </c>
      <c r="I240" t="s">
        <v>97</v>
      </c>
      <c r="J240" s="10">
        <v>35</v>
      </c>
      <c r="K240" s="10">
        <v>105</v>
      </c>
      <c r="L240" s="10">
        <v>0</v>
      </c>
      <c r="N240" s="10">
        <v>0</v>
      </c>
      <c r="S240">
        <v>9.75</v>
      </c>
      <c r="U240">
        <v>7</v>
      </c>
      <c r="V240">
        <v>4.25</v>
      </c>
      <c r="W240">
        <v>2.09</v>
      </c>
      <c r="X240">
        <v>1</v>
      </c>
      <c r="Y240">
        <v>6.38</v>
      </c>
      <c r="Z240">
        <v>12</v>
      </c>
      <c r="AA240">
        <v>9.25</v>
      </c>
      <c r="AB240">
        <v>0.41</v>
      </c>
      <c r="AC240">
        <v>2.69</v>
      </c>
      <c r="AE240">
        <v>2</v>
      </c>
      <c r="AF240" t="s">
        <v>519</v>
      </c>
      <c r="AG240">
        <v>60</v>
      </c>
      <c r="AK240" t="s">
        <v>98</v>
      </c>
      <c r="AM240" t="s">
        <v>98</v>
      </c>
      <c r="AN240" t="s">
        <v>99</v>
      </c>
      <c r="AO240" t="s">
        <v>98</v>
      </c>
      <c r="AP240" t="s">
        <v>100</v>
      </c>
      <c r="AQ240" t="s">
        <v>101</v>
      </c>
      <c r="AV240" t="s">
        <v>98</v>
      </c>
      <c r="AX240" t="s">
        <v>399</v>
      </c>
      <c r="AZ240" t="s">
        <v>102</v>
      </c>
      <c r="BB240" t="s">
        <v>7528</v>
      </c>
      <c r="BC240" t="s">
        <v>7528</v>
      </c>
      <c r="BD240" t="s">
        <v>7528</v>
      </c>
      <c r="BF240" t="s">
        <v>843</v>
      </c>
      <c r="BG240" t="s">
        <v>98</v>
      </c>
      <c r="BH240" t="s">
        <v>98</v>
      </c>
      <c r="BI240" t="s">
        <v>98</v>
      </c>
      <c r="BK240" t="s">
        <v>127</v>
      </c>
      <c r="BL240" t="s">
        <v>645</v>
      </c>
      <c r="BM240">
        <v>5.88</v>
      </c>
      <c r="BN240">
        <v>8.25</v>
      </c>
      <c r="CA240">
        <v>2342</v>
      </c>
      <c r="CB240" t="s">
        <v>399</v>
      </c>
      <c r="CL240" t="s">
        <v>99</v>
      </c>
      <c r="CM240" t="s">
        <v>98</v>
      </c>
      <c r="CN240" t="s">
        <v>838</v>
      </c>
      <c r="CO240" s="1">
        <v>42903</v>
      </c>
      <c r="CP240" s="1">
        <v>43633</v>
      </c>
    </row>
    <row r="241" spans="1:94" x14ac:dyDescent="0.25">
      <c r="A241" t="s">
        <v>844</v>
      </c>
      <c r="B241" t="str">
        <f xml:space="preserve"> "" &amp; 747396102900</f>
        <v>747396102900</v>
      </c>
      <c r="C241" t="s">
        <v>845</v>
      </c>
      <c r="D241" t="s">
        <v>6547</v>
      </c>
      <c r="E241" t="s">
        <v>836</v>
      </c>
      <c r="F241" t="s">
        <v>240</v>
      </c>
      <c r="G241">
        <v>1</v>
      </c>
      <c r="H241">
        <v>1</v>
      </c>
      <c r="I241" t="s">
        <v>97</v>
      </c>
      <c r="J241" s="10">
        <v>105.95</v>
      </c>
      <c r="K241" s="10">
        <v>317.85000000000002</v>
      </c>
      <c r="L241" s="10">
        <v>0</v>
      </c>
      <c r="N241" s="10">
        <v>0</v>
      </c>
      <c r="O241" t="s">
        <v>99</v>
      </c>
      <c r="P241" s="10">
        <v>222.55</v>
      </c>
      <c r="S241">
        <v>14</v>
      </c>
      <c r="T241">
        <v>10</v>
      </c>
      <c r="U241">
        <v>10</v>
      </c>
      <c r="W241">
        <v>6.48</v>
      </c>
      <c r="X241">
        <v>1</v>
      </c>
      <c r="Y241">
        <v>16.5</v>
      </c>
      <c r="Z241">
        <v>12.25</v>
      </c>
      <c r="AA241">
        <v>12.25</v>
      </c>
      <c r="AB241">
        <v>1.4330000000000001</v>
      </c>
      <c r="AC241">
        <v>8.5299999999999994</v>
      </c>
      <c r="AE241">
        <v>3</v>
      </c>
      <c r="AF241" t="s">
        <v>519</v>
      </c>
      <c r="AG241">
        <v>60</v>
      </c>
      <c r="AK241" t="s">
        <v>98</v>
      </c>
      <c r="AM241" t="s">
        <v>98</v>
      </c>
      <c r="AN241" t="s">
        <v>98</v>
      </c>
      <c r="AO241" t="s">
        <v>99</v>
      </c>
      <c r="AP241" t="s">
        <v>100</v>
      </c>
      <c r="AQ241" t="s">
        <v>101</v>
      </c>
      <c r="AV241" t="s">
        <v>98</v>
      </c>
      <c r="AX241" t="s">
        <v>399</v>
      </c>
      <c r="AZ241" t="s">
        <v>102</v>
      </c>
      <c r="BB241" t="s">
        <v>7528</v>
      </c>
      <c r="BC241" t="s">
        <v>7528</v>
      </c>
      <c r="BD241" t="s">
        <v>7528</v>
      </c>
      <c r="BF241" t="s">
        <v>846</v>
      </c>
      <c r="BG241" t="s">
        <v>98</v>
      </c>
      <c r="BH241" t="s">
        <v>98</v>
      </c>
      <c r="BI241" t="s">
        <v>98</v>
      </c>
      <c r="BK241" t="s">
        <v>127</v>
      </c>
      <c r="BL241" t="s">
        <v>7528</v>
      </c>
      <c r="BR241">
        <v>0.75</v>
      </c>
      <c r="BS241">
        <v>5</v>
      </c>
      <c r="BT241">
        <v>5</v>
      </c>
      <c r="CA241">
        <v>2343</v>
      </c>
      <c r="CB241" t="s">
        <v>399</v>
      </c>
      <c r="CL241" t="s">
        <v>99</v>
      </c>
      <c r="CM241" t="s">
        <v>99</v>
      </c>
      <c r="CN241" t="s">
        <v>838</v>
      </c>
      <c r="CO241" s="1">
        <v>42905</v>
      </c>
      <c r="CP241" s="1">
        <v>43633</v>
      </c>
    </row>
    <row r="242" spans="1:94" x14ac:dyDescent="0.25">
      <c r="A242" t="s">
        <v>847</v>
      </c>
      <c r="B242" t="str">
        <f xml:space="preserve"> "" &amp; 747396802954</f>
        <v>747396802954</v>
      </c>
      <c r="C242" t="s">
        <v>339</v>
      </c>
      <c r="D242" t="s">
        <v>6550</v>
      </c>
      <c r="E242" t="s">
        <v>836</v>
      </c>
      <c r="F242" t="s">
        <v>240</v>
      </c>
      <c r="G242">
        <v>1</v>
      </c>
      <c r="H242">
        <v>1</v>
      </c>
      <c r="I242" t="s">
        <v>97</v>
      </c>
      <c r="J242" s="10">
        <v>79</v>
      </c>
      <c r="K242" s="10">
        <v>237</v>
      </c>
      <c r="L242" s="10">
        <v>0</v>
      </c>
      <c r="N242" s="10">
        <v>0</v>
      </c>
      <c r="S242">
        <v>22.75</v>
      </c>
      <c r="T242">
        <v>13</v>
      </c>
      <c r="U242">
        <v>13</v>
      </c>
      <c r="W242">
        <v>8.82</v>
      </c>
      <c r="X242">
        <v>1</v>
      </c>
      <c r="Y242">
        <v>14</v>
      </c>
      <c r="Z242">
        <v>15</v>
      </c>
      <c r="AA242">
        <v>15</v>
      </c>
      <c r="AB242">
        <v>1.823</v>
      </c>
      <c r="AC242">
        <v>11.84</v>
      </c>
      <c r="AE242">
        <v>4</v>
      </c>
      <c r="AF242" t="s">
        <v>772</v>
      </c>
      <c r="AG242">
        <v>60</v>
      </c>
      <c r="AK242" t="s">
        <v>98</v>
      </c>
      <c r="AM242" t="s">
        <v>98</v>
      </c>
      <c r="AN242" t="s">
        <v>98</v>
      </c>
      <c r="AO242" t="s">
        <v>99</v>
      </c>
      <c r="AP242" t="s">
        <v>100</v>
      </c>
      <c r="AQ242" t="s">
        <v>101</v>
      </c>
      <c r="AV242" t="s">
        <v>98</v>
      </c>
      <c r="AX242" t="s">
        <v>399</v>
      </c>
      <c r="AZ242" t="s">
        <v>102</v>
      </c>
      <c r="BB242" t="s">
        <v>7528</v>
      </c>
      <c r="BC242" t="s">
        <v>840</v>
      </c>
      <c r="BD242" t="s">
        <v>7528</v>
      </c>
      <c r="BF242" t="s">
        <v>848</v>
      </c>
      <c r="BG242" t="s">
        <v>98</v>
      </c>
      <c r="BH242" t="s">
        <v>98</v>
      </c>
      <c r="BI242" t="s">
        <v>98</v>
      </c>
      <c r="BK242" t="s">
        <v>110</v>
      </c>
      <c r="BL242" t="s">
        <v>7528</v>
      </c>
      <c r="BQ242">
        <v>5.25</v>
      </c>
      <c r="BR242">
        <v>0.75</v>
      </c>
      <c r="BS242">
        <v>5.25</v>
      </c>
      <c r="BT242">
        <v>5.25</v>
      </c>
      <c r="CA242">
        <v>2344</v>
      </c>
      <c r="CB242" t="s">
        <v>399</v>
      </c>
      <c r="CL242" t="s">
        <v>99</v>
      </c>
      <c r="CM242" t="s">
        <v>99</v>
      </c>
      <c r="CN242" t="s">
        <v>838</v>
      </c>
      <c r="CO242" s="1">
        <v>42724</v>
      </c>
      <c r="CP242" s="1">
        <v>43633</v>
      </c>
    </row>
    <row r="243" spans="1:94" x14ac:dyDescent="0.25">
      <c r="A243" t="s">
        <v>849</v>
      </c>
      <c r="B243" t="str">
        <f xml:space="preserve"> "" &amp; 747396802961</f>
        <v>747396802961</v>
      </c>
      <c r="C243" t="s">
        <v>850</v>
      </c>
      <c r="D243" t="s">
        <v>6551</v>
      </c>
      <c r="E243" t="s">
        <v>836</v>
      </c>
      <c r="F243" t="s">
        <v>240</v>
      </c>
      <c r="G243">
        <v>1</v>
      </c>
      <c r="H243">
        <v>1</v>
      </c>
      <c r="I243" t="s">
        <v>97</v>
      </c>
      <c r="J243" s="10">
        <v>129</v>
      </c>
      <c r="K243" s="10">
        <v>387</v>
      </c>
      <c r="L243" s="10">
        <v>0</v>
      </c>
      <c r="N243" s="10">
        <v>0</v>
      </c>
      <c r="S243">
        <v>26.5</v>
      </c>
      <c r="T243">
        <v>18</v>
      </c>
      <c r="U243">
        <v>18</v>
      </c>
      <c r="W243">
        <v>12.3</v>
      </c>
      <c r="X243">
        <v>1</v>
      </c>
      <c r="Y243">
        <v>16.25</v>
      </c>
      <c r="Z243">
        <v>20</v>
      </c>
      <c r="AA243">
        <v>20</v>
      </c>
      <c r="AB243">
        <v>3.762</v>
      </c>
      <c r="AC243">
        <v>17.899999999999999</v>
      </c>
      <c r="AE243">
        <v>5</v>
      </c>
      <c r="AF243" t="s">
        <v>519</v>
      </c>
      <c r="AG243">
        <v>60</v>
      </c>
      <c r="AK243" t="s">
        <v>98</v>
      </c>
      <c r="AM243" t="s">
        <v>98</v>
      </c>
      <c r="AN243" t="s">
        <v>98</v>
      </c>
      <c r="AO243" t="s">
        <v>99</v>
      </c>
      <c r="AP243" t="s">
        <v>100</v>
      </c>
      <c r="AQ243" t="s">
        <v>101</v>
      </c>
      <c r="AV243" t="s">
        <v>98</v>
      </c>
      <c r="AX243" t="s">
        <v>399</v>
      </c>
      <c r="AZ243" t="s">
        <v>102</v>
      </c>
      <c r="BB243" t="s">
        <v>7528</v>
      </c>
      <c r="BC243" t="s">
        <v>840</v>
      </c>
      <c r="BD243" t="s">
        <v>7528</v>
      </c>
      <c r="BF243" t="s">
        <v>851</v>
      </c>
      <c r="BG243" t="s">
        <v>98</v>
      </c>
      <c r="BH243" t="s">
        <v>98</v>
      </c>
      <c r="BI243" t="s">
        <v>98</v>
      </c>
      <c r="BK243" t="s">
        <v>110</v>
      </c>
      <c r="BL243" t="s">
        <v>7528</v>
      </c>
      <c r="BQ243">
        <v>5.25</v>
      </c>
      <c r="BR243">
        <v>0.75</v>
      </c>
      <c r="BS243">
        <v>5.25</v>
      </c>
      <c r="BT243">
        <v>5.25</v>
      </c>
      <c r="CA243">
        <v>2345</v>
      </c>
      <c r="CB243" t="s">
        <v>399</v>
      </c>
      <c r="CL243" t="s">
        <v>99</v>
      </c>
      <c r="CM243" t="s">
        <v>99</v>
      </c>
      <c r="CN243" t="s">
        <v>838</v>
      </c>
      <c r="CO243" s="1">
        <v>42724</v>
      </c>
      <c r="CP243" s="1">
        <v>43633</v>
      </c>
    </row>
    <row r="244" spans="1:94" x14ac:dyDescent="0.25">
      <c r="A244" t="s">
        <v>852</v>
      </c>
      <c r="B244" t="str">
        <f xml:space="preserve"> "" &amp; 747396102931</f>
        <v>747396102931</v>
      </c>
      <c r="C244" t="s">
        <v>853</v>
      </c>
      <c r="D244" t="s">
        <v>6552</v>
      </c>
      <c r="E244" t="s">
        <v>836</v>
      </c>
      <c r="F244" t="s">
        <v>377</v>
      </c>
      <c r="G244">
        <v>1</v>
      </c>
      <c r="H244">
        <v>1</v>
      </c>
      <c r="I244" t="s">
        <v>97</v>
      </c>
      <c r="J244" s="10">
        <v>69</v>
      </c>
      <c r="K244" s="10">
        <v>207</v>
      </c>
      <c r="L244" s="10">
        <v>0</v>
      </c>
      <c r="N244" s="10">
        <v>0</v>
      </c>
      <c r="S244">
        <v>14</v>
      </c>
      <c r="T244">
        <v>16</v>
      </c>
      <c r="U244">
        <v>16</v>
      </c>
      <c r="W244">
        <v>6.13</v>
      </c>
      <c r="X244">
        <v>1</v>
      </c>
      <c r="Y244">
        <v>9.75</v>
      </c>
      <c r="Z244">
        <v>18.5</v>
      </c>
      <c r="AA244">
        <v>18.5</v>
      </c>
      <c r="AB244">
        <v>1.931</v>
      </c>
      <c r="AC244">
        <v>9.1300000000000008</v>
      </c>
      <c r="AE244">
        <v>3</v>
      </c>
      <c r="AF244" t="s">
        <v>282</v>
      </c>
      <c r="AG244">
        <v>60</v>
      </c>
      <c r="AK244" t="s">
        <v>98</v>
      </c>
      <c r="AM244" t="s">
        <v>98</v>
      </c>
      <c r="AN244" t="s">
        <v>98</v>
      </c>
      <c r="AO244" t="s">
        <v>99</v>
      </c>
      <c r="AP244" t="s">
        <v>100</v>
      </c>
      <c r="AQ244" t="s">
        <v>101</v>
      </c>
      <c r="AV244" t="s">
        <v>98</v>
      </c>
      <c r="AX244" t="s">
        <v>399</v>
      </c>
      <c r="AZ244" t="s">
        <v>102</v>
      </c>
      <c r="BB244" t="s">
        <v>7528</v>
      </c>
      <c r="BC244" t="s">
        <v>7528</v>
      </c>
      <c r="BD244" t="s">
        <v>7528</v>
      </c>
      <c r="BF244" t="s">
        <v>854</v>
      </c>
      <c r="BG244" t="s">
        <v>98</v>
      </c>
      <c r="BH244" t="s">
        <v>98</v>
      </c>
      <c r="BI244" t="s">
        <v>98</v>
      </c>
      <c r="BK244" t="s">
        <v>127</v>
      </c>
      <c r="BL244" t="s">
        <v>7528</v>
      </c>
      <c r="BR244">
        <v>0.75</v>
      </c>
      <c r="BS244">
        <v>5</v>
      </c>
      <c r="BT244">
        <v>5</v>
      </c>
      <c r="CA244">
        <v>2348</v>
      </c>
      <c r="CB244" t="s">
        <v>399</v>
      </c>
      <c r="CL244" t="s">
        <v>99</v>
      </c>
      <c r="CM244" t="s">
        <v>98</v>
      </c>
      <c r="CN244" t="s">
        <v>838</v>
      </c>
      <c r="CO244" s="1">
        <v>42905</v>
      </c>
      <c r="CP244" s="1">
        <v>43633</v>
      </c>
    </row>
    <row r="245" spans="1:94" x14ac:dyDescent="0.25">
      <c r="A245" t="s">
        <v>855</v>
      </c>
      <c r="B245" t="str">
        <f xml:space="preserve"> "" &amp; 747396802978</f>
        <v>747396802978</v>
      </c>
      <c r="C245" t="s">
        <v>464</v>
      </c>
      <c r="D245" t="s">
        <v>6553</v>
      </c>
      <c r="E245" t="s">
        <v>836</v>
      </c>
      <c r="F245" t="s">
        <v>240</v>
      </c>
      <c r="G245">
        <v>1</v>
      </c>
      <c r="H245">
        <v>1</v>
      </c>
      <c r="I245" t="s">
        <v>97</v>
      </c>
      <c r="J245" s="10">
        <v>199</v>
      </c>
      <c r="K245" s="10">
        <v>597</v>
      </c>
      <c r="L245" s="10">
        <v>0</v>
      </c>
      <c r="N245" s="10">
        <v>0</v>
      </c>
      <c r="S245">
        <v>31.5</v>
      </c>
      <c r="T245">
        <v>22</v>
      </c>
      <c r="U245">
        <v>22</v>
      </c>
      <c r="W245">
        <v>19.399999999999999</v>
      </c>
      <c r="X245">
        <v>1</v>
      </c>
      <c r="Y245">
        <v>21.25</v>
      </c>
      <c r="Z245">
        <v>24.25</v>
      </c>
      <c r="AA245">
        <v>24.25</v>
      </c>
      <c r="AB245">
        <v>7.2320000000000002</v>
      </c>
      <c r="AC245">
        <v>28.22</v>
      </c>
      <c r="AE245">
        <v>9</v>
      </c>
      <c r="AF245" t="s">
        <v>772</v>
      </c>
      <c r="AG245">
        <v>60</v>
      </c>
      <c r="AK245" t="s">
        <v>98</v>
      </c>
      <c r="AM245" t="s">
        <v>98</v>
      </c>
      <c r="AN245" t="s">
        <v>98</v>
      </c>
      <c r="AO245" t="s">
        <v>99</v>
      </c>
      <c r="AP245" t="s">
        <v>100</v>
      </c>
      <c r="AQ245" t="s">
        <v>101</v>
      </c>
      <c r="AV245" t="s">
        <v>98</v>
      </c>
      <c r="AX245" t="s">
        <v>399</v>
      </c>
      <c r="AZ245" t="s">
        <v>102</v>
      </c>
      <c r="BB245" t="s">
        <v>235</v>
      </c>
      <c r="BC245" t="s">
        <v>840</v>
      </c>
      <c r="BD245" t="s">
        <v>7528</v>
      </c>
      <c r="BF245" t="s">
        <v>856</v>
      </c>
      <c r="BG245" t="s">
        <v>98</v>
      </c>
      <c r="BH245" t="s">
        <v>98</v>
      </c>
      <c r="BI245" t="s">
        <v>98</v>
      </c>
      <c r="BK245" t="s">
        <v>110</v>
      </c>
      <c r="BL245" t="s">
        <v>7528</v>
      </c>
      <c r="BQ245">
        <v>5.25</v>
      </c>
      <c r="BR245">
        <v>0.75</v>
      </c>
      <c r="BS245">
        <v>5.25</v>
      </c>
      <c r="BT245">
        <v>5.25</v>
      </c>
      <c r="CA245">
        <v>2349</v>
      </c>
      <c r="CB245" t="s">
        <v>399</v>
      </c>
      <c r="CL245" t="s">
        <v>99</v>
      </c>
      <c r="CM245" t="s">
        <v>99</v>
      </c>
      <c r="CN245" t="s">
        <v>838</v>
      </c>
      <c r="CO245" s="1">
        <v>42724</v>
      </c>
      <c r="CP245" s="1">
        <v>43633</v>
      </c>
    </row>
    <row r="246" spans="1:94" x14ac:dyDescent="0.25">
      <c r="A246" t="s">
        <v>857</v>
      </c>
      <c r="B246" t="str">
        <f xml:space="preserve"> "" &amp; 747396802985</f>
        <v>747396802985</v>
      </c>
      <c r="C246" t="s">
        <v>339</v>
      </c>
      <c r="D246" t="s">
        <v>858</v>
      </c>
      <c r="E246" t="s">
        <v>859</v>
      </c>
      <c r="F246" t="s">
        <v>240</v>
      </c>
      <c r="G246">
        <v>1</v>
      </c>
      <c r="H246">
        <v>1</v>
      </c>
      <c r="I246" t="s">
        <v>97</v>
      </c>
      <c r="J246" s="10">
        <v>119</v>
      </c>
      <c r="K246" s="10">
        <v>357</v>
      </c>
      <c r="L246" s="10">
        <v>0</v>
      </c>
      <c r="N246" s="10">
        <v>0</v>
      </c>
      <c r="O246" t="s">
        <v>99</v>
      </c>
      <c r="P246" s="10">
        <v>254.95</v>
      </c>
      <c r="S246">
        <v>15</v>
      </c>
      <c r="T246">
        <v>12</v>
      </c>
      <c r="U246">
        <v>12</v>
      </c>
      <c r="W246">
        <v>8.31</v>
      </c>
      <c r="X246">
        <v>1</v>
      </c>
      <c r="Y246">
        <v>11</v>
      </c>
      <c r="Z246">
        <v>14.25</v>
      </c>
      <c r="AA246">
        <v>14.25</v>
      </c>
      <c r="AB246">
        <v>1.2929999999999999</v>
      </c>
      <c r="AC246">
        <v>10.65</v>
      </c>
      <c r="AE246">
        <v>4</v>
      </c>
      <c r="AF246" t="s">
        <v>519</v>
      </c>
      <c r="AG246">
        <v>60</v>
      </c>
      <c r="AK246" t="s">
        <v>98</v>
      </c>
      <c r="AM246" t="s">
        <v>98</v>
      </c>
      <c r="AN246" t="s">
        <v>98</v>
      </c>
      <c r="AO246" t="s">
        <v>99</v>
      </c>
      <c r="AP246" t="s">
        <v>100</v>
      </c>
      <c r="AQ246" t="s">
        <v>101</v>
      </c>
      <c r="AV246" t="s">
        <v>98</v>
      </c>
      <c r="AX246" t="s">
        <v>399</v>
      </c>
      <c r="AZ246" t="s">
        <v>102</v>
      </c>
      <c r="BB246" t="s">
        <v>7528</v>
      </c>
      <c r="BC246" t="s">
        <v>840</v>
      </c>
      <c r="BD246" t="s">
        <v>7528</v>
      </c>
      <c r="BF246" t="s">
        <v>860</v>
      </c>
      <c r="BG246" t="s">
        <v>98</v>
      </c>
      <c r="BH246" t="s">
        <v>98</v>
      </c>
      <c r="BI246" t="s">
        <v>98</v>
      </c>
      <c r="BK246" t="s">
        <v>110</v>
      </c>
      <c r="BL246" t="s">
        <v>7528</v>
      </c>
      <c r="BQ246">
        <v>5.25</v>
      </c>
      <c r="BR246">
        <v>0.75</v>
      </c>
      <c r="BS246">
        <v>5.25</v>
      </c>
      <c r="BT246">
        <v>5.25</v>
      </c>
      <c r="CA246">
        <v>2354</v>
      </c>
      <c r="CB246" t="s">
        <v>399</v>
      </c>
      <c r="CL246" t="s">
        <v>99</v>
      </c>
      <c r="CM246" t="s">
        <v>99</v>
      </c>
      <c r="CN246" t="s">
        <v>838</v>
      </c>
      <c r="CO246" s="1">
        <v>42724</v>
      </c>
      <c r="CP246" s="1">
        <v>43633</v>
      </c>
    </row>
    <row r="247" spans="1:94" x14ac:dyDescent="0.25">
      <c r="A247" t="s">
        <v>861</v>
      </c>
      <c r="B247" t="str">
        <f xml:space="preserve"> "" &amp; 747396802992</f>
        <v>747396802992</v>
      </c>
      <c r="C247" t="s">
        <v>850</v>
      </c>
      <c r="D247" t="s">
        <v>862</v>
      </c>
      <c r="E247" t="s">
        <v>863</v>
      </c>
      <c r="F247" t="s">
        <v>240</v>
      </c>
      <c r="G247">
        <v>1</v>
      </c>
      <c r="H247">
        <v>1</v>
      </c>
      <c r="I247" t="s">
        <v>97</v>
      </c>
      <c r="J247" s="10">
        <v>139</v>
      </c>
      <c r="K247" s="10">
        <v>417</v>
      </c>
      <c r="L247" s="10">
        <v>0</v>
      </c>
      <c r="N247" s="10">
        <v>0</v>
      </c>
      <c r="S247">
        <v>21.75</v>
      </c>
      <c r="T247">
        <v>18</v>
      </c>
      <c r="U247">
        <v>18</v>
      </c>
      <c r="W247">
        <v>16.47</v>
      </c>
      <c r="X247">
        <v>1</v>
      </c>
      <c r="Y247">
        <v>14</v>
      </c>
      <c r="Z247">
        <v>20.25</v>
      </c>
      <c r="AA247">
        <v>20.25</v>
      </c>
      <c r="AB247">
        <v>3.3220000000000001</v>
      </c>
      <c r="AC247">
        <v>21.21</v>
      </c>
      <c r="AE247">
        <v>5</v>
      </c>
      <c r="AF247" t="s">
        <v>519</v>
      </c>
      <c r="AG247">
        <v>60</v>
      </c>
      <c r="AK247" t="s">
        <v>98</v>
      </c>
      <c r="AM247" t="s">
        <v>98</v>
      </c>
      <c r="AN247" t="s">
        <v>98</v>
      </c>
      <c r="AO247" t="s">
        <v>99</v>
      </c>
      <c r="AP247" t="s">
        <v>100</v>
      </c>
      <c r="AQ247" t="s">
        <v>101</v>
      </c>
      <c r="AV247" t="s">
        <v>98</v>
      </c>
      <c r="AX247" t="s">
        <v>399</v>
      </c>
      <c r="AZ247" t="s">
        <v>102</v>
      </c>
      <c r="BB247" t="s">
        <v>7528</v>
      </c>
      <c r="BC247" t="s">
        <v>840</v>
      </c>
      <c r="BD247" t="s">
        <v>7528</v>
      </c>
      <c r="BF247" t="s">
        <v>864</v>
      </c>
      <c r="BG247" t="s">
        <v>98</v>
      </c>
      <c r="BH247" t="s">
        <v>98</v>
      </c>
      <c r="BI247" t="s">
        <v>98</v>
      </c>
      <c r="BK247" t="s">
        <v>110</v>
      </c>
      <c r="BL247" t="s">
        <v>7528</v>
      </c>
      <c r="BQ247">
        <v>5.25</v>
      </c>
      <c r="BR247">
        <v>0.75</v>
      </c>
      <c r="BS247">
        <v>5.25</v>
      </c>
      <c r="BT247">
        <v>5.25</v>
      </c>
      <c r="CA247">
        <v>2355</v>
      </c>
      <c r="CB247" t="s">
        <v>399</v>
      </c>
      <c r="CL247" t="s">
        <v>99</v>
      </c>
      <c r="CM247" t="s">
        <v>99</v>
      </c>
      <c r="CN247" t="s">
        <v>838</v>
      </c>
      <c r="CO247" s="1">
        <v>42724</v>
      </c>
      <c r="CP247" s="1">
        <v>43633</v>
      </c>
    </row>
    <row r="248" spans="1:94" x14ac:dyDescent="0.25">
      <c r="A248" t="s">
        <v>865</v>
      </c>
      <c r="B248" t="str">
        <f xml:space="preserve"> "" &amp; 747396803012</f>
        <v>747396803012</v>
      </c>
      <c r="C248" t="s">
        <v>866</v>
      </c>
      <c r="D248" t="s">
        <v>867</v>
      </c>
      <c r="E248" t="s">
        <v>859</v>
      </c>
      <c r="F248" t="s">
        <v>240</v>
      </c>
      <c r="G248">
        <v>1</v>
      </c>
      <c r="H248">
        <v>1</v>
      </c>
      <c r="I248" t="s">
        <v>97</v>
      </c>
      <c r="J248" s="10">
        <v>399</v>
      </c>
      <c r="K248" s="10">
        <v>1197</v>
      </c>
      <c r="L248" s="10">
        <v>0</v>
      </c>
      <c r="N248" s="10">
        <v>0</v>
      </c>
      <c r="O248" t="s">
        <v>99</v>
      </c>
      <c r="P248" s="10">
        <v>844.95</v>
      </c>
      <c r="S248">
        <v>31.75</v>
      </c>
      <c r="T248">
        <v>28</v>
      </c>
      <c r="U248">
        <v>28</v>
      </c>
      <c r="W248">
        <v>34.08</v>
      </c>
      <c r="X248">
        <v>1</v>
      </c>
      <c r="Y248">
        <v>21.25</v>
      </c>
      <c r="Z248">
        <v>30.38</v>
      </c>
      <c r="AA248">
        <v>30.38</v>
      </c>
      <c r="AB248">
        <v>11.35</v>
      </c>
      <c r="AC248">
        <v>46.63</v>
      </c>
      <c r="AE248">
        <v>8</v>
      </c>
      <c r="AF248" t="s">
        <v>772</v>
      </c>
      <c r="AG248">
        <v>60</v>
      </c>
      <c r="AK248" t="s">
        <v>98</v>
      </c>
      <c r="AM248" t="s">
        <v>98</v>
      </c>
      <c r="AN248" t="s">
        <v>98</v>
      </c>
      <c r="AO248" t="s">
        <v>99</v>
      </c>
      <c r="AP248" t="s">
        <v>100</v>
      </c>
      <c r="AQ248" t="s">
        <v>101</v>
      </c>
      <c r="AV248" t="s">
        <v>98</v>
      </c>
      <c r="AX248" t="s">
        <v>399</v>
      </c>
      <c r="AZ248" t="s">
        <v>102</v>
      </c>
      <c r="BB248" t="s">
        <v>7528</v>
      </c>
      <c r="BC248" t="s">
        <v>840</v>
      </c>
      <c r="BD248" t="s">
        <v>7528</v>
      </c>
      <c r="BF248" t="s">
        <v>868</v>
      </c>
      <c r="BG248" t="s">
        <v>98</v>
      </c>
      <c r="BH248" t="s">
        <v>98</v>
      </c>
      <c r="BI248" t="s">
        <v>98</v>
      </c>
      <c r="BK248" t="s">
        <v>110</v>
      </c>
      <c r="BL248" t="s">
        <v>7528</v>
      </c>
      <c r="BQ248">
        <v>5.25</v>
      </c>
      <c r="BR248">
        <v>0.75</v>
      </c>
      <c r="BS248">
        <v>5.25</v>
      </c>
      <c r="BT248">
        <v>5.25</v>
      </c>
      <c r="CA248">
        <v>2358</v>
      </c>
      <c r="CB248" t="s">
        <v>399</v>
      </c>
      <c r="CL248" t="s">
        <v>99</v>
      </c>
      <c r="CM248" t="s">
        <v>98</v>
      </c>
      <c r="CN248" t="s">
        <v>838</v>
      </c>
      <c r="CO248" s="1">
        <v>42724</v>
      </c>
      <c r="CP248" s="1">
        <v>43633</v>
      </c>
    </row>
    <row r="249" spans="1:94" x14ac:dyDescent="0.25">
      <c r="A249" t="s">
        <v>869</v>
      </c>
      <c r="B249" t="str">
        <f xml:space="preserve"> "" &amp; 747396105659</f>
        <v>747396105659</v>
      </c>
      <c r="C249" t="s">
        <v>762</v>
      </c>
      <c r="D249" t="s">
        <v>6554</v>
      </c>
      <c r="E249" t="s">
        <v>836</v>
      </c>
      <c r="F249" t="s">
        <v>323</v>
      </c>
      <c r="G249">
        <v>1</v>
      </c>
      <c r="H249">
        <v>1</v>
      </c>
      <c r="I249" t="s">
        <v>97</v>
      </c>
      <c r="J249" s="10">
        <v>59</v>
      </c>
      <c r="K249" s="10">
        <v>177</v>
      </c>
      <c r="L249" s="10">
        <v>0</v>
      </c>
      <c r="N249" s="10">
        <v>0</v>
      </c>
      <c r="S249">
        <v>6.25</v>
      </c>
      <c r="U249">
        <v>18</v>
      </c>
      <c r="V249">
        <v>6.5</v>
      </c>
      <c r="W249">
        <v>4.41</v>
      </c>
      <c r="X249">
        <v>1</v>
      </c>
      <c r="Y249">
        <v>9</v>
      </c>
      <c r="Z249">
        <v>21.5</v>
      </c>
      <c r="AA249">
        <v>9</v>
      </c>
      <c r="AB249">
        <v>1.008</v>
      </c>
      <c r="AC249">
        <v>5.42</v>
      </c>
      <c r="AE249">
        <v>3</v>
      </c>
      <c r="AF249" t="s">
        <v>870</v>
      </c>
      <c r="AG249">
        <v>60</v>
      </c>
      <c r="AK249" t="s">
        <v>98</v>
      </c>
      <c r="AM249" t="s">
        <v>98</v>
      </c>
      <c r="AN249" t="s">
        <v>98</v>
      </c>
      <c r="AO249" t="s">
        <v>99</v>
      </c>
      <c r="AP249" t="s">
        <v>100</v>
      </c>
      <c r="AQ249" t="s">
        <v>101</v>
      </c>
      <c r="AV249" t="s">
        <v>98</v>
      </c>
      <c r="AX249" t="s">
        <v>399</v>
      </c>
      <c r="AZ249" t="s">
        <v>392</v>
      </c>
      <c r="BB249" t="s">
        <v>871</v>
      </c>
      <c r="BC249" t="s">
        <v>7528</v>
      </c>
      <c r="BD249" t="s">
        <v>7528</v>
      </c>
      <c r="BF249" t="s">
        <v>872</v>
      </c>
      <c r="BG249" t="s">
        <v>98</v>
      </c>
      <c r="BH249" t="s">
        <v>98</v>
      </c>
      <c r="BI249" t="s">
        <v>98</v>
      </c>
      <c r="BK249" t="s">
        <v>127</v>
      </c>
      <c r="BL249" t="s">
        <v>236</v>
      </c>
      <c r="BM249">
        <v>12.75</v>
      </c>
      <c r="BN249">
        <v>6.25</v>
      </c>
      <c r="CA249">
        <v>2363</v>
      </c>
      <c r="CB249" t="s">
        <v>399</v>
      </c>
      <c r="CL249" t="s">
        <v>99</v>
      </c>
      <c r="CM249" t="s">
        <v>98</v>
      </c>
      <c r="CN249" t="s">
        <v>873</v>
      </c>
      <c r="CO249" s="1">
        <v>43034</v>
      </c>
      <c r="CP249" s="1">
        <v>43633</v>
      </c>
    </row>
    <row r="250" spans="1:94" x14ac:dyDescent="0.25">
      <c r="A250" t="s">
        <v>874</v>
      </c>
      <c r="B250" t="str">
        <f xml:space="preserve"> "" &amp; 747396102917</f>
        <v>747396102917</v>
      </c>
      <c r="C250" t="s">
        <v>875</v>
      </c>
      <c r="D250" t="s">
        <v>6555</v>
      </c>
      <c r="E250" t="s">
        <v>836</v>
      </c>
      <c r="F250" t="s">
        <v>323</v>
      </c>
      <c r="G250">
        <v>1</v>
      </c>
      <c r="H250">
        <v>1</v>
      </c>
      <c r="I250" t="s">
        <v>97</v>
      </c>
      <c r="J250" s="10">
        <v>79</v>
      </c>
      <c r="K250" s="10">
        <v>237</v>
      </c>
      <c r="L250" s="10">
        <v>0</v>
      </c>
      <c r="N250" s="10">
        <v>0</v>
      </c>
      <c r="S250">
        <v>6.25</v>
      </c>
      <c r="U250">
        <v>25</v>
      </c>
      <c r="V250">
        <v>6.5</v>
      </c>
      <c r="W250">
        <v>6.61</v>
      </c>
      <c r="X250">
        <v>1</v>
      </c>
      <c r="Y250">
        <v>8.25</v>
      </c>
      <c r="Z250">
        <v>27.88</v>
      </c>
      <c r="AA250">
        <v>8.5</v>
      </c>
      <c r="AB250">
        <v>1.131</v>
      </c>
      <c r="AC250">
        <v>8.16</v>
      </c>
      <c r="AE250">
        <v>6</v>
      </c>
      <c r="AF250" t="s">
        <v>870</v>
      </c>
      <c r="AG250">
        <v>60</v>
      </c>
      <c r="AK250" t="s">
        <v>98</v>
      </c>
      <c r="AM250" t="s">
        <v>98</v>
      </c>
      <c r="AN250" t="s">
        <v>99</v>
      </c>
      <c r="AO250" t="s">
        <v>98</v>
      </c>
      <c r="AP250" t="s">
        <v>100</v>
      </c>
      <c r="AQ250" t="s">
        <v>101</v>
      </c>
      <c r="AV250" t="s">
        <v>98</v>
      </c>
      <c r="AX250" t="s">
        <v>399</v>
      </c>
      <c r="AZ250" t="s">
        <v>102</v>
      </c>
      <c r="BB250" t="s">
        <v>876</v>
      </c>
      <c r="BC250" t="s">
        <v>7528</v>
      </c>
      <c r="BD250" t="s">
        <v>7528</v>
      </c>
      <c r="BF250" t="s">
        <v>877</v>
      </c>
      <c r="BG250" t="s">
        <v>98</v>
      </c>
      <c r="BH250" t="s">
        <v>98</v>
      </c>
      <c r="BI250" t="s">
        <v>98</v>
      </c>
      <c r="BK250" t="s">
        <v>127</v>
      </c>
      <c r="BL250" t="s">
        <v>7528</v>
      </c>
      <c r="BM250">
        <v>19.63</v>
      </c>
      <c r="BN250">
        <v>6.25</v>
      </c>
      <c r="CA250">
        <v>2364</v>
      </c>
      <c r="CB250" t="s">
        <v>399</v>
      </c>
      <c r="CL250" t="s">
        <v>99</v>
      </c>
      <c r="CM250" t="s">
        <v>98</v>
      </c>
      <c r="CN250" t="s">
        <v>838</v>
      </c>
      <c r="CO250" s="1">
        <v>42905</v>
      </c>
      <c r="CP250" s="1">
        <v>43633</v>
      </c>
    </row>
    <row r="251" spans="1:94" x14ac:dyDescent="0.25">
      <c r="A251" t="s">
        <v>878</v>
      </c>
      <c r="B251" t="str">
        <f xml:space="preserve"> "" &amp; 747396102962</f>
        <v>747396102962</v>
      </c>
      <c r="C251" t="s">
        <v>879</v>
      </c>
      <c r="D251" t="s">
        <v>6556</v>
      </c>
      <c r="E251" t="s">
        <v>836</v>
      </c>
      <c r="F251" t="s">
        <v>314</v>
      </c>
      <c r="G251">
        <v>1</v>
      </c>
      <c r="H251">
        <v>1</v>
      </c>
      <c r="I251" t="s">
        <v>97</v>
      </c>
      <c r="J251" s="10">
        <v>199</v>
      </c>
      <c r="K251" s="10">
        <v>597</v>
      </c>
      <c r="L251" s="10">
        <v>0</v>
      </c>
      <c r="N251" s="10">
        <v>0</v>
      </c>
      <c r="S251">
        <v>12.5</v>
      </c>
      <c r="T251">
        <v>34</v>
      </c>
      <c r="U251">
        <v>14</v>
      </c>
      <c r="W251">
        <v>18.079999999999998</v>
      </c>
      <c r="X251">
        <v>1</v>
      </c>
      <c r="Y251">
        <v>16.25</v>
      </c>
      <c r="Z251">
        <v>36</v>
      </c>
      <c r="AA251">
        <v>16.25</v>
      </c>
      <c r="AB251">
        <v>5.5010000000000003</v>
      </c>
      <c r="AC251">
        <v>24.25</v>
      </c>
      <c r="AE251">
        <v>8</v>
      </c>
      <c r="AF251" t="s">
        <v>870</v>
      </c>
      <c r="AG251">
        <v>60</v>
      </c>
      <c r="AK251" t="s">
        <v>98</v>
      </c>
      <c r="AM251" t="s">
        <v>98</v>
      </c>
      <c r="AN251" t="s">
        <v>98</v>
      </c>
      <c r="AO251" t="s">
        <v>99</v>
      </c>
      <c r="AP251" t="s">
        <v>100</v>
      </c>
      <c r="AQ251" t="s">
        <v>101</v>
      </c>
      <c r="AV251" t="s">
        <v>98</v>
      </c>
      <c r="AX251" t="s">
        <v>399</v>
      </c>
      <c r="AZ251" t="s">
        <v>102</v>
      </c>
      <c r="BB251" t="s">
        <v>7528</v>
      </c>
      <c r="BC251" t="s">
        <v>7528</v>
      </c>
      <c r="BD251" t="s">
        <v>7528</v>
      </c>
      <c r="BF251" t="s">
        <v>880</v>
      </c>
      <c r="BG251" t="s">
        <v>98</v>
      </c>
      <c r="BH251" t="s">
        <v>98</v>
      </c>
      <c r="BI251" t="s">
        <v>98</v>
      </c>
      <c r="BK251" t="s">
        <v>110</v>
      </c>
      <c r="BL251" t="s">
        <v>7528</v>
      </c>
      <c r="BR251">
        <v>0.88</v>
      </c>
      <c r="BS251">
        <v>11.75</v>
      </c>
      <c r="BT251">
        <v>5.38</v>
      </c>
      <c r="CA251">
        <v>2367</v>
      </c>
      <c r="CB251" t="s">
        <v>399</v>
      </c>
      <c r="CL251" t="s">
        <v>99</v>
      </c>
      <c r="CM251" t="s">
        <v>99</v>
      </c>
      <c r="CN251" t="s">
        <v>838</v>
      </c>
      <c r="CO251" s="1">
        <v>42903</v>
      </c>
      <c r="CP251" s="1">
        <v>43633</v>
      </c>
    </row>
    <row r="252" spans="1:94" x14ac:dyDescent="0.25">
      <c r="A252" t="s">
        <v>881</v>
      </c>
      <c r="B252" t="str">
        <f xml:space="preserve"> "" &amp; 747396102979</f>
        <v>747396102979</v>
      </c>
      <c r="C252" t="s">
        <v>879</v>
      </c>
      <c r="D252" t="s">
        <v>6556</v>
      </c>
      <c r="E252" t="s">
        <v>836</v>
      </c>
      <c r="F252" t="s">
        <v>314</v>
      </c>
      <c r="G252">
        <v>1</v>
      </c>
      <c r="H252">
        <v>1</v>
      </c>
      <c r="I252" t="s">
        <v>97</v>
      </c>
      <c r="J252" s="10">
        <v>229</v>
      </c>
      <c r="K252" s="10">
        <v>687</v>
      </c>
      <c r="L252" s="10">
        <v>0</v>
      </c>
      <c r="N252" s="10">
        <v>0</v>
      </c>
      <c r="S252">
        <v>12.75</v>
      </c>
      <c r="T252">
        <v>38</v>
      </c>
      <c r="U252">
        <v>10.25</v>
      </c>
      <c r="W252">
        <v>21.16</v>
      </c>
      <c r="X252">
        <v>1</v>
      </c>
      <c r="Y252">
        <v>16.13</v>
      </c>
      <c r="Z252">
        <v>40.25</v>
      </c>
      <c r="AA252">
        <v>12.5</v>
      </c>
      <c r="AB252">
        <v>4.6959999999999997</v>
      </c>
      <c r="AC252">
        <v>26.46</v>
      </c>
      <c r="AE252">
        <v>8</v>
      </c>
      <c r="AF252" t="s">
        <v>519</v>
      </c>
      <c r="AG252">
        <v>60</v>
      </c>
      <c r="AK252" t="s">
        <v>98</v>
      </c>
      <c r="AM252" t="s">
        <v>98</v>
      </c>
      <c r="AN252" t="s">
        <v>98</v>
      </c>
      <c r="AO252" t="s">
        <v>99</v>
      </c>
      <c r="AP252" t="s">
        <v>100</v>
      </c>
      <c r="AQ252" t="s">
        <v>101</v>
      </c>
      <c r="AV252" t="s">
        <v>98</v>
      </c>
      <c r="AX252" t="s">
        <v>399</v>
      </c>
      <c r="AZ252" t="s">
        <v>102</v>
      </c>
      <c r="BB252" t="s">
        <v>7528</v>
      </c>
      <c r="BC252" t="s">
        <v>7528</v>
      </c>
      <c r="BD252" t="s">
        <v>7528</v>
      </c>
      <c r="BF252" t="s">
        <v>882</v>
      </c>
      <c r="BG252" t="s">
        <v>98</v>
      </c>
      <c r="BH252" t="s">
        <v>98</v>
      </c>
      <c r="BI252" t="s">
        <v>98</v>
      </c>
      <c r="BK252" t="s">
        <v>110</v>
      </c>
      <c r="BL252" t="s">
        <v>7528</v>
      </c>
      <c r="BR252">
        <v>0.88</v>
      </c>
      <c r="BS252">
        <v>19.5</v>
      </c>
      <c r="BT252">
        <v>5.25</v>
      </c>
      <c r="CA252">
        <v>2368</v>
      </c>
      <c r="CB252" t="s">
        <v>399</v>
      </c>
      <c r="CL252" t="s">
        <v>99</v>
      </c>
      <c r="CM252" t="s">
        <v>98</v>
      </c>
      <c r="CN252" t="s">
        <v>838</v>
      </c>
      <c r="CO252" s="1">
        <v>42903</v>
      </c>
      <c r="CP252" s="1">
        <v>43633</v>
      </c>
    </row>
    <row r="253" spans="1:94" x14ac:dyDescent="0.25">
      <c r="A253" t="s">
        <v>883</v>
      </c>
      <c r="B253" t="str">
        <f xml:space="preserve"> "" &amp; 747396102986</f>
        <v>747396102986</v>
      </c>
      <c r="C253" t="s">
        <v>879</v>
      </c>
      <c r="D253" t="s">
        <v>6557</v>
      </c>
      <c r="E253" t="s">
        <v>836</v>
      </c>
      <c r="F253" t="s">
        <v>314</v>
      </c>
      <c r="G253">
        <v>1</v>
      </c>
      <c r="H253">
        <v>1</v>
      </c>
      <c r="I253" t="s">
        <v>97</v>
      </c>
      <c r="J253" s="10">
        <v>239</v>
      </c>
      <c r="K253" s="10">
        <v>717</v>
      </c>
      <c r="L253" s="10">
        <v>0</v>
      </c>
      <c r="N253" s="10">
        <v>0</v>
      </c>
      <c r="S253">
        <v>14.5</v>
      </c>
      <c r="T253">
        <v>42</v>
      </c>
      <c r="U253">
        <v>15</v>
      </c>
      <c r="W253">
        <v>24.25</v>
      </c>
      <c r="X253">
        <v>1</v>
      </c>
      <c r="Y253">
        <v>18.5</v>
      </c>
      <c r="Z253">
        <v>44.5</v>
      </c>
      <c r="AA253">
        <v>17.88</v>
      </c>
      <c r="AB253">
        <v>8.5180000000000007</v>
      </c>
      <c r="AC253">
        <v>33.07</v>
      </c>
      <c r="AE253">
        <v>10</v>
      </c>
      <c r="AF253" t="s">
        <v>870</v>
      </c>
      <c r="AG253">
        <v>60</v>
      </c>
      <c r="AK253" t="s">
        <v>98</v>
      </c>
      <c r="AM253" t="s">
        <v>98</v>
      </c>
      <c r="AN253" t="s">
        <v>98</v>
      </c>
      <c r="AO253" t="s">
        <v>99</v>
      </c>
      <c r="AP253" t="s">
        <v>100</v>
      </c>
      <c r="AQ253" t="s">
        <v>101</v>
      </c>
      <c r="AV253" t="s">
        <v>98</v>
      </c>
      <c r="AX253" t="s">
        <v>399</v>
      </c>
      <c r="AZ253" t="s">
        <v>102</v>
      </c>
      <c r="BB253" t="s">
        <v>7528</v>
      </c>
      <c r="BC253" t="s">
        <v>7528</v>
      </c>
      <c r="BD253" t="s">
        <v>7528</v>
      </c>
      <c r="BF253" t="s">
        <v>884</v>
      </c>
      <c r="BG253" t="s">
        <v>98</v>
      </c>
      <c r="BH253" t="s">
        <v>98</v>
      </c>
      <c r="BI253" t="s">
        <v>98</v>
      </c>
      <c r="BK253" t="s">
        <v>110</v>
      </c>
      <c r="BL253" t="s">
        <v>7528</v>
      </c>
      <c r="BR253">
        <v>0.88</v>
      </c>
      <c r="BS253">
        <v>19.5</v>
      </c>
      <c r="BT253">
        <v>5.25</v>
      </c>
      <c r="CA253">
        <v>2369</v>
      </c>
      <c r="CB253" t="s">
        <v>399</v>
      </c>
      <c r="CL253" t="s">
        <v>99</v>
      </c>
      <c r="CM253" t="s">
        <v>98</v>
      </c>
      <c r="CN253" t="s">
        <v>838</v>
      </c>
      <c r="CO253" s="1">
        <v>42903</v>
      </c>
      <c r="CP253" s="1">
        <v>43633</v>
      </c>
    </row>
    <row r="254" spans="1:94" x14ac:dyDescent="0.25">
      <c r="A254" t="s">
        <v>885</v>
      </c>
      <c r="B254" t="str">
        <f xml:space="preserve"> "" &amp; 747396102993</f>
        <v>747396102993</v>
      </c>
      <c r="C254" t="s">
        <v>835</v>
      </c>
      <c r="D254" t="s">
        <v>886</v>
      </c>
      <c r="E254" t="s">
        <v>859</v>
      </c>
      <c r="F254" t="s">
        <v>232</v>
      </c>
      <c r="G254">
        <v>1</v>
      </c>
      <c r="H254">
        <v>1</v>
      </c>
      <c r="I254" t="s">
        <v>97</v>
      </c>
      <c r="J254" s="10">
        <v>44</v>
      </c>
      <c r="K254" s="10">
        <v>132</v>
      </c>
      <c r="L254" s="10">
        <v>0</v>
      </c>
      <c r="N254" s="10">
        <v>0</v>
      </c>
      <c r="S254">
        <v>8</v>
      </c>
      <c r="U254">
        <v>12</v>
      </c>
      <c r="V254">
        <v>5.75</v>
      </c>
      <c r="W254">
        <v>2.65</v>
      </c>
      <c r="X254">
        <v>1</v>
      </c>
      <c r="Y254">
        <v>8</v>
      </c>
      <c r="Z254">
        <v>14</v>
      </c>
      <c r="AA254">
        <v>10</v>
      </c>
      <c r="AB254">
        <v>0.64800000000000002</v>
      </c>
      <c r="AC254">
        <v>3.53</v>
      </c>
      <c r="AE254">
        <v>3</v>
      </c>
      <c r="AF254" t="s">
        <v>519</v>
      </c>
      <c r="AG254">
        <v>60</v>
      </c>
      <c r="AK254" t="s">
        <v>98</v>
      </c>
      <c r="AM254" t="s">
        <v>98</v>
      </c>
      <c r="AN254" t="s">
        <v>99</v>
      </c>
      <c r="AO254" t="s">
        <v>98</v>
      </c>
      <c r="AP254" t="s">
        <v>100</v>
      </c>
      <c r="AQ254" t="s">
        <v>101</v>
      </c>
      <c r="AV254" t="s">
        <v>98</v>
      </c>
      <c r="AX254" t="s">
        <v>399</v>
      </c>
      <c r="AZ254" t="s">
        <v>102</v>
      </c>
      <c r="BB254" t="s">
        <v>7528</v>
      </c>
      <c r="BC254" t="s">
        <v>7528</v>
      </c>
      <c r="BD254" t="s">
        <v>7528</v>
      </c>
      <c r="BF254" t="s">
        <v>887</v>
      </c>
      <c r="BG254" t="s">
        <v>98</v>
      </c>
      <c r="BH254" t="s">
        <v>98</v>
      </c>
      <c r="BI254" t="s">
        <v>98</v>
      </c>
      <c r="BK254" t="s">
        <v>127</v>
      </c>
      <c r="BL254" t="s">
        <v>236</v>
      </c>
      <c r="BM254">
        <v>6.25</v>
      </c>
      <c r="BN254">
        <v>6.88</v>
      </c>
      <c r="CA254">
        <v>2370</v>
      </c>
      <c r="CB254" t="s">
        <v>399</v>
      </c>
      <c r="CL254" t="s">
        <v>99</v>
      </c>
      <c r="CM254" t="s">
        <v>98</v>
      </c>
      <c r="CN254" t="s">
        <v>838</v>
      </c>
      <c r="CO254" s="1">
        <v>42902</v>
      </c>
      <c r="CP254" s="1">
        <v>43633</v>
      </c>
    </row>
    <row r="255" spans="1:94" x14ac:dyDescent="0.25">
      <c r="A255" t="s">
        <v>888</v>
      </c>
      <c r="B255" t="str">
        <f xml:space="preserve"> "" &amp; 747396103006</f>
        <v>747396103006</v>
      </c>
      <c r="C255" t="s">
        <v>835</v>
      </c>
      <c r="D255" t="s">
        <v>889</v>
      </c>
      <c r="E255" t="s">
        <v>859</v>
      </c>
      <c r="F255" t="s">
        <v>232</v>
      </c>
      <c r="G255">
        <v>1</v>
      </c>
      <c r="H255">
        <v>1</v>
      </c>
      <c r="I255" t="s">
        <v>97</v>
      </c>
      <c r="J255" s="10">
        <v>69</v>
      </c>
      <c r="K255" s="10">
        <v>207</v>
      </c>
      <c r="L255" s="10">
        <v>0</v>
      </c>
      <c r="N255" s="10">
        <v>0</v>
      </c>
      <c r="S255">
        <v>12</v>
      </c>
      <c r="U255">
        <v>7</v>
      </c>
      <c r="V255">
        <v>5.75</v>
      </c>
      <c r="W255">
        <v>4.1900000000000004</v>
      </c>
      <c r="X255">
        <v>1</v>
      </c>
      <c r="Y255">
        <v>8.1300000000000008</v>
      </c>
      <c r="Z255">
        <v>14.25</v>
      </c>
      <c r="AA255">
        <v>10.38</v>
      </c>
      <c r="AB255">
        <v>0.69599999999999995</v>
      </c>
      <c r="AC255">
        <v>5.29</v>
      </c>
      <c r="AE255">
        <v>3</v>
      </c>
      <c r="AF255" t="s">
        <v>519</v>
      </c>
      <c r="AG255">
        <v>60</v>
      </c>
      <c r="AK255" t="s">
        <v>98</v>
      </c>
      <c r="AM255" t="s">
        <v>98</v>
      </c>
      <c r="AN255" t="s">
        <v>98</v>
      </c>
      <c r="AO255" t="s">
        <v>99</v>
      </c>
      <c r="AP255" t="s">
        <v>100</v>
      </c>
      <c r="AQ255" t="s">
        <v>101</v>
      </c>
      <c r="AV255" t="s">
        <v>98</v>
      </c>
      <c r="AX255" t="s">
        <v>399</v>
      </c>
      <c r="AZ255" t="s">
        <v>102</v>
      </c>
      <c r="BB255" t="s">
        <v>7528</v>
      </c>
      <c r="BC255" t="s">
        <v>7528</v>
      </c>
      <c r="BD255" t="s">
        <v>7528</v>
      </c>
      <c r="BF255" t="s">
        <v>890</v>
      </c>
      <c r="BG255" t="s">
        <v>98</v>
      </c>
      <c r="BH255" t="s">
        <v>98</v>
      </c>
      <c r="BI255" t="s">
        <v>98</v>
      </c>
      <c r="BK255" t="s">
        <v>127</v>
      </c>
      <c r="BL255" t="s">
        <v>7528</v>
      </c>
      <c r="BM255">
        <v>7</v>
      </c>
      <c r="BN255">
        <v>12</v>
      </c>
      <c r="CA255">
        <v>2371</v>
      </c>
      <c r="CB255" t="s">
        <v>399</v>
      </c>
      <c r="CL255" t="s">
        <v>99</v>
      </c>
      <c r="CM255" t="s">
        <v>98</v>
      </c>
      <c r="CN255" t="s">
        <v>838</v>
      </c>
      <c r="CO255" s="1">
        <v>42902</v>
      </c>
      <c r="CP255" s="1">
        <v>43633</v>
      </c>
    </row>
    <row r="256" spans="1:94" x14ac:dyDescent="0.25">
      <c r="A256" t="s">
        <v>891</v>
      </c>
      <c r="B256" t="str">
        <f xml:space="preserve"> "" &amp; 747396103013</f>
        <v>747396103013</v>
      </c>
      <c r="C256" t="s">
        <v>569</v>
      </c>
      <c r="D256" t="s">
        <v>892</v>
      </c>
      <c r="E256" t="s">
        <v>859</v>
      </c>
      <c r="F256" t="s">
        <v>478</v>
      </c>
      <c r="G256">
        <v>1</v>
      </c>
      <c r="H256">
        <v>1</v>
      </c>
      <c r="I256" t="s">
        <v>97</v>
      </c>
      <c r="J256" s="10">
        <v>89</v>
      </c>
      <c r="K256" s="10">
        <v>267</v>
      </c>
      <c r="L256" s="10">
        <v>0</v>
      </c>
      <c r="N256" s="10">
        <v>0</v>
      </c>
      <c r="S256">
        <v>8</v>
      </c>
      <c r="T256">
        <v>15</v>
      </c>
      <c r="U256">
        <v>15</v>
      </c>
      <c r="W256">
        <v>6.61</v>
      </c>
      <c r="X256">
        <v>1</v>
      </c>
      <c r="Y256">
        <v>9.8800000000000008</v>
      </c>
      <c r="Z256">
        <v>17.25</v>
      </c>
      <c r="AA256">
        <v>17.25</v>
      </c>
      <c r="AB256">
        <v>1.7010000000000001</v>
      </c>
      <c r="AC256">
        <v>9.48</v>
      </c>
      <c r="AE256">
        <v>3</v>
      </c>
      <c r="AF256" t="s">
        <v>282</v>
      </c>
      <c r="AG256">
        <v>60</v>
      </c>
      <c r="AK256" t="s">
        <v>98</v>
      </c>
      <c r="AM256" t="s">
        <v>98</v>
      </c>
      <c r="AN256" t="s">
        <v>98</v>
      </c>
      <c r="AO256" t="s">
        <v>99</v>
      </c>
      <c r="AP256" t="s">
        <v>100</v>
      </c>
      <c r="AQ256" t="s">
        <v>101</v>
      </c>
      <c r="AV256" t="s">
        <v>98</v>
      </c>
      <c r="AX256" t="s">
        <v>399</v>
      </c>
      <c r="AZ256" t="s">
        <v>102</v>
      </c>
      <c r="BB256" t="s">
        <v>7528</v>
      </c>
      <c r="BC256" t="s">
        <v>7528</v>
      </c>
      <c r="BD256" t="s">
        <v>7528</v>
      </c>
      <c r="BF256" t="s">
        <v>893</v>
      </c>
      <c r="BG256" t="s">
        <v>98</v>
      </c>
      <c r="BH256" t="s">
        <v>98</v>
      </c>
      <c r="BI256" t="s">
        <v>98</v>
      </c>
      <c r="BK256" t="s">
        <v>127</v>
      </c>
      <c r="BL256" t="s">
        <v>7528</v>
      </c>
      <c r="BR256">
        <v>1.25</v>
      </c>
      <c r="BS256">
        <v>15</v>
      </c>
      <c r="BT256">
        <v>15</v>
      </c>
      <c r="CA256">
        <v>2373</v>
      </c>
      <c r="CB256" t="s">
        <v>399</v>
      </c>
      <c r="CL256" t="s">
        <v>99</v>
      </c>
      <c r="CM256" t="s">
        <v>98</v>
      </c>
      <c r="CN256" t="s">
        <v>838</v>
      </c>
      <c r="CO256" s="1">
        <v>42902</v>
      </c>
      <c r="CP256" s="1">
        <v>43633</v>
      </c>
    </row>
    <row r="257" spans="1:94" x14ac:dyDescent="0.25">
      <c r="A257" t="s">
        <v>894</v>
      </c>
      <c r="B257" t="str">
        <f xml:space="preserve"> "" &amp; 747396103020</f>
        <v>747396103020</v>
      </c>
      <c r="C257" t="s">
        <v>464</v>
      </c>
      <c r="D257" t="s">
        <v>895</v>
      </c>
      <c r="E257" t="s">
        <v>859</v>
      </c>
      <c r="F257" t="s">
        <v>249</v>
      </c>
      <c r="G257">
        <v>1</v>
      </c>
      <c r="H257">
        <v>1</v>
      </c>
      <c r="I257" t="s">
        <v>97</v>
      </c>
      <c r="J257" s="10">
        <v>85</v>
      </c>
      <c r="K257" s="10">
        <v>255</v>
      </c>
      <c r="L257" s="10">
        <v>0</v>
      </c>
      <c r="N257" s="10">
        <v>0</v>
      </c>
      <c r="O257" t="s">
        <v>99</v>
      </c>
      <c r="P257" s="10">
        <v>179.95</v>
      </c>
      <c r="S257">
        <v>15</v>
      </c>
      <c r="T257">
        <v>12</v>
      </c>
      <c r="U257">
        <v>12</v>
      </c>
      <c r="W257">
        <v>7.1</v>
      </c>
      <c r="X257">
        <v>1</v>
      </c>
      <c r="Y257">
        <v>14.75</v>
      </c>
      <c r="Z257">
        <v>14.125</v>
      </c>
      <c r="AA257">
        <v>14.125</v>
      </c>
      <c r="AB257">
        <v>1.7030000000000001</v>
      </c>
      <c r="AC257">
        <v>9.92</v>
      </c>
      <c r="AE257">
        <v>4</v>
      </c>
      <c r="AF257" t="s">
        <v>519</v>
      </c>
      <c r="AG257">
        <v>60</v>
      </c>
      <c r="AK257" t="s">
        <v>98</v>
      </c>
      <c r="AM257" t="s">
        <v>98</v>
      </c>
      <c r="AN257" t="s">
        <v>98</v>
      </c>
      <c r="AO257" t="s">
        <v>99</v>
      </c>
      <c r="AP257" t="s">
        <v>100</v>
      </c>
      <c r="AQ257" t="s">
        <v>101</v>
      </c>
      <c r="AV257" t="s">
        <v>98</v>
      </c>
      <c r="AX257" t="s">
        <v>399</v>
      </c>
      <c r="AZ257" t="s">
        <v>102</v>
      </c>
      <c r="BB257" t="s">
        <v>7528</v>
      </c>
      <c r="BC257" t="s">
        <v>7528</v>
      </c>
      <c r="BD257" t="s">
        <v>7528</v>
      </c>
      <c r="BF257" t="s">
        <v>896</v>
      </c>
      <c r="BG257" t="s">
        <v>98</v>
      </c>
      <c r="BH257" t="s">
        <v>98</v>
      </c>
      <c r="BI257" t="s">
        <v>98</v>
      </c>
      <c r="BK257" t="s">
        <v>127</v>
      </c>
      <c r="BL257" t="s">
        <v>7528</v>
      </c>
      <c r="BR257">
        <v>0.75</v>
      </c>
      <c r="BS257">
        <v>5</v>
      </c>
      <c r="BT257">
        <v>5</v>
      </c>
      <c r="CA257">
        <v>2374</v>
      </c>
      <c r="CB257" t="s">
        <v>399</v>
      </c>
      <c r="CL257" t="s">
        <v>99</v>
      </c>
      <c r="CM257" t="s">
        <v>99</v>
      </c>
      <c r="CN257" t="s">
        <v>838</v>
      </c>
      <c r="CO257" s="1">
        <v>42902</v>
      </c>
      <c r="CP257" s="1">
        <v>43633</v>
      </c>
    </row>
    <row r="258" spans="1:94" x14ac:dyDescent="0.25">
      <c r="A258" t="s">
        <v>897</v>
      </c>
      <c r="B258" t="str">
        <f xml:space="preserve"> "" &amp; 747396103037</f>
        <v>747396103037</v>
      </c>
      <c r="C258" t="s">
        <v>569</v>
      </c>
      <c r="D258" t="s">
        <v>898</v>
      </c>
      <c r="E258" t="s">
        <v>859</v>
      </c>
      <c r="F258" t="s">
        <v>478</v>
      </c>
      <c r="G258">
        <v>1</v>
      </c>
      <c r="H258">
        <v>1</v>
      </c>
      <c r="I258" t="s">
        <v>97</v>
      </c>
      <c r="J258" s="10">
        <v>99</v>
      </c>
      <c r="K258" s="10">
        <v>297</v>
      </c>
      <c r="L258" s="10">
        <v>0</v>
      </c>
      <c r="N258" s="10">
        <v>0</v>
      </c>
      <c r="S258">
        <v>8</v>
      </c>
      <c r="T258">
        <v>20</v>
      </c>
      <c r="U258">
        <v>20</v>
      </c>
      <c r="W258">
        <v>11.75</v>
      </c>
      <c r="X258">
        <v>1</v>
      </c>
      <c r="Y258">
        <v>9.8800000000000008</v>
      </c>
      <c r="Z258">
        <v>22.38</v>
      </c>
      <c r="AA258">
        <v>22.38</v>
      </c>
      <c r="AB258">
        <v>2.8639999999999999</v>
      </c>
      <c r="AC258">
        <v>15.98</v>
      </c>
      <c r="AE258">
        <v>5</v>
      </c>
      <c r="AF258" t="s">
        <v>282</v>
      </c>
      <c r="AG258">
        <v>60</v>
      </c>
      <c r="AK258" t="s">
        <v>98</v>
      </c>
      <c r="AM258" t="s">
        <v>98</v>
      </c>
      <c r="AN258" t="s">
        <v>98</v>
      </c>
      <c r="AO258" t="s">
        <v>99</v>
      </c>
      <c r="AP258" t="s">
        <v>100</v>
      </c>
      <c r="AQ258" t="s">
        <v>101</v>
      </c>
      <c r="AV258" t="s">
        <v>98</v>
      </c>
      <c r="AX258" t="s">
        <v>399</v>
      </c>
      <c r="AZ258" t="s">
        <v>102</v>
      </c>
      <c r="BB258" t="s">
        <v>7528</v>
      </c>
      <c r="BC258" t="s">
        <v>7528</v>
      </c>
      <c r="BD258" t="s">
        <v>7528</v>
      </c>
      <c r="BF258" t="s">
        <v>899</v>
      </c>
      <c r="BG258" t="s">
        <v>98</v>
      </c>
      <c r="BH258" t="s">
        <v>98</v>
      </c>
      <c r="BI258" t="s">
        <v>98</v>
      </c>
      <c r="BK258" t="s">
        <v>127</v>
      </c>
      <c r="BL258" t="s">
        <v>7528</v>
      </c>
      <c r="BR258">
        <v>1.25</v>
      </c>
      <c r="BS258">
        <v>19.5</v>
      </c>
      <c r="BT258">
        <v>19.25</v>
      </c>
      <c r="CA258">
        <v>2375</v>
      </c>
      <c r="CB258" t="s">
        <v>399</v>
      </c>
      <c r="CL258" t="s">
        <v>99</v>
      </c>
      <c r="CM258" t="s">
        <v>98</v>
      </c>
      <c r="CN258" t="s">
        <v>838</v>
      </c>
      <c r="CO258" s="1">
        <v>42902</v>
      </c>
      <c r="CP258" s="1">
        <v>43633</v>
      </c>
    </row>
    <row r="259" spans="1:94" x14ac:dyDescent="0.25">
      <c r="A259" t="s">
        <v>900</v>
      </c>
      <c r="B259" t="str">
        <f xml:space="preserve"> "" &amp; 747396103044</f>
        <v>747396103044</v>
      </c>
      <c r="C259" t="s">
        <v>464</v>
      </c>
      <c r="D259" t="s">
        <v>901</v>
      </c>
      <c r="E259" t="s">
        <v>859</v>
      </c>
      <c r="F259" t="s">
        <v>249</v>
      </c>
      <c r="G259">
        <v>1</v>
      </c>
      <c r="H259">
        <v>1</v>
      </c>
      <c r="I259" t="s">
        <v>97</v>
      </c>
      <c r="J259" s="10">
        <v>149</v>
      </c>
      <c r="K259" s="10">
        <v>447</v>
      </c>
      <c r="L259" s="10">
        <v>0</v>
      </c>
      <c r="N259" s="10">
        <v>0</v>
      </c>
      <c r="O259" t="s">
        <v>99</v>
      </c>
      <c r="P259" s="10">
        <v>314.95</v>
      </c>
      <c r="S259">
        <v>19.25</v>
      </c>
      <c r="T259">
        <v>16</v>
      </c>
      <c r="U259">
        <v>16</v>
      </c>
      <c r="W259">
        <v>8.3800000000000008</v>
      </c>
      <c r="X259">
        <v>1</v>
      </c>
      <c r="Y259">
        <v>19.5</v>
      </c>
      <c r="Z259">
        <v>18.13</v>
      </c>
      <c r="AA259">
        <v>12.25</v>
      </c>
      <c r="AB259">
        <v>2.5059999999999998</v>
      </c>
      <c r="AC259">
        <v>12.57</v>
      </c>
      <c r="AE259">
        <v>6</v>
      </c>
      <c r="AF259" t="s">
        <v>519</v>
      </c>
      <c r="AG259">
        <v>60</v>
      </c>
      <c r="AK259" t="s">
        <v>98</v>
      </c>
      <c r="AM259" t="s">
        <v>98</v>
      </c>
      <c r="AN259" t="s">
        <v>98</v>
      </c>
      <c r="AO259" t="s">
        <v>99</v>
      </c>
      <c r="AP259" t="s">
        <v>100</v>
      </c>
      <c r="AQ259" t="s">
        <v>101</v>
      </c>
      <c r="AV259" t="s">
        <v>98</v>
      </c>
      <c r="AX259" t="s">
        <v>399</v>
      </c>
      <c r="AZ259" t="s">
        <v>102</v>
      </c>
      <c r="BB259" t="s">
        <v>7528</v>
      </c>
      <c r="BC259" t="s">
        <v>7528</v>
      </c>
      <c r="BD259" t="s">
        <v>7528</v>
      </c>
      <c r="BF259" t="s">
        <v>902</v>
      </c>
      <c r="BG259" t="s">
        <v>98</v>
      </c>
      <c r="BH259" t="s">
        <v>98</v>
      </c>
      <c r="BI259" t="s">
        <v>98</v>
      </c>
      <c r="BK259" t="s">
        <v>127</v>
      </c>
      <c r="BL259" t="s">
        <v>7528</v>
      </c>
      <c r="BR259">
        <v>0.75</v>
      </c>
      <c r="BS259">
        <v>5</v>
      </c>
      <c r="BT259">
        <v>5</v>
      </c>
      <c r="CA259">
        <v>2376</v>
      </c>
      <c r="CB259" t="s">
        <v>399</v>
      </c>
      <c r="CL259" t="s">
        <v>99</v>
      </c>
      <c r="CM259" t="s">
        <v>99</v>
      </c>
      <c r="CN259" t="s">
        <v>838</v>
      </c>
      <c r="CO259" s="1">
        <v>42902</v>
      </c>
      <c r="CP259" s="1">
        <v>43633</v>
      </c>
    </row>
    <row r="260" spans="1:94" x14ac:dyDescent="0.25">
      <c r="A260" t="s">
        <v>903</v>
      </c>
      <c r="B260" t="str">
        <f xml:space="preserve"> "" &amp; 747396103051</f>
        <v>747396103051</v>
      </c>
      <c r="C260" t="s">
        <v>464</v>
      </c>
      <c r="D260" t="s">
        <v>904</v>
      </c>
      <c r="E260" t="s">
        <v>859</v>
      </c>
      <c r="F260" t="s">
        <v>249</v>
      </c>
      <c r="G260">
        <v>1</v>
      </c>
      <c r="H260">
        <v>1</v>
      </c>
      <c r="I260" t="s">
        <v>97</v>
      </c>
      <c r="J260" s="10">
        <v>265</v>
      </c>
      <c r="K260" s="10">
        <v>795</v>
      </c>
      <c r="L260" s="10">
        <v>0</v>
      </c>
      <c r="N260" s="10">
        <v>0</v>
      </c>
      <c r="O260" t="s">
        <v>99</v>
      </c>
      <c r="P260" s="10">
        <v>554.95000000000005</v>
      </c>
      <c r="S260">
        <v>27.5</v>
      </c>
      <c r="T260">
        <v>24</v>
      </c>
      <c r="U260">
        <v>24</v>
      </c>
      <c r="W260">
        <v>13.38</v>
      </c>
      <c r="X260">
        <v>1</v>
      </c>
      <c r="Y260">
        <v>27.75</v>
      </c>
      <c r="Z260">
        <v>26</v>
      </c>
      <c r="AA260">
        <v>17.13</v>
      </c>
      <c r="AB260">
        <v>7.1520000000000001</v>
      </c>
      <c r="AC260">
        <v>22.05</v>
      </c>
      <c r="AE260">
        <v>9</v>
      </c>
      <c r="AF260" t="s">
        <v>519</v>
      </c>
      <c r="AG260">
        <v>60</v>
      </c>
      <c r="AK260" t="s">
        <v>98</v>
      </c>
      <c r="AM260" t="s">
        <v>98</v>
      </c>
      <c r="AN260" t="s">
        <v>98</v>
      </c>
      <c r="AO260" t="s">
        <v>99</v>
      </c>
      <c r="AP260" t="s">
        <v>100</v>
      </c>
      <c r="AQ260" t="s">
        <v>101</v>
      </c>
      <c r="AV260" t="s">
        <v>98</v>
      </c>
      <c r="AX260" t="s">
        <v>399</v>
      </c>
      <c r="AZ260" t="s">
        <v>102</v>
      </c>
      <c r="BB260" t="s">
        <v>7528</v>
      </c>
      <c r="BC260" t="s">
        <v>7528</v>
      </c>
      <c r="BD260" t="s">
        <v>7528</v>
      </c>
      <c r="BF260" t="s">
        <v>905</v>
      </c>
      <c r="BG260" t="s">
        <v>98</v>
      </c>
      <c r="BH260" t="s">
        <v>98</v>
      </c>
      <c r="BI260" t="s">
        <v>98</v>
      </c>
      <c r="BK260" t="s">
        <v>110</v>
      </c>
      <c r="BL260" t="s">
        <v>7528</v>
      </c>
      <c r="BR260">
        <v>0.75</v>
      </c>
      <c r="BS260">
        <v>5</v>
      </c>
      <c r="BT260">
        <v>5</v>
      </c>
      <c r="CA260">
        <v>2378</v>
      </c>
      <c r="CB260" t="s">
        <v>399</v>
      </c>
      <c r="CL260" t="s">
        <v>99</v>
      </c>
      <c r="CM260" t="s">
        <v>99</v>
      </c>
      <c r="CN260" t="s">
        <v>838</v>
      </c>
      <c r="CO260" s="1">
        <v>42902</v>
      </c>
      <c r="CP260" s="1">
        <v>43633</v>
      </c>
    </row>
    <row r="261" spans="1:94" x14ac:dyDescent="0.25">
      <c r="A261" t="s">
        <v>906</v>
      </c>
      <c r="B261" t="str">
        <f xml:space="preserve"> "" &amp; 747396103068</f>
        <v>747396103068</v>
      </c>
      <c r="C261" t="s">
        <v>464</v>
      </c>
      <c r="D261" t="s">
        <v>907</v>
      </c>
      <c r="E261" t="s">
        <v>859</v>
      </c>
      <c r="F261" t="s">
        <v>249</v>
      </c>
      <c r="G261">
        <v>1</v>
      </c>
      <c r="H261">
        <v>1</v>
      </c>
      <c r="I261" t="s">
        <v>97</v>
      </c>
      <c r="J261" s="10">
        <v>299</v>
      </c>
      <c r="K261" s="10">
        <v>897</v>
      </c>
      <c r="L261" s="10">
        <v>0</v>
      </c>
      <c r="N261" s="10">
        <v>0</v>
      </c>
      <c r="S261">
        <v>33</v>
      </c>
      <c r="T261">
        <v>32</v>
      </c>
      <c r="U261">
        <v>32</v>
      </c>
      <c r="W261">
        <v>17.64</v>
      </c>
      <c r="X261">
        <v>1</v>
      </c>
      <c r="Y261">
        <v>32.75</v>
      </c>
      <c r="Z261">
        <v>33.5</v>
      </c>
      <c r="AA261">
        <v>20</v>
      </c>
      <c r="AB261">
        <v>12.698</v>
      </c>
      <c r="AC261">
        <v>29.03</v>
      </c>
      <c r="AE261">
        <v>12</v>
      </c>
      <c r="AF261" t="s">
        <v>519</v>
      </c>
      <c r="AG261">
        <v>60</v>
      </c>
      <c r="AK261" t="s">
        <v>98</v>
      </c>
      <c r="AM261" t="s">
        <v>98</v>
      </c>
      <c r="AN261" t="s">
        <v>98</v>
      </c>
      <c r="AO261" t="s">
        <v>99</v>
      </c>
      <c r="AP261" t="s">
        <v>100</v>
      </c>
      <c r="AQ261" t="s">
        <v>101</v>
      </c>
      <c r="AV261" t="s">
        <v>98</v>
      </c>
      <c r="AX261" t="s">
        <v>399</v>
      </c>
      <c r="AZ261" t="s">
        <v>102</v>
      </c>
      <c r="BB261" t="s">
        <v>7528</v>
      </c>
      <c r="BC261" t="s">
        <v>7528</v>
      </c>
      <c r="BD261" t="s">
        <v>7528</v>
      </c>
      <c r="BF261" t="s">
        <v>908</v>
      </c>
      <c r="BG261" t="s">
        <v>98</v>
      </c>
      <c r="BH261" t="s">
        <v>98</v>
      </c>
      <c r="BI261" t="s">
        <v>98</v>
      </c>
      <c r="BK261" t="s">
        <v>110</v>
      </c>
      <c r="BL261" t="s">
        <v>7528</v>
      </c>
      <c r="BR261">
        <v>0.75</v>
      </c>
      <c r="BS261">
        <v>5</v>
      </c>
      <c r="BT261">
        <v>5</v>
      </c>
      <c r="CA261">
        <v>2379</v>
      </c>
      <c r="CB261" t="s">
        <v>399</v>
      </c>
      <c r="CL261" t="s">
        <v>99</v>
      </c>
      <c r="CM261" t="s">
        <v>99</v>
      </c>
      <c r="CN261" t="s">
        <v>838</v>
      </c>
      <c r="CO261" s="1">
        <v>42902</v>
      </c>
      <c r="CP261" s="1">
        <v>43633</v>
      </c>
    </row>
    <row r="262" spans="1:94" x14ac:dyDescent="0.25">
      <c r="A262" t="s">
        <v>909</v>
      </c>
      <c r="B262" t="str">
        <f xml:space="preserve"> "" &amp; 747396105628</f>
        <v>747396105628</v>
      </c>
      <c r="C262" t="s">
        <v>835</v>
      </c>
      <c r="D262" t="s">
        <v>6558</v>
      </c>
      <c r="E262" t="s">
        <v>859</v>
      </c>
      <c r="F262" t="s">
        <v>232</v>
      </c>
      <c r="G262">
        <v>1</v>
      </c>
      <c r="H262">
        <v>1</v>
      </c>
      <c r="I262" t="s">
        <v>97</v>
      </c>
      <c r="J262" s="10">
        <v>79</v>
      </c>
      <c r="K262" s="10">
        <v>237</v>
      </c>
      <c r="L262" s="10">
        <v>0</v>
      </c>
      <c r="N262" s="10">
        <v>0</v>
      </c>
      <c r="S262">
        <v>16</v>
      </c>
      <c r="U262">
        <v>6</v>
      </c>
      <c r="V262">
        <v>5.5</v>
      </c>
      <c r="W262">
        <v>5.95</v>
      </c>
      <c r="X262">
        <v>1</v>
      </c>
      <c r="Y262">
        <v>8.75</v>
      </c>
      <c r="Z262">
        <v>19.25</v>
      </c>
      <c r="AA262">
        <v>9</v>
      </c>
      <c r="AB262">
        <v>0.877</v>
      </c>
      <c r="AC262">
        <v>6.83</v>
      </c>
      <c r="AE262">
        <v>3</v>
      </c>
      <c r="AF262" t="s">
        <v>870</v>
      </c>
      <c r="AG262">
        <v>60</v>
      </c>
      <c r="AK262" t="s">
        <v>98</v>
      </c>
      <c r="AM262" t="s">
        <v>98</v>
      </c>
      <c r="AN262" t="s">
        <v>98</v>
      </c>
      <c r="AO262" t="s">
        <v>99</v>
      </c>
      <c r="AP262" t="s">
        <v>100</v>
      </c>
      <c r="AQ262" t="s">
        <v>101</v>
      </c>
      <c r="AV262" t="s">
        <v>98</v>
      </c>
      <c r="AX262" t="s">
        <v>399</v>
      </c>
      <c r="AZ262" t="s">
        <v>392</v>
      </c>
      <c r="BB262" t="s">
        <v>876</v>
      </c>
      <c r="BC262" t="s">
        <v>746</v>
      </c>
      <c r="BD262" t="s">
        <v>7528</v>
      </c>
      <c r="BF262" t="s">
        <v>910</v>
      </c>
      <c r="BG262" t="s">
        <v>98</v>
      </c>
      <c r="BH262" t="s">
        <v>98</v>
      </c>
      <c r="BI262" t="s">
        <v>98</v>
      </c>
      <c r="BK262" t="s">
        <v>110</v>
      </c>
      <c r="BL262" t="s">
        <v>7528</v>
      </c>
      <c r="BM262">
        <v>16</v>
      </c>
      <c r="BN262">
        <v>6</v>
      </c>
      <c r="CA262">
        <v>2380</v>
      </c>
      <c r="CB262" t="s">
        <v>399</v>
      </c>
      <c r="CL262" t="s">
        <v>99</v>
      </c>
      <c r="CM262" t="s">
        <v>98</v>
      </c>
      <c r="CN262" t="s">
        <v>873</v>
      </c>
      <c r="CO262" s="1">
        <v>43034</v>
      </c>
      <c r="CP262" s="1">
        <v>43633</v>
      </c>
    </row>
    <row r="263" spans="1:94" x14ac:dyDescent="0.25">
      <c r="A263" t="s">
        <v>911</v>
      </c>
      <c r="B263" t="str">
        <f xml:space="preserve"> "" &amp; 747396105611</f>
        <v>747396105611</v>
      </c>
      <c r="C263" t="s">
        <v>835</v>
      </c>
      <c r="D263" t="s">
        <v>6559</v>
      </c>
      <c r="E263" t="s">
        <v>859</v>
      </c>
      <c r="F263" t="s">
        <v>240</v>
      </c>
      <c r="G263">
        <v>1</v>
      </c>
      <c r="H263">
        <v>1</v>
      </c>
      <c r="I263" t="s">
        <v>97</v>
      </c>
      <c r="J263" s="10">
        <v>69</v>
      </c>
      <c r="K263" s="10">
        <v>207</v>
      </c>
      <c r="L263" s="10">
        <v>0</v>
      </c>
      <c r="N263" s="10">
        <v>0</v>
      </c>
      <c r="S263">
        <v>12</v>
      </c>
      <c r="U263">
        <v>6</v>
      </c>
      <c r="V263">
        <v>5.5</v>
      </c>
      <c r="W263">
        <v>4.1900000000000004</v>
      </c>
      <c r="X263">
        <v>1</v>
      </c>
      <c r="Y263">
        <v>8.75</v>
      </c>
      <c r="Z263">
        <v>15.25</v>
      </c>
      <c r="AA263">
        <v>9</v>
      </c>
      <c r="AB263">
        <v>0.69499999999999995</v>
      </c>
      <c r="AC263">
        <v>5.25</v>
      </c>
      <c r="AE263">
        <v>2</v>
      </c>
      <c r="AF263" t="s">
        <v>870</v>
      </c>
      <c r="AG263">
        <v>60</v>
      </c>
      <c r="AK263" t="s">
        <v>98</v>
      </c>
      <c r="AM263" t="s">
        <v>98</v>
      </c>
      <c r="AN263" t="s">
        <v>98</v>
      </c>
      <c r="AO263" t="s">
        <v>99</v>
      </c>
      <c r="AP263" t="s">
        <v>100</v>
      </c>
      <c r="AQ263" t="s">
        <v>101</v>
      </c>
      <c r="AV263" t="s">
        <v>98</v>
      </c>
      <c r="AX263" t="s">
        <v>399</v>
      </c>
      <c r="AZ263" t="s">
        <v>392</v>
      </c>
      <c r="BB263" t="s">
        <v>876</v>
      </c>
      <c r="BC263" t="s">
        <v>7528</v>
      </c>
      <c r="BD263" t="s">
        <v>7528</v>
      </c>
      <c r="BF263" t="s">
        <v>912</v>
      </c>
      <c r="BG263" t="s">
        <v>98</v>
      </c>
      <c r="BH263" t="s">
        <v>98</v>
      </c>
      <c r="BI263" t="s">
        <v>98</v>
      </c>
      <c r="BK263" t="s">
        <v>110</v>
      </c>
      <c r="BL263" t="s">
        <v>7528</v>
      </c>
      <c r="BM263">
        <v>6</v>
      </c>
      <c r="BN263">
        <v>12</v>
      </c>
      <c r="CA263">
        <v>2382</v>
      </c>
      <c r="CB263" t="s">
        <v>399</v>
      </c>
      <c r="CL263" t="s">
        <v>99</v>
      </c>
      <c r="CM263" t="s">
        <v>98</v>
      </c>
      <c r="CN263" t="s">
        <v>873</v>
      </c>
      <c r="CO263" s="1">
        <v>43034</v>
      </c>
      <c r="CP263" s="1">
        <v>43633</v>
      </c>
    </row>
    <row r="264" spans="1:94" x14ac:dyDescent="0.25">
      <c r="A264" t="s">
        <v>913</v>
      </c>
      <c r="B264" t="str">
        <f xml:space="preserve"> "" &amp; 747396105635</f>
        <v>747396105635</v>
      </c>
      <c r="C264" t="s">
        <v>766</v>
      </c>
      <c r="D264" t="s">
        <v>6560</v>
      </c>
      <c r="E264" t="s">
        <v>859</v>
      </c>
      <c r="F264" t="s">
        <v>323</v>
      </c>
      <c r="G264">
        <v>1</v>
      </c>
      <c r="H264">
        <v>1</v>
      </c>
      <c r="I264" t="s">
        <v>97</v>
      </c>
      <c r="J264" s="10">
        <v>79</v>
      </c>
      <c r="K264" s="10">
        <v>237</v>
      </c>
      <c r="L264" s="10">
        <v>0</v>
      </c>
      <c r="N264" s="10">
        <v>0</v>
      </c>
      <c r="S264">
        <v>5.5</v>
      </c>
      <c r="U264">
        <v>18.5</v>
      </c>
      <c r="V264">
        <v>5.75</v>
      </c>
      <c r="W264">
        <v>5.51</v>
      </c>
      <c r="X264">
        <v>1</v>
      </c>
      <c r="Y264">
        <v>8.5</v>
      </c>
      <c r="Z264">
        <v>21.63</v>
      </c>
      <c r="AA264">
        <v>9</v>
      </c>
      <c r="AB264">
        <v>0.95799999999999996</v>
      </c>
      <c r="AC264">
        <v>6.7</v>
      </c>
      <c r="AE264">
        <v>4</v>
      </c>
      <c r="AF264" t="s">
        <v>870</v>
      </c>
      <c r="AG264">
        <v>60</v>
      </c>
      <c r="AK264" t="s">
        <v>98</v>
      </c>
      <c r="AM264" t="s">
        <v>98</v>
      </c>
      <c r="AN264" t="s">
        <v>98</v>
      </c>
      <c r="AO264" t="s">
        <v>99</v>
      </c>
      <c r="AP264" t="s">
        <v>100</v>
      </c>
      <c r="AQ264" t="s">
        <v>101</v>
      </c>
      <c r="AV264" t="s">
        <v>98</v>
      </c>
      <c r="AX264" t="s">
        <v>399</v>
      </c>
      <c r="AZ264" t="s">
        <v>392</v>
      </c>
      <c r="BB264" t="s">
        <v>876</v>
      </c>
      <c r="BC264" t="s">
        <v>746</v>
      </c>
      <c r="BD264" t="s">
        <v>7528</v>
      </c>
      <c r="BF264" t="s">
        <v>914</v>
      </c>
      <c r="BG264" t="s">
        <v>98</v>
      </c>
      <c r="BH264" t="s">
        <v>98</v>
      </c>
      <c r="BI264" t="s">
        <v>98</v>
      </c>
      <c r="BK264" t="s">
        <v>127</v>
      </c>
      <c r="BL264" t="s">
        <v>7528</v>
      </c>
      <c r="BM264">
        <v>17.5</v>
      </c>
      <c r="BN264">
        <v>5</v>
      </c>
      <c r="CA264">
        <v>2384</v>
      </c>
      <c r="CB264" t="s">
        <v>399</v>
      </c>
      <c r="CL264" t="s">
        <v>99</v>
      </c>
      <c r="CM264" t="s">
        <v>98</v>
      </c>
      <c r="CN264" t="s">
        <v>873</v>
      </c>
      <c r="CO264" s="1">
        <v>43034</v>
      </c>
      <c r="CP264" s="1">
        <v>43633</v>
      </c>
    </row>
    <row r="265" spans="1:94" x14ac:dyDescent="0.25">
      <c r="A265" t="s">
        <v>915</v>
      </c>
      <c r="B265" t="str">
        <f xml:space="preserve"> "" &amp; 747396103075</f>
        <v>747396103075</v>
      </c>
      <c r="C265" t="s">
        <v>916</v>
      </c>
      <c r="D265" t="s">
        <v>917</v>
      </c>
      <c r="E265" t="s">
        <v>859</v>
      </c>
      <c r="F265" t="s">
        <v>323</v>
      </c>
      <c r="G265">
        <v>1</v>
      </c>
      <c r="H265">
        <v>1</v>
      </c>
      <c r="I265" t="s">
        <v>97</v>
      </c>
      <c r="J265" s="10">
        <v>89</v>
      </c>
      <c r="K265" s="10">
        <v>267</v>
      </c>
      <c r="L265" s="10">
        <v>0</v>
      </c>
      <c r="N265" s="10">
        <v>0</v>
      </c>
      <c r="S265">
        <v>5.5</v>
      </c>
      <c r="U265">
        <v>24</v>
      </c>
      <c r="V265">
        <v>5.75</v>
      </c>
      <c r="W265">
        <v>7.5</v>
      </c>
      <c r="X265">
        <v>1</v>
      </c>
      <c r="Y265">
        <v>7.75</v>
      </c>
      <c r="Z265">
        <v>26.75</v>
      </c>
      <c r="AA265">
        <v>8.25</v>
      </c>
      <c r="AB265">
        <v>0.99</v>
      </c>
      <c r="AC265">
        <v>9.44</v>
      </c>
      <c r="AE265">
        <v>6</v>
      </c>
      <c r="AF265" t="s">
        <v>870</v>
      </c>
      <c r="AG265">
        <v>60</v>
      </c>
      <c r="AK265" t="s">
        <v>98</v>
      </c>
      <c r="AM265" t="s">
        <v>98</v>
      </c>
      <c r="AN265" t="s">
        <v>99</v>
      </c>
      <c r="AO265" t="s">
        <v>98</v>
      </c>
      <c r="AP265" t="s">
        <v>100</v>
      </c>
      <c r="AQ265" t="s">
        <v>101</v>
      </c>
      <c r="AV265" t="s">
        <v>98</v>
      </c>
      <c r="AX265" t="s">
        <v>399</v>
      </c>
      <c r="AZ265" t="s">
        <v>102</v>
      </c>
      <c r="BB265" t="s">
        <v>7528</v>
      </c>
      <c r="BC265" t="s">
        <v>7528</v>
      </c>
      <c r="BD265" t="s">
        <v>7528</v>
      </c>
      <c r="BF265" t="s">
        <v>918</v>
      </c>
      <c r="BG265" t="s">
        <v>98</v>
      </c>
      <c r="BH265" t="s">
        <v>98</v>
      </c>
      <c r="BI265" t="s">
        <v>98</v>
      </c>
      <c r="BK265" t="s">
        <v>127</v>
      </c>
      <c r="BL265" t="s">
        <v>7528</v>
      </c>
      <c r="BM265">
        <v>23</v>
      </c>
      <c r="BN265">
        <v>4.88</v>
      </c>
      <c r="CA265">
        <v>2386</v>
      </c>
      <c r="CB265" t="s">
        <v>399</v>
      </c>
      <c r="CL265" t="s">
        <v>99</v>
      </c>
      <c r="CM265" t="s">
        <v>98</v>
      </c>
      <c r="CN265" t="s">
        <v>838</v>
      </c>
      <c r="CO265" s="1">
        <v>42902</v>
      </c>
      <c r="CP265" s="1">
        <v>43633</v>
      </c>
    </row>
    <row r="266" spans="1:94" x14ac:dyDescent="0.25">
      <c r="A266" t="s">
        <v>919</v>
      </c>
      <c r="B266" t="str">
        <f xml:space="preserve"> "" &amp; 747396103082</f>
        <v>747396103082</v>
      </c>
      <c r="C266" t="s">
        <v>879</v>
      </c>
      <c r="D266" t="s">
        <v>920</v>
      </c>
      <c r="E266" t="s">
        <v>859</v>
      </c>
      <c r="F266" t="s">
        <v>314</v>
      </c>
      <c r="G266">
        <v>1</v>
      </c>
      <c r="H266">
        <v>1</v>
      </c>
      <c r="I266" t="s">
        <v>97</v>
      </c>
      <c r="J266" s="10">
        <v>199</v>
      </c>
      <c r="K266" s="10">
        <v>597</v>
      </c>
      <c r="L266" s="10">
        <v>0</v>
      </c>
      <c r="N266" s="10">
        <v>0</v>
      </c>
      <c r="S266">
        <v>12</v>
      </c>
      <c r="T266">
        <v>36</v>
      </c>
      <c r="U266">
        <v>12</v>
      </c>
      <c r="W266">
        <v>17.2</v>
      </c>
      <c r="X266">
        <v>1</v>
      </c>
      <c r="Y266">
        <v>14.5</v>
      </c>
      <c r="Z266">
        <v>37.880000000000003</v>
      </c>
      <c r="AA266">
        <v>14.38</v>
      </c>
      <c r="AB266">
        <v>4.5709999999999997</v>
      </c>
      <c r="AC266">
        <v>22.93</v>
      </c>
      <c r="AE266">
        <v>6</v>
      </c>
      <c r="AF266" t="s">
        <v>870</v>
      </c>
      <c r="AG266">
        <v>60</v>
      </c>
      <c r="AK266" t="s">
        <v>98</v>
      </c>
      <c r="AM266" t="s">
        <v>98</v>
      </c>
      <c r="AN266" t="s">
        <v>98</v>
      </c>
      <c r="AO266" t="s">
        <v>99</v>
      </c>
      <c r="AP266" t="s">
        <v>100</v>
      </c>
      <c r="AQ266" t="s">
        <v>101</v>
      </c>
      <c r="AV266" t="s">
        <v>98</v>
      </c>
      <c r="AX266" t="s">
        <v>399</v>
      </c>
      <c r="AZ266" t="s">
        <v>102</v>
      </c>
      <c r="BB266" t="s">
        <v>7528</v>
      </c>
      <c r="BC266" t="s">
        <v>7528</v>
      </c>
      <c r="BD266" t="s">
        <v>7528</v>
      </c>
      <c r="BF266" t="s">
        <v>921</v>
      </c>
      <c r="BG266" t="s">
        <v>98</v>
      </c>
      <c r="BH266" t="s">
        <v>98</v>
      </c>
      <c r="BI266" t="s">
        <v>98</v>
      </c>
      <c r="BK266" t="s">
        <v>110</v>
      </c>
      <c r="BL266" t="s">
        <v>7528</v>
      </c>
      <c r="BR266">
        <v>0.75</v>
      </c>
      <c r="BS266">
        <v>18</v>
      </c>
      <c r="BT266">
        <v>4.3600000000000003</v>
      </c>
      <c r="CA266">
        <v>2387</v>
      </c>
      <c r="CB266" t="s">
        <v>399</v>
      </c>
      <c r="CL266" t="s">
        <v>99</v>
      </c>
      <c r="CM266" t="s">
        <v>99</v>
      </c>
      <c r="CN266" t="s">
        <v>838</v>
      </c>
      <c r="CO266" s="1">
        <v>42902</v>
      </c>
      <c r="CP266" s="1">
        <v>43633</v>
      </c>
    </row>
    <row r="267" spans="1:94" x14ac:dyDescent="0.25">
      <c r="A267" t="s">
        <v>922</v>
      </c>
      <c r="B267" t="str">
        <f xml:space="preserve"> "" &amp; 747396103099</f>
        <v>747396103099</v>
      </c>
      <c r="C267" t="s">
        <v>879</v>
      </c>
      <c r="D267" t="s">
        <v>923</v>
      </c>
      <c r="E267" t="s">
        <v>859</v>
      </c>
      <c r="F267" t="s">
        <v>314</v>
      </c>
      <c r="G267">
        <v>1</v>
      </c>
      <c r="H267">
        <v>1</v>
      </c>
      <c r="I267" t="s">
        <v>97</v>
      </c>
      <c r="J267" s="10">
        <v>199</v>
      </c>
      <c r="K267" s="10">
        <v>597</v>
      </c>
      <c r="L267" s="10">
        <v>0</v>
      </c>
      <c r="N267" s="10">
        <v>0</v>
      </c>
      <c r="S267">
        <v>14</v>
      </c>
      <c r="T267">
        <v>42</v>
      </c>
      <c r="U267">
        <v>14</v>
      </c>
      <c r="W267">
        <v>23.59</v>
      </c>
      <c r="X267">
        <v>1</v>
      </c>
      <c r="Y267">
        <v>16.625</v>
      </c>
      <c r="Z267">
        <v>44.25</v>
      </c>
      <c r="AA267">
        <v>16</v>
      </c>
      <c r="AB267">
        <v>6.8120000000000003</v>
      </c>
      <c r="AC267">
        <v>30.64</v>
      </c>
      <c r="AE267">
        <v>8</v>
      </c>
      <c r="AF267" t="s">
        <v>870</v>
      </c>
      <c r="AG267">
        <v>60</v>
      </c>
      <c r="AK267" t="s">
        <v>98</v>
      </c>
      <c r="AM267" t="s">
        <v>98</v>
      </c>
      <c r="AN267" t="s">
        <v>98</v>
      </c>
      <c r="AO267" t="s">
        <v>99</v>
      </c>
      <c r="AP267" t="s">
        <v>100</v>
      </c>
      <c r="AQ267" t="s">
        <v>101</v>
      </c>
      <c r="AV267" t="s">
        <v>98</v>
      </c>
      <c r="AX267" t="s">
        <v>399</v>
      </c>
      <c r="AZ267" t="s">
        <v>102</v>
      </c>
      <c r="BB267" t="s">
        <v>7528</v>
      </c>
      <c r="BC267" t="s">
        <v>7528</v>
      </c>
      <c r="BD267" t="s">
        <v>7528</v>
      </c>
      <c r="BF267" t="s">
        <v>924</v>
      </c>
      <c r="BG267" t="s">
        <v>98</v>
      </c>
      <c r="BH267" t="s">
        <v>98</v>
      </c>
      <c r="BI267" t="s">
        <v>98</v>
      </c>
      <c r="BK267" t="s">
        <v>110</v>
      </c>
      <c r="BL267" t="s">
        <v>7528</v>
      </c>
      <c r="BR267">
        <v>0.75</v>
      </c>
      <c r="BS267">
        <v>18</v>
      </c>
      <c r="BT267">
        <v>4.5</v>
      </c>
      <c r="CA267">
        <v>2388</v>
      </c>
      <c r="CB267" t="s">
        <v>399</v>
      </c>
      <c r="CL267" t="s">
        <v>99</v>
      </c>
      <c r="CM267" t="s">
        <v>98</v>
      </c>
      <c r="CN267" t="s">
        <v>838</v>
      </c>
      <c r="CO267" s="1">
        <v>42902</v>
      </c>
      <c r="CP267" s="1">
        <v>43633</v>
      </c>
    </row>
    <row r="268" spans="1:94" x14ac:dyDescent="0.25">
      <c r="A268" t="s">
        <v>925</v>
      </c>
      <c r="B268" t="str">
        <f xml:space="preserve"> "" &amp; 747396105543</f>
        <v>747396105543</v>
      </c>
      <c r="C268" t="s">
        <v>464</v>
      </c>
      <c r="D268" t="s">
        <v>6561</v>
      </c>
      <c r="E268" t="s">
        <v>926</v>
      </c>
      <c r="F268" t="s">
        <v>240</v>
      </c>
      <c r="G268">
        <v>1</v>
      </c>
      <c r="H268">
        <v>1</v>
      </c>
      <c r="I268" t="s">
        <v>97</v>
      </c>
      <c r="J268" s="10">
        <v>69</v>
      </c>
      <c r="K268" s="10">
        <v>207</v>
      </c>
      <c r="L268" s="10">
        <v>0</v>
      </c>
      <c r="N268" s="10">
        <v>0</v>
      </c>
      <c r="S268">
        <v>15.5</v>
      </c>
      <c r="T268">
        <v>10</v>
      </c>
      <c r="U268">
        <v>10</v>
      </c>
      <c r="W268">
        <v>8.49</v>
      </c>
      <c r="X268">
        <v>1</v>
      </c>
      <c r="Y268">
        <v>8.75</v>
      </c>
      <c r="Z268">
        <v>18.88</v>
      </c>
      <c r="AA268">
        <v>13.63</v>
      </c>
      <c r="AB268">
        <v>1.3029999999999999</v>
      </c>
      <c r="AC268">
        <v>10.36</v>
      </c>
      <c r="AE268">
        <v>4</v>
      </c>
      <c r="AF268" t="s">
        <v>772</v>
      </c>
      <c r="AG268">
        <v>60</v>
      </c>
      <c r="AK268" t="s">
        <v>98</v>
      </c>
      <c r="AM268" t="s">
        <v>98</v>
      </c>
      <c r="AN268" t="s">
        <v>98</v>
      </c>
      <c r="AO268" t="s">
        <v>99</v>
      </c>
      <c r="AP268" t="s">
        <v>100</v>
      </c>
      <c r="AQ268" t="s">
        <v>101</v>
      </c>
      <c r="AV268" t="s">
        <v>98</v>
      </c>
      <c r="AX268" t="s">
        <v>399</v>
      </c>
      <c r="AZ268" t="s">
        <v>102</v>
      </c>
      <c r="BB268" t="s">
        <v>235</v>
      </c>
      <c r="BC268" t="s">
        <v>746</v>
      </c>
      <c r="BD268" t="s">
        <v>7528</v>
      </c>
      <c r="BF268" t="s">
        <v>927</v>
      </c>
      <c r="BG268" t="s">
        <v>98</v>
      </c>
      <c r="BH268" t="s">
        <v>98</v>
      </c>
      <c r="BI268" t="s">
        <v>98</v>
      </c>
      <c r="BK268" t="s">
        <v>110</v>
      </c>
      <c r="BL268" t="s">
        <v>7528</v>
      </c>
      <c r="BR268">
        <v>1.5</v>
      </c>
      <c r="BS268">
        <v>5.2</v>
      </c>
      <c r="BT268">
        <v>5.2</v>
      </c>
      <c r="CA268">
        <v>2393</v>
      </c>
      <c r="CB268" t="s">
        <v>399</v>
      </c>
      <c r="CL268" t="s">
        <v>99</v>
      </c>
      <c r="CM268" t="s">
        <v>99</v>
      </c>
      <c r="CN268" t="s">
        <v>838</v>
      </c>
      <c r="CO268" s="1">
        <v>43035</v>
      </c>
      <c r="CP268" s="1">
        <v>43633</v>
      </c>
    </row>
    <row r="269" spans="1:94" x14ac:dyDescent="0.25">
      <c r="A269" t="s">
        <v>928</v>
      </c>
      <c r="B269" t="str">
        <f xml:space="preserve"> "" &amp; 747396105604</f>
        <v>747396105604</v>
      </c>
      <c r="C269" t="s">
        <v>464</v>
      </c>
      <c r="D269" t="s">
        <v>6562</v>
      </c>
      <c r="E269" t="s">
        <v>926</v>
      </c>
      <c r="F269" t="s">
        <v>240</v>
      </c>
      <c r="G269">
        <v>1</v>
      </c>
      <c r="H269">
        <v>1</v>
      </c>
      <c r="I269" t="s">
        <v>97</v>
      </c>
      <c r="J269" s="10">
        <v>99</v>
      </c>
      <c r="K269" s="10">
        <v>297</v>
      </c>
      <c r="L269" s="10">
        <v>0</v>
      </c>
      <c r="N269" s="10">
        <v>0</v>
      </c>
      <c r="S269">
        <v>12</v>
      </c>
      <c r="T269">
        <v>20</v>
      </c>
      <c r="U269">
        <v>20</v>
      </c>
      <c r="W269">
        <v>12.7</v>
      </c>
      <c r="X269">
        <v>1</v>
      </c>
      <c r="Y269">
        <v>8.25</v>
      </c>
      <c r="Z269">
        <v>23</v>
      </c>
      <c r="AA269">
        <v>23</v>
      </c>
      <c r="AB269">
        <v>2.5259999999999998</v>
      </c>
      <c r="AC269">
        <v>16.53</v>
      </c>
      <c r="AE269">
        <v>6</v>
      </c>
      <c r="AF269" t="s">
        <v>772</v>
      </c>
      <c r="AG269">
        <v>60</v>
      </c>
      <c r="AK269" t="s">
        <v>98</v>
      </c>
      <c r="AM269" t="s">
        <v>98</v>
      </c>
      <c r="AN269" t="s">
        <v>98</v>
      </c>
      <c r="AO269" t="s">
        <v>99</v>
      </c>
      <c r="AP269" t="s">
        <v>100</v>
      </c>
      <c r="AQ269" t="s">
        <v>101</v>
      </c>
      <c r="AV269" t="s">
        <v>98</v>
      </c>
      <c r="AX269" t="s">
        <v>399</v>
      </c>
      <c r="AZ269" t="s">
        <v>102</v>
      </c>
      <c r="BB269" t="s">
        <v>235</v>
      </c>
      <c r="BC269" t="s">
        <v>746</v>
      </c>
      <c r="BD269" t="s">
        <v>7528</v>
      </c>
      <c r="BF269" t="s">
        <v>929</v>
      </c>
      <c r="BG269" t="s">
        <v>98</v>
      </c>
      <c r="BH269" t="s">
        <v>98</v>
      </c>
      <c r="BI269" t="s">
        <v>98</v>
      </c>
      <c r="BK269" t="s">
        <v>110</v>
      </c>
      <c r="BL269" t="s">
        <v>7528</v>
      </c>
      <c r="BR269">
        <v>1.5</v>
      </c>
      <c r="BS269">
        <v>5.2</v>
      </c>
      <c r="BT269">
        <v>5.2</v>
      </c>
      <c r="CA269">
        <v>2394</v>
      </c>
      <c r="CB269" t="s">
        <v>399</v>
      </c>
      <c r="CL269" t="s">
        <v>99</v>
      </c>
      <c r="CM269" t="s">
        <v>99</v>
      </c>
      <c r="CN269" t="s">
        <v>838</v>
      </c>
      <c r="CO269" s="1">
        <v>43035</v>
      </c>
      <c r="CP269" s="1">
        <v>43633</v>
      </c>
    </row>
    <row r="270" spans="1:94" x14ac:dyDescent="0.25">
      <c r="A270" t="s">
        <v>930</v>
      </c>
      <c r="B270" t="str">
        <f xml:space="preserve"> "" &amp; 747396105550</f>
        <v>747396105550</v>
      </c>
      <c r="C270" t="s">
        <v>464</v>
      </c>
      <c r="D270" t="s">
        <v>6561</v>
      </c>
      <c r="E270" t="s">
        <v>926</v>
      </c>
      <c r="F270" t="s">
        <v>240</v>
      </c>
      <c r="G270">
        <v>1</v>
      </c>
      <c r="H270">
        <v>1</v>
      </c>
      <c r="I270" t="s">
        <v>97</v>
      </c>
      <c r="J270" s="10">
        <v>99</v>
      </c>
      <c r="K270" s="10">
        <v>297</v>
      </c>
      <c r="L270" s="10">
        <v>0</v>
      </c>
      <c r="N270" s="10">
        <v>0</v>
      </c>
      <c r="S270">
        <v>18</v>
      </c>
      <c r="T270">
        <v>14.25</v>
      </c>
      <c r="U270">
        <v>14.25</v>
      </c>
      <c r="W270">
        <v>12.48</v>
      </c>
      <c r="X270">
        <v>1</v>
      </c>
      <c r="Y270">
        <v>10.5</v>
      </c>
      <c r="Z270">
        <v>22</v>
      </c>
      <c r="AA270">
        <v>17.5</v>
      </c>
      <c r="AB270">
        <v>2.339</v>
      </c>
      <c r="AC270">
        <v>14.99</v>
      </c>
      <c r="AE270">
        <v>6</v>
      </c>
      <c r="AF270" t="s">
        <v>772</v>
      </c>
      <c r="AG270">
        <v>60</v>
      </c>
      <c r="AK270" t="s">
        <v>98</v>
      </c>
      <c r="AM270" t="s">
        <v>98</v>
      </c>
      <c r="AN270" t="s">
        <v>98</v>
      </c>
      <c r="AO270" t="s">
        <v>99</v>
      </c>
      <c r="AP270" t="s">
        <v>100</v>
      </c>
      <c r="AQ270" t="s">
        <v>101</v>
      </c>
      <c r="AV270" t="s">
        <v>98</v>
      </c>
      <c r="AX270" t="s">
        <v>399</v>
      </c>
      <c r="AZ270" t="s">
        <v>102</v>
      </c>
      <c r="BB270" t="s">
        <v>235</v>
      </c>
      <c r="BC270" t="s">
        <v>746</v>
      </c>
      <c r="BD270" t="s">
        <v>7528</v>
      </c>
      <c r="BF270" t="s">
        <v>931</v>
      </c>
      <c r="BG270" t="s">
        <v>98</v>
      </c>
      <c r="BH270" t="s">
        <v>98</v>
      </c>
      <c r="BI270" t="s">
        <v>98</v>
      </c>
      <c r="BK270" t="s">
        <v>110</v>
      </c>
      <c r="BL270" t="s">
        <v>7528</v>
      </c>
      <c r="BR270">
        <v>1.5</v>
      </c>
      <c r="BS270">
        <v>5.2</v>
      </c>
      <c r="BT270">
        <v>5.2</v>
      </c>
      <c r="CA270">
        <v>2395</v>
      </c>
      <c r="CB270" t="s">
        <v>399</v>
      </c>
      <c r="CL270" t="s">
        <v>99</v>
      </c>
      <c r="CM270" t="s">
        <v>99</v>
      </c>
      <c r="CN270" t="s">
        <v>838</v>
      </c>
      <c r="CO270" s="1">
        <v>43035</v>
      </c>
      <c r="CP270" s="1">
        <v>43633</v>
      </c>
    </row>
    <row r="271" spans="1:94" x14ac:dyDescent="0.25">
      <c r="A271" t="s">
        <v>932</v>
      </c>
      <c r="B271" t="str">
        <f xml:space="preserve"> "" &amp; 747396105574</f>
        <v>747396105574</v>
      </c>
      <c r="C271" t="s">
        <v>464</v>
      </c>
      <c r="D271" t="s">
        <v>6563</v>
      </c>
      <c r="E271" t="s">
        <v>926</v>
      </c>
      <c r="F271" t="s">
        <v>240</v>
      </c>
      <c r="G271">
        <v>1</v>
      </c>
      <c r="H271">
        <v>1</v>
      </c>
      <c r="I271" t="s">
        <v>97</v>
      </c>
      <c r="J271" s="10">
        <v>99</v>
      </c>
      <c r="K271" s="10">
        <v>297</v>
      </c>
      <c r="L271" s="10">
        <v>0</v>
      </c>
      <c r="N271" s="10">
        <v>0</v>
      </c>
      <c r="S271">
        <v>22</v>
      </c>
      <c r="T271">
        <v>18</v>
      </c>
      <c r="U271">
        <v>18</v>
      </c>
      <c r="W271">
        <v>14.95</v>
      </c>
      <c r="X271">
        <v>1</v>
      </c>
      <c r="Y271">
        <v>12</v>
      </c>
      <c r="Z271">
        <v>20</v>
      </c>
      <c r="AA271">
        <v>20</v>
      </c>
      <c r="AB271">
        <v>2.778</v>
      </c>
      <c r="AC271">
        <v>19.78</v>
      </c>
      <c r="AE271">
        <v>6</v>
      </c>
      <c r="AF271" t="s">
        <v>772</v>
      </c>
      <c r="AG271">
        <v>60</v>
      </c>
      <c r="AK271" t="s">
        <v>98</v>
      </c>
      <c r="AM271" t="s">
        <v>98</v>
      </c>
      <c r="AN271" t="s">
        <v>98</v>
      </c>
      <c r="AO271" t="s">
        <v>99</v>
      </c>
      <c r="AP271" t="s">
        <v>100</v>
      </c>
      <c r="AQ271" t="s">
        <v>101</v>
      </c>
      <c r="AV271" t="s">
        <v>98</v>
      </c>
      <c r="AX271" t="s">
        <v>399</v>
      </c>
      <c r="AZ271" t="s">
        <v>102</v>
      </c>
      <c r="BB271" t="s">
        <v>235</v>
      </c>
      <c r="BC271" t="s">
        <v>746</v>
      </c>
      <c r="BD271" t="s">
        <v>7528</v>
      </c>
      <c r="BF271" t="s">
        <v>933</v>
      </c>
      <c r="BG271" t="s">
        <v>98</v>
      </c>
      <c r="BH271" t="s">
        <v>98</v>
      </c>
      <c r="BI271" t="s">
        <v>98</v>
      </c>
      <c r="BK271" t="s">
        <v>110</v>
      </c>
      <c r="BL271" t="s">
        <v>7528</v>
      </c>
      <c r="BR271">
        <v>1.5</v>
      </c>
      <c r="BS271">
        <v>5.2</v>
      </c>
      <c r="BT271">
        <v>5.2</v>
      </c>
      <c r="CA271">
        <v>2396</v>
      </c>
      <c r="CB271" t="s">
        <v>399</v>
      </c>
      <c r="CL271" t="s">
        <v>99</v>
      </c>
      <c r="CM271" t="s">
        <v>99</v>
      </c>
      <c r="CN271" t="s">
        <v>838</v>
      </c>
      <c r="CO271" s="1">
        <v>43035</v>
      </c>
      <c r="CP271" s="1">
        <v>43633</v>
      </c>
    </row>
    <row r="272" spans="1:94" x14ac:dyDescent="0.25">
      <c r="A272" t="s">
        <v>934</v>
      </c>
      <c r="B272" t="str">
        <f xml:space="preserve"> "" &amp; 747396105567</f>
        <v>747396105567</v>
      </c>
      <c r="C272" t="s">
        <v>464</v>
      </c>
      <c r="D272" t="s">
        <v>6564</v>
      </c>
      <c r="E272" t="s">
        <v>926</v>
      </c>
      <c r="F272" t="s">
        <v>240</v>
      </c>
      <c r="G272">
        <v>1</v>
      </c>
      <c r="H272">
        <v>1</v>
      </c>
      <c r="I272" t="s">
        <v>97</v>
      </c>
      <c r="J272" s="10">
        <v>99</v>
      </c>
      <c r="K272" s="10">
        <v>297</v>
      </c>
      <c r="L272" s="10">
        <v>0</v>
      </c>
      <c r="N272" s="10">
        <v>0</v>
      </c>
      <c r="S272">
        <v>12</v>
      </c>
      <c r="T272">
        <v>24</v>
      </c>
      <c r="U272">
        <v>24</v>
      </c>
      <c r="W272">
        <v>13.78</v>
      </c>
      <c r="X272">
        <v>1</v>
      </c>
      <c r="Y272">
        <v>8.25</v>
      </c>
      <c r="Z272">
        <v>26.5</v>
      </c>
      <c r="AA272">
        <v>26.5</v>
      </c>
      <c r="AB272">
        <v>3.3530000000000002</v>
      </c>
      <c r="AC272">
        <v>18.52</v>
      </c>
      <c r="AE272">
        <v>8</v>
      </c>
      <c r="AF272" t="s">
        <v>772</v>
      </c>
      <c r="AG272">
        <v>60</v>
      </c>
      <c r="AK272" t="s">
        <v>98</v>
      </c>
      <c r="AM272" t="s">
        <v>98</v>
      </c>
      <c r="AN272" t="s">
        <v>98</v>
      </c>
      <c r="AO272" t="s">
        <v>99</v>
      </c>
      <c r="AP272" t="s">
        <v>100</v>
      </c>
      <c r="AQ272" t="s">
        <v>101</v>
      </c>
      <c r="AV272" t="s">
        <v>98</v>
      </c>
      <c r="AX272" t="s">
        <v>399</v>
      </c>
      <c r="AZ272" t="s">
        <v>102</v>
      </c>
      <c r="BB272" t="s">
        <v>235</v>
      </c>
      <c r="BC272" t="s">
        <v>746</v>
      </c>
      <c r="BD272" t="s">
        <v>7528</v>
      </c>
      <c r="BF272" t="s">
        <v>935</v>
      </c>
      <c r="BG272" t="s">
        <v>98</v>
      </c>
      <c r="BH272" t="s">
        <v>98</v>
      </c>
      <c r="BI272" t="s">
        <v>98</v>
      </c>
      <c r="BK272" t="s">
        <v>110</v>
      </c>
      <c r="BL272" t="s">
        <v>7528</v>
      </c>
      <c r="BR272">
        <v>1.5</v>
      </c>
      <c r="BS272">
        <v>5.2</v>
      </c>
      <c r="BT272">
        <v>5.2</v>
      </c>
      <c r="CA272">
        <v>2397</v>
      </c>
      <c r="CB272" t="s">
        <v>399</v>
      </c>
      <c r="CL272" t="s">
        <v>99</v>
      </c>
      <c r="CM272" t="s">
        <v>99</v>
      </c>
      <c r="CN272" t="s">
        <v>838</v>
      </c>
      <c r="CO272" s="1">
        <v>43035</v>
      </c>
      <c r="CP272" s="1">
        <v>43633</v>
      </c>
    </row>
    <row r="273" spans="1:94" x14ac:dyDescent="0.25">
      <c r="A273" t="s">
        <v>936</v>
      </c>
      <c r="B273" t="str">
        <f xml:space="preserve"> "" &amp; 747396105581</f>
        <v>747396105581</v>
      </c>
      <c r="C273" t="s">
        <v>464</v>
      </c>
      <c r="D273" t="s">
        <v>6565</v>
      </c>
      <c r="E273" t="s">
        <v>926</v>
      </c>
      <c r="F273" t="s">
        <v>240</v>
      </c>
      <c r="G273">
        <v>1</v>
      </c>
      <c r="H273">
        <v>1</v>
      </c>
      <c r="I273" t="s">
        <v>97</v>
      </c>
      <c r="J273" s="10">
        <v>129</v>
      </c>
      <c r="K273" s="10">
        <v>387</v>
      </c>
      <c r="L273" s="10">
        <v>0</v>
      </c>
      <c r="N273" s="10">
        <v>0</v>
      </c>
      <c r="S273">
        <v>12</v>
      </c>
      <c r="T273">
        <v>28.25</v>
      </c>
      <c r="U273">
        <v>28.25</v>
      </c>
      <c r="W273">
        <v>19.18</v>
      </c>
      <c r="X273">
        <v>1</v>
      </c>
      <c r="Y273">
        <v>8.5</v>
      </c>
      <c r="Z273">
        <v>34.75</v>
      </c>
      <c r="AA273">
        <v>34.75</v>
      </c>
      <c r="AB273">
        <v>5.94</v>
      </c>
      <c r="AC273">
        <v>27.34</v>
      </c>
      <c r="AE273">
        <v>10</v>
      </c>
      <c r="AF273" t="s">
        <v>772</v>
      </c>
      <c r="AG273">
        <v>60</v>
      </c>
      <c r="AK273" t="s">
        <v>98</v>
      </c>
      <c r="AM273" t="s">
        <v>98</v>
      </c>
      <c r="AN273" t="s">
        <v>98</v>
      </c>
      <c r="AO273" t="s">
        <v>99</v>
      </c>
      <c r="AP273" t="s">
        <v>100</v>
      </c>
      <c r="AQ273" t="s">
        <v>101</v>
      </c>
      <c r="AV273" t="s">
        <v>98</v>
      </c>
      <c r="AX273" t="s">
        <v>399</v>
      </c>
      <c r="AZ273" t="s">
        <v>102</v>
      </c>
      <c r="BB273" t="s">
        <v>235</v>
      </c>
      <c r="BC273" t="s">
        <v>746</v>
      </c>
      <c r="BD273" t="s">
        <v>7528</v>
      </c>
      <c r="BF273" t="s">
        <v>937</v>
      </c>
      <c r="BG273" t="s">
        <v>98</v>
      </c>
      <c r="BH273" t="s">
        <v>98</v>
      </c>
      <c r="BI273" t="s">
        <v>98</v>
      </c>
      <c r="BK273" t="s">
        <v>110</v>
      </c>
      <c r="BL273" t="s">
        <v>7528</v>
      </c>
      <c r="BR273">
        <v>1.5</v>
      </c>
      <c r="BS273">
        <v>5.2</v>
      </c>
      <c r="BT273">
        <v>5.2</v>
      </c>
      <c r="CA273">
        <v>2398</v>
      </c>
      <c r="CB273" t="s">
        <v>399</v>
      </c>
      <c r="CL273" t="s">
        <v>99</v>
      </c>
      <c r="CM273" t="s">
        <v>99</v>
      </c>
      <c r="CN273" t="s">
        <v>838</v>
      </c>
      <c r="CO273" s="1">
        <v>43035</v>
      </c>
      <c r="CP273" s="1">
        <v>43633</v>
      </c>
    </row>
    <row r="274" spans="1:94" x14ac:dyDescent="0.25">
      <c r="A274" t="s">
        <v>938</v>
      </c>
      <c r="B274" t="str">
        <f xml:space="preserve"> "" &amp; 747396101378</f>
        <v>747396101378</v>
      </c>
      <c r="C274" t="s">
        <v>807</v>
      </c>
      <c r="D274" t="s">
        <v>807</v>
      </c>
      <c r="E274" t="s">
        <v>7528</v>
      </c>
      <c r="F274" t="s">
        <v>7532</v>
      </c>
      <c r="G274">
        <v>1</v>
      </c>
      <c r="H274">
        <v>1</v>
      </c>
      <c r="I274" t="s">
        <v>97</v>
      </c>
      <c r="J274" s="10">
        <v>129</v>
      </c>
      <c r="K274" s="10">
        <v>387</v>
      </c>
      <c r="L274" s="10">
        <v>0</v>
      </c>
      <c r="N274" s="10">
        <v>0</v>
      </c>
      <c r="O274" t="s">
        <v>99</v>
      </c>
      <c r="P274" s="10">
        <v>274.95</v>
      </c>
      <c r="S274">
        <v>5</v>
      </c>
      <c r="U274">
        <v>24</v>
      </c>
      <c r="V274">
        <v>5</v>
      </c>
      <c r="W274">
        <v>5.97</v>
      </c>
      <c r="X274">
        <v>1</v>
      </c>
      <c r="Y274">
        <v>8</v>
      </c>
      <c r="Z274">
        <v>28.25</v>
      </c>
      <c r="AA274">
        <v>9</v>
      </c>
      <c r="AB274">
        <v>1.177</v>
      </c>
      <c r="AC274">
        <v>7.61</v>
      </c>
      <c r="AE274">
        <v>1</v>
      </c>
      <c r="AF274" t="s">
        <v>559</v>
      </c>
      <c r="AG274">
        <v>30</v>
      </c>
      <c r="AK274" t="s">
        <v>99</v>
      </c>
      <c r="AM274" t="s">
        <v>98</v>
      </c>
      <c r="AN274" t="s">
        <v>99</v>
      </c>
      <c r="AO274" t="s">
        <v>98</v>
      </c>
      <c r="AP274" t="s">
        <v>100</v>
      </c>
      <c r="AQ274" t="s">
        <v>101</v>
      </c>
      <c r="AV274" t="s">
        <v>98</v>
      </c>
      <c r="AX274" t="s">
        <v>939</v>
      </c>
      <c r="AZ274" t="s">
        <v>102</v>
      </c>
      <c r="BB274" t="s">
        <v>235</v>
      </c>
      <c r="BC274" t="s">
        <v>460</v>
      </c>
      <c r="BD274" t="s">
        <v>7528</v>
      </c>
      <c r="BF274" t="s">
        <v>940</v>
      </c>
      <c r="BG274" t="s">
        <v>98</v>
      </c>
      <c r="BH274" t="s">
        <v>98</v>
      </c>
      <c r="BI274" t="s">
        <v>98</v>
      </c>
      <c r="BK274" t="s">
        <v>127</v>
      </c>
      <c r="BL274" t="s">
        <v>756</v>
      </c>
      <c r="BM274">
        <v>21.88</v>
      </c>
      <c r="BN274">
        <v>5</v>
      </c>
      <c r="CA274">
        <v>241</v>
      </c>
      <c r="CB274" t="s">
        <v>939</v>
      </c>
      <c r="CG274">
        <v>3000</v>
      </c>
      <c r="CH274">
        <v>92</v>
      </c>
      <c r="CI274">
        <v>3081</v>
      </c>
      <c r="CJ274">
        <v>2080</v>
      </c>
      <c r="CK274">
        <v>30000</v>
      </c>
      <c r="CL274" t="s">
        <v>99</v>
      </c>
      <c r="CM274" t="s">
        <v>98</v>
      </c>
      <c r="CN274" t="s">
        <v>810</v>
      </c>
      <c r="CO274" s="1">
        <v>42755</v>
      </c>
      <c r="CP274" s="1">
        <v>43633</v>
      </c>
    </row>
    <row r="275" spans="1:94" x14ac:dyDescent="0.25">
      <c r="A275" t="s">
        <v>946</v>
      </c>
      <c r="B275" t="str">
        <f xml:space="preserve"> "" &amp; 747396020129</f>
        <v>747396020129</v>
      </c>
      <c r="C275" t="s">
        <v>947</v>
      </c>
      <c r="D275" t="s">
        <v>6566</v>
      </c>
      <c r="E275" t="s">
        <v>7528</v>
      </c>
      <c r="F275" t="s">
        <v>627</v>
      </c>
      <c r="G275">
        <v>1</v>
      </c>
      <c r="H275">
        <v>1</v>
      </c>
      <c r="I275" t="s">
        <v>97</v>
      </c>
      <c r="J275" s="10">
        <v>50</v>
      </c>
      <c r="K275" s="10">
        <v>150</v>
      </c>
      <c r="L275" s="10">
        <v>0</v>
      </c>
      <c r="N275" s="10">
        <v>0</v>
      </c>
      <c r="W275">
        <v>4.84</v>
      </c>
      <c r="X275">
        <v>1</v>
      </c>
      <c r="Y275">
        <v>7.5</v>
      </c>
      <c r="Z275">
        <v>17.7</v>
      </c>
      <c r="AA275">
        <v>17.7</v>
      </c>
      <c r="AB275">
        <v>1.36</v>
      </c>
      <c r="AC275">
        <v>9.44</v>
      </c>
      <c r="AF275" t="s">
        <v>7528</v>
      </c>
      <c r="AK275" t="s">
        <v>98</v>
      </c>
      <c r="AM275" t="s">
        <v>98</v>
      </c>
      <c r="AN275" t="s">
        <v>98</v>
      </c>
      <c r="AO275" t="s">
        <v>98</v>
      </c>
      <c r="AP275" t="s">
        <v>100</v>
      </c>
      <c r="AQ275" t="s">
        <v>101</v>
      </c>
      <c r="AV275" t="s">
        <v>98</v>
      </c>
      <c r="AX275" t="s">
        <v>7528</v>
      </c>
      <c r="AZ275" t="s">
        <v>7528</v>
      </c>
      <c r="BB275" t="s">
        <v>7528</v>
      </c>
      <c r="BC275" t="s">
        <v>7528</v>
      </c>
      <c r="BD275" t="s">
        <v>7528</v>
      </c>
      <c r="BF275" t="s">
        <v>948</v>
      </c>
      <c r="BG275" t="s">
        <v>98</v>
      </c>
      <c r="BH275" t="s">
        <v>98</v>
      </c>
      <c r="BI275" t="s">
        <v>98</v>
      </c>
      <c r="BK275" t="s">
        <v>7528</v>
      </c>
      <c r="BL275" t="s">
        <v>7528</v>
      </c>
      <c r="CA275" t="s">
        <v>946</v>
      </c>
      <c r="CB275" t="s">
        <v>7528</v>
      </c>
      <c r="CL275" t="s">
        <v>98</v>
      </c>
      <c r="CM275" t="s">
        <v>98</v>
      </c>
      <c r="CN275" t="s">
        <v>7528</v>
      </c>
      <c r="CO275" s="1">
        <v>40245</v>
      </c>
      <c r="CP275" s="1">
        <v>43633</v>
      </c>
    </row>
    <row r="276" spans="1:94" x14ac:dyDescent="0.25">
      <c r="A276" t="s">
        <v>949</v>
      </c>
      <c r="B276" t="str">
        <f xml:space="preserve"> "" &amp; 747396020242</f>
        <v>747396020242</v>
      </c>
      <c r="C276" t="s">
        <v>947</v>
      </c>
      <c r="D276" t="s">
        <v>6567</v>
      </c>
      <c r="E276" t="s">
        <v>7528</v>
      </c>
      <c r="F276" t="s">
        <v>627</v>
      </c>
      <c r="G276">
        <v>1</v>
      </c>
      <c r="H276">
        <v>1</v>
      </c>
      <c r="I276" t="s">
        <v>97</v>
      </c>
      <c r="J276" s="10">
        <v>20</v>
      </c>
      <c r="K276" s="10">
        <v>60</v>
      </c>
      <c r="L276" s="10">
        <v>0</v>
      </c>
      <c r="N276" s="10">
        <v>0</v>
      </c>
      <c r="U276">
        <v>14</v>
      </c>
      <c r="W276">
        <v>1.76</v>
      </c>
      <c r="X276">
        <v>1</v>
      </c>
      <c r="Y276">
        <v>9.4499999999999993</v>
      </c>
      <c r="Z276">
        <v>18.5</v>
      </c>
      <c r="AA276">
        <v>11.81</v>
      </c>
      <c r="AB276">
        <v>1.1950000000000001</v>
      </c>
      <c r="AC276">
        <v>3.19</v>
      </c>
      <c r="AF276" t="s">
        <v>7528</v>
      </c>
      <c r="AK276" t="s">
        <v>98</v>
      </c>
      <c r="AM276" t="s">
        <v>98</v>
      </c>
      <c r="AN276" t="s">
        <v>98</v>
      </c>
      <c r="AO276" t="s">
        <v>98</v>
      </c>
      <c r="AP276" t="s">
        <v>100</v>
      </c>
      <c r="AQ276" t="s">
        <v>101</v>
      </c>
      <c r="AV276" t="s">
        <v>98</v>
      </c>
      <c r="AX276" t="s">
        <v>7528</v>
      </c>
      <c r="AZ276" t="s">
        <v>7528</v>
      </c>
      <c r="BB276" t="s">
        <v>7528</v>
      </c>
      <c r="BC276" t="s">
        <v>7528</v>
      </c>
      <c r="BD276" t="s">
        <v>7528</v>
      </c>
      <c r="BF276" t="s">
        <v>950</v>
      </c>
      <c r="BG276" t="s">
        <v>98</v>
      </c>
      <c r="BH276" t="s">
        <v>98</v>
      </c>
      <c r="BI276" t="s">
        <v>98</v>
      </c>
      <c r="BK276" t="s">
        <v>7528</v>
      </c>
      <c r="BL276" t="s">
        <v>7528</v>
      </c>
      <c r="CA276" t="s">
        <v>949</v>
      </c>
      <c r="CB276" t="s">
        <v>7528</v>
      </c>
      <c r="CL276" t="s">
        <v>98</v>
      </c>
      <c r="CM276" t="s">
        <v>98</v>
      </c>
      <c r="CN276" t="s">
        <v>7528</v>
      </c>
      <c r="CO276" s="1">
        <v>40245</v>
      </c>
      <c r="CP276" s="1">
        <v>43633</v>
      </c>
    </row>
    <row r="277" spans="1:94" x14ac:dyDescent="0.25">
      <c r="A277" t="s">
        <v>951</v>
      </c>
      <c r="B277" t="str">
        <f xml:space="preserve"> "" &amp; 747396076775</f>
        <v>747396076775</v>
      </c>
      <c r="C277" t="s">
        <v>952</v>
      </c>
      <c r="D277" t="s">
        <v>952</v>
      </c>
      <c r="E277" t="s">
        <v>7528</v>
      </c>
      <c r="F277" t="s">
        <v>358</v>
      </c>
      <c r="G277">
        <v>1</v>
      </c>
      <c r="H277">
        <v>1</v>
      </c>
      <c r="I277" t="s">
        <v>97</v>
      </c>
      <c r="J277" s="10">
        <v>17.95</v>
      </c>
      <c r="K277" s="10">
        <v>53.85</v>
      </c>
      <c r="L277" s="10">
        <v>0</v>
      </c>
      <c r="N277" s="10">
        <v>0</v>
      </c>
      <c r="S277">
        <v>1.5</v>
      </c>
      <c r="T277">
        <v>8</v>
      </c>
      <c r="U277">
        <v>8</v>
      </c>
      <c r="W277">
        <v>0.77</v>
      </c>
      <c r="Y277">
        <v>6</v>
      </c>
      <c r="Z277">
        <v>9.25</v>
      </c>
      <c r="AA277">
        <v>9.25</v>
      </c>
      <c r="AB277">
        <v>0.29699999999999999</v>
      </c>
      <c r="AC277">
        <v>1.7</v>
      </c>
      <c r="AF277" t="s">
        <v>7528</v>
      </c>
      <c r="AK277" t="s">
        <v>98</v>
      </c>
      <c r="AM277" t="s">
        <v>98</v>
      </c>
      <c r="AN277" t="s">
        <v>99</v>
      </c>
      <c r="AO277" t="s">
        <v>98</v>
      </c>
      <c r="AP277" t="s">
        <v>100</v>
      </c>
      <c r="AQ277" t="s">
        <v>101</v>
      </c>
      <c r="AV277" t="s">
        <v>98</v>
      </c>
      <c r="AX277" t="s">
        <v>3034</v>
      </c>
      <c r="AZ277" t="s">
        <v>124</v>
      </c>
      <c r="BB277" t="s">
        <v>235</v>
      </c>
      <c r="BC277" t="s">
        <v>953</v>
      </c>
      <c r="BD277" t="s">
        <v>7528</v>
      </c>
      <c r="BF277" t="s">
        <v>954</v>
      </c>
      <c r="BG277" t="s">
        <v>98</v>
      </c>
      <c r="BH277" t="s">
        <v>98</v>
      </c>
      <c r="BI277" t="s">
        <v>98</v>
      </c>
      <c r="BK277" t="s">
        <v>110</v>
      </c>
      <c r="BL277" t="s">
        <v>7528</v>
      </c>
      <c r="CA277">
        <v>2718</v>
      </c>
      <c r="CB277" t="s">
        <v>3034</v>
      </c>
      <c r="CL277" t="s">
        <v>98</v>
      </c>
      <c r="CM277" t="s">
        <v>98</v>
      </c>
      <c r="CN277" t="s">
        <v>442</v>
      </c>
      <c r="CO277" s="1">
        <v>39163</v>
      </c>
      <c r="CP277" s="1">
        <v>43633</v>
      </c>
    </row>
    <row r="278" spans="1:94" x14ac:dyDescent="0.25">
      <c r="A278" t="s">
        <v>955</v>
      </c>
      <c r="B278" t="str">
        <f xml:space="preserve"> "" &amp; 747396069647</f>
        <v>747396069647</v>
      </c>
      <c r="C278" t="s">
        <v>952</v>
      </c>
      <c r="D278" t="s">
        <v>952</v>
      </c>
      <c r="E278" t="s">
        <v>7528</v>
      </c>
      <c r="F278" t="s">
        <v>358</v>
      </c>
      <c r="G278">
        <v>1</v>
      </c>
      <c r="H278">
        <v>1</v>
      </c>
      <c r="I278" t="s">
        <v>97</v>
      </c>
      <c r="J278" s="10">
        <v>18</v>
      </c>
      <c r="K278" s="10">
        <v>54</v>
      </c>
      <c r="L278" s="10">
        <v>0</v>
      </c>
      <c r="N278" s="10">
        <v>0</v>
      </c>
      <c r="S278">
        <v>1.5</v>
      </c>
      <c r="T278">
        <v>8</v>
      </c>
      <c r="U278">
        <v>8</v>
      </c>
      <c r="W278">
        <v>0.77</v>
      </c>
      <c r="Y278">
        <v>6</v>
      </c>
      <c r="Z278">
        <v>9.25</v>
      </c>
      <c r="AA278">
        <v>9.25</v>
      </c>
      <c r="AB278">
        <v>0.29699999999999999</v>
      </c>
      <c r="AC278">
        <v>1.7</v>
      </c>
      <c r="AF278" t="s">
        <v>7528</v>
      </c>
      <c r="AK278" t="s">
        <v>98</v>
      </c>
      <c r="AM278" t="s">
        <v>98</v>
      </c>
      <c r="AN278" t="s">
        <v>99</v>
      </c>
      <c r="AO278" t="s">
        <v>98</v>
      </c>
      <c r="AP278" t="s">
        <v>100</v>
      </c>
      <c r="AQ278" t="s">
        <v>101</v>
      </c>
      <c r="AV278" t="s">
        <v>98</v>
      </c>
      <c r="AX278" t="s">
        <v>461</v>
      </c>
      <c r="AZ278" t="s">
        <v>124</v>
      </c>
      <c r="BB278" t="s">
        <v>235</v>
      </c>
      <c r="BC278" t="s">
        <v>363</v>
      </c>
      <c r="BD278" t="s">
        <v>7528</v>
      </c>
      <c r="BF278" t="s">
        <v>956</v>
      </c>
      <c r="BG278" t="s">
        <v>98</v>
      </c>
      <c r="BH278" t="s">
        <v>98</v>
      </c>
      <c r="BI278" t="s">
        <v>98</v>
      </c>
      <c r="BK278" t="s">
        <v>110</v>
      </c>
      <c r="BL278" t="s">
        <v>7528</v>
      </c>
      <c r="CA278">
        <v>2718</v>
      </c>
      <c r="CB278" t="s">
        <v>461</v>
      </c>
      <c r="CL278" t="s">
        <v>98</v>
      </c>
      <c r="CM278" t="s">
        <v>98</v>
      </c>
      <c r="CN278" t="s">
        <v>957</v>
      </c>
      <c r="CO278" s="1">
        <v>39163</v>
      </c>
      <c r="CP278" s="1">
        <v>43633</v>
      </c>
    </row>
    <row r="279" spans="1:94" x14ac:dyDescent="0.25">
      <c r="A279" t="s">
        <v>958</v>
      </c>
      <c r="B279" t="str">
        <f xml:space="preserve"> "" &amp; 747396084015</f>
        <v>747396084015</v>
      </c>
      <c r="C279" t="s">
        <v>952</v>
      </c>
      <c r="D279" t="s">
        <v>952</v>
      </c>
      <c r="E279" t="s">
        <v>7528</v>
      </c>
      <c r="F279" t="s">
        <v>358</v>
      </c>
      <c r="G279">
        <v>1</v>
      </c>
      <c r="H279">
        <v>1</v>
      </c>
      <c r="I279" t="s">
        <v>97</v>
      </c>
      <c r="J279" s="10">
        <v>17.95</v>
      </c>
      <c r="K279" s="10">
        <v>53.85</v>
      </c>
      <c r="L279" s="10">
        <v>0</v>
      </c>
      <c r="N279" s="10">
        <v>0</v>
      </c>
      <c r="S279">
        <v>1.5</v>
      </c>
      <c r="T279">
        <v>8</v>
      </c>
      <c r="U279">
        <v>8</v>
      </c>
      <c r="W279">
        <v>0.77</v>
      </c>
      <c r="Y279">
        <v>6</v>
      </c>
      <c r="Z279">
        <v>9.25</v>
      </c>
      <c r="AA279">
        <v>9.25</v>
      </c>
      <c r="AB279">
        <v>0.29699999999999999</v>
      </c>
      <c r="AC279">
        <v>1.7</v>
      </c>
      <c r="AF279" t="s">
        <v>7528</v>
      </c>
      <c r="AK279" t="s">
        <v>98</v>
      </c>
      <c r="AM279" t="s">
        <v>98</v>
      </c>
      <c r="AN279" t="s">
        <v>99</v>
      </c>
      <c r="AO279" t="s">
        <v>98</v>
      </c>
      <c r="AP279" t="s">
        <v>100</v>
      </c>
      <c r="AQ279" t="s">
        <v>101</v>
      </c>
      <c r="AV279" t="s">
        <v>98</v>
      </c>
      <c r="AX279" t="s">
        <v>959</v>
      </c>
      <c r="AZ279" t="s">
        <v>124</v>
      </c>
      <c r="BB279" t="s">
        <v>235</v>
      </c>
      <c r="BC279" t="s">
        <v>363</v>
      </c>
      <c r="BD279" t="s">
        <v>7528</v>
      </c>
      <c r="BF279" t="s">
        <v>960</v>
      </c>
      <c r="BG279" t="s">
        <v>98</v>
      </c>
      <c r="BH279" t="s">
        <v>98</v>
      </c>
      <c r="BI279" t="s">
        <v>98</v>
      </c>
      <c r="BK279" t="s">
        <v>110</v>
      </c>
      <c r="BL279" t="s">
        <v>7528</v>
      </c>
      <c r="CA279">
        <v>2718</v>
      </c>
      <c r="CB279" t="s">
        <v>959</v>
      </c>
      <c r="CL279" t="s">
        <v>98</v>
      </c>
      <c r="CM279" t="s">
        <v>98</v>
      </c>
      <c r="CN279" t="s">
        <v>442</v>
      </c>
      <c r="CO279" s="1">
        <v>40918</v>
      </c>
      <c r="CP279" s="1">
        <v>43633</v>
      </c>
    </row>
    <row r="280" spans="1:94" x14ac:dyDescent="0.25">
      <c r="A280" t="s">
        <v>961</v>
      </c>
      <c r="B280" t="str">
        <f xml:space="preserve"> "" &amp; 747396084466</f>
        <v>747396084466</v>
      </c>
      <c r="C280" t="s">
        <v>952</v>
      </c>
      <c r="D280" t="s">
        <v>952</v>
      </c>
      <c r="E280" t="s">
        <v>362</v>
      </c>
      <c r="F280" t="s">
        <v>358</v>
      </c>
      <c r="G280">
        <v>1</v>
      </c>
      <c r="H280">
        <v>1</v>
      </c>
      <c r="I280" t="s">
        <v>97</v>
      </c>
      <c r="J280" s="10">
        <v>19</v>
      </c>
      <c r="K280" s="10">
        <v>57</v>
      </c>
      <c r="L280" s="10">
        <v>0</v>
      </c>
      <c r="N280" s="10">
        <v>0</v>
      </c>
      <c r="S280">
        <v>1.5</v>
      </c>
      <c r="T280">
        <v>8</v>
      </c>
      <c r="U280">
        <v>8</v>
      </c>
      <c r="W280">
        <v>0.77</v>
      </c>
      <c r="Y280">
        <v>6</v>
      </c>
      <c r="Z280">
        <v>9.25</v>
      </c>
      <c r="AA280">
        <v>9.25</v>
      </c>
      <c r="AB280">
        <v>0.29699999999999999</v>
      </c>
      <c r="AC280">
        <v>1.7</v>
      </c>
      <c r="AF280" t="s">
        <v>7528</v>
      </c>
      <c r="AK280" t="s">
        <v>98</v>
      </c>
      <c r="AM280" t="s">
        <v>98</v>
      </c>
      <c r="AN280" t="s">
        <v>99</v>
      </c>
      <c r="AO280" t="s">
        <v>98</v>
      </c>
      <c r="AP280" t="s">
        <v>100</v>
      </c>
      <c r="AQ280" t="s">
        <v>101</v>
      </c>
      <c r="AV280" t="s">
        <v>98</v>
      </c>
      <c r="AX280" t="s">
        <v>279</v>
      </c>
      <c r="AZ280" t="s">
        <v>124</v>
      </c>
      <c r="BB280" t="s">
        <v>235</v>
      </c>
      <c r="BC280" t="s">
        <v>363</v>
      </c>
      <c r="BD280" t="s">
        <v>7528</v>
      </c>
      <c r="BF280" t="s">
        <v>962</v>
      </c>
      <c r="BG280" t="s">
        <v>98</v>
      </c>
      <c r="BH280" t="s">
        <v>98</v>
      </c>
      <c r="BI280" t="s">
        <v>98</v>
      </c>
      <c r="BK280" t="s">
        <v>110</v>
      </c>
      <c r="BL280" t="s">
        <v>7528</v>
      </c>
      <c r="CA280">
        <v>2718</v>
      </c>
      <c r="CB280" t="s">
        <v>279</v>
      </c>
      <c r="CL280" t="s">
        <v>98</v>
      </c>
      <c r="CM280" t="s">
        <v>98</v>
      </c>
      <c r="CN280" t="s">
        <v>442</v>
      </c>
      <c r="CO280" s="1">
        <v>40918</v>
      </c>
      <c r="CP280" s="1">
        <v>43633</v>
      </c>
    </row>
    <row r="281" spans="1:94" x14ac:dyDescent="0.25">
      <c r="A281" t="s">
        <v>963</v>
      </c>
      <c r="B281" t="str">
        <f xml:space="preserve"> "" &amp; 747396098173</f>
        <v>747396098173</v>
      </c>
      <c r="C281" t="s">
        <v>558</v>
      </c>
      <c r="D281" t="s">
        <v>964</v>
      </c>
      <c r="E281" t="s">
        <v>7528</v>
      </c>
      <c r="F281" t="s">
        <v>7532</v>
      </c>
      <c r="G281">
        <v>1</v>
      </c>
      <c r="H281">
        <v>1</v>
      </c>
      <c r="I281" t="s">
        <v>97</v>
      </c>
      <c r="J281" s="10">
        <v>10</v>
      </c>
      <c r="K281" s="10">
        <v>30</v>
      </c>
      <c r="L281" s="10">
        <v>0</v>
      </c>
      <c r="N281" s="10">
        <v>0</v>
      </c>
      <c r="S281">
        <v>1.5</v>
      </c>
      <c r="T281">
        <v>8</v>
      </c>
      <c r="U281">
        <v>8</v>
      </c>
      <c r="W281">
        <v>2.16</v>
      </c>
      <c r="Y281">
        <v>5.25</v>
      </c>
      <c r="Z281">
        <v>9.5</v>
      </c>
      <c r="AA281">
        <v>9.5</v>
      </c>
      <c r="AB281">
        <v>0.27400000000000002</v>
      </c>
      <c r="AC281">
        <v>2.73</v>
      </c>
      <c r="AE281">
        <v>1</v>
      </c>
      <c r="AF281" t="s">
        <v>559</v>
      </c>
      <c r="AG281">
        <v>15</v>
      </c>
      <c r="AK281" t="s">
        <v>99</v>
      </c>
      <c r="AM281" t="s">
        <v>98</v>
      </c>
      <c r="AN281" t="s">
        <v>99</v>
      </c>
      <c r="AO281" t="s">
        <v>98</v>
      </c>
      <c r="AP281" t="s">
        <v>100</v>
      </c>
      <c r="AQ281" t="s">
        <v>101</v>
      </c>
      <c r="AV281" t="s">
        <v>98</v>
      </c>
      <c r="AX281" t="s">
        <v>279</v>
      </c>
      <c r="AZ281" t="s">
        <v>124</v>
      </c>
      <c r="BB281" t="s">
        <v>235</v>
      </c>
      <c r="BC281" t="s">
        <v>808</v>
      </c>
      <c r="BD281" t="s">
        <v>7528</v>
      </c>
      <c r="BF281" t="s">
        <v>965</v>
      </c>
      <c r="BG281" t="s">
        <v>98</v>
      </c>
      <c r="BH281" t="s">
        <v>98</v>
      </c>
      <c r="BI281" t="s">
        <v>98</v>
      </c>
      <c r="BK281" t="s">
        <v>127</v>
      </c>
      <c r="BL281" t="s">
        <v>7528</v>
      </c>
      <c r="CA281">
        <v>2718</v>
      </c>
      <c r="CB281" t="s">
        <v>279</v>
      </c>
      <c r="CG281">
        <v>3000</v>
      </c>
      <c r="CH281">
        <v>94</v>
      </c>
      <c r="CI281">
        <v>1298</v>
      </c>
      <c r="CJ281">
        <v>638</v>
      </c>
      <c r="CK281">
        <v>30000</v>
      </c>
      <c r="CL281" t="s">
        <v>99</v>
      </c>
      <c r="CM281" t="s">
        <v>98</v>
      </c>
      <c r="CN281" t="s">
        <v>966</v>
      </c>
      <c r="CO281" s="1">
        <v>42383</v>
      </c>
      <c r="CP281" s="1">
        <v>43633</v>
      </c>
    </row>
    <row r="282" spans="1:94" x14ac:dyDescent="0.25">
      <c r="A282" t="s">
        <v>967</v>
      </c>
      <c r="B282" t="str">
        <f xml:space="preserve"> "" &amp; 747396069678</f>
        <v>747396069678</v>
      </c>
      <c r="C282" t="s">
        <v>952</v>
      </c>
      <c r="D282" t="s">
        <v>6568</v>
      </c>
      <c r="E282" t="s">
        <v>509</v>
      </c>
      <c r="F282" t="s">
        <v>358</v>
      </c>
      <c r="G282">
        <v>1</v>
      </c>
      <c r="H282">
        <v>1</v>
      </c>
      <c r="I282" t="s">
        <v>97</v>
      </c>
      <c r="J282" s="10">
        <v>19.75</v>
      </c>
      <c r="K282" s="10">
        <v>59.25</v>
      </c>
      <c r="L282" s="10">
        <v>0</v>
      </c>
      <c r="N282" s="10">
        <v>0</v>
      </c>
      <c r="S282">
        <v>1.5</v>
      </c>
      <c r="T282">
        <v>8</v>
      </c>
      <c r="U282">
        <v>8</v>
      </c>
      <c r="W282">
        <v>0.9</v>
      </c>
      <c r="Y282">
        <v>6</v>
      </c>
      <c r="Z282">
        <v>9.25</v>
      </c>
      <c r="AA282">
        <v>9.25</v>
      </c>
      <c r="AB282">
        <v>0.29699999999999999</v>
      </c>
      <c r="AC282">
        <v>1.7</v>
      </c>
      <c r="AF282" t="s">
        <v>7528</v>
      </c>
      <c r="AK282" t="s">
        <v>98</v>
      </c>
      <c r="AM282" t="s">
        <v>98</v>
      </c>
      <c r="AN282" t="s">
        <v>99</v>
      </c>
      <c r="AO282" t="s">
        <v>98</v>
      </c>
      <c r="AP282" t="s">
        <v>100</v>
      </c>
      <c r="AQ282" t="s">
        <v>101</v>
      </c>
      <c r="AV282" t="s">
        <v>98</v>
      </c>
      <c r="AX282" t="s">
        <v>510</v>
      </c>
      <c r="AZ282" t="s">
        <v>124</v>
      </c>
      <c r="BB282" t="s">
        <v>235</v>
      </c>
      <c r="BC282" t="s">
        <v>511</v>
      </c>
      <c r="BD282" t="s">
        <v>7528</v>
      </c>
      <c r="BF282" t="s">
        <v>968</v>
      </c>
      <c r="BG282" t="s">
        <v>98</v>
      </c>
      <c r="BH282" t="s">
        <v>98</v>
      </c>
      <c r="BI282" t="s">
        <v>98</v>
      </c>
      <c r="BK282" t="s">
        <v>110</v>
      </c>
      <c r="BL282" t="s">
        <v>7528</v>
      </c>
      <c r="CA282">
        <v>2818</v>
      </c>
      <c r="CB282" t="s">
        <v>510</v>
      </c>
      <c r="CL282" t="s">
        <v>98</v>
      </c>
      <c r="CM282" t="s">
        <v>98</v>
      </c>
      <c r="CN282" t="s">
        <v>957</v>
      </c>
      <c r="CO282" s="1">
        <v>39163</v>
      </c>
      <c r="CP282" s="1">
        <v>43633</v>
      </c>
    </row>
    <row r="283" spans="1:94" x14ac:dyDescent="0.25">
      <c r="A283" t="s">
        <v>969</v>
      </c>
      <c r="B283" t="str">
        <f xml:space="preserve"> "" &amp; 747396069685</f>
        <v>747396069685</v>
      </c>
      <c r="C283" t="s">
        <v>952</v>
      </c>
      <c r="D283" t="s">
        <v>6569</v>
      </c>
      <c r="E283" t="s">
        <v>7522</v>
      </c>
      <c r="F283" t="s">
        <v>358</v>
      </c>
      <c r="G283">
        <v>1</v>
      </c>
      <c r="H283">
        <v>1</v>
      </c>
      <c r="I283" t="s">
        <v>97</v>
      </c>
      <c r="J283" s="10">
        <v>21.95</v>
      </c>
      <c r="K283" s="10">
        <v>65.849999999999994</v>
      </c>
      <c r="L283" s="10">
        <v>0</v>
      </c>
      <c r="N283" s="10">
        <v>0</v>
      </c>
      <c r="S283">
        <v>1.5</v>
      </c>
      <c r="T283">
        <v>8</v>
      </c>
      <c r="U283">
        <v>8</v>
      </c>
      <c r="W283">
        <v>0.97</v>
      </c>
      <c r="Y283">
        <v>6</v>
      </c>
      <c r="Z283">
        <v>9.25</v>
      </c>
      <c r="AA283">
        <v>9.25</v>
      </c>
      <c r="AB283">
        <v>0.29699999999999999</v>
      </c>
      <c r="AC283">
        <v>1.83</v>
      </c>
      <c r="AF283" t="s">
        <v>7528</v>
      </c>
      <c r="AK283" t="s">
        <v>98</v>
      </c>
      <c r="AM283" t="s">
        <v>98</v>
      </c>
      <c r="AN283" t="s">
        <v>99</v>
      </c>
      <c r="AO283" t="s">
        <v>98</v>
      </c>
      <c r="AP283" t="s">
        <v>100</v>
      </c>
      <c r="AQ283" t="s">
        <v>101</v>
      </c>
      <c r="AV283" t="s">
        <v>98</v>
      </c>
      <c r="AX283" t="s">
        <v>334</v>
      </c>
      <c r="AZ283" t="s">
        <v>124</v>
      </c>
      <c r="BB283" t="s">
        <v>235</v>
      </c>
      <c r="BC283" t="s">
        <v>335</v>
      </c>
      <c r="BD283" t="s">
        <v>7528</v>
      </c>
      <c r="BF283" t="s">
        <v>970</v>
      </c>
      <c r="BG283" t="s">
        <v>98</v>
      </c>
      <c r="BH283" t="s">
        <v>98</v>
      </c>
      <c r="BI283" t="s">
        <v>98</v>
      </c>
      <c r="BK283" t="s">
        <v>110</v>
      </c>
      <c r="BL283" t="s">
        <v>7528</v>
      </c>
      <c r="CA283">
        <v>2828</v>
      </c>
      <c r="CB283" t="s">
        <v>334</v>
      </c>
      <c r="CL283" t="s">
        <v>98</v>
      </c>
      <c r="CM283" t="s">
        <v>98</v>
      </c>
      <c r="CN283" t="s">
        <v>971</v>
      </c>
      <c r="CO283" s="1">
        <v>39163</v>
      </c>
      <c r="CP283" s="1">
        <v>43633</v>
      </c>
    </row>
    <row r="284" spans="1:94" x14ac:dyDescent="0.25">
      <c r="A284" t="s">
        <v>972</v>
      </c>
      <c r="B284" t="str">
        <f xml:space="preserve"> "" &amp; 747396069746</f>
        <v>747396069746</v>
      </c>
      <c r="C284" t="s">
        <v>952</v>
      </c>
      <c r="D284" t="s">
        <v>6570</v>
      </c>
      <c r="E284" t="s">
        <v>462</v>
      </c>
      <c r="F284" t="s">
        <v>358</v>
      </c>
      <c r="G284">
        <v>1</v>
      </c>
      <c r="H284">
        <v>1</v>
      </c>
      <c r="I284" t="s">
        <v>97</v>
      </c>
      <c r="J284" s="10">
        <v>21</v>
      </c>
      <c r="K284" s="10">
        <v>63</v>
      </c>
      <c r="L284" s="10">
        <v>0</v>
      </c>
      <c r="N284" s="10">
        <v>0</v>
      </c>
      <c r="S284">
        <v>1.5</v>
      </c>
      <c r="T284">
        <v>8</v>
      </c>
      <c r="U284">
        <v>8</v>
      </c>
      <c r="W284">
        <v>0.88</v>
      </c>
      <c r="X284">
        <v>1</v>
      </c>
      <c r="Y284">
        <v>6</v>
      </c>
      <c r="Z284">
        <v>9.25</v>
      </c>
      <c r="AA284">
        <v>9.25</v>
      </c>
      <c r="AB284">
        <v>0.29699999999999999</v>
      </c>
      <c r="AC284">
        <v>1.72</v>
      </c>
      <c r="AF284" t="s">
        <v>7528</v>
      </c>
      <c r="AK284" t="s">
        <v>98</v>
      </c>
      <c r="AM284" t="s">
        <v>98</v>
      </c>
      <c r="AN284" t="s">
        <v>99</v>
      </c>
      <c r="AO284" t="s">
        <v>98</v>
      </c>
      <c r="AP284" t="s">
        <v>100</v>
      </c>
      <c r="AQ284" t="s">
        <v>101</v>
      </c>
      <c r="AV284" t="s">
        <v>98</v>
      </c>
      <c r="AX284" t="s">
        <v>463</v>
      </c>
      <c r="AZ284" t="s">
        <v>124</v>
      </c>
      <c r="BB284" t="s">
        <v>235</v>
      </c>
      <c r="BC284" t="s">
        <v>469</v>
      </c>
      <c r="BD284" t="s">
        <v>7528</v>
      </c>
      <c r="BF284" t="s">
        <v>973</v>
      </c>
      <c r="BG284" t="s">
        <v>98</v>
      </c>
      <c r="BH284" t="s">
        <v>98</v>
      </c>
      <c r="BI284" t="s">
        <v>98</v>
      </c>
      <c r="BK284" t="s">
        <v>110</v>
      </c>
      <c r="BL284" t="s">
        <v>7528</v>
      </c>
      <c r="CA284">
        <v>2848</v>
      </c>
      <c r="CB284" t="s">
        <v>463</v>
      </c>
      <c r="CL284" t="s">
        <v>98</v>
      </c>
      <c r="CM284" t="s">
        <v>98</v>
      </c>
      <c r="CN284" t="s">
        <v>237</v>
      </c>
      <c r="CO284" s="1">
        <v>39912</v>
      </c>
      <c r="CP284" s="1">
        <v>43633</v>
      </c>
    </row>
    <row r="285" spans="1:94" x14ac:dyDescent="0.25">
      <c r="A285" t="s">
        <v>974</v>
      </c>
      <c r="B285" t="str">
        <f xml:space="preserve"> "" &amp; 747396092034</f>
        <v>747396092034</v>
      </c>
      <c r="C285" t="s">
        <v>807</v>
      </c>
      <c r="D285" t="s">
        <v>975</v>
      </c>
      <c r="E285" t="s">
        <v>976</v>
      </c>
      <c r="F285" t="s">
        <v>7532</v>
      </c>
      <c r="G285">
        <v>1</v>
      </c>
      <c r="H285">
        <v>1</v>
      </c>
      <c r="I285" t="s">
        <v>97</v>
      </c>
      <c r="J285" s="10">
        <v>60</v>
      </c>
      <c r="K285" s="10">
        <v>180</v>
      </c>
      <c r="L285" s="10">
        <v>0</v>
      </c>
      <c r="N285" s="10">
        <v>0</v>
      </c>
      <c r="S285">
        <v>5</v>
      </c>
      <c r="U285">
        <v>23.75</v>
      </c>
      <c r="V285">
        <v>2</v>
      </c>
      <c r="W285">
        <v>7.72</v>
      </c>
      <c r="Y285">
        <v>4.5</v>
      </c>
      <c r="Z285">
        <v>28</v>
      </c>
      <c r="AA285">
        <v>8</v>
      </c>
      <c r="AB285">
        <v>0.58299999999999996</v>
      </c>
      <c r="AC285">
        <v>9.26</v>
      </c>
      <c r="AE285">
        <v>3</v>
      </c>
      <c r="AF285" t="s">
        <v>977</v>
      </c>
      <c r="AG285">
        <v>39</v>
      </c>
      <c r="AK285" t="s">
        <v>99</v>
      </c>
      <c r="AM285" t="s">
        <v>98</v>
      </c>
      <c r="AN285" t="s">
        <v>99</v>
      </c>
      <c r="AO285" t="s">
        <v>98</v>
      </c>
      <c r="AP285" t="s">
        <v>100</v>
      </c>
      <c r="AQ285" t="s">
        <v>101</v>
      </c>
      <c r="AV285" t="s">
        <v>98</v>
      </c>
      <c r="AX285" t="s">
        <v>484</v>
      </c>
      <c r="AZ285" t="s">
        <v>102</v>
      </c>
      <c r="BB285" t="s">
        <v>235</v>
      </c>
      <c r="BC285" t="s">
        <v>808</v>
      </c>
      <c r="BD285" t="s">
        <v>7528</v>
      </c>
      <c r="BF285" t="s">
        <v>978</v>
      </c>
      <c r="BG285" t="s">
        <v>98</v>
      </c>
      <c r="BH285" t="s">
        <v>99</v>
      </c>
      <c r="BI285" t="s">
        <v>98</v>
      </c>
      <c r="BK285" t="s">
        <v>127</v>
      </c>
      <c r="BL285" t="s">
        <v>979</v>
      </c>
      <c r="BR285">
        <v>5</v>
      </c>
      <c r="BT285">
        <v>16.13</v>
      </c>
      <c r="CA285">
        <v>2903</v>
      </c>
      <c r="CB285" t="s">
        <v>484</v>
      </c>
      <c r="CG285">
        <v>3000</v>
      </c>
      <c r="CH285">
        <v>82</v>
      </c>
      <c r="CI285">
        <v>4121.5</v>
      </c>
      <c r="CJ285">
        <v>1642.58</v>
      </c>
      <c r="CK285">
        <v>30000</v>
      </c>
      <c r="CL285" t="s">
        <v>99</v>
      </c>
      <c r="CM285" t="s">
        <v>98</v>
      </c>
      <c r="CN285" t="s">
        <v>592</v>
      </c>
      <c r="CO285" s="1">
        <v>41745</v>
      </c>
      <c r="CP285" s="1">
        <v>43633</v>
      </c>
    </row>
    <row r="286" spans="1:94" x14ac:dyDescent="0.25">
      <c r="A286" t="s">
        <v>980</v>
      </c>
      <c r="B286" t="str">
        <f xml:space="preserve"> "" &amp; 747396092065</f>
        <v>747396092065</v>
      </c>
      <c r="C286" t="s">
        <v>807</v>
      </c>
      <c r="D286" t="s">
        <v>981</v>
      </c>
      <c r="E286" t="s">
        <v>982</v>
      </c>
      <c r="F286" t="s">
        <v>7534</v>
      </c>
      <c r="G286">
        <v>1</v>
      </c>
      <c r="H286">
        <v>1</v>
      </c>
      <c r="I286" t="s">
        <v>97</v>
      </c>
      <c r="J286" s="10">
        <v>109</v>
      </c>
      <c r="K286" s="10">
        <v>327</v>
      </c>
      <c r="L286" s="10">
        <v>0</v>
      </c>
      <c r="N286" s="10">
        <v>0</v>
      </c>
      <c r="S286">
        <v>5</v>
      </c>
      <c r="U286">
        <v>26.5</v>
      </c>
      <c r="V286">
        <v>2</v>
      </c>
      <c r="W286">
        <v>7.36</v>
      </c>
      <c r="Y286">
        <v>4.75</v>
      </c>
      <c r="Z286">
        <v>30.75</v>
      </c>
      <c r="AA286">
        <v>7.25</v>
      </c>
      <c r="AB286">
        <v>0.61299999999999999</v>
      </c>
      <c r="AC286">
        <v>8.36</v>
      </c>
      <c r="AE286">
        <v>3</v>
      </c>
      <c r="AF286" t="s">
        <v>983</v>
      </c>
      <c r="AG286">
        <v>36</v>
      </c>
      <c r="AK286" t="s">
        <v>99</v>
      </c>
      <c r="AM286" t="s">
        <v>98</v>
      </c>
      <c r="AN286" t="s">
        <v>99</v>
      </c>
      <c r="AO286" t="s">
        <v>98</v>
      </c>
      <c r="AP286" t="s">
        <v>100</v>
      </c>
      <c r="AQ286" t="s">
        <v>101</v>
      </c>
      <c r="AV286" t="s">
        <v>98</v>
      </c>
      <c r="AX286" t="s">
        <v>367</v>
      </c>
      <c r="AZ286" t="s">
        <v>102</v>
      </c>
      <c r="BB286" t="s">
        <v>235</v>
      </c>
      <c r="BC286" t="s">
        <v>808</v>
      </c>
      <c r="BD286" t="s">
        <v>7528</v>
      </c>
      <c r="BF286" t="s">
        <v>984</v>
      </c>
      <c r="BG286" t="s">
        <v>98</v>
      </c>
      <c r="BH286" t="s">
        <v>99</v>
      </c>
      <c r="BI286" t="s">
        <v>98</v>
      </c>
      <c r="BK286" t="s">
        <v>127</v>
      </c>
      <c r="BL286" t="s">
        <v>979</v>
      </c>
      <c r="BR286">
        <v>5</v>
      </c>
      <c r="BT286">
        <v>23</v>
      </c>
      <c r="CA286">
        <v>2913</v>
      </c>
      <c r="CB286" t="s">
        <v>367</v>
      </c>
      <c r="CG286">
        <v>3000</v>
      </c>
      <c r="CH286">
        <v>83</v>
      </c>
      <c r="CI286">
        <v>4995.91</v>
      </c>
      <c r="CJ286">
        <v>1592.21</v>
      </c>
      <c r="CK286">
        <v>30000</v>
      </c>
      <c r="CL286" t="s">
        <v>99</v>
      </c>
      <c r="CM286" t="s">
        <v>98</v>
      </c>
      <c r="CN286" t="s">
        <v>592</v>
      </c>
      <c r="CO286" s="1">
        <v>41736</v>
      </c>
      <c r="CP286" s="1">
        <v>43633</v>
      </c>
    </row>
    <row r="287" spans="1:94" x14ac:dyDescent="0.25">
      <c r="A287" t="s">
        <v>985</v>
      </c>
      <c r="B287" t="str">
        <f xml:space="preserve"> "" &amp; 747396092072</f>
        <v>747396092072</v>
      </c>
      <c r="C287" t="s">
        <v>807</v>
      </c>
      <c r="D287" t="s">
        <v>986</v>
      </c>
      <c r="E287" t="s">
        <v>987</v>
      </c>
      <c r="F287" t="s">
        <v>7532</v>
      </c>
      <c r="G287">
        <v>1</v>
      </c>
      <c r="H287">
        <v>1</v>
      </c>
      <c r="I287" t="s">
        <v>97</v>
      </c>
      <c r="J287" s="10">
        <v>77</v>
      </c>
      <c r="K287" s="10">
        <v>231</v>
      </c>
      <c r="L287" s="10">
        <v>0</v>
      </c>
      <c r="N287" s="10">
        <v>0</v>
      </c>
      <c r="O287" t="s">
        <v>99</v>
      </c>
      <c r="P287" s="10">
        <v>154.94999999999999</v>
      </c>
      <c r="S287">
        <v>5.5</v>
      </c>
      <c r="T287">
        <v>10</v>
      </c>
      <c r="U287">
        <v>8.25</v>
      </c>
      <c r="V287">
        <v>4</v>
      </c>
      <c r="W287">
        <v>11.64</v>
      </c>
      <c r="Y287">
        <v>8.25</v>
      </c>
      <c r="Z287">
        <v>10</v>
      </c>
      <c r="AA287">
        <v>5.5</v>
      </c>
      <c r="AB287">
        <v>0.26300000000000001</v>
      </c>
      <c r="AC287">
        <v>15.08</v>
      </c>
      <c r="AE287">
        <v>1</v>
      </c>
      <c r="AF287" t="s">
        <v>988</v>
      </c>
      <c r="AG287">
        <v>14</v>
      </c>
      <c r="AK287" t="s">
        <v>99</v>
      </c>
      <c r="AM287" t="s">
        <v>98</v>
      </c>
      <c r="AN287" t="s">
        <v>99</v>
      </c>
      <c r="AO287" t="s">
        <v>98</v>
      </c>
      <c r="AP287" t="s">
        <v>100</v>
      </c>
      <c r="AQ287" t="s">
        <v>101</v>
      </c>
      <c r="AV287" t="s">
        <v>98</v>
      </c>
      <c r="AX287" t="s">
        <v>399</v>
      </c>
      <c r="AZ287" t="s">
        <v>102</v>
      </c>
      <c r="BB287" t="s">
        <v>235</v>
      </c>
      <c r="BC287" t="s">
        <v>991</v>
      </c>
      <c r="BD287" t="s">
        <v>7528</v>
      </c>
      <c r="BF287" t="s">
        <v>989</v>
      </c>
      <c r="BG287" t="s">
        <v>98</v>
      </c>
      <c r="BH287" t="s">
        <v>99</v>
      </c>
      <c r="BI287" t="s">
        <v>98</v>
      </c>
      <c r="BK287" t="s">
        <v>127</v>
      </c>
      <c r="BL287" t="s">
        <v>236</v>
      </c>
      <c r="BM287">
        <v>8.25</v>
      </c>
      <c r="BN287">
        <v>4.5</v>
      </c>
      <c r="CA287">
        <v>2921</v>
      </c>
      <c r="CB287" t="s">
        <v>399</v>
      </c>
      <c r="CG287">
        <v>3000</v>
      </c>
      <c r="CH287">
        <v>92</v>
      </c>
      <c r="CI287">
        <v>1141</v>
      </c>
      <c r="CJ287">
        <v>829</v>
      </c>
      <c r="CK287">
        <v>30000</v>
      </c>
      <c r="CL287" t="s">
        <v>99</v>
      </c>
      <c r="CM287" t="s">
        <v>98</v>
      </c>
      <c r="CN287" t="s">
        <v>442</v>
      </c>
      <c r="CO287" s="1">
        <v>41603</v>
      </c>
      <c r="CP287" s="1">
        <v>43633</v>
      </c>
    </row>
    <row r="288" spans="1:94" x14ac:dyDescent="0.25">
      <c r="A288" t="s">
        <v>990</v>
      </c>
      <c r="B288" t="str">
        <f xml:space="preserve"> "" &amp; 747396092089</f>
        <v>747396092089</v>
      </c>
      <c r="C288" t="s">
        <v>807</v>
      </c>
      <c r="D288" t="s">
        <v>986</v>
      </c>
      <c r="E288" t="s">
        <v>987</v>
      </c>
      <c r="F288" t="s">
        <v>7532</v>
      </c>
      <c r="G288">
        <v>1</v>
      </c>
      <c r="H288">
        <v>1</v>
      </c>
      <c r="I288" t="s">
        <v>97</v>
      </c>
      <c r="J288" s="10">
        <v>155</v>
      </c>
      <c r="K288" s="10">
        <v>465</v>
      </c>
      <c r="L288" s="10">
        <v>0</v>
      </c>
      <c r="N288" s="10">
        <v>0</v>
      </c>
      <c r="O288" t="s">
        <v>99</v>
      </c>
      <c r="P288" s="10">
        <v>309.95</v>
      </c>
      <c r="S288">
        <v>5.5</v>
      </c>
      <c r="U288">
        <v>24.25</v>
      </c>
      <c r="V288">
        <v>4</v>
      </c>
      <c r="W288">
        <v>7.61</v>
      </c>
      <c r="Y288">
        <v>8.5</v>
      </c>
      <c r="Z288">
        <v>27</v>
      </c>
      <c r="AA288">
        <v>5.75</v>
      </c>
      <c r="AB288">
        <v>0.76400000000000001</v>
      </c>
      <c r="AC288">
        <v>8.86</v>
      </c>
      <c r="AE288">
        <v>1</v>
      </c>
      <c r="AF288" t="s">
        <v>559</v>
      </c>
      <c r="AG288">
        <v>37</v>
      </c>
      <c r="AK288" t="s">
        <v>99</v>
      </c>
      <c r="AM288" t="s">
        <v>98</v>
      </c>
      <c r="AN288" t="s">
        <v>99</v>
      </c>
      <c r="AO288" t="s">
        <v>98</v>
      </c>
      <c r="AP288" t="s">
        <v>100</v>
      </c>
      <c r="AQ288" t="s">
        <v>101</v>
      </c>
      <c r="AV288" t="s">
        <v>98</v>
      </c>
      <c r="AX288" t="s">
        <v>399</v>
      </c>
      <c r="AZ288" t="s">
        <v>102</v>
      </c>
      <c r="BB288" t="s">
        <v>235</v>
      </c>
      <c r="BC288" t="s">
        <v>991</v>
      </c>
      <c r="BD288" t="s">
        <v>7528</v>
      </c>
      <c r="BF288" t="s">
        <v>992</v>
      </c>
      <c r="BG288" t="s">
        <v>98</v>
      </c>
      <c r="BH288" t="s">
        <v>99</v>
      </c>
      <c r="BI288" t="s">
        <v>98</v>
      </c>
      <c r="BK288" t="s">
        <v>127</v>
      </c>
      <c r="BL288" t="s">
        <v>993</v>
      </c>
      <c r="BM288">
        <v>24</v>
      </c>
      <c r="BN288">
        <v>4.63</v>
      </c>
      <c r="CA288">
        <v>2922</v>
      </c>
      <c r="CB288" t="s">
        <v>399</v>
      </c>
      <c r="CG288">
        <v>3000</v>
      </c>
      <c r="CH288">
        <v>92</v>
      </c>
      <c r="CI288">
        <v>3132</v>
      </c>
      <c r="CJ288">
        <v>2094</v>
      </c>
      <c r="CK288">
        <v>30000</v>
      </c>
      <c r="CL288" t="s">
        <v>99</v>
      </c>
      <c r="CM288" t="s">
        <v>98</v>
      </c>
      <c r="CN288" t="s">
        <v>592</v>
      </c>
      <c r="CO288" s="1">
        <v>41603</v>
      </c>
      <c r="CP288" s="1">
        <v>43633</v>
      </c>
    </row>
    <row r="289" spans="1:94" x14ac:dyDescent="0.25">
      <c r="A289" t="s">
        <v>994</v>
      </c>
      <c r="B289" t="str">
        <f xml:space="preserve"> "" &amp; 747396092096</f>
        <v>747396092096</v>
      </c>
      <c r="C289" t="s">
        <v>807</v>
      </c>
      <c r="D289" t="s">
        <v>986</v>
      </c>
      <c r="E289" t="s">
        <v>987</v>
      </c>
      <c r="F289" t="s">
        <v>7532</v>
      </c>
      <c r="G289">
        <v>1</v>
      </c>
      <c r="H289">
        <v>1</v>
      </c>
      <c r="I289" t="s">
        <v>97</v>
      </c>
      <c r="J289" s="10">
        <v>205</v>
      </c>
      <c r="K289" s="10">
        <v>615</v>
      </c>
      <c r="L289" s="10">
        <v>0</v>
      </c>
      <c r="N289" s="10">
        <v>0</v>
      </c>
      <c r="O289" t="s">
        <v>99</v>
      </c>
      <c r="P289" s="10">
        <v>409.95</v>
      </c>
      <c r="S289">
        <v>5.5</v>
      </c>
      <c r="U289">
        <v>30</v>
      </c>
      <c r="V289">
        <v>4</v>
      </c>
      <c r="W289">
        <v>9.35</v>
      </c>
      <c r="Y289">
        <v>8.5</v>
      </c>
      <c r="Z289">
        <v>33</v>
      </c>
      <c r="AA289">
        <v>6</v>
      </c>
      <c r="AB289">
        <v>0.97399999999999998</v>
      </c>
      <c r="AC289">
        <v>10.78</v>
      </c>
      <c r="AE289">
        <v>1</v>
      </c>
      <c r="AF289" t="s">
        <v>995</v>
      </c>
      <c r="AG289">
        <v>44</v>
      </c>
      <c r="AK289" t="s">
        <v>99</v>
      </c>
      <c r="AM289" t="s">
        <v>98</v>
      </c>
      <c r="AN289" t="s">
        <v>99</v>
      </c>
      <c r="AO289" t="s">
        <v>98</v>
      </c>
      <c r="AP289" t="s">
        <v>100</v>
      </c>
      <c r="AQ289" t="s">
        <v>101</v>
      </c>
      <c r="AV289" t="s">
        <v>98</v>
      </c>
      <c r="AX289" t="s">
        <v>399</v>
      </c>
      <c r="AZ289" t="s">
        <v>102</v>
      </c>
      <c r="BB289" t="s">
        <v>235</v>
      </c>
      <c r="BC289" t="s">
        <v>996</v>
      </c>
      <c r="BD289" t="s">
        <v>7528</v>
      </c>
      <c r="BF289" t="s">
        <v>997</v>
      </c>
      <c r="BG289" t="s">
        <v>98</v>
      </c>
      <c r="BH289" t="s">
        <v>99</v>
      </c>
      <c r="BI289" t="s">
        <v>98</v>
      </c>
      <c r="BK289" t="s">
        <v>127</v>
      </c>
      <c r="BL289" t="s">
        <v>993</v>
      </c>
      <c r="BM289">
        <v>30.25</v>
      </c>
      <c r="BN289">
        <v>4.63</v>
      </c>
      <c r="CA289">
        <v>2923</v>
      </c>
      <c r="CB289" t="s">
        <v>399</v>
      </c>
      <c r="CG289">
        <v>3000</v>
      </c>
      <c r="CH289">
        <v>92</v>
      </c>
      <c r="CI289">
        <v>3303</v>
      </c>
      <c r="CJ289">
        <v>2463</v>
      </c>
      <c r="CK289">
        <v>30000</v>
      </c>
      <c r="CL289" t="s">
        <v>99</v>
      </c>
      <c r="CM289" t="s">
        <v>98</v>
      </c>
      <c r="CN289" t="s">
        <v>442</v>
      </c>
      <c r="CO289" s="1">
        <v>41603</v>
      </c>
      <c r="CP289" s="1">
        <v>43633</v>
      </c>
    </row>
    <row r="290" spans="1:94" x14ac:dyDescent="0.25">
      <c r="A290" t="s">
        <v>998</v>
      </c>
      <c r="B290" t="str">
        <f xml:space="preserve"> "" &amp; 747396092867</f>
        <v>747396092867</v>
      </c>
      <c r="C290" t="s">
        <v>807</v>
      </c>
      <c r="D290" t="s">
        <v>999</v>
      </c>
      <c r="E290" t="s">
        <v>1000</v>
      </c>
      <c r="F290" t="s">
        <v>7532</v>
      </c>
      <c r="G290">
        <v>1</v>
      </c>
      <c r="H290">
        <v>1</v>
      </c>
      <c r="I290" t="s">
        <v>97</v>
      </c>
      <c r="J290" s="10">
        <v>139</v>
      </c>
      <c r="K290" s="10">
        <v>417</v>
      </c>
      <c r="L290" s="10">
        <v>0</v>
      </c>
      <c r="N290" s="10">
        <v>0</v>
      </c>
      <c r="O290" t="s">
        <v>99</v>
      </c>
      <c r="P290" s="10">
        <v>279.95</v>
      </c>
      <c r="S290">
        <v>5</v>
      </c>
      <c r="U290">
        <v>17.5</v>
      </c>
      <c r="V290">
        <v>3.75</v>
      </c>
      <c r="W290">
        <v>5.82</v>
      </c>
      <c r="Y290">
        <v>6.75</v>
      </c>
      <c r="Z290">
        <v>21</v>
      </c>
      <c r="AA290">
        <v>8</v>
      </c>
      <c r="AB290">
        <v>0.65600000000000003</v>
      </c>
      <c r="AC290">
        <v>6.66</v>
      </c>
      <c r="AE290">
        <v>1</v>
      </c>
      <c r="AF290" t="s">
        <v>1001</v>
      </c>
      <c r="AG290">
        <v>28</v>
      </c>
      <c r="AK290" t="s">
        <v>99</v>
      </c>
      <c r="AM290" t="s">
        <v>98</v>
      </c>
      <c r="AN290" t="s">
        <v>99</v>
      </c>
      <c r="AO290" t="s">
        <v>98</v>
      </c>
      <c r="AP290" t="s">
        <v>100</v>
      </c>
      <c r="AQ290" t="s">
        <v>101</v>
      </c>
      <c r="AV290" t="s">
        <v>98</v>
      </c>
      <c r="AX290" t="s">
        <v>279</v>
      </c>
      <c r="AZ290" t="s">
        <v>102</v>
      </c>
      <c r="BB290" t="s">
        <v>235</v>
      </c>
      <c r="BC290" t="s">
        <v>996</v>
      </c>
      <c r="BD290" t="s">
        <v>7528</v>
      </c>
      <c r="BF290" t="s">
        <v>1002</v>
      </c>
      <c r="BG290" t="s">
        <v>98</v>
      </c>
      <c r="BH290" t="s">
        <v>99</v>
      </c>
      <c r="BI290" t="s">
        <v>98</v>
      </c>
      <c r="BK290" t="s">
        <v>127</v>
      </c>
      <c r="BL290" t="s">
        <v>979</v>
      </c>
      <c r="BR290">
        <v>5</v>
      </c>
      <c r="BT290">
        <v>17.5</v>
      </c>
      <c r="CA290">
        <v>2942</v>
      </c>
      <c r="CB290" t="s">
        <v>279</v>
      </c>
      <c r="CG290">
        <v>3000</v>
      </c>
      <c r="CH290">
        <v>82</v>
      </c>
      <c r="CI290">
        <v>2398.4699999999998</v>
      </c>
      <c r="CJ290">
        <v>1395.8</v>
      </c>
      <c r="CK290">
        <v>30000</v>
      </c>
      <c r="CL290" t="s">
        <v>99</v>
      </c>
      <c r="CM290" t="s">
        <v>98</v>
      </c>
      <c r="CN290" t="s">
        <v>7644</v>
      </c>
      <c r="CO290" s="1">
        <v>41744</v>
      </c>
      <c r="CP290" s="1">
        <v>43633</v>
      </c>
    </row>
    <row r="291" spans="1:94" x14ac:dyDescent="0.25">
      <c r="A291" t="s">
        <v>1003</v>
      </c>
      <c r="B291" t="str">
        <f xml:space="preserve"> "" &amp; 747396092874</f>
        <v>747396092874</v>
      </c>
      <c r="C291" t="s">
        <v>807</v>
      </c>
      <c r="D291" t="s">
        <v>999</v>
      </c>
      <c r="E291" t="s">
        <v>1000</v>
      </c>
      <c r="F291" t="s">
        <v>7532</v>
      </c>
      <c r="G291">
        <v>1</v>
      </c>
      <c r="H291">
        <v>1</v>
      </c>
      <c r="I291" t="s">
        <v>97</v>
      </c>
      <c r="J291" s="10">
        <v>182</v>
      </c>
      <c r="K291" s="10">
        <v>546</v>
      </c>
      <c r="L291" s="10">
        <v>0</v>
      </c>
      <c r="N291" s="10">
        <v>0</v>
      </c>
      <c r="O291" t="s">
        <v>99</v>
      </c>
      <c r="P291" s="10">
        <v>364.95</v>
      </c>
      <c r="S291">
        <v>5</v>
      </c>
      <c r="U291">
        <v>26.5</v>
      </c>
      <c r="V291">
        <v>3.75</v>
      </c>
      <c r="W291">
        <v>8.25</v>
      </c>
      <c r="Y291">
        <v>7</v>
      </c>
      <c r="Z291">
        <v>30.38</v>
      </c>
      <c r="AA291">
        <v>8</v>
      </c>
      <c r="AB291">
        <v>0.98499999999999999</v>
      </c>
      <c r="AC291">
        <v>9.66</v>
      </c>
      <c r="AE291">
        <v>1</v>
      </c>
      <c r="AF291" t="s">
        <v>1004</v>
      </c>
      <c r="AG291">
        <v>37</v>
      </c>
      <c r="AK291" t="s">
        <v>99</v>
      </c>
      <c r="AM291" t="s">
        <v>98</v>
      </c>
      <c r="AN291" t="s">
        <v>99</v>
      </c>
      <c r="AO291" t="s">
        <v>98</v>
      </c>
      <c r="AP291" t="s">
        <v>100</v>
      </c>
      <c r="AQ291" t="s">
        <v>101</v>
      </c>
      <c r="AV291" t="s">
        <v>98</v>
      </c>
      <c r="AX291" t="s">
        <v>279</v>
      </c>
      <c r="AZ291" t="s">
        <v>102</v>
      </c>
      <c r="BB291" t="s">
        <v>235</v>
      </c>
      <c r="BC291" t="s">
        <v>996</v>
      </c>
      <c r="BD291" t="s">
        <v>7528</v>
      </c>
      <c r="BF291" t="s">
        <v>1005</v>
      </c>
      <c r="BG291" t="s">
        <v>98</v>
      </c>
      <c r="BH291" t="s">
        <v>99</v>
      </c>
      <c r="BI291" t="s">
        <v>98</v>
      </c>
      <c r="BK291" t="s">
        <v>127</v>
      </c>
      <c r="BL291" t="s">
        <v>979</v>
      </c>
      <c r="BR291">
        <v>5</v>
      </c>
      <c r="BT291">
        <v>26.5</v>
      </c>
      <c r="CA291">
        <v>2943</v>
      </c>
      <c r="CB291" t="s">
        <v>279</v>
      </c>
      <c r="CG291">
        <v>3000</v>
      </c>
      <c r="CH291">
        <v>82</v>
      </c>
      <c r="CI291">
        <v>2992.18</v>
      </c>
      <c r="CJ291">
        <v>1731.84</v>
      </c>
      <c r="CK291">
        <v>30000</v>
      </c>
      <c r="CL291" t="s">
        <v>99</v>
      </c>
      <c r="CM291" t="s">
        <v>98</v>
      </c>
      <c r="CN291" t="s">
        <v>7644</v>
      </c>
      <c r="CO291" s="1">
        <v>41743</v>
      </c>
      <c r="CP291" s="1">
        <v>43633</v>
      </c>
    </row>
    <row r="292" spans="1:94" x14ac:dyDescent="0.25">
      <c r="A292" t="s">
        <v>1006</v>
      </c>
      <c r="B292" t="str">
        <f xml:space="preserve"> "" &amp; 747396092881</f>
        <v>747396092881</v>
      </c>
      <c r="C292" t="s">
        <v>807</v>
      </c>
      <c r="D292" t="s">
        <v>999</v>
      </c>
      <c r="E292" t="s">
        <v>1000</v>
      </c>
      <c r="F292" t="s">
        <v>7532</v>
      </c>
      <c r="G292">
        <v>1</v>
      </c>
      <c r="H292">
        <v>1</v>
      </c>
      <c r="I292" t="s">
        <v>97</v>
      </c>
      <c r="J292" s="10">
        <v>215</v>
      </c>
      <c r="K292" s="10">
        <v>645</v>
      </c>
      <c r="L292" s="10">
        <v>0</v>
      </c>
      <c r="N292" s="10">
        <v>0</v>
      </c>
      <c r="O292" t="s">
        <v>99</v>
      </c>
      <c r="P292" s="10">
        <v>429.95</v>
      </c>
      <c r="S292">
        <v>5</v>
      </c>
      <c r="U292">
        <v>31.75</v>
      </c>
      <c r="V292">
        <v>3.75</v>
      </c>
      <c r="W292">
        <v>9.7899999999999991</v>
      </c>
      <c r="Y292">
        <v>6.75</v>
      </c>
      <c r="Z292">
        <v>36</v>
      </c>
      <c r="AA292">
        <v>8.25</v>
      </c>
      <c r="AB292">
        <v>1.1599999999999999</v>
      </c>
      <c r="AC292">
        <v>11.42</v>
      </c>
      <c r="AE292">
        <v>1</v>
      </c>
      <c r="AF292" t="s">
        <v>1007</v>
      </c>
      <c r="AG292">
        <v>44</v>
      </c>
      <c r="AK292" t="s">
        <v>99</v>
      </c>
      <c r="AM292" t="s">
        <v>98</v>
      </c>
      <c r="AN292" t="s">
        <v>99</v>
      </c>
      <c r="AO292" t="s">
        <v>98</v>
      </c>
      <c r="AP292" t="s">
        <v>100</v>
      </c>
      <c r="AQ292" t="s">
        <v>101</v>
      </c>
      <c r="AV292" t="s">
        <v>98</v>
      </c>
      <c r="AX292" t="s">
        <v>279</v>
      </c>
      <c r="AZ292" t="s">
        <v>102</v>
      </c>
      <c r="BB292" t="s">
        <v>235</v>
      </c>
      <c r="BC292" t="s">
        <v>996</v>
      </c>
      <c r="BD292" t="s">
        <v>7528</v>
      </c>
      <c r="BF292" t="s">
        <v>1008</v>
      </c>
      <c r="BG292" t="s">
        <v>98</v>
      </c>
      <c r="BH292" t="s">
        <v>99</v>
      </c>
      <c r="BI292" t="s">
        <v>98</v>
      </c>
      <c r="BK292" t="s">
        <v>127</v>
      </c>
      <c r="BL292" t="s">
        <v>979</v>
      </c>
      <c r="BR292">
        <v>5</v>
      </c>
      <c r="BT292">
        <v>31.63</v>
      </c>
      <c r="CA292">
        <v>2944</v>
      </c>
      <c r="CB292" t="s">
        <v>279</v>
      </c>
      <c r="CG292">
        <v>3000</v>
      </c>
      <c r="CH292">
        <v>82</v>
      </c>
      <c r="CI292">
        <v>4510.24</v>
      </c>
      <c r="CJ292">
        <v>2578.02</v>
      </c>
      <c r="CK292">
        <v>30000</v>
      </c>
      <c r="CL292" t="s">
        <v>99</v>
      </c>
      <c r="CM292" t="s">
        <v>98</v>
      </c>
      <c r="CN292" t="s">
        <v>7644</v>
      </c>
      <c r="CO292" s="1">
        <v>41739</v>
      </c>
      <c r="CP292" s="1">
        <v>43633</v>
      </c>
    </row>
    <row r="293" spans="1:94" x14ac:dyDescent="0.25">
      <c r="A293" t="s">
        <v>1009</v>
      </c>
      <c r="B293" t="str">
        <f xml:space="preserve"> "" &amp; 747396803159</f>
        <v>747396803159</v>
      </c>
      <c r="C293" t="s">
        <v>751</v>
      </c>
      <c r="D293" t="s">
        <v>1010</v>
      </c>
      <c r="E293" t="s">
        <v>1011</v>
      </c>
      <c r="F293" t="s">
        <v>323</v>
      </c>
      <c r="G293">
        <v>1</v>
      </c>
      <c r="H293">
        <v>1</v>
      </c>
      <c r="I293" t="s">
        <v>97</v>
      </c>
      <c r="J293" s="10">
        <v>39</v>
      </c>
      <c r="K293" s="10">
        <v>117</v>
      </c>
      <c r="L293" s="10">
        <v>0</v>
      </c>
      <c r="N293" s="10">
        <v>0</v>
      </c>
      <c r="O293" t="s">
        <v>99</v>
      </c>
      <c r="P293" s="10">
        <v>84.95</v>
      </c>
      <c r="S293">
        <v>7</v>
      </c>
      <c r="T293">
        <v>10</v>
      </c>
      <c r="U293">
        <v>5</v>
      </c>
      <c r="V293">
        <v>5.5</v>
      </c>
      <c r="W293">
        <v>2.4300000000000002</v>
      </c>
      <c r="X293">
        <v>1</v>
      </c>
      <c r="Y293">
        <v>7.75</v>
      </c>
      <c r="Z293">
        <v>10</v>
      </c>
      <c r="AA293">
        <v>7.5</v>
      </c>
      <c r="AB293">
        <v>0.33600000000000002</v>
      </c>
      <c r="AC293">
        <v>3</v>
      </c>
      <c r="AE293">
        <v>1</v>
      </c>
      <c r="AF293" t="s">
        <v>1012</v>
      </c>
      <c r="AG293">
        <v>100</v>
      </c>
      <c r="AK293" t="s">
        <v>98</v>
      </c>
      <c r="AL293">
        <v>1</v>
      </c>
      <c r="AM293" t="s">
        <v>98</v>
      </c>
      <c r="AN293" t="s">
        <v>99</v>
      </c>
      <c r="AO293" t="s">
        <v>98</v>
      </c>
      <c r="AP293" t="s">
        <v>100</v>
      </c>
      <c r="AQ293" t="s">
        <v>101</v>
      </c>
      <c r="AV293" t="s">
        <v>98</v>
      </c>
      <c r="AX293" t="s">
        <v>399</v>
      </c>
      <c r="AZ293" t="s">
        <v>124</v>
      </c>
      <c r="BB293" t="s">
        <v>235</v>
      </c>
      <c r="BC293" t="s">
        <v>460</v>
      </c>
      <c r="BD293" t="s">
        <v>7528</v>
      </c>
      <c r="BF293" t="s">
        <v>1013</v>
      </c>
      <c r="BG293" t="s">
        <v>98</v>
      </c>
      <c r="BH293" t="s">
        <v>98</v>
      </c>
      <c r="BI293" t="s">
        <v>98</v>
      </c>
      <c r="BK293" t="s">
        <v>127</v>
      </c>
      <c r="BL293" t="s">
        <v>756</v>
      </c>
      <c r="BM293">
        <v>5</v>
      </c>
      <c r="BN293">
        <v>7</v>
      </c>
      <c r="CA293">
        <v>3001</v>
      </c>
      <c r="CB293" t="s">
        <v>399</v>
      </c>
      <c r="CL293" t="s">
        <v>99</v>
      </c>
      <c r="CM293" t="s">
        <v>98</v>
      </c>
      <c r="CN293" t="s">
        <v>442</v>
      </c>
      <c r="CO293" s="1">
        <v>42724</v>
      </c>
      <c r="CP293" s="1">
        <v>43633</v>
      </c>
    </row>
    <row r="294" spans="1:94" x14ac:dyDescent="0.25">
      <c r="A294" t="s">
        <v>1014</v>
      </c>
      <c r="B294" t="str">
        <f xml:space="preserve"> "" &amp; 747396803166</f>
        <v>747396803166</v>
      </c>
      <c r="C294" t="s">
        <v>758</v>
      </c>
      <c r="D294" t="s">
        <v>1015</v>
      </c>
      <c r="E294" t="s">
        <v>1011</v>
      </c>
      <c r="F294" t="s">
        <v>323</v>
      </c>
      <c r="G294">
        <v>1</v>
      </c>
      <c r="H294">
        <v>1</v>
      </c>
      <c r="I294" t="s">
        <v>97</v>
      </c>
      <c r="J294" s="10">
        <v>69</v>
      </c>
      <c r="K294" s="10">
        <v>207</v>
      </c>
      <c r="L294" s="10">
        <v>0</v>
      </c>
      <c r="N294" s="10">
        <v>0</v>
      </c>
      <c r="O294" t="s">
        <v>99</v>
      </c>
      <c r="P294" s="10">
        <v>149.94999999999999</v>
      </c>
      <c r="S294">
        <v>7</v>
      </c>
      <c r="U294">
        <v>14.75</v>
      </c>
      <c r="V294">
        <v>5.5</v>
      </c>
      <c r="W294">
        <v>4.1399999999999997</v>
      </c>
      <c r="X294">
        <v>1</v>
      </c>
      <c r="Y294">
        <v>9.75</v>
      </c>
      <c r="Z294">
        <v>17.13</v>
      </c>
      <c r="AA294">
        <v>7.75</v>
      </c>
      <c r="AB294">
        <v>0.749</v>
      </c>
      <c r="AC294">
        <v>5.91</v>
      </c>
      <c r="AE294">
        <v>2</v>
      </c>
      <c r="AF294" t="s">
        <v>1012</v>
      </c>
      <c r="AG294">
        <v>100</v>
      </c>
      <c r="AK294" t="s">
        <v>98</v>
      </c>
      <c r="AL294">
        <v>2</v>
      </c>
      <c r="AM294" t="s">
        <v>98</v>
      </c>
      <c r="AN294" t="s">
        <v>99</v>
      </c>
      <c r="AO294" t="s">
        <v>98</v>
      </c>
      <c r="AP294" t="s">
        <v>100</v>
      </c>
      <c r="AQ294" t="s">
        <v>101</v>
      </c>
      <c r="AV294" t="s">
        <v>98</v>
      </c>
      <c r="AX294" t="s">
        <v>399</v>
      </c>
      <c r="AZ294" t="s">
        <v>124</v>
      </c>
      <c r="BB294" t="s">
        <v>235</v>
      </c>
      <c r="BC294" t="s">
        <v>460</v>
      </c>
      <c r="BD294" t="s">
        <v>7528</v>
      </c>
      <c r="BF294" t="s">
        <v>1016</v>
      </c>
      <c r="BG294" t="s">
        <v>98</v>
      </c>
      <c r="BH294" t="s">
        <v>98</v>
      </c>
      <c r="BI294" t="s">
        <v>98</v>
      </c>
      <c r="BK294" t="s">
        <v>127</v>
      </c>
      <c r="BL294" t="s">
        <v>756</v>
      </c>
      <c r="BM294">
        <v>7</v>
      </c>
      <c r="BN294">
        <v>5</v>
      </c>
      <c r="CA294">
        <v>3002</v>
      </c>
      <c r="CB294" t="s">
        <v>399</v>
      </c>
      <c r="CL294" t="s">
        <v>99</v>
      </c>
      <c r="CM294" t="s">
        <v>98</v>
      </c>
      <c r="CN294" t="s">
        <v>442</v>
      </c>
      <c r="CO294" s="1">
        <v>42724</v>
      </c>
      <c r="CP294" s="1">
        <v>43633</v>
      </c>
    </row>
    <row r="295" spans="1:94" x14ac:dyDescent="0.25">
      <c r="A295" t="s">
        <v>1017</v>
      </c>
      <c r="B295" t="str">
        <f xml:space="preserve"> "" &amp; 747396803173</f>
        <v>747396803173</v>
      </c>
      <c r="C295" t="s">
        <v>762</v>
      </c>
      <c r="D295" t="s">
        <v>1018</v>
      </c>
      <c r="E295" t="s">
        <v>1011</v>
      </c>
      <c r="F295" t="s">
        <v>323</v>
      </c>
      <c r="G295">
        <v>1</v>
      </c>
      <c r="H295">
        <v>1</v>
      </c>
      <c r="I295" t="s">
        <v>97</v>
      </c>
      <c r="J295" s="10">
        <v>99</v>
      </c>
      <c r="K295" s="10">
        <v>297</v>
      </c>
      <c r="L295" s="10">
        <v>0</v>
      </c>
      <c r="N295" s="10">
        <v>0</v>
      </c>
      <c r="O295" t="s">
        <v>99</v>
      </c>
      <c r="P295" s="10">
        <v>209.95</v>
      </c>
      <c r="S295">
        <v>7</v>
      </c>
      <c r="U295">
        <v>24</v>
      </c>
      <c r="V295">
        <v>5.5</v>
      </c>
      <c r="W295">
        <v>6</v>
      </c>
      <c r="X295">
        <v>1</v>
      </c>
      <c r="Y295">
        <v>9.75</v>
      </c>
      <c r="Z295">
        <v>26.5</v>
      </c>
      <c r="AA295">
        <v>7.75</v>
      </c>
      <c r="AB295">
        <v>1.159</v>
      </c>
      <c r="AC295">
        <v>8.3800000000000008</v>
      </c>
      <c r="AE295">
        <v>3</v>
      </c>
      <c r="AF295" t="s">
        <v>1012</v>
      </c>
      <c r="AG295">
        <v>100</v>
      </c>
      <c r="AK295" t="s">
        <v>98</v>
      </c>
      <c r="AL295">
        <v>3</v>
      </c>
      <c r="AM295" t="s">
        <v>98</v>
      </c>
      <c r="AN295" t="s">
        <v>99</v>
      </c>
      <c r="AO295" t="s">
        <v>98</v>
      </c>
      <c r="AP295" t="s">
        <v>100</v>
      </c>
      <c r="AQ295" t="s">
        <v>101</v>
      </c>
      <c r="AV295" t="s">
        <v>98</v>
      </c>
      <c r="AX295" t="s">
        <v>399</v>
      </c>
      <c r="AZ295" t="s">
        <v>124</v>
      </c>
      <c r="BB295" t="s">
        <v>235</v>
      </c>
      <c r="BC295" t="s">
        <v>460</v>
      </c>
      <c r="BD295" t="s">
        <v>7528</v>
      </c>
      <c r="BF295" t="s">
        <v>1019</v>
      </c>
      <c r="BG295" t="s">
        <v>98</v>
      </c>
      <c r="BH295" t="s">
        <v>98</v>
      </c>
      <c r="BI295" t="s">
        <v>98</v>
      </c>
      <c r="BK295" t="s">
        <v>127</v>
      </c>
      <c r="BL295" t="s">
        <v>756</v>
      </c>
      <c r="BM295">
        <v>7</v>
      </c>
      <c r="BN295">
        <v>5</v>
      </c>
      <c r="CA295">
        <v>3003</v>
      </c>
      <c r="CB295" t="s">
        <v>399</v>
      </c>
      <c r="CL295" t="s">
        <v>99</v>
      </c>
      <c r="CM295" t="s">
        <v>98</v>
      </c>
      <c r="CN295" t="s">
        <v>442</v>
      </c>
      <c r="CO295" s="1">
        <v>42725</v>
      </c>
      <c r="CP295" s="1">
        <v>43633</v>
      </c>
    </row>
    <row r="296" spans="1:94" x14ac:dyDescent="0.25">
      <c r="A296" t="s">
        <v>1020</v>
      </c>
      <c r="B296" t="str">
        <f xml:space="preserve"> "" &amp; 747396803180</f>
        <v>747396803180</v>
      </c>
      <c r="C296" t="s">
        <v>766</v>
      </c>
      <c r="D296" t="s">
        <v>1021</v>
      </c>
      <c r="E296" t="s">
        <v>1011</v>
      </c>
      <c r="F296" t="s">
        <v>323</v>
      </c>
      <c r="G296">
        <v>1</v>
      </c>
      <c r="H296">
        <v>1</v>
      </c>
      <c r="I296" t="s">
        <v>97</v>
      </c>
      <c r="J296" s="10">
        <v>119</v>
      </c>
      <c r="K296" s="10">
        <v>357</v>
      </c>
      <c r="L296" s="10">
        <v>0</v>
      </c>
      <c r="N296" s="10">
        <v>0</v>
      </c>
      <c r="O296" t="s">
        <v>99</v>
      </c>
      <c r="P296" s="10">
        <v>254.95</v>
      </c>
      <c r="S296">
        <v>7</v>
      </c>
      <c r="U296">
        <v>33.5</v>
      </c>
      <c r="V296">
        <v>5.5</v>
      </c>
      <c r="W296">
        <v>7.58</v>
      </c>
      <c r="X296">
        <v>1</v>
      </c>
      <c r="Y296">
        <v>9.75</v>
      </c>
      <c r="Z296">
        <v>36.25</v>
      </c>
      <c r="AA296">
        <v>7.75</v>
      </c>
      <c r="AB296">
        <v>1.585</v>
      </c>
      <c r="AC296">
        <v>10.78</v>
      </c>
      <c r="AE296">
        <v>4</v>
      </c>
      <c r="AF296" t="s">
        <v>1012</v>
      </c>
      <c r="AG296">
        <v>100</v>
      </c>
      <c r="AK296" t="s">
        <v>98</v>
      </c>
      <c r="AL296">
        <v>4</v>
      </c>
      <c r="AM296" t="s">
        <v>98</v>
      </c>
      <c r="AN296" t="s">
        <v>99</v>
      </c>
      <c r="AO296" t="s">
        <v>98</v>
      </c>
      <c r="AP296" t="s">
        <v>100</v>
      </c>
      <c r="AQ296" t="s">
        <v>101</v>
      </c>
      <c r="AV296" t="s">
        <v>98</v>
      </c>
      <c r="AX296" t="s">
        <v>399</v>
      </c>
      <c r="AZ296" t="s">
        <v>124</v>
      </c>
      <c r="BB296" t="s">
        <v>235</v>
      </c>
      <c r="BC296" t="s">
        <v>460</v>
      </c>
      <c r="BD296" t="s">
        <v>7528</v>
      </c>
      <c r="BF296" t="s">
        <v>1022</v>
      </c>
      <c r="BG296" t="s">
        <v>98</v>
      </c>
      <c r="BH296" t="s">
        <v>98</v>
      </c>
      <c r="BI296" t="s">
        <v>98</v>
      </c>
      <c r="BK296" t="s">
        <v>127</v>
      </c>
      <c r="BL296" t="s">
        <v>756</v>
      </c>
      <c r="BM296">
        <v>7</v>
      </c>
      <c r="BN296">
        <v>5</v>
      </c>
      <c r="CA296">
        <v>3004</v>
      </c>
      <c r="CB296" t="s">
        <v>399</v>
      </c>
      <c r="CL296" t="s">
        <v>99</v>
      </c>
      <c r="CM296" t="s">
        <v>98</v>
      </c>
      <c r="CN296" t="s">
        <v>442</v>
      </c>
      <c r="CO296" s="1">
        <v>42725</v>
      </c>
      <c r="CP296" s="1">
        <v>43633</v>
      </c>
    </row>
    <row r="297" spans="1:94" x14ac:dyDescent="0.25">
      <c r="A297" t="s">
        <v>1023</v>
      </c>
      <c r="B297" t="str">
        <f xml:space="preserve"> "" &amp; 747396803197</f>
        <v>747396803197</v>
      </c>
      <c r="C297" t="s">
        <v>751</v>
      </c>
      <c r="D297" t="s">
        <v>1024</v>
      </c>
      <c r="E297" t="s">
        <v>1025</v>
      </c>
      <c r="F297" t="s">
        <v>323</v>
      </c>
      <c r="G297">
        <v>1</v>
      </c>
      <c r="H297">
        <v>1</v>
      </c>
      <c r="I297" t="s">
        <v>97</v>
      </c>
      <c r="J297" s="10">
        <v>49</v>
      </c>
      <c r="K297" s="10">
        <v>147</v>
      </c>
      <c r="L297" s="10">
        <v>0</v>
      </c>
      <c r="N297" s="10">
        <v>0</v>
      </c>
      <c r="O297" t="s">
        <v>99</v>
      </c>
      <c r="P297" s="10">
        <v>104.95</v>
      </c>
      <c r="S297">
        <v>6.25</v>
      </c>
      <c r="T297">
        <v>9.75</v>
      </c>
      <c r="U297">
        <v>8</v>
      </c>
      <c r="V297">
        <v>5</v>
      </c>
      <c r="W297">
        <v>1.9</v>
      </c>
      <c r="X297">
        <v>1</v>
      </c>
      <c r="Y297">
        <v>10.25</v>
      </c>
      <c r="Z297">
        <v>9.75</v>
      </c>
      <c r="AA297">
        <v>7</v>
      </c>
      <c r="AB297">
        <v>0.40500000000000003</v>
      </c>
      <c r="AC297">
        <v>2.54</v>
      </c>
      <c r="AE297">
        <v>1</v>
      </c>
      <c r="AF297" t="s">
        <v>1026</v>
      </c>
      <c r="AG297">
        <v>75</v>
      </c>
      <c r="AK297" t="s">
        <v>99</v>
      </c>
      <c r="AL297">
        <v>1</v>
      </c>
      <c r="AM297" t="s">
        <v>98</v>
      </c>
      <c r="AN297" t="s">
        <v>99</v>
      </c>
      <c r="AO297" t="s">
        <v>98</v>
      </c>
      <c r="AP297" t="s">
        <v>100</v>
      </c>
      <c r="AQ297" t="s">
        <v>101</v>
      </c>
      <c r="AV297" t="s">
        <v>98</v>
      </c>
      <c r="AX297" t="s">
        <v>484</v>
      </c>
      <c r="AZ297" t="s">
        <v>124</v>
      </c>
      <c r="BB297" t="s">
        <v>235</v>
      </c>
      <c r="BC297" t="s">
        <v>460</v>
      </c>
      <c r="BD297" t="s">
        <v>7528</v>
      </c>
      <c r="BF297" t="s">
        <v>1027</v>
      </c>
      <c r="BG297" t="s">
        <v>98</v>
      </c>
      <c r="BH297" t="s">
        <v>98</v>
      </c>
      <c r="BI297" t="s">
        <v>98</v>
      </c>
      <c r="BK297" t="s">
        <v>127</v>
      </c>
      <c r="BL297" t="s">
        <v>756</v>
      </c>
      <c r="BM297">
        <v>7</v>
      </c>
      <c r="BN297">
        <v>5</v>
      </c>
      <c r="CA297">
        <v>3011</v>
      </c>
      <c r="CB297" t="s">
        <v>484</v>
      </c>
      <c r="CL297" t="s">
        <v>99</v>
      </c>
      <c r="CM297" t="s">
        <v>98</v>
      </c>
      <c r="CN297" t="s">
        <v>442</v>
      </c>
      <c r="CO297" s="1">
        <v>42725</v>
      </c>
      <c r="CP297" s="1">
        <v>43633</v>
      </c>
    </row>
    <row r="298" spans="1:94" x14ac:dyDescent="0.25">
      <c r="A298" t="s">
        <v>1028</v>
      </c>
      <c r="B298" t="str">
        <f xml:space="preserve"> "" &amp; 747396803203</f>
        <v>747396803203</v>
      </c>
      <c r="C298" t="s">
        <v>758</v>
      </c>
      <c r="D298" t="s">
        <v>1029</v>
      </c>
      <c r="E298" t="s">
        <v>1025</v>
      </c>
      <c r="F298" t="s">
        <v>323</v>
      </c>
      <c r="G298">
        <v>1</v>
      </c>
      <c r="H298">
        <v>1</v>
      </c>
      <c r="I298" t="s">
        <v>97</v>
      </c>
      <c r="J298" s="10">
        <v>79</v>
      </c>
      <c r="K298" s="10">
        <v>237</v>
      </c>
      <c r="L298" s="10">
        <v>0</v>
      </c>
      <c r="N298" s="10">
        <v>0</v>
      </c>
      <c r="O298" t="s">
        <v>99</v>
      </c>
      <c r="P298" s="10">
        <v>169.95</v>
      </c>
      <c r="S298">
        <v>6.25</v>
      </c>
      <c r="U298">
        <v>17.5</v>
      </c>
      <c r="V298">
        <v>5</v>
      </c>
      <c r="W298">
        <v>3.22</v>
      </c>
      <c r="X298">
        <v>1</v>
      </c>
      <c r="Y298">
        <v>10.25</v>
      </c>
      <c r="Z298">
        <v>19.75</v>
      </c>
      <c r="AA298">
        <v>7</v>
      </c>
      <c r="AB298">
        <v>0.82</v>
      </c>
      <c r="AC298">
        <v>4.9400000000000004</v>
      </c>
      <c r="AE298">
        <v>2</v>
      </c>
      <c r="AF298" t="s">
        <v>1026</v>
      </c>
      <c r="AG298">
        <v>75</v>
      </c>
      <c r="AK298" t="s">
        <v>99</v>
      </c>
      <c r="AL298">
        <v>2</v>
      </c>
      <c r="AM298" t="s">
        <v>98</v>
      </c>
      <c r="AN298" t="s">
        <v>99</v>
      </c>
      <c r="AO298" t="s">
        <v>98</v>
      </c>
      <c r="AP298" t="s">
        <v>100</v>
      </c>
      <c r="AQ298" t="s">
        <v>101</v>
      </c>
      <c r="AV298" t="s">
        <v>98</v>
      </c>
      <c r="AX298" t="s">
        <v>484</v>
      </c>
      <c r="AZ298" t="s">
        <v>124</v>
      </c>
      <c r="BB298" t="s">
        <v>235</v>
      </c>
      <c r="BC298" t="s">
        <v>460</v>
      </c>
      <c r="BD298" t="s">
        <v>7528</v>
      </c>
      <c r="BF298" t="s">
        <v>1030</v>
      </c>
      <c r="BG298" t="s">
        <v>98</v>
      </c>
      <c r="BH298" t="s">
        <v>98</v>
      </c>
      <c r="BI298" t="s">
        <v>98</v>
      </c>
      <c r="BK298" t="s">
        <v>127</v>
      </c>
      <c r="BL298" t="s">
        <v>756</v>
      </c>
      <c r="BM298">
        <v>7</v>
      </c>
      <c r="BN298">
        <v>5</v>
      </c>
      <c r="CA298">
        <v>3012</v>
      </c>
      <c r="CB298" t="s">
        <v>484</v>
      </c>
      <c r="CL298" t="s">
        <v>99</v>
      </c>
      <c r="CM298" t="s">
        <v>98</v>
      </c>
      <c r="CN298" t="s">
        <v>442</v>
      </c>
      <c r="CO298" s="1">
        <v>42725</v>
      </c>
      <c r="CP298" s="1">
        <v>43633</v>
      </c>
    </row>
    <row r="299" spans="1:94" x14ac:dyDescent="0.25">
      <c r="A299" t="s">
        <v>1031</v>
      </c>
      <c r="B299" t="str">
        <f xml:space="preserve"> "" &amp; 747396803210</f>
        <v>747396803210</v>
      </c>
      <c r="C299" t="s">
        <v>762</v>
      </c>
      <c r="D299" t="s">
        <v>6571</v>
      </c>
      <c r="E299" t="s">
        <v>1025</v>
      </c>
      <c r="F299" t="s">
        <v>323</v>
      </c>
      <c r="G299">
        <v>1</v>
      </c>
      <c r="H299">
        <v>1</v>
      </c>
      <c r="I299" t="s">
        <v>97</v>
      </c>
      <c r="J299" s="10">
        <v>99</v>
      </c>
      <c r="K299" s="10">
        <v>297</v>
      </c>
      <c r="L299" s="10">
        <v>0</v>
      </c>
      <c r="N299" s="10">
        <v>0</v>
      </c>
      <c r="O299" t="s">
        <v>99</v>
      </c>
      <c r="P299" s="10">
        <v>209.95</v>
      </c>
      <c r="S299">
        <v>6.25</v>
      </c>
      <c r="U299">
        <v>26.75</v>
      </c>
      <c r="V299">
        <v>5</v>
      </c>
      <c r="W299">
        <v>4.1900000000000004</v>
      </c>
      <c r="X299">
        <v>1</v>
      </c>
      <c r="Y299">
        <v>10.25</v>
      </c>
      <c r="Z299">
        <v>28.75</v>
      </c>
      <c r="AA299">
        <v>7</v>
      </c>
      <c r="AB299">
        <v>1.194</v>
      </c>
      <c r="AC299">
        <v>6.75</v>
      </c>
      <c r="AE299">
        <v>3</v>
      </c>
      <c r="AF299" t="s">
        <v>1032</v>
      </c>
      <c r="AG299">
        <v>75</v>
      </c>
      <c r="AK299" t="s">
        <v>99</v>
      </c>
      <c r="AL299">
        <v>3</v>
      </c>
      <c r="AM299" t="s">
        <v>98</v>
      </c>
      <c r="AN299" t="s">
        <v>99</v>
      </c>
      <c r="AO299" t="s">
        <v>98</v>
      </c>
      <c r="AP299" t="s">
        <v>100</v>
      </c>
      <c r="AQ299" t="s">
        <v>101</v>
      </c>
      <c r="AV299" t="s">
        <v>98</v>
      </c>
      <c r="AX299" t="s">
        <v>484</v>
      </c>
      <c r="AZ299" t="s">
        <v>124</v>
      </c>
      <c r="BB299" t="s">
        <v>235</v>
      </c>
      <c r="BC299" t="s">
        <v>460</v>
      </c>
      <c r="BD299" t="s">
        <v>7528</v>
      </c>
      <c r="BF299" t="s">
        <v>1033</v>
      </c>
      <c r="BG299" t="s">
        <v>98</v>
      </c>
      <c r="BH299" t="s">
        <v>98</v>
      </c>
      <c r="BI299" t="s">
        <v>98</v>
      </c>
      <c r="BK299" t="s">
        <v>127</v>
      </c>
      <c r="BL299" t="s">
        <v>756</v>
      </c>
      <c r="BM299">
        <v>7</v>
      </c>
      <c r="BN299">
        <v>5</v>
      </c>
      <c r="CA299">
        <v>3013</v>
      </c>
      <c r="CB299" t="s">
        <v>484</v>
      </c>
      <c r="CL299" t="s">
        <v>99</v>
      </c>
      <c r="CM299" t="s">
        <v>98</v>
      </c>
      <c r="CN299" t="s">
        <v>442</v>
      </c>
      <c r="CO299" s="1">
        <v>42725</v>
      </c>
      <c r="CP299" s="1">
        <v>43633</v>
      </c>
    </row>
    <row r="300" spans="1:94" x14ac:dyDescent="0.25">
      <c r="A300" t="s">
        <v>1034</v>
      </c>
      <c r="B300" t="str">
        <f xml:space="preserve"> "" &amp; 747396803227</f>
        <v>747396803227</v>
      </c>
      <c r="C300" t="s">
        <v>766</v>
      </c>
      <c r="D300" t="s">
        <v>6572</v>
      </c>
      <c r="E300" t="s">
        <v>1025</v>
      </c>
      <c r="F300" t="s">
        <v>323</v>
      </c>
      <c r="G300">
        <v>1</v>
      </c>
      <c r="H300">
        <v>1</v>
      </c>
      <c r="I300" t="s">
        <v>97</v>
      </c>
      <c r="J300" s="10">
        <v>129</v>
      </c>
      <c r="K300" s="10">
        <v>387</v>
      </c>
      <c r="L300" s="10">
        <v>0</v>
      </c>
      <c r="N300" s="10">
        <v>0</v>
      </c>
      <c r="O300" t="s">
        <v>99</v>
      </c>
      <c r="P300" s="10">
        <v>274.95</v>
      </c>
      <c r="S300">
        <v>6.25</v>
      </c>
      <c r="U300">
        <v>36.25</v>
      </c>
      <c r="V300">
        <v>5</v>
      </c>
      <c r="W300">
        <v>5.82</v>
      </c>
      <c r="X300">
        <v>1</v>
      </c>
      <c r="Y300">
        <v>10.25</v>
      </c>
      <c r="Z300">
        <v>38</v>
      </c>
      <c r="AA300">
        <v>7</v>
      </c>
      <c r="AB300">
        <v>1.5780000000000001</v>
      </c>
      <c r="AC300">
        <v>9.2799999999999994</v>
      </c>
      <c r="AE300">
        <v>4</v>
      </c>
      <c r="AF300" t="s">
        <v>1026</v>
      </c>
      <c r="AG300">
        <v>75</v>
      </c>
      <c r="AK300" t="s">
        <v>99</v>
      </c>
      <c r="AL300">
        <v>4</v>
      </c>
      <c r="AM300" t="s">
        <v>98</v>
      </c>
      <c r="AN300" t="s">
        <v>99</v>
      </c>
      <c r="AO300" t="s">
        <v>98</v>
      </c>
      <c r="AP300" t="s">
        <v>100</v>
      </c>
      <c r="AQ300" t="s">
        <v>101</v>
      </c>
      <c r="AV300" t="s">
        <v>98</v>
      </c>
      <c r="AX300" t="s">
        <v>484</v>
      </c>
      <c r="AZ300" t="s">
        <v>124</v>
      </c>
      <c r="BB300" t="s">
        <v>235</v>
      </c>
      <c r="BC300" t="s">
        <v>460</v>
      </c>
      <c r="BD300" t="s">
        <v>7528</v>
      </c>
      <c r="BF300" t="s">
        <v>1035</v>
      </c>
      <c r="BG300" t="s">
        <v>98</v>
      </c>
      <c r="BH300" t="s">
        <v>98</v>
      </c>
      <c r="BI300" t="s">
        <v>98</v>
      </c>
      <c r="BK300" t="s">
        <v>127</v>
      </c>
      <c r="BL300" t="s">
        <v>756</v>
      </c>
      <c r="BM300">
        <v>7</v>
      </c>
      <c r="BN300">
        <v>5</v>
      </c>
      <c r="CA300">
        <v>3014</v>
      </c>
      <c r="CB300" t="s">
        <v>484</v>
      </c>
      <c r="CL300" t="s">
        <v>99</v>
      </c>
      <c r="CM300" t="s">
        <v>98</v>
      </c>
      <c r="CN300" t="s">
        <v>442</v>
      </c>
      <c r="CO300" s="1">
        <v>42725</v>
      </c>
      <c r="CP300" s="1">
        <v>43633</v>
      </c>
    </row>
    <row r="301" spans="1:94" x14ac:dyDescent="0.25">
      <c r="A301" t="s">
        <v>1036</v>
      </c>
      <c r="B301" t="str">
        <f xml:space="preserve"> "" &amp; 747396803234</f>
        <v>747396803234</v>
      </c>
      <c r="C301" t="s">
        <v>751</v>
      </c>
      <c r="D301" t="s">
        <v>1037</v>
      </c>
      <c r="E301" t="s">
        <v>1038</v>
      </c>
      <c r="F301" t="s">
        <v>323</v>
      </c>
      <c r="G301">
        <v>1</v>
      </c>
      <c r="H301">
        <v>1</v>
      </c>
      <c r="I301" t="s">
        <v>97</v>
      </c>
      <c r="J301" s="10">
        <v>39</v>
      </c>
      <c r="K301" s="10">
        <v>117</v>
      </c>
      <c r="L301" s="10">
        <v>0</v>
      </c>
      <c r="N301" s="10">
        <v>0</v>
      </c>
      <c r="O301" t="s">
        <v>99</v>
      </c>
      <c r="P301" s="10">
        <v>84.95</v>
      </c>
      <c r="S301">
        <v>9</v>
      </c>
      <c r="T301">
        <v>11</v>
      </c>
      <c r="U301">
        <v>6</v>
      </c>
      <c r="V301">
        <v>6</v>
      </c>
      <c r="W301">
        <v>1.96</v>
      </c>
      <c r="X301">
        <v>1</v>
      </c>
      <c r="Y301">
        <v>8.5</v>
      </c>
      <c r="Z301">
        <v>11</v>
      </c>
      <c r="AA301">
        <v>7.75</v>
      </c>
      <c r="AB301">
        <v>0.41899999999999998</v>
      </c>
      <c r="AC301">
        <v>2.65</v>
      </c>
      <c r="AE301">
        <v>1</v>
      </c>
      <c r="AF301" t="s">
        <v>347</v>
      </c>
      <c r="AG301">
        <v>100</v>
      </c>
      <c r="AK301" t="s">
        <v>98</v>
      </c>
      <c r="AL301">
        <v>1</v>
      </c>
      <c r="AM301" t="s">
        <v>98</v>
      </c>
      <c r="AN301" t="s">
        <v>99</v>
      </c>
      <c r="AO301" t="s">
        <v>98</v>
      </c>
      <c r="AP301" t="s">
        <v>100</v>
      </c>
      <c r="AQ301" t="s">
        <v>101</v>
      </c>
      <c r="AV301" t="s">
        <v>98</v>
      </c>
      <c r="AX301" t="s">
        <v>484</v>
      </c>
      <c r="AZ301" t="s">
        <v>124</v>
      </c>
      <c r="BB301" t="s">
        <v>235</v>
      </c>
      <c r="BC301" t="s">
        <v>561</v>
      </c>
      <c r="BD301" t="s">
        <v>7528</v>
      </c>
      <c r="BF301" t="s">
        <v>1039</v>
      </c>
      <c r="BG301" t="s">
        <v>98</v>
      </c>
      <c r="BH301" t="s">
        <v>98</v>
      </c>
      <c r="BI301" t="s">
        <v>98</v>
      </c>
      <c r="BK301" t="s">
        <v>127</v>
      </c>
      <c r="BL301" t="s">
        <v>756</v>
      </c>
      <c r="BM301">
        <v>6</v>
      </c>
      <c r="BN301">
        <v>0.88</v>
      </c>
      <c r="BO301">
        <v>6</v>
      </c>
      <c r="BP301">
        <v>6</v>
      </c>
      <c r="CA301">
        <v>3021</v>
      </c>
      <c r="CB301" t="s">
        <v>484</v>
      </c>
      <c r="CL301" t="s">
        <v>99</v>
      </c>
      <c r="CM301" t="s">
        <v>98</v>
      </c>
      <c r="CN301" t="s">
        <v>442</v>
      </c>
      <c r="CO301" s="1">
        <v>42724</v>
      </c>
      <c r="CP301" s="1">
        <v>43633</v>
      </c>
    </row>
    <row r="302" spans="1:94" x14ac:dyDescent="0.25">
      <c r="A302" t="s">
        <v>1040</v>
      </c>
      <c r="B302" t="str">
        <f xml:space="preserve"> "" &amp; 747396803241</f>
        <v>747396803241</v>
      </c>
      <c r="C302" t="s">
        <v>758</v>
      </c>
      <c r="D302" t="s">
        <v>6573</v>
      </c>
      <c r="E302" t="s">
        <v>1038</v>
      </c>
      <c r="F302" t="s">
        <v>323</v>
      </c>
      <c r="G302">
        <v>1</v>
      </c>
      <c r="H302">
        <v>1</v>
      </c>
      <c r="I302" t="s">
        <v>97</v>
      </c>
      <c r="J302" s="10">
        <v>69</v>
      </c>
      <c r="K302" s="10">
        <v>207</v>
      </c>
      <c r="L302" s="10">
        <v>0</v>
      </c>
      <c r="N302" s="10">
        <v>0</v>
      </c>
      <c r="O302" t="s">
        <v>99</v>
      </c>
      <c r="P302" s="10">
        <v>149.94999999999999</v>
      </c>
      <c r="S302">
        <v>9</v>
      </c>
      <c r="U302">
        <v>14</v>
      </c>
      <c r="V302">
        <v>6</v>
      </c>
      <c r="W302">
        <v>3.59</v>
      </c>
      <c r="X302">
        <v>1</v>
      </c>
      <c r="Y302">
        <v>11.25</v>
      </c>
      <c r="Z302">
        <v>16.25</v>
      </c>
      <c r="AA302">
        <v>8.1300000000000008</v>
      </c>
      <c r="AB302">
        <v>0.86</v>
      </c>
      <c r="AC302">
        <v>5.49</v>
      </c>
      <c r="AE302">
        <v>2</v>
      </c>
      <c r="AF302" t="s">
        <v>347</v>
      </c>
      <c r="AG302">
        <v>100</v>
      </c>
      <c r="AK302" t="s">
        <v>98</v>
      </c>
      <c r="AL302">
        <v>2</v>
      </c>
      <c r="AM302" t="s">
        <v>98</v>
      </c>
      <c r="AN302" t="s">
        <v>99</v>
      </c>
      <c r="AO302" t="s">
        <v>98</v>
      </c>
      <c r="AP302" t="s">
        <v>100</v>
      </c>
      <c r="AQ302" t="s">
        <v>101</v>
      </c>
      <c r="AV302" t="s">
        <v>98</v>
      </c>
      <c r="AX302" t="s">
        <v>484</v>
      </c>
      <c r="AZ302" t="s">
        <v>124</v>
      </c>
      <c r="BB302" t="s">
        <v>235</v>
      </c>
      <c r="BC302" t="s">
        <v>561</v>
      </c>
      <c r="BD302" t="s">
        <v>7528</v>
      </c>
      <c r="BF302" t="s">
        <v>1041</v>
      </c>
      <c r="BG302" t="s">
        <v>98</v>
      </c>
      <c r="BH302" t="s">
        <v>98</v>
      </c>
      <c r="BI302" t="s">
        <v>98</v>
      </c>
      <c r="BK302" t="s">
        <v>127</v>
      </c>
      <c r="BL302" t="s">
        <v>756</v>
      </c>
      <c r="BM302">
        <v>6</v>
      </c>
      <c r="BN302">
        <v>0.88</v>
      </c>
      <c r="BO302">
        <v>6</v>
      </c>
      <c r="CA302">
        <v>3022</v>
      </c>
      <c r="CB302" t="s">
        <v>484</v>
      </c>
      <c r="CL302" t="s">
        <v>99</v>
      </c>
      <c r="CM302" t="s">
        <v>98</v>
      </c>
      <c r="CN302" t="s">
        <v>442</v>
      </c>
      <c r="CO302" s="1">
        <v>42724</v>
      </c>
      <c r="CP302" s="1">
        <v>43633</v>
      </c>
    </row>
    <row r="303" spans="1:94" x14ac:dyDescent="0.25">
      <c r="A303" t="s">
        <v>1042</v>
      </c>
      <c r="B303" t="str">
        <f xml:space="preserve"> "" &amp; 747396803258</f>
        <v>747396803258</v>
      </c>
      <c r="C303" t="s">
        <v>762</v>
      </c>
      <c r="D303" t="s">
        <v>1043</v>
      </c>
      <c r="E303" t="s">
        <v>1038</v>
      </c>
      <c r="F303" t="s">
        <v>323</v>
      </c>
      <c r="G303">
        <v>1</v>
      </c>
      <c r="H303">
        <v>1</v>
      </c>
      <c r="I303" t="s">
        <v>97</v>
      </c>
      <c r="J303" s="10">
        <v>99</v>
      </c>
      <c r="K303" s="10">
        <v>297</v>
      </c>
      <c r="L303" s="10">
        <v>0</v>
      </c>
      <c r="N303" s="10">
        <v>0</v>
      </c>
      <c r="O303" t="s">
        <v>99</v>
      </c>
      <c r="P303" s="10">
        <v>209.95</v>
      </c>
      <c r="S303">
        <v>9</v>
      </c>
      <c r="U303">
        <v>24</v>
      </c>
      <c r="V303">
        <v>6</v>
      </c>
      <c r="W303">
        <v>5.09</v>
      </c>
      <c r="X303">
        <v>1</v>
      </c>
      <c r="Y303">
        <v>11.25</v>
      </c>
      <c r="Z303">
        <v>26.5</v>
      </c>
      <c r="AA303">
        <v>8.1300000000000008</v>
      </c>
      <c r="AB303">
        <v>1.403</v>
      </c>
      <c r="AC303">
        <v>7.8</v>
      </c>
      <c r="AE303">
        <v>3</v>
      </c>
      <c r="AF303" t="s">
        <v>347</v>
      </c>
      <c r="AG303">
        <v>100</v>
      </c>
      <c r="AK303" t="s">
        <v>98</v>
      </c>
      <c r="AL303">
        <v>3</v>
      </c>
      <c r="AM303" t="s">
        <v>98</v>
      </c>
      <c r="AN303" t="s">
        <v>99</v>
      </c>
      <c r="AO303" t="s">
        <v>98</v>
      </c>
      <c r="AP303" t="s">
        <v>100</v>
      </c>
      <c r="AQ303" t="s">
        <v>101</v>
      </c>
      <c r="AV303" t="s">
        <v>98</v>
      </c>
      <c r="AX303" t="s">
        <v>484</v>
      </c>
      <c r="AZ303" t="s">
        <v>124</v>
      </c>
      <c r="BB303" t="s">
        <v>235</v>
      </c>
      <c r="BC303" t="s">
        <v>561</v>
      </c>
      <c r="BD303" t="s">
        <v>7528</v>
      </c>
      <c r="BF303" t="s">
        <v>1044</v>
      </c>
      <c r="BG303" t="s">
        <v>98</v>
      </c>
      <c r="BH303" t="s">
        <v>98</v>
      </c>
      <c r="BI303" t="s">
        <v>98</v>
      </c>
      <c r="BK303" t="s">
        <v>127</v>
      </c>
      <c r="BL303" t="s">
        <v>756</v>
      </c>
      <c r="BM303">
        <v>6</v>
      </c>
      <c r="BN303">
        <v>0.88</v>
      </c>
      <c r="BO303">
        <v>6</v>
      </c>
      <c r="BP303">
        <v>6</v>
      </c>
      <c r="CA303">
        <v>3023</v>
      </c>
      <c r="CB303" t="s">
        <v>484</v>
      </c>
      <c r="CL303" t="s">
        <v>99</v>
      </c>
      <c r="CM303" t="s">
        <v>98</v>
      </c>
      <c r="CN303" t="s">
        <v>442</v>
      </c>
      <c r="CO303" s="1">
        <v>42724</v>
      </c>
      <c r="CP303" s="1">
        <v>43633</v>
      </c>
    </row>
    <row r="304" spans="1:94" x14ac:dyDescent="0.25">
      <c r="A304" t="s">
        <v>1045</v>
      </c>
      <c r="B304" t="str">
        <f xml:space="preserve"> "" &amp; 747396803265</f>
        <v>747396803265</v>
      </c>
      <c r="C304" t="s">
        <v>766</v>
      </c>
      <c r="D304" t="s">
        <v>6574</v>
      </c>
      <c r="E304" t="s">
        <v>1038</v>
      </c>
      <c r="F304" t="s">
        <v>323</v>
      </c>
      <c r="G304">
        <v>1</v>
      </c>
      <c r="H304">
        <v>1</v>
      </c>
      <c r="I304" t="s">
        <v>97</v>
      </c>
      <c r="J304" s="10">
        <v>119</v>
      </c>
      <c r="K304" s="10">
        <v>357</v>
      </c>
      <c r="L304" s="10">
        <v>0</v>
      </c>
      <c r="N304" s="10">
        <v>0</v>
      </c>
      <c r="O304" t="s">
        <v>99</v>
      </c>
      <c r="P304" s="10">
        <v>254.95</v>
      </c>
      <c r="S304">
        <v>9</v>
      </c>
      <c r="U304">
        <v>34</v>
      </c>
      <c r="V304">
        <v>6</v>
      </c>
      <c r="W304">
        <v>6.61</v>
      </c>
      <c r="X304">
        <v>1</v>
      </c>
      <c r="Y304">
        <v>11.25</v>
      </c>
      <c r="Z304">
        <v>36.75</v>
      </c>
      <c r="AA304">
        <v>8.1300000000000008</v>
      </c>
      <c r="AB304">
        <v>1.9450000000000001</v>
      </c>
      <c r="AC304">
        <v>10.34</v>
      </c>
      <c r="AE304">
        <v>4</v>
      </c>
      <c r="AF304" t="s">
        <v>347</v>
      </c>
      <c r="AG304">
        <v>100</v>
      </c>
      <c r="AK304" t="s">
        <v>98</v>
      </c>
      <c r="AL304">
        <v>4</v>
      </c>
      <c r="AM304" t="s">
        <v>98</v>
      </c>
      <c r="AN304" t="s">
        <v>99</v>
      </c>
      <c r="AO304" t="s">
        <v>98</v>
      </c>
      <c r="AP304" t="s">
        <v>100</v>
      </c>
      <c r="AQ304" t="s">
        <v>101</v>
      </c>
      <c r="AV304" t="s">
        <v>98</v>
      </c>
      <c r="AX304" t="s">
        <v>484</v>
      </c>
      <c r="AZ304" t="s">
        <v>124</v>
      </c>
      <c r="BB304" t="s">
        <v>235</v>
      </c>
      <c r="BC304" t="s">
        <v>561</v>
      </c>
      <c r="BD304" t="s">
        <v>7528</v>
      </c>
      <c r="BF304" t="s">
        <v>1046</v>
      </c>
      <c r="BG304" t="s">
        <v>98</v>
      </c>
      <c r="BH304" t="s">
        <v>98</v>
      </c>
      <c r="BI304" t="s">
        <v>98</v>
      </c>
      <c r="BK304" t="s">
        <v>127</v>
      </c>
      <c r="BL304" t="s">
        <v>756</v>
      </c>
      <c r="BM304">
        <v>6</v>
      </c>
      <c r="BN304">
        <v>0.88</v>
      </c>
      <c r="BO304">
        <v>6</v>
      </c>
      <c r="BP304">
        <v>6</v>
      </c>
      <c r="CA304">
        <v>3024</v>
      </c>
      <c r="CB304" t="s">
        <v>484</v>
      </c>
      <c r="CL304" t="s">
        <v>99</v>
      </c>
      <c r="CM304" t="s">
        <v>98</v>
      </c>
      <c r="CN304" t="s">
        <v>592</v>
      </c>
      <c r="CO304" s="1">
        <v>42724</v>
      </c>
      <c r="CP304" s="1">
        <v>43633</v>
      </c>
    </row>
    <row r="305" spans="1:94" x14ac:dyDescent="0.25">
      <c r="A305" t="s">
        <v>1047</v>
      </c>
      <c r="B305" t="str">
        <f xml:space="preserve"> "" &amp; 747396108407</f>
        <v>747396108407</v>
      </c>
      <c r="C305" t="s">
        <v>239</v>
      </c>
      <c r="D305" t="s">
        <v>1048</v>
      </c>
      <c r="E305" t="s">
        <v>1049</v>
      </c>
      <c r="F305" t="s">
        <v>240</v>
      </c>
      <c r="G305">
        <v>1</v>
      </c>
      <c r="H305">
        <v>1</v>
      </c>
      <c r="I305" t="s">
        <v>97</v>
      </c>
      <c r="J305" s="10">
        <v>45</v>
      </c>
      <c r="K305" s="10">
        <v>135</v>
      </c>
      <c r="L305" s="10">
        <v>0</v>
      </c>
      <c r="N305" s="10">
        <v>0</v>
      </c>
      <c r="O305" t="s">
        <v>99</v>
      </c>
      <c r="P305" s="10">
        <v>94.95</v>
      </c>
      <c r="S305">
        <v>10.75</v>
      </c>
      <c r="T305">
        <v>3.25</v>
      </c>
      <c r="U305">
        <v>3.25</v>
      </c>
      <c r="W305">
        <v>2.82</v>
      </c>
      <c r="X305">
        <v>1</v>
      </c>
      <c r="Y305">
        <v>6</v>
      </c>
      <c r="Z305">
        <v>16.38</v>
      </c>
      <c r="AA305">
        <v>9.5</v>
      </c>
      <c r="AB305">
        <v>0.54</v>
      </c>
      <c r="AC305">
        <v>3.68</v>
      </c>
      <c r="AE305">
        <v>1</v>
      </c>
      <c r="AF305" t="s">
        <v>1050</v>
      </c>
      <c r="AG305">
        <v>60</v>
      </c>
      <c r="AK305" t="s">
        <v>98</v>
      </c>
      <c r="AM305" t="s">
        <v>98</v>
      </c>
      <c r="AN305" t="s">
        <v>98</v>
      </c>
      <c r="AO305" t="s">
        <v>99</v>
      </c>
      <c r="AP305" t="s">
        <v>100</v>
      </c>
      <c r="AQ305" t="s">
        <v>101</v>
      </c>
      <c r="AV305" t="s">
        <v>98</v>
      </c>
      <c r="AX305" t="s">
        <v>1051</v>
      </c>
      <c r="AZ305" t="s">
        <v>102</v>
      </c>
      <c r="BB305" t="s">
        <v>235</v>
      </c>
      <c r="BC305" t="s">
        <v>746</v>
      </c>
      <c r="BD305" t="s">
        <v>7528</v>
      </c>
      <c r="BF305" t="s">
        <v>1052</v>
      </c>
      <c r="BG305" t="s">
        <v>98</v>
      </c>
      <c r="BH305" t="s">
        <v>98</v>
      </c>
      <c r="BI305" t="s">
        <v>98</v>
      </c>
      <c r="BK305" t="s">
        <v>110</v>
      </c>
      <c r="BL305" t="s">
        <v>7528</v>
      </c>
      <c r="BR305">
        <v>0.75</v>
      </c>
      <c r="BS305">
        <v>4.75</v>
      </c>
      <c r="BT305">
        <v>4.75</v>
      </c>
      <c r="CA305">
        <v>3040</v>
      </c>
      <c r="CB305" t="s">
        <v>1051</v>
      </c>
      <c r="CL305" t="s">
        <v>99</v>
      </c>
      <c r="CM305" t="s">
        <v>99</v>
      </c>
      <c r="CN305" t="s">
        <v>394</v>
      </c>
      <c r="CO305" s="1">
        <v>43201</v>
      </c>
      <c r="CP305" s="1">
        <v>43633</v>
      </c>
    </row>
    <row r="306" spans="1:94" x14ac:dyDescent="0.25">
      <c r="A306" t="s">
        <v>1053</v>
      </c>
      <c r="B306" t="str">
        <f xml:space="preserve"> "" &amp; 747396101682</f>
        <v>747396101682</v>
      </c>
      <c r="C306" t="s">
        <v>751</v>
      </c>
      <c r="D306" t="s">
        <v>6575</v>
      </c>
      <c r="E306" t="s">
        <v>1049</v>
      </c>
      <c r="F306" t="s">
        <v>323</v>
      </c>
      <c r="G306">
        <v>1</v>
      </c>
      <c r="H306">
        <v>1</v>
      </c>
      <c r="I306" t="s">
        <v>97</v>
      </c>
      <c r="J306" s="10">
        <v>37</v>
      </c>
      <c r="K306" s="10">
        <v>111</v>
      </c>
      <c r="L306" s="10">
        <v>0</v>
      </c>
      <c r="N306" s="10">
        <v>0</v>
      </c>
      <c r="O306" t="s">
        <v>99</v>
      </c>
      <c r="P306" s="10">
        <v>79.95</v>
      </c>
      <c r="S306">
        <v>9.75</v>
      </c>
      <c r="U306">
        <v>4.5</v>
      </c>
      <c r="V306">
        <v>5.25</v>
      </c>
      <c r="W306">
        <v>1.83</v>
      </c>
      <c r="X306">
        <v>1</v>
      </c>
      <c r="Y306">
        <v>11.5</v>
      </c>
      <c r="Z306">
        <v>11</v>
      </c>
      <c r="AA306">
        <v>6.25</v>
      </c>
      <c r="AB306">
        <v>0.45800000000000002</v>
      </c>
      <c r="AC306">
        <v>2.4900000000000002</v>
      </c>
      <c r="AE306">
        <v>1</v>
      </c>
      <c r="AF306" t="s">
        <v>1054</v>
      </c>
      <c r="AG306">
        <v>60</v>
      </c>
      <c r="AK306" t="s">
        <v>98</v>
      </c>
      <c r="AL306">
        <v>1</v>
      </c>
      <c r="AM306" t="s">
        <v>98</v>
      </c>
      <c r="AN306" t="s">
        <v>99</v>
      </c>
      <c r="AO306" t="s">
        <v>98</v>
      </c>
      <c r="AP306" t="s">
        <v>100</v>
      </c>
      <c r="AQ306" t="s">
        <v>101</v>
      </c>
      <c r="AV306" t="s">
        <v>98</v>
      </c>
      <c r="AX306" t="s">
        <v>1051</v>
      </c>
      <c r="AZ306" t="s">
        <v>102</v>
      </c>
      <c r="BB306" t="s">
        <v>235</v>
      </c>
      <c r="BC306" t="s">
        <v>746</v>
      </c>
      <c r="BD306" t="s">
        <v>7528</v>
      </c>
      <c r="BF306" t="s">
        <v>1055</v>
      </c>
      <c r="BG306" t="s">
        <v>98</v>
      </c>
      <c r="BH306" t="s">
        <v>98</v>
      </c>
      <c r="BI306" t="s">
        <v>98</v>
      </c>
      <c r="BK306" t="s">
        <v>127</v>
      </c>
      <c r="BL306" t="s">
        <v>236</v>
      </c>
      <c r="BM306">
        <v>4.5</v>
      </c>
      <c r="BN306">
        <v>7.75</v>
      </c>
      <c r="CA306">
        <v>3041</v>
      </c>
      <c r="CB306" t="s">
        <v>1051</v>
      </c>
      <c r="CL306" t="s">
        <v>99</v>
      </c>
      <c r="CM306" t="s">
        <v>98</v>
      </c>
      <c r="CN306" t="s">
        <v>442</v>
      </c>
      <c r="CO306" s="1">
        <v>42760</v>
      </c>
      <c r="CP306" s="1">
        <v>43633</v>
      </c>
    </row>
    <row r="307" spans="1:94" x14ac:dyDescent="0.25">
      <c r="A307" t="s">
        <v>1056</v>
      </c>
      <c r="B307" t="str">
        <f xml:space="preserve"> "" &amp; 747396101699</f>
        <v>747396101699</v>
      </c>
      <c r="C307" t="s">
        <v>758</v>
      </c>
      <c r="D307" t="s">
        <v>6576</v>
      </c>
      <c r="E307" t="s">
        <v>1049</v>
      </c>
      <c r="F307" t="s">
        <v>323</v>
      </c>
      <c r="G307">
        <v>1</v>
      </c>
      <c r="H307">
        <v>1</v>
      </c>
      <c r="I307" t="s">
        <v>97</v>
      </c>
      <c r="J307" s="10">
        <v>59</v>
      </c>
      <c r="K307" s="10">
        <v>177</v>
      </c>
      <c r="L307" s="10">
        <v>0</v>
      </c>
      <c r="N307" s="10">
        <v>0</v>
      </c>
      <c r="O307" t="s">
        <v>99</v>
      </c>
      <c r="P307" s="10">
        <v>124.95</v>
      </c>
      <c r="S307">
        <v>9.25</v>
      </c>
      <c r="U307">
        <v>15</v>
      </c>
      <c r="V307">
        <v>5.25</v>
      </c>
      <c r="W307">
        <v>2.98</v>
      </c>
      <c r="X307">
        <v>1</v>
      </c>
      <c r="Y307">
        <v>15</v>
      </c>
      <c r="Z307">
        <v>17</v>
      </c>
      <c r="AA307">
        <v>6</v>
      </c>
      <c r="AB307">
        <v>0.88500000000000001</v>
      </c>
      <c r="AC307">
        <v>4.41</v>
      </c>
      <c r="AE307">
        <v>2</v>
      </c>
      <c r="AF307" t="s">
        <v>804</v>
      </c>
      <c r="AG307">
        <v>60</v>
      </c>
      <c r="AK307" t="s">
        <v>98</v>
      </c>
      <c r="AL307">
        <v>2</v>
      </c>
      <c r="AM307" t="s">
        <v>98</v>
      </c>
      <c r="AN307" t="s">
        <v>98</v>
      </c>
      <c r="AO307" t="s">
        <v>99</v>
      </c>
      <c r="AP307" t="s">
        <v>100</v>
      </c>
      <c r="AQ307" t="s">
        <v>101</v>
      </c>
      <c r="AV307" t="s">
        <v>98</v>
      </c>
      <c r="AX307" t="s">
        <v>1051</v>
      </c>
      <c r="AZ307" t="s">
        <v>102</v>
      </c>
      <c r="BB307" t="s">
        <v>235</v>
      </c>
      <c r="BC307" t="s">
        <v>746</v>
      </c>
      <c r="BD307" t="s">
        <v>7528</v>
      </c>
      <c r="BF307" t="s">
        <v>1057</v>
      </c>
      <c r="BG307" t="s">
        <v>98</v>
      </c>
      <c r="BH307" t="s">
        <v>98</v>
      </c>
      <c r="BI307" t="s">
        <v>98</v>
      </c>
      <c r="BK307" t="s">
        <v>127</v>
      </c>
      <c r="BL307" t="s">
        <v>236</v>
      </c>
      <c r="BM307">
        <v>6</v>
      </c>
      <c r="BN307">
        <v>4.5</v>
      </c>
      <c r="CA307">
        <v>3042</v>
      </c>
      <c r="CB307" t="s">
        <v>1051</v>
      </c>
      <c r="CL307" t="s">
        <v>99</v>
      </c>
      <c r="CM307" t="s">
        <v>98</v>
      </c>
      <c r="CN307" t="s">
        <v>442</v>
      </c>
      <c r="CO307" s="1">
        <v>42760</v>
      </c>
      <c r="CP307" s="1">
        <v>43633</v>
      </c>
    </row>
    <row r="308" spans="1:94" x14ac:dyDescent="0.25">
      <c r="A308" t="s">
        <v>1058</v>
      </c>
      <c r="B308" t="str">
        <f xml:space="preserve"> "" &amp; 747396101705</f>
        <v>747396101705</v>
      </c>
      <c r="C308" t="s">
        <v>762</v>
      </c>
      <c r="D308" t="s">
        <v>6577</v>
      </c>
      <c r="E308" t="s">
        <v>1049</v>
      </c>
      <c r="F308" t="s">
        <v>323</v>
      </c>
      <c r="G308">
        <v>1</v>
      </c>
      <c r="H308">
        <v>1</v>
      </c>
      <c r="I308" t="s">
        <v>97</v>
      </c>
      <c r="J308" s="10">
        <v>79</v>
      </c>
      <c r="K308" s="10">
        <v>237</v>
      </c>
      <c r="L308" s="10">
        <v>0</v>
      </c>
      <c r="N308" s="10">
        <v>0</v>
      </c>
      <c r="O308" t="s">
        <v>99</v>
      </c>
      <c r="P308" s="10">
        <v>169.95</v>
      </c>
      <c r="S308">
        <v>9.25</v>
      </c>
      <c r="U308">
        <v>23</v>
      </c>
      <c r="V308">
        <v>5.25</v>
      </c>
      <c r="W308">
        <v>4.3</v>
      </c>
      <c r="X308">
        <v>1</v>
      </c>
      <c r="Y308">
        <v>12.625</v>
      </c>
      <c r="Z308">
        <v>25.5</v>
      </c>
      <c r="AA308">
        <v>5.88</v>
      </c>
      <c r="AB308">
        <v>1.095</v>
      </c>
      <c r="AC308">
        <v>5.58</v>
      </c>
      <c r="AE308">
        <v>3</v>
      </c>
      <c r="AF308" t="s">
        <v>804</v>
      </c>
      <c r="AG308">
        <v>60</v>
      </c>
      <c r="AK308" t="s">
        <v>98</v>
      </c>
      <c r="AL308">
        <v>3</v>
      </c>
      <c r="AM308" t="s">
        <v>98</v>
      </c>
      <c r="AN308" t="s">
        <v>98</v>
      </c>
      <c r="AO308" t="s">
        <v>99</v>
      </c>
      <c r="AP308" t="s">
        <v>100</v>
      </c>
      <c r="AQ308" t="s">
        <v>101</v>
      </c>
      <c r="AV308" t="s">
        <v>98</v>
      </c>
      <c r="AX308" t="s">
        <v>1051</v>
      </c>
      <c r="AZ308" t="s">
        <v>102</v>
      </c>
      <c r="BB308" t="s">
        <v>235</v>
      </c>
      <c r="BC308" t="s">
        <v>746</v>
      </c>
      <c r="BD308" t="s">
        <v>7528</v>
      </c>
      <c r="BF308" t="s">
        <v>1059</v>
      </c>
      <c r="BG308" t="s">
        <v>98</v>
      </c>
      <c r="BH308" t="s">
        <v>98</v>
      </c>
      <c r="BI308" t="s">
        <v>98</v>
      </c>
      <c r="BK308" t="s">
        <v>127</v>
      </c>
      <c r="BL308" t="s">
        <v>236</v>
      </c>
      <c r="BM308">
        <v>7</v>
      </c>
      <c r="BN308">
        <v>4.5</v>
      </c>
      <c r="CA308">
        <v>3043</v>
      </c>
      <c r="CB308" t="s">
        <v>1051</v>
      </c>
      <c r="CL308" t="s">
        <v>99</v>
      </c>
      <c r="CM308" t="s">
        <v>98</v>
      </c>
      <c r="CN308" t="s">
        <v>442</v>
      </c>
      <c r="CO308" s="1">
        <v>42760</v>
      </c>
      <c r="CP308" s="1">
        <v>43644</v>
      </c>
    </row>
    <row r="309" spans="1:94" x14ac:dyDescent="0.25">
      <c r="A309" t="s">
        <v>1060</v>
      </c>
      <c r="B309" t="str">
        <f xml:space="preserve"> "" &amp; 747396101712</f>
        <v>747396101712</v>
      </c>
      <c r="C309" t="s">
        <v>916</v>
      </c>
      <c r="D309" t="s">
        <v>6578</v>
      </c>
      <c r="E309" t="s">
        <v>1049</v>
      </c>
      <c r="F309" t="s">
        <v>323</v>
      </c>
      <c r="G309">
        <v>1</v>
      </c>
      <c r="H309">
        <v>1</v>
      </c>
      <c r="I309" t="s">
        <v>97</v>
      </c>
      <c r="J309" s="10">
        <v>99</v>
      </c>
      <c r="K309" s="10">
        <v>297</v>
      </c>
      <c r="L309" s="10">
        <v>0</v>
      </c>
      <c r="N309" s="10">
        <v>0</v>
      </c>
      <c r="O309" t="s">
        <v>99</v>
      </c>
      <c r="P309" s="10">
        <v>209.95</v>
      </c>
      <c r="S309">
        <v>9.25</v>
      </c>
      <c r="U309">
        <v>32.75</v>
      </c>
      <c r="V309">
        <v>5.25</v>
      </c>
      <c r="W309">
        <v>5.49</v>
      </c>
      <c r="X309">
        <v>1</v>
      </c>
      <c r="Y309">
        <v>6.25</v>
      </c>
      <c r="Z309">
        <v>34.75</v>
      </c>
      <c r="AA309">
        <v>14.5</v>
      </c>
      <c r="AB309">
        <v>1.8220000000000001</v>
      </c>
      <c r="AC309">
        <v>8.18</v>
      </c>
      <c r="AE309">
        <v>4</v>
      </c>
      <c r="AF309" t="s">
        <v>794</v>
      </c>
      <c r="AG309">
        <v>60</v>
      </c>
      <c r="AK309" t="s">
        <v>98</v>
      </c>
      <c r="AL309">
        <v>4</v>
      </c>
      <c r="AM309" t="s">
        <v>98</v>
      </c>
      <c r="AN309" t="s">
        <v>98</v>
      </c>
      <c r="AO309" t="s">
        <v>99</v>
      </c>
      <c r="AP309" t="s">
        <v>100</v>
      </c>
      <c r="AQ309" t="s">
        <v>101</v>
      </c>
      <c r="AV309" t="s">
        <v>98</v>
      </c>
      <c r="AX309" t="s">
        <v>1051</v>
      </c>
      <c r="AZ309" t="s">
        <v>102</v>
      </c>
      <c r="BB309" t="s">
        <v>235</v>
      </c>
      <c r="BC309" t="s">
        <v>746</v>
      </c>
      <c r="BD309" t="s">
        <v>7528</v>
      </c>
      <c r="BF309" t="s">
        <v>1061</v>
      </c>
      <c r="BG309" t="s">
        <v>98</v>
      </c>
      <c r="BH309" t="s">
        <v>98</v>
      </c>
      <c r="BI309" t="s">
        <v>98</v>
      </c>
      <c r="BK309" t="s">
        <v>127</v>
      </c>
      <c r="BL309" t="s">
        <v>236</v>
      </c>
      <c r="BM309">
        <v>7.75</v>
      </c>
      <c r="BN309">
        <v>4.5</v>
      </c>
      <c r="CA309">
        <v>3044</v>
      </c>
      <c r="CB309" t="s">
        <v>1051</v>
      </c>
      <c r="CL309" t="s">
        <v>99</v>
      </c>
      <c r="CM309" t="s">
        <v>98</v>
      </c>
      <c r="CN309" t="s">
        <v>442</v>
      </c>
      <c r="CO309" s="1">
        <v>42760</v>
      </c>
      <c r="CP309" s="1">
        <v>43633</v>
      </c>
    </row>
    <row r="310" spans="1:94" x14ac:dyDescent="0.25">
      <c r="A310" t="s">
        <v>1062</v>
      </c>
      <c r="B310" t="str">
        <f xml:space="preserve"> "" &amp; 747396100944</f>
        <v>747396100944</v>
      </c>
      <c r="C310" t="s">
        <v>1063</v>
      </c>
      <c r="D310" t="s">
        <v>6579</v>
      </c>
      <c r="E310" t="s">
        <v>1049</v>
      </c>
      <c r="F310" t="s">
        <v>249</v>
      </c>
      <c r="G310">
        <v>1</v>
      </c>
      <c r="H310">
        <v>1</v>
      </c>
      <c r="I310" t="s">
        <v>97</v>
      </c>
      <c r="J310" s="10">
        <v>145</v>
      </c>
      <c r="K310" s="10">
        <v>435</v>
      </c>
      <c r="L310" s="10">
        <v>0</v>
      </c>
      <c r="N310" s="10">
        <v>0</v>
      </c>
      <c r="O310" t="s">
        <v>99</v>
      </c>
      <c r="P310" s="10">
        <v>309.95</v>
      </c>
      <c r="S310">
        <v>10</v>
      </c>
      <c r="T310">
        <v>25</v>
      </c>
      <c r="U310">
        <v>25</v>
      </c>
      <c r="W310">
        <v>10.98</v>
      </c>
      <c r="X310">
        <v>1</v>
      </c>
      <c r="Y310">
        <v>7.75</v>
      </c>
      <c r="Z310">
        <v>26</v>
      </c>
      <c r="AA310">
        <v>25.5</v>
      </c>
      <c r="AB310">
        <v>2.9740000000000002</v>
      </c>
      <c r="AC310">
        <v>14.79</v>
      </c>
      <c r="AE310">
        <v>5</v>
      </c>
      <c r="AF310" t="s">
        <v>794</v>
      </c>
      <c r="AG310">
        <v>60</v>
      </c>
      <c r="AK310" t="s">
        <v>98</v>
      </c>
      <c r="AM310" t="s">
        <v>98</v>
      </c>
      <c r="AN310" t="s">
        <v>98</v>
      </c>
      <c r="AO310" t="s">
        <v>99</v>
      </c>
      <c r="AP310" t="s">
        <v>100</v>
      </c>
      <c r="AQ310" t="s">
        <v>101</v>
      </c>
      <c r="AV310" t="s">
        <v>98</v>
      </c>
      <c r="AX310" t="s">
        <v>1051</v>
      </c>
      <c r="AZ310" t="s">
        <v>102</v>
      </c>
      <c r="BB310" t="s">
        <v>235</v>
      </c>
      <c r="BC310" t="s">
        <v>1064</v>
      </c>
      <c r="BD310" t="s">
        <v>7528</v>
      </c>
      <c r="BF310" t="s">
        <v>1065</v>
      </c>
      <c r="BG310" t="s">
        <v>98</v>
      </c>
      <c r="BH310" t="s">
        <v>98</v>
      </c>
      <c r="BI310" t="s">
        <v>98</v>
      </c>
      <c r="BK310" t="s">
        <v>110</v>
      </c>
      <c r="BL310" t="s">
        <v>7528</v>
      </c>
      <c r="BR310">
        <v>4.5</v>
      </c>
      <c r="BT310">
        <v>7.75</v>
      </c>
      <c r="CA310">
        <v>3045</v>
      </c>
      <c r="CB310" t="s">
        <v>1051</v>
      </c>
      <c r="CL310" t="s">
        <v>99</v>
      </c>
      <c r="CM310" t="s">
        <v>99</v>
      </c>
      <c r="CN310" t="s">
        <v>729</v>
      </c>
      <c r="CO310" s="1">
        <v>42760</v>
      </c>
      <c r="CP310" s="1">
        <v>43633</v>
      </c>
    </row>
    <row r="311" spans="1:94" x14ac:dyDescent="0.25">
      <c r="A311" t="s">
        <v>1066</v>
      </c>
      <c r="B311" t="str">
        <f xml:space="preserve"> "" &amp; 747396100951</f>
        <v>747396100951</v>
      </c>
      <c r="C311" t="s">
        <v>879</v>
      </c>
      <c r="D311" t="s">
        <v>6580</v>
      </c>
      <c r="E311" t="s">
        <v>1049</v>
      </c>
      <c r="F311" t="s">
        <v>314</v>
      </c>
      <c r="G311">
        <v>1</v>
      </c>
      <c r="H311">
        <v>1</v>
      </c>
      <c r="I311" t="s">
        <v>97</v>
      </c>
      <c r="J311" s="10">
        <v>165</v>
      </c>
      <c r="K311" s="10">
        <v>495</v>
      </c>
      <c r="L311" s="10">
        <v>0</v>
      </c>
      <c r="N311" s="10">
        <v>0</v>
      </c>
      <c r="O311" t="s">
        <v>99</v>
      </c>
      <c r="P311" s="10">
        <v>349.95</v>
      </c>
      <c r="S311">
        <v>10</v>
      </c>
      <c r="T311">
        <v>30.25</v>
      </c>
      <c r="U311">
        <v>16.5</v>
      </c>
      <c r="W311">
        <v>10.56</v>
      </c>
      <c r="X311">
        <v>1</v>
      </c>
      <c r="Y311">
        <v>7.75</v>
      </c>
      <c r="Z311">
        <v>34.25</v>
      </c>
      <c r="AA311">
        <v>18.88</v>
      </c>
      <c r="AB311">
        <v>2.9</v>
      </c>
      <c r="AC311">
        <v>13.91</v>
      </c>
      <c r="AE311">
        <v>6</v>
      </c>
      <c r="AF311" t="s">
        <v>1054</v>
      </c>
      <c r="AG311">
        <v>60</v>
      </c>
      <c r="AK311" t="s">
        <v>98</v>
      </c>
      <c r="AM311" t="s">
        <v>98</v>
      </c>
      <c r="AN311" t="s">
        <v>98</v>
      </c>
      <c r="AO311" t="s">
        <v>99</v>
      </c>
      <c r="AP311" t="s">
        <v>100</v>
      </c>
      <c r="AQ311" t="s">
        <v>101</v>
      </c>
      <c r="AV311" t="s">
        <v>98</v>
      </c>
      <c r="AX311" t="s">
        <v>1051</v>
      </c>
      <c r="AZ311" t="s">
        <v>102</v>
      </c>
      <c r="BB311" t="s">
        <v>235</v>
      </c>
      <c r="BC311" t="s">
        <v>1064</v>
      </c>
      <c r="BD311" t="s">
        <v>7528</v>
      </c>
      <c r="BF311" t="s">
        <v>1067</v>
      </c>
      <c r="BG311" t="s">
        <v>98</v>
      </c>
      <c r="BH311" t="s">
        <v>98</v>
      </c>
      <c r="BI311" t="s">
        <v>98</v>
      </c>
      <c r="BK311" t="s">
        <v>110</v>
      </c>
      <c r="BL311" t="s">
        <v>7528</v>
      </c>
      <c r="BR311">
        <v>4.5</v>
      </c>
      <c r="BT311">
        <v>9</v>
      </c>
      <c r="CA311">
        <v>3046</v>
      </c>
      <c r="CB311" t="s">
        <v>1051</v>
      </c>
      <c r="CL311" t="s">
        <v>99</v>
      </c>
      <c r="CM311" t="s">
        <v>99</v>
      </c>
      <c r="CN311" t="s">
        <v>442</v>
      </c>
      <c r="CO311" s="1">
        <v>42739</v>
      </c>
      <c r="CP311" s="1">
        <v>43633</v>
      </c>
    </row>
    <row r="312" spans="1:94" x14ac:dyDescent="0.25">
      <c r="A312" t="s">
        <v>1068</v>
      </c>
      <c r="B312" t="str">
        <f xml:space="preserve"> "" &amp; 747396103624</f>
        <v>747396103624</v>
      </c>
      <c r="C312" t="s">
        <v>464</v>
      </c>
      <c r="D312" t="s">
        <v>1069</v>
      </c>
      <c r="E312" t="s">
        <v>1049</v>
      </c>
      <c r="F312" t="s">
        <v>249</v>
      </c>
      <c r="G312">
        <v>1</v>
      </c>
      <c r="H312">
        <v>1</v>
      </c>
      <c r="I312" t="s">
        <v>97</v>
      </c>
      <c r="J312" s="10">
        <v>189</v>
      </c>
      <c r="K312" s="10">
        <v>567</v>
      </c>
      <c r="L312" s="10">
        <v>0</v>
      </c>
      <c r="N312" s="10">
        <v>0</v>
      </c>
      <c r="O312" t="s">
        <v>99</v>
      </c>
      <c r="P312" s="10">
        <v>399.95</v>
      </c>
      <c r="S312">
        <v>10</v>
      </c>
      <c r="T312">
        <v>27</v>
      </c>
      <c r="U312">
        <v>27</v>
      </c>
      <c r="W312">
        <v>12.87</v>
      </c>
      <c r="X312">
        <v>1</v>
      </c>
      <c r="Y312">
        <v>8.25</v>
      </c>
      <c r="Z312">
        <v>29</v>
      </c>
      <c r="AA312">
        <v>29</v>
      </c>
      <c r="AB312">
        <v>4.0149999999999997</v>
      </c>
      <c r="AC312">
        <v>18.7</v>
      </c>
      <c r="AE312">
        <v>8</v>
      </c>
      <c r="AF312" t="s">
        <v>1050</v>
      </c>
      <c r="AG312">
        <v>60</v>
      </c>
      <c r="AK312" t="s">
        <v>98</v>
      </c>
      <c r="AM312" t="s">
        <v>98</v>
      </c>
      <c r="AN312" t="s">
        <v>98</v>
      </c>
      <c r="AO312" t="s">
        <v>99</v>
      </c>
      <c r="AP312" t="s">
        <v>100</v>
      </c>
      <c r="AQ312" t="s">
        <v>101</v>
      </c>
      <c r="AV312" t="s">
        <v>98</v>
      </c>
      <c r="AX312" t="s">
        <v>1051</v>
      </c>
      <c r="AZ312" t="s">
        <v>102</v>
      </c>
      <c r="BB312" t="s">
        <v>235</v>
      </c>
      <c r="BC312" t="s">
        <v>746</v>
      </c>
      <c r="BD312" t="s">
        <v>7528</v>
      </c>
      <c r="BF312" t="s">
        <v>1070</v>
      </c>
      <c r="BG312" t="s">
        <v>98</v>
      </c>
      <c r="BH312" t="s">
        <v>98</v>
      </c>
      <c r="BI312" t="s">
        <v>98</v>
      </c>
      <c r="BK312" t="s">
        <v>110</v>
      </c>
      <c r="BL312" t="s">
        <v>7528</v>
      </c>
      <c r="BR312">
        <v>0.75</v>
      </c>
      <c r="BS312">
        <v>7.75</v>
      </c>
      <c r="BT312">
        <v>4.5</v>
      </c>
      <c r="CA312">
        <v>3048</v>
      </c>
      <c r="CB312" t="s">
        <v>1051</v>
      </c>
      <c r="CL312" t="s">
        <v>99</v>
      </c>
      <c r="CM312" t="s">
        <v>99</v>
      </c>
      <c r="CN312" t="s">
        <v>442</v>
      </c>
      <c r="CO312" s="1">
        <v>42892</v>
      </c>
      <c r="CP312" s="1">
        <v>43633</v>
      </c>
    </row>
    <row r="313" spans="1:94" x14ac:dyDescent="0.25">
      <c r="A313" t="s">
        <v>1071</v>
      </c>
      <c r="B313" t="str">
        <f xml:space="preserve"> "" &amp; 747396103617</f>
        <v>747396103617</v>
      </c>
      <c r="C313" t="s">
        <v>853</v>
      </c>
      <c r="D313" t="s">
        <v>1072</v>
      </c>
      <c r="E313" t="s">
        <v>1049</v>
      </c>
      <c r="F313" t="s">
        <v>377</v>
      </c>
      <c r="G313">
        <v>1</v>
      </c>
      <c r="H313">
        <v>1</v>
      </c>
      <c r="I313" t="s">
        <v>97</v>
      </c>
      <c r="J313" s="10">
        <v>115</v>
      </c>
      <c r="K313" s="10">
        <v>345</v>
      </c>
      <c r="L313" s="10">
        <v>0</v>
      </c>
      <c r="N313" s="10">
        <v>0</v>
      </c>
      <c r="O313" t="s">
        <v>99</v>
      </c>
      <c r="P313" s="10">
        <v>244.95</v>
      </c>
      <c r="S313">
        <v>14.25</v>
      </c>
      <c r="T313">
        <v>16</v>
      </c>
      <c r="U313">
        <v>16</v>
      </c>
      <c r="W313">
        <v>5.25</v>
      </c>
      <c r="X313">
        <v>1</v>
      </c>
      <c r="Y313">
        <v>7.5</v>
      </c>
      <c r="Z313">
        <v>24.5</v>
      </c>
      <c r="AA313">
        <v>18.5</v>
      </c>
      <c r="AB313">
        <v>1.9670000000000001</v>
      </c>
      <c r="AC313">
        <v>8.25</v>
      </c>
      <c r="AE313">
        <v>4</v>
      </c>
      <c r="AF313" t="s">
        <v>794</v>
      </c>
      <c r="AG313">
        <v>60</v>
      </c>
      <c r="AK313" t="s">
        <v>98</v>
      </c>
      <c r="AM313" t="s">
        <v>98</v>
      </c>
      <c r="AN313" t="s">
        <v>98</v>
      </c>
      <c r="AO313" t="s">
        <v>99</v>
      </c>
      <c r="AP313" t="s">
        <v>100</v>
      </c>
      <c r="AQ313" t="s">
        <v>101</v>
      </c>
      <c r="AV313" t="s">
        <v>98</v>
      </c>
      <c r="AX313" t="s">
        <v>1051</v>
      </c>
      <c r="AZ313" t="s">
        <v>102</v>
      </c>
      <c r="BB313" t="s">
        <v>235</v>
      </c>
      <c r="BC313" t="s">
        <v>746</v>
      </c>
      <c r="BD313" t="s">
        <v>7528</v>
      </c>
      <c r="BF313" t="s">
        <v>1073</v>
      </c>
      <c r="BG313" t="s">
        <v>98</v>
      </c>
      <c r="BH313" t="s">
        <v>98</v>
      </c>
      <c r="BI313" t="s">
        <v>98</v>
      </c>
      <c r="BK313" t="s">
        <v>127</v>
      </c>
      <c r="BL313" t="s">
        <v>7528</v>
      </c>
      <c r="BR313">
        <v>0.8</v>
      </c>
      <c r="BS313">
        <v>6.25</v>
      </c>
      <c r="CA313">
        <v>3049</v>
      </c>
      <c r="CB313" t="s">
        <v>1051</v>
      </c>
      <c r="CL313" t="s">
        <v>99</v>
      </c>
      <c r="CM313" t="s">
        <v>98</v>
      </c>
      <c r="CN313" t="s">
        <v>442</v>
      </c>
      <c r="CO313" s="1">
        <v>42892</v>
      </c>
      <c r="CP313" s="1">
        <v>43633</v>
      </c>
    </row>
    <row r="314" spans="1:94" x14ac:dyDescent="0.25">
      <c r="A314" t="s">
        <v>1074</v>
      </c>
      <c r="B314" t="str">
        <f xml:space="preserve"> "" &amp; 747396101033</f>
        <v>747396101033</v>
      </c>
      <c r="C314" t="s">
        <v>845</v>
      </c>
      <c r="D314" t="s">
        <v>1075</v>
      </c>
      <c r="E314" t="s">
        <v>1076</v>
      </c>
      <c r="F314" t="s">
        <v>240</v>
      </c>
      <c r="G314">
        <v>1</v>
      </c>
      <c r="H314">
        <v>1</v>
      </c>
      <c r="I314" t="s">
        <v>97</v>
      </c>
      <c r="J314" s="10">
        <v>44</v>
      </c>
      <c r="K314" s="10">
        <v>132</v>
      </c>
      <c r="L314" s="10">
        <v>0</v>
      </c>
      <c r="N314" s="10">
        <v>0</v>
      </c>
      <c r="S314">
        <v>9.75</v>
      </c>
      <c r="T314">
        <v>9</v>
      </c>
      <c r="U314">
        <v>4.75</v>
      </c>
      <c r="W314">
        <v>3.62</v>
      </c>
      <c r="X314">
        <v>1</v>
      </c>
      <c r="Y314">
        <v>7</v>
      </c>
      <c r="Z314">
        <v>13.13</v>
      </c>
      <c r="AA314">
        <v>12</v>
      </c>
      <c r="AB314">
        <v>0.63800000000000001</v>
      </c>
      <c r="AC314">
        <v>4.8099999999999996</v>
      </c>
      <c r="AE314">
        <v>2</v>
      </c>
      <c r="AF314" t="s">
        <v>308</v>
      </c>
      <c r="AG314">
        <v>60</v>
      </c>
      <c r="AK314" t="s">
        <v>98</v>
      </c>
      <c r="AM314" t="s">
        <v>98</v>
      </c>
      <c r="AN314" t="s">
        <v>99</v>
      </c>
      <c r="AO314" t="s">
        <v>98</v>
      </c>
      <c r="AP314" t="s">
        <v>100</v>
      </c>
      <c r="AQ314" t="s">
        <v>101</v>
      </c>
      <c r="AV314" t="s">
        <v>98</v>
      </c>
      <c r="AX314" t="s">
        <v>279</v>
      </c>
      <c r="AZ314" t="s">
        <v>392</v>
      </c>
      <c r="BB314" t="s">
        <v>235</v>
      </c>
      <c r="BC314" t="s">
        <v>1077</v>
      </c>
      <c r="BD314" t="s">
        <v>7528</v>
      </c>
      <c r="BF314" t="s">
        <v>1078</v>
      </c>
      <c r="BG314" t="s">
        <v>98</v>
      </c>
      <c r="BH314" t="s">
        <v>98</v>
      </c>
      <c r="BI314" t="s">
        <v>98</v>
      </c>
      <c r="BK314" t="s">
        <v>110</v>
      </c>
      <c r="BL314" t="s">
        <v>7528</v>
      </c>
      <c r="BQ314">
        <v>5</v>
      </c>
      <c r="BR314">
        <v>1</v>
      </c>
      <c r="BS314">
        <v>5</v>
      </c>
      <c r="BT314">
        <v>5</v>
      </c>
      <c r="CA314">
        <v>3060</v>
      </c>
      <c r="CB314" t="s">
        <v>279</v>
      </c>
      <c r="CL314" t="s">
        <v>99</v>
      </c>
      <c r="CM314" t="s">
        <v>99</v>
      </c>
      <c r="CN314" t="s">
        <v>442</v>
      </c>
      <c r="CO314" s="1">
        <v>42754</v>
      </c>
      <c r="CP314" s="1">
        <v>43633</v>
      </c>
    </row>
    <row r="315" spans="1:94" x14ac:dyDescent="0.25">
      <c r="A315" t="s">
        <v>1079</v>
      </c>
      <c r="B315" t="str">
        <f xml:space="preserve"> "" &amp; 747396101040</f>
        <v>747396101040</v>
      </c>
      <c r="C315" t="s">
        <v>916</v>
      </c>
      <c r="D315" t="s">
        <v>1080</v>
      </c>
      <c r="E315" t="s">
        <v>1076</v>
      </c>
      <c r="F315" t="s">
        <v>323</v>
      </c>
      <c r="G315">
        <v>1</v>
      </c>
      <c r="H315">
        <v>1</v>
      </c>
      <c r="I315" t="s">
        <v>97</v>
      </c>
      <c r="J315" s="10">
        <v>49</v>
      </c>
      <c r="K315" s="10">
        <v>147</v>
      </c>
      <c r="L315" s="10">
        <v>0</v>
      </c>
      <c r="N315" s="10">
        <v>0</v>
      </c>
      <c r="O315" t="s">
        <v>99</v>
      </c>
      <c r="P315" s="10">
        <v>104.95</v>
      </c>
      <c r="S315">
        <v>8.75</v>
      </c>
      <c r="T315">
        <v>11</v>
      </c>
      <c r="U315">
        <v>7</v>
      </c>
      <c r="V315">
        <v>4.75</v>
      </c>
      <c r="W315">
        <v>3.57</v>
      </c>
      <c r="X315">
        <v>1</v>
      </c>
      <c r="Y315">
        <v>9.25</v>
      </c>
      <c r="Z315">
        <v>11</v>
      </c>
      <c r="AA315">
        <v>7.25</v>
      </c>
      <c r="AB315">
        <v>0.42699999999999999</v>
      </c>
      <c r="AC315">
        <v>5.89</v>
      </c>
      <c r="AE315">
        <v>1</v>
      </c>
      <c r="AF315" t="s">
        <v>308</v>
      </c>
      <c r="AG315">
        <v>60</v>
      </c>
      <c r="AK315" t="s">
        <v>98</v>
      </c>
      <c r="AL315">
        <v>1</v>
      </c>
      <c r="AM315" t="s">
        <v>98</v>
      </c>
      <c r="AN315" t="s">
        <v>99</v>
      </c>
      <c r="AO315" t="s">
        <v>98</v>
      </c>
      <c r="AP315" t="s">
        <v>100</v>
      </c>
      <c r="AQ315" t="s">
        <v>101</v>
      </c>
      <c r="AV315" t="s">
        <v>98</v>
      </c>
      <c r="AX315" t="s">
        <v>279</v>
      </c>
      <c r="AZ315" t="s">
        <v>392</v>
      </c>
      <c r="BB315" t="s">
        <v>235</v>
      </c>
      <c r="BC315" t="s">
        <v>1081</v>
      </c>
      <c r="BD315" t="s">
        <v>7528</v>
      </c>
      <c r="BF315" t="s">
        <v>1082</v>
      </c>
      <c r="BG315" t="s">
        <v>98</v>
      </c>
      <c r="BH315" t="s">
        <v>98</v>
      </c>
      <c r="BI315" t="s">
        <v>98</v>
      </c>
      <c r="BK315" t="s">
        <v>127</v>
      </c>
      <c r="BL315" t="s">
        <v>236</v>
      </c>
      <c r="BM315">
        <v>4.63</v>
      </c>
      <c r="BN315">
        <v>8</v>
      </c>
      <c r="CA315">
        <v>3061</v>
      </c>
      <c r="CB315" t="s">
        <v>279</v>
      </c>
      <c r="CL315" t="s">
        <v>99</v>
      </c>
      <c r="CM315" t="s">
        <v>98</v>
      </c>
      <c r="CN315" t="s">
        <v>442</v>
      </c>
      <c r="CO315" s="1">
        <v>42754</v>
      </c>
      <c r="CP315" s="1">
        <v>43633</v>
      </c>
    </row>
    <row r="316" spans="1:94" x14ac:dyDescent="0.25">
      <c r="A316" t="s">
        <v>1083</v>
      </c>
      <c r="B316" t="str">
        <f xml:space="preserve"> "" &amp; 747396101057</f>
        <v>747396101057</v>
      </c>
      <c r="C316" t="s">
        <v>916</v>
      </c>
      <c r="D316" t="s">
        <v>6581</v>
      </c>
      <c r="E316" t="s">
        <v>1076</v>
      </c>
      <c r="F316" t="s">
        <v>323</v>
      </c>
      <c r="G316">
        <v>1</v>
      </c>
      <c r="H316">
        <v>1</v>
      </c>
      <c r="I316" t="s">
        <v>97</v>
      </c>
      <c r="J316" s="10">
        <v>49</v>
      </c>
      <c r="K316" s="10">
        <v>147</v>
      </c>
      <c r="L316" s="10">
        <v>0</v>
      </c>
      <c r="N316" s="10">
        <v>0</v>
      </c>
      <c r="S316">
        <v>7.75</v>
      </c>
      <c r="U316">
        <v>16</v>
      </c>
      <c r="V316">
        <v>4.75</v>
      </c>
      <c r="W316">
        <v>3.68</v>
      </c>
      <c r="X316">
        <v>1</v>
      </c>
      <c r="Y316">
        <v>10.5</v>
      </c>
      <c r="Z316">
        <v>14.5</v>
      </c>
      <c r="AA316">
        <v>8.1300000000000008</v>
      </c>
      <c r="AB316">
        <v>0.71599999999999997</v>
      </c>
      <c r="AC316">
        <v>4.87</v>
      </c>
      <c r="AE316">
        <v>2</v>
      </c>
      <c r="AF316" t="s">
        <v>308</v>
      </c>
      <c r="AG316">
        <v>60</v>
      </c>
      <c r="AK316" t="s">
        <v>98</v>
      </c>
      <c r="AL316">
        <v>2</v>
      </c>
      <c r="AM316" t="s">
        <v>98</v>
      </c>
      <c r="AN316" t="s">
        <v>99</v>
      </c>
      <c r="AO316" t="s">
        <v>98</v>
      </c>
      <c r="AP316" t="s">
        <v>100</v>
      </c>
      <c r="AQ316" t="s">
        <v>101</v>
      </c>
      <c r="AV316" t="s">
        <v>98</v>
      </c>
      <c r="AX316" t="s">
        <v>279</v>
      </c>
      <c r="AZ316" t="s">
        <v>392</v>
      </c>
      <c r="BB316" t="s">
        <v>235</v>
      </c>
      <c r="BC316" t="s">
        <v>1081</v>
      </c>
      <c r="BD316" t="s">
        <v>7528</v>
      </c>
      <c r="BF316" t="s">
        <v>1084</v>
      </c>
      <c r="BG316" t="s">
        <v>98</v>
      </c>
      <c r="BH316" t="s">
        <v>98</v>
      </c>
      <c r="BI316" t="s">
        <v>98</v>
      </c>
      <c r="BK316" t="s">
        <v>127</v>
      </c>
      <c r="BL316" t="s">
        <v>236</v>
      </c>
      <c r="BM316">
        <v>12</v>
      </c>
      <c r="BN316">
        <v>4.63</v>
      </c>
      <c r="CA316">
        <v>3062</v>
      </c>
      <c r="CB316" t="s">
        <v>279</v>
      </c>
      <c r="CL316" t="s">
        <v>99</v>
      </c>
      <c r="CM316" t="s">
        <v>98</v>
      </c>
      <c r="CN316" t="s">
        <v>442</v>
      </c>
      <c r="CO316" s="1">
        <v>42754</v>
      </c>
      <c r="CP316" s="1">
        <v>43633</v>
      </c>
    </row>
    <row r="317" spans="1:94" x14ac:dyDescent="0.25">
      <c r="A317" t="s">
        <v>1085</v>
      </c>
      <c r="B317" t="str">
        <f xml:space="preserve"> "" &amp; 747396101064</f>
        <v>747396101064</v>
      </c>
      <c r="C317" t="s">
        <v>916</v>
      </c>
      <c r="D317" t="s">
        <v>1086</v>
      </c>
      <c r="E317" t="s">
        <v>1076</v>
      </c>
      <c r="F317" t="s">
        <v>323</v>
      </c>
      <c r="G317">
        <v>1</v>
      </c>
      <c r="H317">
        <v>1</v>
      </c>
      <c r="I317" t="s">
        <v>97</v>
      </c>
      <c r="J317" s="10">
        <v>86</v>
      </c>
      <c r="K317" s="10">
        <v>258</v>
      </c>
      <c r="L317" s="10">
        <v>0</v>
      </c>
      <c r="N317" s="10">
        <v>0</v>
      </c>
      <c r="O317" t="s">
        <v>99</v>
      </c>
      <c r="P317" s="10">
        <v>184.95</v>
      </c>
      <c r="S317">
        <v>7.75</v>
      </c>
      <c r="U317">
        <v>25</v>
      </c>
      <c r="V317">
        <v>4.75</v>
      </c>
      <c r="W317">
        <v>6.33</v>
      </c>
      <c r="X317">
        <v>1</v>
      </c>
      <c r="Y317">
        <v>10.5</v>
      </c>
      <c r="Z317">
        <v>26.5</v>
      </c>
      <c r="AA317">
        <v>8.1300000000000008</v>
      </c>
      <c r="AB317">
        <v>1.3089999999999999</v>
      </c>
      <c r="AC317">
        <v>8.2200000000000006</v>
      </c>
      <c r="AE317">
        <v>3</v>
      </c>
      <c r="AF317" t="s">
        <v>772</v>
      </c>
      <c r="AG317">
        <v>60</v>
      </c>
      <c r="AK317" t="s">
        <v>98</v>
      </c>
      <c r="AM317" t="s">
        <v>98</v>
      </c>
      <c r="AN317" t="s">
        <v>99</v>
      </c>
      <c r="AO317" t="s">
        <v>98</v>
      </c>
      <c r="AP317" t="s">
        <v>100</v>
      </c>
      <c r="AQ317" t="s">
        <v>101</v>
      </c>
      <c r="AV317" t="s">
        <v>98</v>
      </c>
      <c r="AX317" t="s">
        <v>279</v>
      </c>
      <c r="AZ317" t="s">
        <v>392</v>
      </c>
      <c r="BB317" t="s">
        <v>235</v>
      </c>
      <c r="BC317" t="s">
        <v>1081</v>
      </c>
      <c r="BD317" t="s">
        <v>7528</v>
      </c>
      <c r="BF317" t="s">
        <v>1087</v>
      </c>
      <c r="BG317" t="s">
        <v>98</v>
      </c>
      <c r="BH317" t="s">
        <v>98</v>
      </c>
      <c r="BI317" t="s">
        <v>98</v>
      </c>
      <c r="BK317" t="s">
        <v>127</v>
      </c>
      <c r="BL317" t="s">
        <v>236</v>
      </c>
      <c r="BM317">
        <v>24</v>
      </c>
      <c r="BN317">
        <v>4.63</v>
      </c>
      <c r="CA317">
        <v>3063</v>
      </c>
      <c r="CB317" t="s">
        <v>279</v>
      </c>
      <c r="CL317" t="s">
        <v>99</v>
      </c>
      <c r="CM317" t="s">
        <v>98</v>
      </c>
      <c r="CN317" t="s">
        <v>7528</v>
      </c>
      <c r="CO317" s="1">
        <v>42754</v>
      </c>
      <c r="CP317" s="1">
        <v>43633</v>
      </c>
    </row>
    <row r="318" spans="1:94" x14ac:dyDescent="0.25">
      <c r="A318" t="s">
        <v>1088</v>
      </c>
      <c r="B318" t="str">
        <f xml:space="preserve"> "" &amp; 747396101071</f>
        <v>747396101071</v>
      </c>
      <c r="C318" t="s">
        <v>916</v>
      </c>
      <c r="D318" t="s">
        <v>1089</v>
      </c>
      <c r="E318" t="s">
        <v>1076</v>
      </c>
      <c r="F318" t="s">
        <v>323</v>
      </c>
      <c r="G318">
        <v>1</v>
      </c>
      <c r="H318">
        <v>1</v>
      </c>
      <c r="I318" t="s">
        <v>97</v>
      </c>
      <c r="J318" s="10">
        <v>112</v>
      </c>
      <c r="K318" s="10">
        <v>336</v>
      </c>
      <c r="L318" s="10">
        <v>0</v>
      </c>
      <c r="N318" s="10">
        <v>0</v>
      </c>
      <c r="O318" t="s">
        <v>99</v>
      </c>
      <c r="P318" s="10">
        <v>239.95</v>
      </c>
      <c r="S318">
        <v>7.75</v>
      </c>
      <c r="U318">
        <v>34</v>
      </c>
      <c r="V318">
        <v>4.75</v>
      </c>
      <c r="W318">
        <v>8.36</v>
      </c>
      <c r="X318">
        <v>1</v>
      </c>
      <c r="Y318">
        <v>10.5</v>
      </c>
      <c r="Z318">
        <v>32.5</v>
      </c>
      <c r="AA318">
        <v>8.1300000000000008</v>
      </c>
      <c r="AB318">
        <v>1.6060000000000001</v>
      </c>
      <c r="AC318">
        <v>10.63</v>
      </c>
      <c r="AE318">
        <v>4</v>
      </c>
      <c r="AF318" t="s">
        <v>308</v>
      </c>
      <c r="AG318">
        <v>60</v>
      </c>
      <c r="AK318" t="s">
        <v>98</v>
      </c>
      <c r="AL318">
        <v>4</v>
      </c>
      <c r="AM318" t="s">
        <v>98</v>
      </c>
      <c r="AN318" t="s">
        <v>99</v>
      </c>
      <c r="AO318" t="s">
        <v>98</v>
      </c>
      <c r="AP318" t="s">
        <v>100</v>
      </c>
      <c r="AQ318" t="s">
        <v>101</v>
      </c>
      <c r="AV318" t="s">
        <v>98</v>
      </c>
      <c r="AX318" t="s">
        <v>279</v>
      </c>
      <c r="AZ318" t="s">
        <v>392</v>
      </c>
      <c r="BB318" t="s">
        <v>235</v>
      </c>
      <c r="BC318" t="s">
        <v>1081</v>
      </c>
      <c r="BD318" t="s">
        <v>7528</v>
      </c>
      <c r="BF318" t="s">
        <v>1090</v>
      </c>
      <c r="BG318" t="s">
        <v>98</v>
      </c>
      <c r="BH318" t="s">
        <v>98</v>
      </c>
      <c r="BI318" t="s">
        <v>98</v>
      </c>
      <c r="BK318" t="s">
        <v>127</v>
      </c>
      <c r="BL318" t="s">
        <v>236</v>
      </c>
      <c r="BM318">
        <v>30</v>
      </c>
      <c r="BN318">
        <v>4.63</v>
      </c>
      <c r="CA318">
        <v>3064</v>
      </c>
      <c r="CB318" t="s">
        <v>279</v>
      </c>
      <c r="CL318" t="s">
        <v>99</v>
      </c>
      <c r="CM318" t="s">
        <v>98</v>
      </c>
      <c r="CN318" t="s">
        <v>442</v>
      </c>
      <c r="CO318" s="1">
        <v>42754</v>
      </c>
      <c r="CP318" s="1">
        <v>43633</v>
      </c>
    </row>
    <row r="319" spans="1:94" x14ac:dyDescent="0.25">
      <c r="A319" t="s">
        <v>1091</v>
      </c>
      <c r="B319" t="str">
        <f xml:space="preserve"> "" &amp; 747396101088</f>
        <v>747396101088</v>
      </c>
      <c r="C319" t="s">
        <v>464</v>
      </c>
      <c r="D319" t="s">
        <v>1092</v>
      </c>
      <c r="E319" t="s">
        <v>1076</v>
      </c>
      <c r="F319" t="s">
        <v>240</v>
      </c>
      <c r="G319">
        <v>1</v>
      </c>
      <c r="H319">
        <v>1</v>
      </c>
      <c r="I319" t="s">
        <v>97</v>
      </c>
      <c r="J319" s="10">
        <v>99</v>
      </c>
      <c r="K319" s="10">
        <v>297</v>
      </c>
      <c r="L319" s="10">
        <v>0</v>
      </c>
      <c r="N319" s="10">
        <v>0</v>
      </c>
      <c r="S319">
        <v>12.5</v>
      </c>
      <c r="T319">
        <v>13.25</v>
      </c>
      <c r="U319">
        <v>13.25</v>
      </c>
      <c r="W319">
        <v>11.24</v>
      </c>
      <c r="X319">
        <v>1</v>
      </c>
      <c r="Y319">
        <v>13.25</v>
      </c>
      <c r="Z319">
        <v>13.5</v>
      </c>
      <c r="AA319">
        <v>13.5</v>
      </c>
      <c r="AB319">
        <v>1.397</v>
      </c>
      <c r="AC319">
        <v>13.21</v>
      </c>
      <c r="AE319">
        <v>4</v>
      </c>
      <c r="AF319" t="s">
        <v>772</v>
      </c>
      <c r="AG319">
        <v>60</v>
      </c>
      <c r="AK319" t="s">
        <v>98</v>
      </c>
      <c r="AM319" t="s">
        <v>98</v>
      </c>
      <c r="AN319" t="s">
        <v>99</v>
      </c>
      <c r="AO319" t="s">
        <v>98</v>
      </c>
      <c r="AP319" t="s">
        <v>100</v>
      </c>
      <c r="AQ319" t="s">
        <v>101</v>
      </c>
      <c r="AV319" t="s">
        <v>98</v>
      </c>
      <c r="AX319" t="s">
        <v>279</v>
      </c>
      <c r="AZ319" t="s">
        <v>392</v>
      </c>
      <c r="BB319" t="s">
        <v>235</v>
      </c>
      <c r="BC319" t="s">
        <v>1081</v>
      </c>
      <c r="BD319" t="s">
        <v>7528</v>
      </c>
      <c r="BF319" t="s">
        <v>1093</v>
      </c>
      <c r="BG319" t="s">
        <v>98</v>
      </c>
      <c r="BH319" t="s">
        <v>98</v>
      </c>
      <c r="BI319" t="s">
        <v>98</v>
      </c>
      <c r="BK319" t="s">
        <v>110</v>
      </c>
      <c r="BL319" t="s">
        <v>7528</v>
      </c>
      <c r="BQ319">
        <v>5</v>
      </c>
      <c r="BR319">
        <v>1</v>
      </c>
      <c r="BS319">
        <v>5</v>
      </c>
      <c r="BT319">
        <v>5</v>
      </c>
      <c r="CA319">
        <v>3065</v>
      </c>
      <c r="CB319" t="s">
        <v>279</v>
      </c>
      <c r="CL319" t="s">
        <v>99</v>
      </c>
      <c r="CM319" t="s">
        <v>99</v>
      </c>
      <c r="CN319" t="s">
        <v>442</v>
      </c>
      <c r="CO319" s="1">
        <v>42754</v>
      </c>
      <c r="CP319" s="1">
        <v>43633</v>
      </c>
    </row>
    <row r="320" spans="1:94" x14ac:dyDescent="0.25">
      <c r="A320" t="s">
        <v>1094</v>
      </c>
      <c r="B320" t="str">
        <f xml:space="preserve"> "" &amp; 747396101095</f>
        <v>747396101095</v>
      </c>
      <c r="C320" t="s">
        <v>879</v>
      </c>
      <c r="D320" t="s">
        <v>1095</v>
      </c>
      <c r="E320" t="s">
        <v>1076</v>
      </c>
      <c r="F320" t="s">
        <v>314</v>
      </c>
      <c r="G320">
        <v>1</v>
      </c>
      <c r="H320">
        <v>1</v>
      </c>
      <c r="I320" t="s">
        <v>97</v>
      </c>
      <c r="J320" s="10">
        <v>99</v>
      </c>
      <c r="K320" s="10">
        <v>297</v>
      </c>
      <c r="L320" s="10">
        <v>0</v>
      </c>
      <c r="N320" s="10">
        <v>0</v>
      </c>
      <c r="S320">
        <v>12.5</v>
      </c>
      <c r="T320">
        <v>32</v>
      </c>
      <c r="U320">
        <v>17.75</v>
      </c>
      <c r="W320">
        <v>14.97</v>
      </c>
      <c r="X320">
        <v>1</v>
      </c>
      <c r="Y320">
        <v>8.5</v>
      </c>
      <c r="Z320">
        <v>25</v>
      </c>
      <c r="AA320">
        <v>20.25</v>
      </c>
      <c r="AB320">
        <v>2.4900000000000002</v>
      </c>
      <c r="AC320">
        <v>18.41</v>
      </c>
      <c r="AE320">
        <v>6</v>
      </c>
      <c r="AF320" t="s">
        <v>308</v>
      </c>
      <c r="AG320">
        <v>60</v>
      </c>
      <c r="AK320" t="s">
        <v>98</v>
      </c>
      <c r="AM320" t="s">
        <v>98</v>
      </c>
      <c r="AN320" t="s">
        <v>99</v>
      </c>
      <c r="AO320" t="s">
        <v>98</v>
      </c>
      <c r="AP320" t="s">
        <v>100</v>
      </c>
      <c r="AQ320" t="s">
        <v>101</v>
      </c>
      <c r="AV320" t="s">
        <v>98</v>
      </c>
      <c r="AX320" t="s">
        <v>279</v>
      </c>
      <c r="AZ320" t="s">
        <v>392</v>
      </c>
      <c r="BB320" t="s">
        <v>235</v>
      </c>
      <c r="BC320" t="s">
        <v>1081</v>
      </c>
      <c r="BD320" t="s">
        <v>7528</v>
      </c>
      <c r="BF320" t="s">
        <v>1096</v>
      </c>
      <c r="BG320" t="s">
        <v>98</v>
      </c>
      <c r="BH320" t="s">
        <v>98</v>
      </c>
      <c r="BI320" t="s">
        <v>98</v>
      </c>
      <c r="BK320" t="s">
        <v>110</v>
      </c>
      <c r="BL320" t="s">
        <v>7528</v>
      </c>
      <c r="BR320">
        <v>0.63</v>
      </c>
      <c r="BS320">
        <v>9.75</v>
      </c>
      <c r="BT320">
        <v>5</v>
      </c>
      <c r="CA320">
        <v>3066</v>
      </c>
      <c r="CB320" t="s">
        <v>279</v>
      </c>
      <c r="CL320" t="s">
        <v>99</v>
      </c>
      <c r="CM320" t="s">
        <v>99</v>
      </c>
      <c r="CN320" t="s">
        <v>442</v>
      </c>
      <c r="CO320" s="1">
        <v>42754</v>
      </c>
      <c r="CP320" s="1">
        <v>43633</v>
      </c>
    </row>
    <row r="321" spans="1:94" x14ac:dyDescent="0.25">
      <c r="A321" t="s">
        <v>1097</v>
      </c>
      <c r="B321" t="str">
        <f xml:space="preserve"> "" &amp; 747396101101</f>
        <v>747396101101</v>
      </c>
      <c r="C321" t="s">
        <v>853</v>
      </c>
      <c r="D321" t="s">
        <v>1098</v>
      </c>
      <c r="E321" t="s">
        <v>1076</v>
      </c>
      <c r="F321" t="s">
        <v>377</v>
      </c>
      <c r="G321">
        <v>1</v>
      </c>
      <c r="H321">
        <v>1</v>
      </c>
      <c r="I321" t="s">
        <v>97</v>
      </c>
      <c r="J321" s="10">
        <v>69</v>
      </c>
      <c r="K321" s="10">
        <v>207</v>
      </c>
      <c r="L321" s="10">
        <v>0</v>
      </c>
      <c r="N321" s="10">
        <v>0</v>
      </c>
      <c r="S321">
        <v>12</v>
      </c>
      <c r="T321">
        <v>15</v>
      </c>
      <c r="U321">
        <v>15</v>
      </c>
      <c r="W321">
        <v>5.95</v>
      </c>
      <c r="X321">
        <v>1</v>
      </c>
      <c r="Y321">
        <v>10.5</v>
      </c>
      <c r="Z321">
        <v>13.5</v>
      </c>
      <c r="AA321">
        <v>13.5</v>
      </c>
      <c r="AB321">
        <v>1.107</v>
      </c>
      <c r="AC321">
        <v>7.63</v>
      </c>
      <c r="AE321">
        <v>4</v>
      </c>
      <c r="AF321" t="s">
        <v>308</v>
      </c>
      <c r="AG321">
        <v>60</v>
      </c>
      <c r="AK321" t="s">
        <v>98</v>
      </c>
      <c r="AM321" t="s">
        <v>98</v>
      </c>
      <c r="AN321" t="s">
        <v>99</v>
      </c>
      <c r="AO321" t="s">
        <v>98</v>
      </c>
      <c r="AP321" t="s">
        <v>100</v>
      </c>
      <c r="AQ321" t="s">
        <v>101</v>
      </c>
      <c r="AV321" t="s">
        <v>98</v>
      </c>
      <c r="AX321" t="s">
        <v>279</v>
      </c>
      <c r="AZ321" t="s">
        <v>392</v>
      </c>
      <c r="BB321" t="s">
        <v>235</v>
      </c>
      <c r="BC321" t="s">
        <v>1081</v>
      </c>
      <c r="BD321" t="s">
        <v>7528</v>
      </c>
      <c r="BF321" t="s">
        <v>1099</v>
      </c>
      <c r="BG321" t="s">
        <v>98</v>
      </c>
      <c r="BH321" t="s">
        <v>98</v>
      </c>
      <c r="BI321" t="s">
        <v>98</v>
      </c>
      <c r="BK321" t="s">
        <v>127</v>
      </c>
      <c r="BL321" t="s">
        <v>7528</v>
      </c>
      <c r="BQ321">
        <v>5</v>
      </c>
      <c r="BR321">
        <v>1</v>
      </c>
      <c r="BS321">
        <v>5</v>
      </c>
      <c r="BT321">
        <v>5</v>
      </c>
      <c r="CA321">
        <v>3067</v>
      </c>
      <c r="CB321" t="s">
        <v>279</v>
      </c>
      <c r="CL321" t="s">
        <v>99</v>
      </c>
      <c r="CM321" t="s">
        <v>98</v>
      </c>
      <c r="CN321" t="s">
        <v>442</v>
      </c>
      <c r="CO321" s="1">
        <v>42754</v>
      </c>
      <c r="CP321" s="1">
        <v>43633</v>
      </c>
    </row>
    <row r="322" spans="1:94" x14ac:dyDescent="0.25">
      <c r="A322" t="s">
        <v>1100</v>
      </c>
      <c r="B322" t="str">
        <f xml:space="preserve"> "" &amp; 747396101118</f>
        <v>747396101118</v>
      </c>
      <c r="C322" t="s">
        <v>464</v>
      </c>
      <c r="D322" t="s">
        <v>1092</v>
      </c>
      <c r="E322" t="s">
        <v>1076</v>
      </c>
      <c r="F322" t="s">
        <v>249</v>
      </c>
      <c r="G322">
        <v>1</v>
      </c>
      <c r="H322">
        <v>1</v>
      </c>
      <c r="I322" t="s">
        <v>97</v>
      </c>
      <c r="J322" s="10">
        <v>119</v>
      </c>
      <c r="K322" s="10">
        <v>357</v>
      </c>
      <c r="L322" s="10">
        <v>0</v>
      </c>
      <c r="N322" s="10">
        <v>0</v>
      </c>
      <c r="S322">
        <v>25</v>
      </c>
      <c r="T322">
        <v>23.5</v>
      </c>
      <c r="U322">
        <v>23.5</v>
      </c>
      <c r="W322">
        <v>18.12</v>
      </c>
      <c r="X322">
        <v>1</v>
      </c>
      <c r="Y322">
        <v>30.25</v>
      </c>
      <c r="Z322">
        <v>19.88</v>
      </c>
      <c r="AA322">
        <v>19.88</v>
      </c>
      <c r="AB322">
        <v>6.9189999999999996</v>
      </c>
      <c r="AC322">
        <v>24.29</v>
      </c>
      <c r="AE322">
        <v>4</v>
      </c>
      <c r="AF322" t="s">
        <v>308</v>
      </c>
      <c r="AG322">
        <v>60</v>
      </c>
      <c r="AK322" t="s">
        <v>98</v>
      </c>
      <c r="AM322" t="s">
        <v>98</v>
      </c>
      <c r="AN322" t="s">
        <v>99</v>
      </c>
      <c r="AO322" t="s">
        <v>98</v>
      </c>
      <c r="AP322" t="s">
        <v>100</v>
      </c>
      <c r="AQ322" t="s">
        <v>101</v>
      </c>
      <c r="AV322" t="s">
        <v>98</v>
      </c>
      <c r="AX322" t="s">
        <v>279</v>
      </c>
      <c r="AZ322" t="s">
        <v>392</v>
      </c>
      <c r="BB322" t="s">
        <v>235</v>
      </c>
      <c r="BC322" t="s">
        <v>1081</v>
      </c>
      <c r="BD322" t="s">
        <v>7528</v>
      </c>
      <c r="BF322" t="s">
        <v>1101</v>
      </c>
      <c r="BG322" t="s">
        <v>98</v>
      </c>
      <c r="BH322" t="s">
        <v>98</v>
      </c>
      <c r="BI322" t="s">
        <v>98</v>
      </c>
      <c r="BK322" t="s">
        <v>110</v>
      </c>
      <c r="BL322" t="s">
        <v>7528</v>
      </c>
      <c r="BQ322">
        <v>5</v>
      </c>
      <c r="BR322">
        <v>1</v>
      </c>
      <c r="BS322">
        <v>5</v>
      </c>
      <c r="BT322">
        <v>5</v>
      </c>
      <c r="CA322">
        <v>3068</v>
      </c>
      <c r="CB322" t="s">
        <v>279</v>
      </c>
      <c r="CL322" t="s">
        <v>99</v>
      </c>
      <c r="CM322" t="s">
        <v>99</v>
      </c>
      <c r="CN322" t="s">
        <v>442</v>
      </c>
      <c r="CO322" s="1">
        <v>42754</v>
      </c>
      <c r="CP322" s="1">
        <v>43633</v>
      </c>
    </row>
    <row r="323" spans="1:94" x14ac:dyDescent="0.25">
      <c r="A323" t="s">
        <v>1102</v>
      </c>
      <c r="B323" t="str">
        <f xml:space="preserve"> "" &amp; 747396101460</f>
        <v>747396101460</v>
      </c>
      <c r="C323" t="s">
        <v>239</v>
      </c>
      <c r="D323" t="s">
        <v>1103</v>
      </c>
      <c r="E323" t="s">
        <v>1104</v>
      </c>
      <c r="F323" t="s">
        <v>240</v>
      </c>
      <c r="G323">
        <v>1</v>
      </c>
      <c r="H323">
        <v>1</v>
      </c>
      <c r="I323" t="s">
        <v>97</v>
      </c>
      <c r="J323" s="10">
        <v>52</v>
      </c>
      <c r="K323" s="10">
        <v>156</v>
      </c>
      <c r="L323" s="10">
        <v>0</v>
      </c>
      <c r="N323" s="10">
        <v>0</v>
      </c>
      <c r="O323" t="s">
        <v>99</v>
      </c>
      <c r="P323" s="10">
        <v>109.95</v>
      </c>
      <c r="S323">
        <v>12.25</v>
      </c>
      <c r="T323">
        <v>5</v>
      </c>
      <c r="U323">
        <v>5</v>
      </c>
      <c r="W323">
        <v>3.09</v>
      </c>
      <c r="X323">
        <v>1</v>
      </c>
      <c r="Y323">
        <v>7.25</v>
      </c>
      <c r="Z323">
        <v>17</v>
      </c>
      <c r="AA323">
        <v>7.25</v>
      </c>
      <c r="AB323">
        <v>0.51700000000000002</v>
      </c>
      <c r="AC323">
        <v>3.86</v>
      </c>
      <c r="AE323">
        <v>1</v>
      </c>
      <c r="AF323" t="s">
        <v>696</v>
      </c>
      <c r="AG323">
        <v>60</v>
      </c>
      <c r="AK323" t="s">
        <v>98</v>
      </c>
      <c r="AM323" t="s">
        <v>98</v>
      </c>
      <c r="AN323" t="s">
        <v>99</v>
      </c>
      <c r="AO323" t="s">
        <v>98</v>
      </c>
      <c r="AP323" t="s">
        <v>100</v>
      </c>
      <c r="AQ323" t="s">
        <v>101</v>
      </c>
      <c r="AV323" t="s">
        <v>98</v>
      </c>
      <c r="AX323" t="s">
        <v>1105</v>
      </c>
      <c r="AZ323" t="s">
        <v>102</v>
      </c>
      <c r="BB323" t="s">
        <v>235</v>
      </c>
      <c r="BC323" t="s">
        <v>1064</v>
      </c>
      <c r="BD323" t="s">
        <v>7528</v>
      </c>
      <c r="BF323" t="s">
        <v>1106</v>
      </c>
      <c r="BG323" t="s">
        <v>98</v>
      </c>
      <c r="BH323" t="s">
        <v>98</v>
      </c>
      <c r="BI323" t="s">
        <v>98</v>
      </c>
      <c r="BK323" t="s">
        <v>110</v>
      </c>
      <c r="BL323" t="s">
        <v>7528</v>
      </c>
      <c r="BQ323">
        <v>5</v>
      </c>
      <c r="BR323">
        <v>0.75</v>
      </c>
      <c r="BS323">
        <v>5</v>
      </c>
      <c r="BT323">
        <v>5</v>
      </c>
      <c r="CA323">
        <v>3070</v>
      </c>
      <c r="CB323" t="s">
        <v>1105</v>
      </c>
      <c r="CL323" t="s">
        <v>99</v>
      </c>
      <c r="CM323" t="s">
        <v>99</v>
      </c>
      <c r="CN323" t="s">
        <v>442</v>
      </c>
      <c r="CO323" s="1">
        <v>42755</v>
      </c>
      <c r="CP323" s="1">
        <v>43633</v>
      </c>
    </row>
    <row r="324" spans="1:94" x14ac:dyDescent="0.25">
      <c r="A324" t="s">
        <v>1107</v>
      </c>
      <c r="B324" t="str">
        <f xml:space="preserve"> "" &amp; 747396101453</f>
        <v>747396101453</v>
      </c>
      <c r="C324" t="s">
        <v>239</v>
      </c>
      <c r="D324" t="s">
        <v>1103</v>
      </c>
      <c r="E324" t="s">
        <v>1104</v>
      </c>
      <c r="F324" t="s">
        <v>240</v>
      </c>
      <c r="G324">
        <v>1</v>
      </c>
      <c r="H324">
        <v>1</v>
      </c>
      <c r="I324" t="s">
        <v>97</v>
      </c>
      <c r="J324" s="10">
        <v>52</v>
      </c>
      <c r="K324" s="10">
        <v>156</v>
      </c>
      <c r="L324" s="10">
        <v>0</v>
      </c>
      <c r="N324" s="10">
        <v>0</v>
      </c>
      <c r="O324" t="s">
        <v>99</v>
      </c>
      <c r="P324" s="10">
        <v>109.95</v>
      </c>
      <c r="S324">
        <v>12.25</v>
      </c>
      <c r="T324">
        <v>5</v>
      </c>
      <c r="U324">
        <v>5</v>
      </c>
      <c r="W324">
        <v>3.09</v>
      </c>
      <c r="X324">
        <v>1</v>
      </c>
      <c r="Y324">
        <v>7.25</v>
      </c>
      <c r="Z324">
        <v>17</v>
      </c>
      <c r="AA324">
        <v>7.25</v>
      </c>
      <c r="AB324">
        <v>0.51700000000000002</v>
      </c>
      <c r="AC324">
        <v>3.86</v>
      </c>
      <c r="AE324">
        <v>1</v>
      </c>
      <c r="AF324" t="s">
        <v>696</v>
      </c>
      <c r="AG324">
        <v>60</v>
      </c>
      <c r="AK324" t="s">
        <v>98</v>
      </c>
      <c r="AM324" t="s">
        <v>98</v>
      </c>
      <c r="AN324" t="s">
        <v>99</v>
      </c>
      <c r="AO324" t="s">
        <v>98</v>
      </c>
      <c r="AP324" t="s">
        <v>100</v>
      </c>
      <c r="AQ324" t="s">
        <v>101</v>
      </c>
      <c r="AV324" t="s">
        <v>98</v>
      </c>
      <c r="AX324" t="s">
        <v>484</v>
      </c>
      <c r="AZ324" t="s">
        <v>102</v>
      </c>
      <c r="BB324" t="s">
        <v>235</v>
      </c>
      <c r="BC324" t="s">
        <v>1064</v>
      </c>
      <c r="BD324" t="s">
        <v>7528</v>
      </c>
      <c r="BF324" t="s">
        <v>1108</v>
      </c>
      <c r="BG324" t="s">
        <v>98</v>
      </c>
      <c r="BH324" t="s">
        <v>98</v>
      </c>
      <c r="BI324" t="s">
        <v>98</v>
      </c>
      <c r="BK324" t="s">
        <v>110</v>
      </c>
      <c r="BL324" t="s">
        <v>7528</v>
      </c>
      <c r="BQ324">
        <v>5</v>
      </c>
      <c r="BR324">
        <v>0.75</v>
      </c>
      <c r="BS324">
        <v>5</v>
      </c>
      <c r="BT324">
        <v>5</v>
      </c>
      <c r="CA324" t="s">
        <v>1107</v>
      </c>
      <c r="CB324" t="s">
        <v>484</v>
      </c>
      <c r="CL324" t="s">
        <v>99</v>
      </c>
      <c r="CM324" t="s">
        <v>99</v>
      </c>
      <c r="CN324" t="s">
        <v>442</v>
      </c>
      <c r="CO324" s="1">
        <v>42755</v>
      </c>
      <c r="CP324" s="1">
        <v>43633</v>
      </c>
    </row>
    <row r="325" spans="1:94" x14ac:dyDescent="0.25">
      <c r="A325" t="s">
        <v>1109</v>
      </c>
      <c r="B325" t="str">
        <f xml:space="preserve"> "" &amp; 747396101484</f>
        <v>747396101484</v>
      </c>
      <c r="C325" t="s">
        <v>751</v>
      </c>
      <c r="D325" t="s">
        <v>1110</v>
      </c>
      <c r="E325" t="s">
        <v>1104</v>
      </c>
      <c r="F325" t="s">
        <v>323</v>
      </c>
      <c r="G325">
        <v>1</v>
      </c>
      <c r="H325">
        <v>1</v>
      </c>
      <c r="I325" t="s">
        <v>97</v>
      </c>
      <c r="J325" s="10">
        <v>52</v>
      </c>
      <c r="K325" s="10">
        <v>156</v>
      </c>
      <c r="L325" s="10">
        <v>0</v>
      </c>
      <c r="N325" s="10">
        <v>0</v>
      </c>
      <c r="O325" t="s">
        <v>99</v>
      </c>
      <c r="P325" s="10">
        <v>109.95</v>
      </c>
      <c r="S325">
        <v>9.75</v>
      </c>
      <c r="T325">
        <v>14</v>
      </c>
      <c r="U325">
        <v>6</v>
      </c>
      <c r="V325">
        <v>6.5</v>
      </c>
      <c r="W325">
        <v>2.76</v>
      </c>
      <c r="X325">
        <v>1</v>
      </c>
      <c r="Y325">
        <v>8</v>
      </c>
      <c r="Z325">
        <v>14</v>
      </c>
      <c r="AA325">
        <v>8.5</v>
      </c>
      <c r="AB325">
        <v>0.55100000000000005</v>
      </c>
      <c r="AC325">
        <v>3.75</v>
      </c>
      <c r="AE325">
        <v>1</v>
      </c>
      <c r="AF325" t="s">
        <v>598</v>
      </c>
      <c r="AG325">
        <v>100</v>
      </c>
      <c r="AK325" t="s">
        <v>98</v>
      </c>
      <c r="AM325" t="s">
        <v>98</v>
      </c>
      <c r="AN325" t="s">
        <v>99</v>
      </c>
      <c r="AO325" t="s">
        <v>98</v>
      </c>
      <c r="AP325" t="s">
        <v>100</v>
      </c>
      <c r="AQ325" t="s">
        <v>101</v>
      </c>
      <c r="AV325" t="s">
        <v>98</v>
      </c>
      <c r="AX325" t="s">
        <v>1105</v>
      </c>
      <c r="AZ325" t="s">
        <v>102</v>
      </c>
      <c r="BB325" t="s">
        <v>235</v>
      </c>
      <c r="BC325" t="s">
        <v>1064</v>
      </c>
      <c r="BD325" t="s">
        <v>7528</v>
      </c>
      <c r="BF325" t="s">
        <v>1111</v>
      </c>
      <c r="BG325" t="s">
        <v>98</v>
      </c>
      <c r="BH325" t="s">
        <v>98</v>
      </c>
      <c r="BI325" t="s">
        <v>98</v>
      </c>
      <c r="BK325" t="s">
        <v>127</v>
      </c>
      <c r="BL325" t="s">
        <v>756</v>
      </c>
      <c r="BM325">
        <v>6</v>
      </c>
      <c r="BN325">
        <v>0.75</v>
      </c>
      <c r="CA325">
        <v>3071</v>
      </c>
      <c r="CB325" t="s">
        <v>1105</v>
      </c>
      <c r="CL325" t="s">
        <v>99</v>
      </c>
      <c r="CM325" t="s">
        <v>98</v>
      </c>
      <c r="CN325" t="s">
        <v>442</v>
      </c>
      <c r="CO325" s="1">
        <v>42755</v>
      </c>
      <c r="CP325" s="1">
        <v>43633</v>
      </c>
    </row>
    <row r="326" spans="1:94" x14ac:dyDescent="0.25">
      <c r="A326" t="s">
        <v>1112</v>
      </c>
      <c r="B326" t="str">
        <f xml:space="preserve"> "" &amp; 747396101477</f>
        <v>747396101477</v>
      </c>
      <c r="C326" t="s">
        <v>916</v>
      </c>
      <c r="D326" t="s">
        <v>1110</v>
      </c>
      <c r="E326" t="s">
        <v>1104</v>
      </c>
      <c r="F326" t="s">
        <v>323</v>
      </c>
      <c r="G326">
        <v>1</v>
      </c>
      <c r="H326">
        <v>1</v>
      </c>
      <c r="I326" t="s">
        <v>97</v>
      </c>
      <c r="J326" s="10">
        <v>52</v>
      </c>
      <c r="K326" s="10">
        <v>156</v>
      </c>
      <c r="L326" s="10">
        <v>0</v>
      </c>
      <c r="N326" s="10">
        <v>0</v>
      </c>
      <c r="O326" t="s">
        <v>99</v>
      </c>
      <c r="P326" s="10">
        <v>109.95</v>
      </c>
      <c r="S326">
        <v>9.75</v>
      </c>
      <c r="T326">
        <v>14</v>
      </c>
      <c r="U326">
        <v>6</v>
      </c>
      <c r="V326">
        <v>6.5</v>
      </c>
      <c r="W326">
        <v>2.4300000000000002</v>
      </c>
      <c r="X326">
        <v>1</v>
      </c>
      <c r="Y326">
        <v>8</v>
      </c>
      <c r="Z326">
        <v>14</v>
      </c>
      <c r="AA326">
        <v>8.5</v>
      </c>
      <c r="AB326">
        <v>0.55100000000000005</v>
      </c>
      <c r="AC326">
        <v>3.31</v>
      </c>
      <c r="AE326">
        <v>1</v>
      </c>
      <c r="AF326" t="s">
        <v>696</v>
      </c>
      <c r="AG326">
        <v>60</v>
      </c>
      <c r="AK326" t="s">
        <v>98</v>
      </c>
      <c r="AL326">
        <v>1</v>
      </c>
      <c r="AM326" t="s">
        <v>98</v>
      </c>
      <c r="AN326" t="s">
        <v>99</v>
      </c>
      <c r="AO326" t="s">
        <v>98</v>
      </c>
      <c r="AP326" t="s">
        <v>100</v>
      </c>
      <c r="AQ326" t="s">
        <v>101</v>
      </c>
      <c r="AV326" t="s">
        <v>98</v>
      </c>
      <c r="AX326" t="s">
        <v>484</v>
      </c>
      <c r="AZ326" t="s">
        <v>102</v>
      </c>
      <c r="BB326" t="s">
        <v>235</v>
      </c>
      <c r="BC326" t="s">
        <v>1064</v>
      </c>
      <c r="BD326" t="s">
        <v>7528</v>
      </c>
      <c r="BF326" t="s">
        <v>1113</v>
      </c>
      <c r="BG326" t="s">
        <v>98</v>
      </c>
      <c r="BH326" t="s">
        <v>98</v>
      </c>
      <c r="BI326" t="s">
        <v>98</v>
      </c>
      <c r="BK326" t="s">
        <v>127</v>
      </c>
      <c r="BL326" t="s">
        <v>756</v>
      </c>
      <c r="BM326">
        <v>6</v>
      </c>
      <c r="BN326">
        <v>0.75</v>
      </c>
      <c r="BO326">
        <v>6</v>
      </c>
      <c r="CA326" t="s">
        <v>1112</v>
      </c>
      <c r="CB326" t="s">
        <v>484</v>
      </c>
      <c r="CL326" t="s">
        <v>99</v>
      </c>
      <c r="CM326" t="s">
        <v>98</v>
      </c>
      <c r="CN326" t="s">
        <v>692</v>
      </c>
      <c r="CO326" s="1">
        <v>42755</v>
      </c>
      <c r="CP326" s="1">
        <v>43633</v>
      </c>
    </row>
    <row r="327" spans="1:94" x14ac:dyDescent="0.25">
      <c r="A327" t="s">
        <v>1114</v>
      </c>
      <c r="B327" t="str">
        <f xml:space="preserve"> "" &amp; 747396103495</f>
        <v>747396103495</v>
      </c>
      <c r="C327" t="s">
        <v>758</v>
      </c>
      <c r="D327" t="s">
        <v>1115</v>
      </c>
      <c r="E327" t="s">
        <v>1104</v>
      </c>
      <c r="F327" t="s">
        <v>323</v>
      </c>
      <c r="G327">
        <v>1</v>
      </c>
      <c r="H327">
        <v>1</v>
      </c>
      <c r="I327" t="s">
        <v>97</v>
      </c>
      <c r="J327" s="10">
        <v>79</v>
      </c>
      <c r="K327" s="10">
        <v>237</v>
      </c>
      <c r="L327" s="10">
        <v>0</v>
      </c>
      <c r="N327" s="10">
        <v>0</v>
      </c>
      <c r="O327" t="s">
        <v>99</v>
      </c>
      <c r="P327" s="10">
        <v>169.95</v>
      </c>
      <c r="S327">
        <v>9</v>
      </c>
      <c r="T327">
        <v>15.5</v>
      </c>
      <c r="U327">
        <v>15.5</v>
      </c>
      <c r="V327">
        <v>6.25</v>
      </c>
      <c r="W327">
        <v>5.4</v>
      </c>
      <c r="X327">
        <v>1</v>
      </c>
      <c r="Y327">
        <v>12.75</v>
      </c>
      <c r="Z327">
        <v>18.25</v>
      </c>
      <c r="AA327">
        <v>8.5</v>
      </c>
      <c r="AB327">
        <v>1.145</v>
      </c>
      <c r="AC327">
        <v>6.99</v>
      </c>
      <c r="AE327">
        <v>2</v>
      </c>
      <c r="AF327" t="s">
        <v>1012</v>
      </c>
      <c r="AG327">
        <v>100</v>
      </c>
      <c r="AK327" t="s">
        <v>98</v>
      </c>
      <c r="AM327" t="s">
        <v>98</v>
      </c>
      <c r="AN327" t="s">
        <v>99</v>
      </c>
      <c r="AO327" t="s">
        <v>98</v>
      </c>
      <c r="AP327" t="s">
        <v>100</v>
      </c>
      <c r="AQ327" t="s">
        <v>101</v>
      </c>
      <c r="AV327" t="s">
        <v>98</v>
      </c>
      <c r="AX327" t="s">
        <v>1105</v>
      </c>
      <c r="AZ327" t="s">
        <v>102</v>
      </c>
      <c r="BB327" t="s">
        <v>235</v>
      </c>
      <c r="BC327" t="s">
        <v>746</v>
      </c>
      <c r="BD327" t="s">
        <v>7528</v>
      </c>
      <c r="BF327" t="s">
        <v>1116</v>
      </c>
      <c r="BG327" t="s">
        <v>98</v>
      </c>
      <c r="BH327" t="s">
        <v>98</v>
      </c>
      <c r="BI327" t="s">
        <v>98</v>
      </c>
      <c r="BK327" t="s">
        <v>127</v>
      </c>
      <c r="BL327" t="s">
        <v>7528</v>
      </c>
      <c r="BM327">
        <v>6.13</v>
      </c>
      <c r="BN327">
        <v>0.75</v>
      </c>
      <c r="CA327">
        <v>3072</v>
      </c>
      <c r="CB327" t="s">
        <v>1105</v>
      </c>
      <c r="CL327" t="s">
        <v>99</v>
      </c>
      <c r="CM327" t="s">
        <v>98</v>
      </c>
      <c r="CN327" t="s">
        <v>442</v>
      </c>
      <c r="CO327" s="1">
        <v>42951</v>
      </c>
      <c r="CP327" s="1">
        <v>43633</v>
      </c>
    </row>
    <row r="328" spans="1:94" x14ac:dyDescent="0.25">
      <c r="A328" t="s">
        <v>1117</v>
      </c>
      <c r="B328" t="str">
        <f xml:space="preserve"> "" &amp; 747396103488</f>
        <v>747396103488</v>
      </c>
      <c r="C328" t="s">
        <v>758</v>
      </c>
      <c r="D328" t="s">
        <v>1115</v>
      </c>
      <c r="E328" t="s">
        <v>1104</v>
      </c>
      <c r="F328" t="s">
        <v>323</v>
      </c>
      <c r="G328">
        <v>1</v>
      </c>
      <c r="H328">
        <v>1</v>
      </c>
      <c r="I328" t="s">
        <v>97</v>
      </c>
      <c r="J328" s="10">
        <v>79</v>
      </c>
      <c r="K328" s="10">
        <v>237</v>
      </c>
      <c r="L328" s="10">
        <v>0</v>
      </c>
      <c r="N328" s="10">
        <v>0</v>
      </c>
      <c r="O328" t="s">
        <v>99</v>
      </c>
      <c r="P328" s="10">
        <v>169.95</v>
      </c>
      <c r="S328">
        <v>9</v>
      </c>
      <c r="U328">
        <v>15.5</v>
      </c>
      <c r="V328">
        <v>6.25</v>
      </c>
      <c r="W328">
        <v>4.96</v>
      </c>
      <c r="X328">
        <v>1</v>
      </c>
      <c r="Y328">
        <v>12.75</v>
      </c>
      <c r="Z328">
        <v>18.25</v>
      </c>
      <c r="AA328">
        <v>8.5</v>
      </c>
      <c r="AB328">
        <v>1.145</v>
      </c>
      <c r="AC328">
        <v>6.39</v>
      </c>
      <c r="AE328">
        <v>2</v>
      </c>
      <c r="AF328" t="s">
        <v>1118</v>
      </c>
      <c r="AG328">
        <v>60</v>
      </c>
      <c r="AK328" t="s">
        <v>98</v>
      </c>
      <c r="AL328">
        <v>2</v>
      </c>
      <c r="AM328" t="s">
        <v>98</v>
      </c>
      <c r="AN328" t="s">
        <v>99</v>
      </c>
      <c r="AO328" t="s">
        <v>98</v>
      </c>
      <c r="AP328" t="s">
        <v>100</v>
      </c>
      <c r="AQ328" t="s">
        <v>101</v>
      </c>
      <c r="AV328" t="s">
        <v>98</v>
      </c>
      <c r="AX328" t="s">
        <v>484</v>
      </c>
      <c r="AZ328" t="s">
        <v>102</v>
      </c>
      <c r="BB328" t="s">
        <v>235</v>
      </c>
      <c r="BC328" t="s">
        <v>746</v>
      </c>
      <c r="BD328" t="s">
        <v>7528</v>
      </c>
      <c r="BF328" t="s">
        <v>1119</v>
      </c>
      <c r="BG328" t="s">
        <v>98</v>
      </c>
      <c r="BH328" t="s">
        <v>98</v>
      </c>
      <c r="BI328" t="s">
        <v>98</v>
      </c>
      <c r="BK328" t="s">
        <v>127</v>
      </c>
      <c r="BL328" t="s">
        <v>756</v>
      </c>
      <c r="BM328">
        <v>6.13</v>
      </c>
      <c r="BN328">
        <v>0.75</v>
      </c>
      <c r="CA328">
        <v>3072</v>
      </c>
      <c r="CB328" t="s">
        <v>484</v>
      </c>
      <c r="CL328" t="s">
        <v>99</v>
      </c>
      <c r="CM328" t="s">
        <v>98</v>
      </c>
      <c r="CN328" t="s">
        <v>442</v>
      </c>
      <c r="CO328" s="1">
        <v>42905</v>
      </c>
      <c r="CP328" s="1">
        <v>43633</v>
      </c>
    </row>
    <row r="329" spans="1:94" x14ac:dyDescent="0.25">
      <c r="A329" t="s">
        <v>1120</v>
      </c>
      <c r="B329" t="str">
        <f xml:space="preserve"> "" &amp; 747396101507</f>
        <v>747396101507</v>
      </c>
      <c r="C329" t="s">
        <v>762</v>
      </c>
      <c r="D329" t="s">
        <v>6582</v>
      </c>
      <c r="E329" t="s">
        <v>1104</v>
      </c>
      <c r="F329" t="s">
        <v>323</v>
      </c>
      <c r="G329">
        <v>1</v>
      </c>
      <c r="H329">
        <v>1</v>
      </c>
      <c r="I329" t="s">
        <v>97</v>
      </c>
      <c r="J329" s="10">
        <v>89</v>
      </c>
      <c r="K329" s="10">
        <v>267</v>
      </c>
      <c r="L329" s="10">
        <v>0</v>
      </c>
      <c r="N329" s="10">
        <v>0</v>
      </c>
      <c r="O329" t="s">
        <v>99</v>
      </c>
      <c r="P329" s="10">
        <v>194.95</v>
      </c>
      <c r="S329">
        <v>9</v>
      </c>
      <c r="U329">
        <v>24</v>
      </c>
      <c r="V329">
        <v>6.75</v>
      </c>
      <c r="W329">
        <v>7.69</v>
      </c>
      <c r="X329">
        <v>1</v>
      </c>
      <c r="Y329">
        <v>12</v>
      </c>
      <c r="Z329">
        <v>26.5</v>
      </c>
      <c r="AA329">
        <v>8.5</v>
      </c>
      <c r="AB329">
        <v>1.5640000000000001</v>
      </c>
      <c r="AC329">
        <v>9.24</v>
      </c>
      <c r="AE329">
        <v>3</v>
      </c>
      <c r="AF329" t="s">
        <v>598</v>
      </c>
      <c r="AG329">
        <v>100</v>
      </c>
      <c r="AK329" t="s">
        <v>98</v>
      </c>
      <c r="AL329">
        <v>3</v>
      </c>
      <c r="AM329" t="s">
        <v>98</v>
      </c>
      <c r="AN329" t="s">
        <v>99</v>
      </c>
      <c r="AO329" t="s">
        <v>98</v>
      </c>
      <c r="AP329" t="s">
        <v>100</v>
      </c>
      <c r="AQ329" t="s">
        <v>101</v>
      </c>
      <c r="AV329" t="s">
        <v>98</v>
      </c>
      <c r="AX329" t="s">
        <v>1105</v>
      </c>
      <c r="AZ329" t="s">
        <v>102</v>
      </c>
      <c r="BB329" t="s">
        <v>235</v>
      </c>
      <c r="BC329" t="s">
        <v>1064</v>
      </c>
      <c r="BD329" t="s">
        <v>7528</v>
      </c>
      <c r="BF329" t="s">
        <v>1121</v>
      </c>
      <c r="BG329" t="s">
        <v>98</v>
      </c>
      <c r="BH329" t="s">
        <v>98</v>
      </c>
      <c r="BI329" t="s">
        <v>98</v>
      </c>
      <c r="BK329" t="s">
        <v>127</v>
      </c>
      <c r="BL329" t="s">
        <v>756</v>
      </c>
      <c r="BM329">
        <v>6</v>
      </c>
      <c r="BN329">
        <v>0.75</v>
      </c>
      <c r="CA329">
        <v>3073</v>
      </c>
      <c r="CB329" t="s">
        <v>1105</v>
      </c>
      <c r="CL329" t="s">
        <v>99</v>
      </c>
      <c r="CM329" t="s">
        <v>98</v>
      </c>
      <c r="CN329" t="s">
        <v>442</v>
      </c>
      <c r="CO329" s="1">
        <v>42755</v>
      </c>
      <c r="CP329" s="1">
        <v>43633</v>
      </c>
    </row>
    <row r="330" spans="1:94" x14ac:dyDescent="0.25">
      <c r="A330" t="s">
        <v>1122</v>
      </c>
      <c r="B330" t="str">
        <f xml:space="preserve"> "" &amp; 747396101491</f>
        <v>747396101491</v>
      </c>
      <c r="C330" t="s">
        <v>916</v>
      </c>
      <c r="D330" t="s">
        <v>6582</v>
      </c>
      <c r="E330" t="s">
        <v>1104</v>
      </c>
      <c r="F330" t="s">
        <v>323</v>
      </c>
      <c r="G330">
        <v>1</v>
      </c>
      <c r="H330">
        <v>1</v>
      </c>
      <c r="I330" t="s">
        <v>97</v>
      </c>
      <c r="J330" s="10">
        <v>89</v>
      </c>
      <c r="K330" s="10">
        <v>267</v>
      </c>
      <c r="L330" s="10">
        <v>0</v>
      </c>
      <c r="N330" s="10">
        <v>0</v>
      </c>
      <c r="O330" t="s">
        <v>99</v>
      </c>
      <c r="P330" s="10">
        <v>194.95</v>
      </c>
      <c r="S330">
        <v>9</v>
      </c>
      <c r="U330">
        <v>24</v>
      </c>
      <c r="V330">
        <v>6.75</v>
      </c>
      <c r="W330">
        <v>6.22</v>
      </c>
      <c r="X330">
        <v>1</v>
      </c>
      <c r="Y330">
        <v>12</v>
      </c>
      <c r="Z330">
        <v>26.5</v>
      </c>
      <c r="AA330">
        <v>8.5</v>
      </c>
      <c r="AB330">
        <v>1.5640000000000001</v>
      </c>
      <c r="AC330">
        <v>7.98</v>
      </c>
      <c r="AE330">
        <v>3</v>
      </c>
      <c r="AF330" t="s">
        <v>696</v>
      </c>
      <c r="AG330">
        <v>60</v>
      </c>
      <c r="AK330" t="s">
        <v>98</v>
      </c>
      <c r="AL330">
        <v>3</v>
      </c>
      <c r="AM330" t="s">
        <v>98</v>
      </c>
      <c r="AN330" t="s">
        <v>99</v>
      </c>
      <c r="AO330" t="s">
        <v>98</v>
      </c>
      <c r="AP330" t="s">
        <v>100</v>
      </c>
      <c r="AQ330" t="s">
        <v>101</v>
      </c>
      <c r="AV330" t="s">
        <v>98</v>
      </c>
      <c r="AX330" t="s">
        <v>484</v>
      </c>
      <c r="AZ330" t="s">
        <v>102</v>
      </c>
      <c r="BB330" t="s">
        <v>235</v>
      </c>
      <c r="BC330" t="s">
        <v>1064</v>
      </c>
      <c r="BD330" t="s">
        <v>7528</v>
      </c>
      <c r="BF330" t="s">
        <v>1123</v>
      </c>
      <c r="BG330" t="s">
        <v>98</v>
      </c>
      <c r="BH330" t="s">
        <v>98</v>
      </c>
      <c r="BI330" t="s">
        <v>98</v>
      </c>
      <c r="BK330" t="s">
        <v>127</v>
      </c>
      <c r="BL330" t="s">
        <v>756</v>
      </c>
      <c r="BM330">
        <v>6</v>
      </c>
      <c r="BN330">
        <v>0.75</v>
      </c>
      <c r="BP330">
        <v>6</v>
      </c>
      <c r="CA330">
        <v>3073</v>
      </c>
      <c r="CB330" t="s">
        <v>484</v>
      </c>
      <c r="CL330" t="s">
        <v>99</v>
      </c>
      <c r="CM330" t="s">
        <v>98</v>
      </c>
      <c r="CN330" t="s">
        <v>692</v>
      </c>
      <c r="CO330" s="1">
        <v>42755</v>
      </c>
      <c r="CP330" s="1">
        <v>43633</v>
      </c>
    </row>
    <row r="331" spans="1:94" x14ac:dyDescent="0.25">
      <c r="A331" t="s">
        <v>1124</v>
      </c>
      <c r="B331" t="str">
        <f xml:space="preserve"> "" &amp; 747396101521</f>
        <v>747396101521</v>
      </c>
      <c r="C331" t="s">
        <v>313</v>
      </c>
      <c r="D331" t="s">
        <v>1125</v>
      </c>
      <c r="E331" t="s">
        <v>1104</v>
      </c>
      <c r="F331" t="s">
        <v>314</v>
      </c>
      <c r="G331">
        <v>1</v>
      </c>
      <c r="H331">
        <v>1</v>
      </c>
      <c r="I331" t="s">
        <v>97</v>
      </c>
      <c r="J331" s="10">
        <v>169</v>
      </c>
      <c r="K331" s="10">
        <v>507</v>
      </c>
      <c r="L331" s="10">
        <v>0</v>
      </c>
      <c r="N331" s="10">
        <v>0</v>
      </c>
      <c r="O331" t="s">
        <v>99</v>
      </c>
      <c r="P331" s="10">
        <v>354.95</v>
      </c>
      <c r="S331">
        <v>18.75</v>
      </c>
      <c r="T331">
        <v>38</v>
      </c>
      <c r="U331">
        <v>5</v>
      </c>
      <c r="W331">
        <v>12.46</v>
      </c>
      <c r="X331">
        <v>1</v>
      </c>
      <c r="Y331">
        <v>21</v>
      </c>
      <c r="Z331">
        <v>40.5</v>
      </c>
      <c r="AA331">
        <v>7</v>
      </c>
      <c r="AB331">
        <v>3.4449999999999998</v>
      </c>
      <c r="AC331">
        <v>16.309999999999999</v>
      </c>
      <c r="AE331">
        <v>4</v>
      </c>
      <c r="AF331" t="s">
        <v>696</v>
      </c>
      <c r="AG331">
        <v>100</v>
      </c>
      <c r="AK331" t="s">
        <v>98</v>
      </c>
      <c r="AM331" t="s">
        <v>98</v>
      </c>
      <c r="AN331" t="s">
        <v>99</v>
      </c>
      <c r="AO331" t="s">
        <v>98</v>
      </c>
      <c r="AP331" t="s">
        <v>100</v>
      </c>
      <c r="AQ331" t="s">
        <v>101</v>
      </c>
      <c r="AV331" t="s">
        <v>98</v>
      </c>
      <c r="AX331" t="s">
        <v>1105</v>
      </c>
      <c r="AZ331" t="s">
        <v>102</v>
      </c>
      <c r="BB331" t="s">
        <v>235</v>
      </c>
      <c r="BC331" t="s">
        <v>1064</v>
      </c>
      <c r="BD331" t="s">
        <v>7528</v>
      </c>
      <c r="BF331" t="s">
        <v>1126</v>
      </c>
      <c r="BG331" t="s">
        <v>98</v>
      </c>
      <c r="BH331" t="s">
        <v>98</v>
      </c>
      <c r="BI331" t="s">
        <v>98</v>
      </c>
      <c r="BK331" t="s">
        <v>110</v>
      </c>
      <c r="BL331" t="s">
        <v>7528</v>
      </c>
      <c r="BR331">
        <v>0.75</v>
      </c>
      <c r="BS331">
        <v>8</v>
      </c>
      <c r="BT331">
        <v>4.5</v>
      </c>
      <c r="CA331">
        <v>3074</v>
      </c>
      <c r="CB331" t="s">
        <v>1105</v>
      </c>
      <c r="CL331" t="s">
        <v>99</v>
      </c>
      <c r="CM331" t="s">
        <v>99</v>
      </c>
      <c r="CN331" t="s">
        <v>442</v>
      </c>
      <c r="CO331" s="1">
        <v>42755</v>
      </c>
      <c r="CP331" s="1">
        <v>43633</v>
      </c>
    </row>
    <row r="332" spans="1:94" x14ac:dyDescent="0.25">
      <c r="A332" t="s">
        <v>1127</v>
      </c>
      <c r="B332" t="str">
        <f xml:space="preserve"> "" &amp; 747396101514</f>
        <v>747396101514</v>
      </c>
      <c r="C332" t="s">
        <v>879</v>
      </c>
      <c r="D332" t="s">
        <v>1125</v>
      </c>
      <c r="E332" t="s">
        <v>1104</v>
      </c>
      <c r="F332" t="s">
        <v>314</v>
      </c>
      <c r="G332">
        <v>1</v>
      </c>
      <c r="H332">
        <v>1</v>
      </c>
      <c r="I332" t="s">
        <v>97</v>
      </c>
      <c r="J332" s="10">
        <v>169</v>
      </c>
      <c r="K332" s="10">
        <v>507</v>
      </c>
      <c r="L332" s="10">
        <v>0</v>
      </c>
      <c r="N332" s="10">
        <v>0</v>
      </c>
      <c r="O332" t="s">
        <v>99</v>
      </c>
      <c r="P332" s="10">
        <v>359.95</v>
      </c>
      <c r="S332">
        <v>18.75</v>
      </c>
      <c r="T332">
        <v>38</v>
      </c>
      <c r="U332">
        <v>5</v>
      </c>
      <c r="W332">
        <v>11.79</v>
      </c>
      <c r="X332">
        <v>1</v>
      </c>
      <c r="Y332">
        <v>21</v>
      </c>
      <c r="Z332">
        <v>40.5</v>
      </c>
      <c r="AA332">
        <v>7</v>
      </c>
      <c r="AB332">
        <v>3.4449999999999998</v>
      </c>
      <c r="AC332">
        <v>15.87</v>
      </c>
      <c r="AE332">
        <v>4</v>
      </c>
      <c r="AF332" t="s">
        <v>696</v>
      </c>
      <c r="AG332">
        <v>60</v>
      </c>
      <c r="AK332" t="s">
        <v>98</v>
      </c>
      <c r="AM332" t="s">
        <v>98</v>
      </c>
      <c r="AN332" t="s">
        <v>99</v>
      </c>
      <c r="AO332" t="s">
        <v>98</v>
      </c>
      <c r="AP332" t="s">
        <v>100</v>
      </c>
      <c r="AQ332" t="s">
        <v>101</v>
      </c>
      <c r="AV332" t="s">
        <v>98</v>
      </c>
      <c r="AX332" t="s">
        <v>484</v>
      </c>
      <c r="AZ332" t="s">
        <v>102</v>
      </c>
      <c r="BB332" t="s">
        <v>235</v>
      </c>
      <c r="BC332" t="s">
        <v>1064</v>
      </c>
      <c r="BD332" t="s">
        <v>7528</v>
      </c>
      <c r="BF332" t="s">
        <v>1128</v>
      </c>
      <c r="BG332" t="s">
        <v>98</v>
      </c>
      <c r="BH332" t="s">
        <v>98</v>
      </c>
      <c r="BI332" t="s">
        <v>98</v>
      </c>
      <c r="BK332" t="s">
        <v>110</v>
      </c>
      <c r="BL332" t="s">
        <v>7528</v>
      </c>
      <c r="BR332">
        <v>0.75</v>
      </c>
      <c r="BS332">
        <v>8</v>
      </c>
      <c r="BT332">
        <v>4.5</v>
      </c>
      <c r="CA332" t="s">
        <v>1127</v>
      </c>
      <c r="CB332" t="s">
        <v>484</v>
      </c>
      <c r="CL332" t="s">
        <v>99</v>
      </c>
      <c r="CM332" t="s">
        <v>99</v>
      </c>
      <c r="CN332" t="s">
        <v>442</v>
      </c>
      <c r="CO332" s="1">
        <v>42699</v>
      </c>
      <c r="CP332" s="1">
        <v>43633</v>
      </c>
    </row>
    <row r="333" spans="1:94" x14ac:dyDescent="0.25">
      <c r="A333" t="s">
        <v>1129</v>
      </c>
      <c r="B333" t="str">
        <f xml:space="preserve"> "" &amp; 747396101545</f>
        <v>747396101545</v>
      </c>
      <c r="C333" t="s">
        <v>1063</v>
      </c>
      <c r="D333" t="s">
        <v>1130</v>
      </c>
      <c r="E333" t="s">
        <v>1104</v>
      </c>
      <c r="F333" t="s">
        <v>249</v>
      </c>
      <c r="G333">
        <v>1</v>
      </c>
      <c r="H333">
        <v>1</v>
      </c>
      <c r="I333" t="s">
        <v>97</v>
      </c>
      <c r="J333" s="10">
        <v>169</v>
      </c>
      <c r="K333" s="10">
        <v>507</v>
      </c>
      <c r="L333" s="10">
        <v>0</v>
      </c>
      <c r="N333" s="10">
        <v>0</v>
      </c>
      <c r="O333" t="s">
        <v>99</v>
      </c>
      <c r="P333" s="10">
        <v>359.95</v>
      </c>
      <c r="S333">
        <v>22</v>
      </c>
      <c r="T333">
        <v>25.5</v>
      </c>
      <c r="U333">
        <v>25.5</v>
      </c>
      <c r="W333">
        <v>15.12</v>
      </c>
      <c r="X333">
        <v>1</v>
      </c>
      <c r="Y333">
        <v>8.75</v>
      </c>
      <c r="Z333">
        <v>24.88</v>
      </c>
      <c r="AA333">
        <v>24.88</v>
      </c>
      <c r="AB333">
        <v>3.1339999999999999</v>
      </c>
      <c r="AC333">
        <v>18.940000000000001</v>
      </c>
      <c r="AE333">
        <v>5</v>
      </c>
      <c r="AF333" t="s">
        <v>598</v>
      </c>
      <c r="AG333">
        <v>100</v>
      </c>
      <c r="AK333" t="s">
        <v>98</v>
      </c>
      <c r="AM333" t="s">
        <v>98</v>
      </c>
      <c r="AN333" t="s">
        <v>99</v>
      </c>
      <c r="AO333" t="s">
        <v>98</v>
      </c>
      <c r="AP333" t="s">
        <v>100</v>
      </c>
      <c r="AQ333" t="s">
        <v>101</v>
      </c>
      <c r="AV333" t="s">
        <v>98</v>
      </c>
      <c r="AX333" t="s">
        <v>1105</v>
      </c>
      <c r="AZ333" t="s">
        <v>102</v>
      </c>
      <c r="BB333" t="s">
        <v>235</v>
      </c>
      <c r="BC333" t="s">
        <v>1064</v>
      </c>
      <c r="BD333" t="s">
        <v>7528</v>
      </c>
      <c r="BF333" t="s">
        <v>1131</v>
      </c>
      <c r="BG333" t="s">
        <v>98</v>
      </c>
      <c r="BH333" t="s">
        <v>98</v>
      </c>
      <c r="BI333" t="s">
        <v>98</v>
      </c>
      <c r="BK333" t="s">
        <v>110</v>
      </c>
      <c r="BL333" t="s">
        <v>7528</v>
      </c>
      <c r="BR333">
        <v>0.75</v>
      </c>
      <c r="BS333">
        <v>5</v>
      </c>
      <c r="BT333">
        <v>5</v>
      </c>
      <c r="CA333" t="s">
        <v>1129</v>
      </c>
      <c r="CB333" t="s">
        <v>1105</v>
      </c>
      <c r="CL333" t="s">
        <v>99</v>
      </c>
      <c r="CM333" t="s">
        <v>99</v>
      </c>
      <c r="CN333" t="s">
        <v>442</v>
      </c>
      <c r="CO333" s="1">
        <v>42755</v>
      </c>
      <c r="CP333" s="1">
        <v>43633</v>
      </c>
    </row>
    <row r="334" spans="1:94" x14ac:dyDescent="0.25">
      <c r="A334" t="s">
        <v>1132</v>
      </c>
      <c r="B334" t="str">
        <f xml:space="preserve"> "" &amp; 747396101538</f>
        <v>747396101538</v>
      </c>
      <c r="C334" t="s">
        <v>1063</v>
      </c>
      <c r="D334" t="s">
        <v>1130</v>
      </c>
      <c r="E334" t="s">
        <v>1104</v>
      </c>
      <c r="F334" t="s">
        <v>249</v>
      </c>
      <c r="G334">
        <v>1</v>
      </c>
      <c r="H334">
        <v>1</v>
      </c>
      <c r="I334" t="s">
        <v>97</v>
      </c>
      <c r="J334" s="10">
        <v>169</v>
      </c>
      <c r="K334" s="10">
        <v>507</v>
      </c>
      <c r="L334" s="10">
        <v>0</v>
      </c>
      <c r="N334" s="10">
        <v>0</v>
      </c>
      <c r="O334" t="s">
        <v>99</v>
      </c>
      <c r="P334" s="10">
        <v>359.95</v>
      </c>
      <c r="S334">
        <v>22</v>
      </c>
      <c r="T334">
        <v>25.5</v>
      </c>
      <c r="U334">
        <v>25.5</v>
      </c>
      <c r="W334">
        <v>12.83</v>
      </c>
      <c r="X334">
        <v>1</v>
      </c>
      <c r="Y334">
        <v>8.75</v>
      </c>
      <c r="Z334">
        <v>24.88</v>
      </c>
      <c r="AA334">
        <v>24.88</v>
      </c>
      <c r="AB334">
        <v>3.1339999999999999</v>
      </c>
      <c r="AC334">
        <v>16.399999999999999</v>
      </c>
      <c r="AE334">
        <v>5</v>
      </c>
      <c r="AF334" t="s">
        <v>696</v>
      </c>
      <c r="AG334">
        <v>60</v>
      </c>
      <c r="AK334" t="s">
        <v>98</v>
      </c>
      <c r="AM334" t="s">
        <v>98</v>
      </c>
      <c r="AN334" t="s">
        <v>99</v>
      </c>
      <c r="AO334" t="s">
        <v>98</v>
      </c>
      <c r="AP334" t="s">
        <v>100</v>
      </c>
      <c r="AQ334" t="s">
        <v>101</v>
      </c>
      <c r="AV334" t="s">
        <v>98</v>
      </c>
      <c r="AX334" t="s">
        <v>484</v>
      </c>
      <c r="AZ334" t="s">
        <v>392</v>
      </c>
      <c r="BB334" t="s">
        <v>235</v>
      </c>
      <c r="BC334" t="s">
        <v>1064</v>
      </c>
      <c r="BD334" t="s">
        <v>7528</v>
      </c>
      <c r="BF334" t="s">
        <v>1133</v>
      </c>
      <c r="BG334" t="s">
        <v>98</v>
      </c>
      <c r="BH334" t="s">
        <v>98</v>
      </c>
      <c r="BI334" t="s">
        <v>98</v>
      </c>
      <c r="BK334" t="s">
        <v>110</v>
      </c>
      <c r="BL334" t="s">
        <v>7528</v>
      </c>
      <c r="BQ334">
        <v>5</v>
      </c>
      <c r="BR334">
        <v>0.75</v>
      </c>
      <c r="BS334">
        <v>5</v>
      </c>
      <c r="BT334">
        <v>5</v>
      </c>
      <c r="CA334">
        <v>3075</v>
      </c>
      <c r="CB334" t="s">
        <v>484</v>
      </c>
      <c r="CL334" t="s">
        <v>99</v>
      </c>
      <c r="CM334" t="s">
        <v>99</v>
      </c>
      <c r="CN334" t="s">
        <v>442</v>
      </c>
      <c r="CO334" s="1">
        <v>42755</v>
      </c>
      <c r="CP334" s="1">
        <v>43633</v>
      </c>
    </row>
    <row r="335" spans="1:94" x14ac:dyDescent="0.25">
      <c r="A335" t="s">
        <v>1134</v>
      </c>
      <c r="B335" t="str">
        <f xml:space="preserve"> "" &amp; 747396101569</f>
        <v>747396101569</v>
      </c>
      <c r="C335" t="s">
        <v>1135</v>
      </c>
      <c r="D335" t="s">
        <v>1136</v>
      </c>
      <c r="E335" t="s">
        <v>1104</v>
      </c>
      <c r="F335" t="s">
        <v>314</v>
      </c>
      <c r="G335">
        <v>1</v>
      </c>
      <c r="H335">
        <v>1</v>
      </c>
      <c r="I335" t="s">
        <v>97</v>
      </c>
      <c r="J335" s="10">
        <v>229</v>
      </c>
      <c r="K335" s="10">
        <v>687</v>
      </c>
      <c r="L335" s="10">
        <v>0</v>
      </c>
      <c r="N335" s="10">
        <v>0</v>
      </c>
      <c r="O335" t="s">
        <v>99</v>
      </c>
      <c r="P335" s="10">
        <v>479.95</v>
      </c>
      <c r="S335">
        <v>23.5</v>
      </c>
      <c r="T335">
        <v>38</v>
      </c>
      <c r="U335">
        <v>14</v>
      </c>
      <c r="W335">
        <v>18.89</v>
      </c>
      <c r="X335">
        <v>1</v>
      </c>
      <c r="Y335">
        <v>14.5</v>
      </c>
      <c r="Z335">
        <v>40.380000000000003</v>
      </c>
      <c r="AA335">
        <v>14.25</v>
      </c>
      <c r="AB335">
        <v>4.8280000000000003</v>
      </c>
      <c r="AC335">
        <v>23.3</v>
      </c>
      <c r="AE335">
        <v>5</v>
      </c>
      <c r="AF335" t="s">
        <v>598</v>
      </c>
      <c r="AG335">
        <v>100</v>
      </c>
      <c r="AK335" t="s">
        <v>98</v>
      </c>
      <c r="AM335" t="s">
        <v>98</v>
      </c>
      <c r="AN335" t="s">
        <v>99</v>
      </c>
      <c r="AO335" t="s">
        <v>98</v>
      </c>
      <c r="AP335" t="s">
        <v>100</v>
      </c>
      <c r="AQ335" t="s">
        <v>101</v>
      </c>
      <c r="AV335" t="s">
        <v>98</v>
      </c>
      <c r="AX335" t="s">
        <v>1105</v>
      </c>
      <c r="AZ335" t="s">
        <v>102</v>
      </c>
      <c r="BB335" t="s">
        <v>235</v>
      </c>
      <c r="BC335" t="s">
        <v>1137</v>
      </c>
      <c r="BD335" t="s">
        <v>7528</v>
      </c>
      <c r="BF335" t="s">
        <v>1138</v>
      </c>
      <c r="BG335" t="s">
        <v>98</v>
      </c>
      <c r="BH335" t="s">
        <v>98</v>
      </c>
      <c r="BI335" t="s">
        <v>98</v>
      </c>
      <c r="BK335" t="s">
        <v>110</v>
      </c>
      <c r="BL335" t="s">
        <v>7528</v>
      </c>
      <c r="BR335">
        <v>0.75</v>
      </c>
      <c r="BS335">
        <v>8</v>
      </c>
      <c r="BT335">
        <v>4.5</v>
      </c>
      <c r="CA335">
        <v>3076</v>
      </c>
      <c r="CB335" t="s">
        <v>1105</v>
      </c>
      <c r="CL335" t="s">
        <v>99</v>
      </c>
      <c r="CM335" t="s">
        <v>99</v>
      </c>
      <c r="CN335" t="s">
        <v>442</v>
      </c>
      <c r="CO335" s="1">
        <v>42755</v>
      </c>
      <c r="CP335" s="1">
        <v>43633</v>
      </c>
    </row>
    <row r="336" spans="1:94" x14ac:dyDescent="0.25">
      <c r="A336" t="s">
        <v>1139</v>
      </c>
      <c r="B336" t="str">
        <f xml:space="preserve"> "" &amp; 747396101552</f>
        <v>747396101552</v>
      </c>
      <c r="C336" t="s">
        <v>879</v>
      </c>
      <c r="D336" t="s">
        <v>1125</v>
      </c>
      <c r="E336" t="s">
        <v>1104</v>
      </c>
      <c r="F336" t="s">
        <v>314</v>
      </c>
      <c r="G336">
        <v>1</v>
      </c>
      <c r="H336">
        <v>1</v>
      </c>
      <c r="I336" t="s">
        <v>97</v>
      </c>
      <c r="J336" s="10">
        <v>229</v>
      </c>
      <c r="K336" s="10">
        <v>687</v>
      </c>
      <c r="L336" s="10">
        <v>0</v>
      </c>
      <c r="N336" s="10">
        <v>0</v>
      </c>
      <c r="O336" t="s">
        <v>99</v>
      </c>
      <c r="P336" s="10">
        <v>479.95</v>
      </c>
      <c r="S336">
        <v>23.5</v>
      </c>
      <c r="T336">
        <v>38</v>
      </c>
      <c r="U336">
        <v>14</v>
      </c>
      <c r="W336">
        <v>18.739999999999998</v>
      </c>
      <c r="X336">
        <v>1</v>
      </c>
      <c r="Y336">
        <v>14.5</v>
      </c>
      <c r="Z336">
        <v>40.380000000000003</v>
      </c>
      <c r="AA336">
        <v>14.25</v>
      </c>
      <c r="AB336">
        <v>4.8280000000000003</v>
      </c>
      <c r="AC336">
        <v>23.15</v>
      </c>
      <c r="AE336">
        <v>6</v>
      </c>
      <c r="AF336" t="s">
        <v>745</v>
      </c>
      <c r="AG336">
        <v>60</v>
      </c>
      <c r="AK336" t="s">
        <v>98</v>
      </c>
      <c r="AM336" t="s">
        <v>98</v>
      </c>
      <c r="AN336" t="s">
        <v>99</v>
      </c>
      <c r="AO336" t="s">
        <v>98</v>
      </c>
      <c r="AP336" t="s">
        <v>100</v>
      </c>
      <c r="AQ336" t="s">
        <v>101</v>
      </c>
      <c r="AV336" t="s">
        <v>98</v>
      </c>
      <c r="AX336" t="s">
        <v>484</v>
      </c>
      <c r="AZ336" t="s">
        <v>102</v>
      </c>
      <c r="BB336" t="s">
        <v>235</v>
      </c>
      <c r="BC336" t="s">
        <v>1064</v>
      </c>
      <c r="BD336" t="s">
        <v>7528</v>
      </c>
      <c r="BF336" t="s">
        <v>1140</v>
      </c>
      <c r="BG336" t="s">
        <v>98</v>
      </c>
      <c r="BH336" t="s">
        <v>98</v>
      </c>
      <c r="BI336" t="s">
        <v>98</v>
      </c>
      <c r="BK336" t="s">
        <v>110</v>
      </c>
      <c r="BL336" t="s">
        <v>7528</v>
      </c>
      <c r="BR336">
        <v>0.75</v>
      </c>
      <c r="BS336">
        <v>8</v>
      </c>
      <c r="BT336">
        <v>4.5</v>
      </c>
      <c r="CA336">
        <v>3076</v>
      </c>
      <c r="CB336" t="s">
        <v>484</v>
      </c>
      <c r="CL336" t="s">
        <v>99</v>
      </c>
      <c r="CM336" t="s">
        <v>99</v>
      </c>
      <c r="CN336" t="s">
        <v>442</v>
      </c>
      <c r="CO336" s="1">
        <v>42699</v>
      </c>
      <c r="CP336" s="1">
        <v>43633</v>
      </c>
    </row>
    <row r="337" spans="1:94" x14ac:dyDescent="0.25">
      <c r="A337" t="s">
        <v>1141</v>
      </c>
      <c r="B337" t="str">
        <f xml:space="preserve"> "" &amp; 747396101583</f>
        <v>747396101583</v>
      </c>
      <c r="C337" t="s">
        <v>1063</v>
      </c>
      <c r="D337" t="s">
        <v>1142</v>
      </c>
      <c r="E337" t="s">
        <v>1104</v>
      </c>
      <c r="F337" t="s">
        <v>249</v>
      </c>
      <c r="G337">
        <v>1</v>
      </c>
      <c r="H337">
        <v>1</v>
      </c>
      <c r="I337" t="s">
        <v>97</v>
      </c>
      <c r="J337" s="10">
        <v>129</v>
      </c>
      <c r="K337" s="10">
        <v>387</v>
      </c>
      <c r="L337" s="10">
        <v>0</v>
      </c>
      <c r="N337" s="10">
        <v>0</v>
      </c>
      <c r="O337" t="s">
        <v>99</v>
      </c>
      <c r="P337" s="10">
        <v>269.95</v>
      </c>
      <c r="S337">
        <v>19</v>
      </c>
      <c r="U337">
        <v>22</v>
      </c>
      <c r="W337">
        <v>11.02</v>
      </c>
      <c r="X337">
        <v>1</v>
      </c>
      <c r="Y337">
        <v>8.75</v>
      </c>
      <c r="Z337">
        <v>21.5</v>
      </c>
      <c r="AA337">
        <v>20.25</v>
      </c>
      <c r="AB337">
        <v>2.2050000000000001</v>
      </c>
      <c r="AC337">
        <v>13.82</v>
      </c>
      <c r="AE337">
        <v>3</v>
      </c>
      <c r="AF337" t="s">
        <v>598</v>
      </c>
      <c r="AG337">
        <v>100</v>
      </c>
      <c r="AK337" t="s">
        <v>98</v>
      </c>
      <c r="AM337" t="s">
        <v>98</v>
      </c>
      <c r="AN337" t="s">
        <v>99</v>
      </c>
      <c r="AO337" t="s">
        <v>98</v>
      </c>
      <c r="AP337" t="s">
        <v>100</v>
      </c>
      <c r="AQ337" t="s">
        <v>101</v>
      </c>
      <c r="AV337" t="s">
        <v>98</v>
      </c>
      <c r="AX337" t="s">
        <v>1105</v>
      </c>
      <c r="AZ337" t="s">
        <v>102</v>
      </c>
      <c r="BB337" t="s">
        <v>235</v>
      </c>
      <c r="BC337" t="s">
        <v>1137</v>
      </c>
      <c r="BD337" t="s">
        <v>7528</v>
      </c>
      <c r="BF337" t="s">
        <v>1143</v>
      </c>
      <c r="BG337" t="s">
        <v>98</v>
      </c>
      <c r="BH337" t="s">
        <v>98</v>
      </c>
      <c r="BI337" t="s">
        <v>98</v>
      </c>
      <c r="BK337" t="s">
        <v>110</v>
      </c>
      <c r="BL337" t="s">
        <v>7528</v>
      </c>
      <c r="BR337">
        <v>0.75</v>
      </c>
      <c r="BS337">
        <v>5</v>
      </c>
      <c r="BT337">
        <v>5</v>
      </c>
      <c r="CA337">
        <v>3077</v>
      </c>
      <c r="CB337" t="s">
        <v>1105</v>
      </c>
      <c r="CL337" t="s">
        <v>99</v>
      </c>
      <c r="CM337" t="s">
        <v>99</v>
      </c>
      <c r="CN337" t="s">
        <v>442</v>
      </c>
      <c r="CO337" s="1">
        <v>42755</v>
      </c>
      <c r="CP337" s="1">
        <v>43633</v>
      </c>
    </row>
    <row r="338" spans="1:94" x14ac:dyDescent="0.25">
      <c r="A338" t="s">
        <v>1144</v>
      </c>
      <c r="B338" t="str">
        <f xml:space="preserve"> "" &amp; 747396101576</f>
        <v>747396101576</v>
      </c>
      <c r="C338" t="s">
        <v>1063</v>
      </c>
      <c r="D338" t="s">
        <v>1142</v>
      </c>
      <c r="E338" t="s">
        <v>1104</v>
      </c>
      <c r="F338" t="s">
        <v>249</v>
      </c>
      <c r="G338">
        <v>1</v>
      </c>
      <c r="H338">
        <v>1</v>
      </c>
      <c r="I338" t="s">
        <v>97</v>
      </c>
      <c r="J338" s="10">
        <v>129</v>
      </c>
      <c r="K338" s="10">
        <v>387</v>
      </c>
      <c r="L338" s="10">
        <v>0</v>
      </c>
      <c r="N338" s="10">
        <v>0</v>
      </c>
      <c r="O338" t="s">
        <v>99</v>
      </c>
      <c r="P338" s="10">
        <v>269.95</v>
      </c>
      <c r="S338">
        <v>19</v>
      </c>
      <c r="T338">
        <v>22</v>
      </c>
      <c r="U338">
        <v>22</v>
      </c>
      <c r="W338">
        <v>9.3699999999999992</v>
      </c>
      <c r="X338">
        <v>1</v>
      </c>
      <c r="Y338">
        <v>8.75</v>
      </c>
      <c r="Z338">
        <v>21.5</v>
      </c>
      <c r="AA338">
        <v>20.25</v>
      </c>
      <c r="AB338">
        <v>2.2050000000000001</v>
      </c>
      <c r="AC338">
        <v>11.02</v>
      </c>
      <c r="AE338">
        <v>3</v>
      </c>
      <c r="AF338" t="s">
        <v>696</v>
      </c>
      <c r="AG338">
        <v>60</v>
      </c>
      <c r="AK338" t="s">
        <v>98</v>
      </c>
      <c r="AM338" t="s">
        <v>98</v>
      </c>
      <c r="AN338" t="s">
        <v>99</v>
      </c>
      <c r="AO338" t="s">
        <v>98</v>
      </c>
      <c r="AP338" t="s">
        <v>100</v>
      </c>
      <c r="AQ338" t="s">
        <v>101</v>
      </c>
      <c r="AV338" t="s">
        <v>98</v>
      </c>
      <c r="AX338" t="s">
        <v>1145</v>
      </c>
      <c r="AZ338" t="s">
        <v>102</v>
      </c>
      <c r="BB338" t="s">
        <v>235</v>
      </c>
      <c r="BC338" t="s">
        <v>1064</v>
      </c>
      <c r="BD338" t="s">
        <v>7528</v>
      </c>
      <c r="BF338" t="s">
        <v>1146</v>
      </c>
      <c r="BG338" t="s">
        <v>98</v>
      </c>
      <c r="BH338" t="s">
        <v>98</v>
      </c>
      <c r="BI338" t="s">
        <v>98</v>
      </c>
      <c r="BK338" t="s">
        <v>110</v>
      </c>
      <c r="BL338" t="s">
        <v>7528</v>
      </c>
      <c r="BQ338">
        <v>5</v>
      </c>
      <c r="BR338">
        <v>0.75</v>
      </c>
      <c r="BS338">
        <v>5</v>
      </c>
      <c r="BT338">
        <v>5</v>
      </c>
      <c r="CA338">
        <v>3077</v>
      </c>
      <c r="CB338" t="s">
        <v>1145</v>
      </c>
      <c r="CL338" t="s">
        <v>99</v>
      </c>
      <c r="CM338" t="s">
        <v>99</v>
      </c>
      <c r="CN338" t="s">
        <v>442</v>
      </c>
      <c r="CO338" s="1">
        <v>42755</v>
      </c>
      <c r="CP338" s="1">
        <v>43633</v>
      </c>
    </row>
    <row r="339" spans="1:94" x14ac:dyDescent="0.25">
      <c r="A339" t="s">
        <v>1147</v>
      </c>
      <c r="B339" t="str">
        <f xml:space="preserve"> "" &amp; 747396103471</f>
        <v>747396103471</v>
      </c>
      <c r="C339" t="s">
        <v>569</v>
      </c>
      <c r="D339" t="s">
        <v>1148</v>
      </c>
      <c r="E339" t="s">
        <v>1104</v>
      </c>
      <c r="F339" t="s">
        <v>478</v>
      </c>
      <c r="G339">
        <v>1</v>
      </c>
      <c r="H339">
        <v>1</v>
      </c>
      <c r="I339" t="s">
        <v>97</v>
      </c>
      <c r="J339" s="10">
        <v>89</v>
      </c>
      <c r="K339" s="10">
        <v>267</v>
      </c>
      <c r="L339" s="10">
        <v>0</v>
      </c>
      <c r="N339" s="10">
        <v>0</v>
      </c>
      <c r="O339" t="s">
        <v>99</v>
      </c>
      <c r="P339" s="10">
        <v>189.95</v>
      </c>
      <c r="S339">
        <v>7.75</v>
      </c>
      <c r="T339">
        <v>16</v>
      </c>
      <c r="U339">
        <v>16</v>
      </c>
      <c r="W339">
        <v>6.17</v>
      </c>
      <c r="X339">
        <v>1</v>
      </c>
      <c r="Y339">
        <v>10</v>
      </c>
      <c r="Z339">
        <v>18.25</v>
      </c>
      <c r="AA339">
        <v>18.25</v>
      </c>
      <c r="AB339">
        <v>1.927</v>
      </c>
      <c r="AC339">
        <v>9.0399999999999991</v>
      </c>
      <c r="AE339">
        <v>3</v>
      </c>
      <c r="AF339" t="s">
        <v>598</v>
      </c>
      <c r="AG339">
        <v>60</v>
      </c>
      <c r="AK339" t="s">
        <v>98</v>
      </c>
      <c r="AM339" t="s">
        <v>98</v>
      </c>
      <c r="AN339" t="s">
        <v>99</v>
      </c>
      <c r="AO339" t="s">
        <v>98</v>
      </c>
      <c r="AP339" t="s">
        <v>100</v>
      </c>
      <c r="AQ339" t="s">
        <v>101</v>
      </c>
      <c r="AV339" t="s">
        <v>98</v>
      </c>
      <c r="AX339" t="s">
        <v>1105</v>
      </c>
      <c r="AZ339" t="s">
        <v>102</v>
      </c>
      <c r="BB339" t="s">
        <v>197</v>
      </c>
      <c r="BC339" t="s">
        <v>7528</v>
      </c>
      <c r="BD339" t="s">
        <v>7528</v>
      </c>
      <c r="BF339" t="s">
        <v>1149</v>
      </c>
      <c r="BG339" t="s">
        <v>98</v>
      </c>
      <c r="BH339" t="s">
        <v>98</v>
      </c>
      <c r="BI339" t="s">
        <v>98</v>
      </c>
      <c r="BK339" t="s">
        <v>127</v>
      </c>
      <c r="BL339" t="s">
        <v>7528</v>
      </c>
      <c r="BR339">
        <v>1.1299999999999999</v>
      </c>
      <c r="BS339">
        <v>14.13</v>
      </c>
      <c r="BT339">
        <v>14.13</v>
      </c>
      <c r="CA339">
        <v>3078</v>
      </c>
      <c r="CB339" t="s">
        <v>1105</v>
      </c>
      <c r="CL339" t="s">
        <v>99</v>
      </c>
      <c r="CM339" t="s">
        <v>98</v>
      </c>
      <c r="CN339" t="s">
        <v>305</v>
      </c>
      <c r="CO339" s="1">
        <v>42908</v>
      </c>
      <c r="CP339" s="1">
        <v>43633</v>
      </c>
    </row>
    <row r="340" spans="1:94" x14ac:dyDescent="0.25">
      <c r="A340" t="s">
        <v>1150</v>
      </c>
      <c r="B340" t="str">
        <f xml:space="preserve"> "" &amp; 747396103464</f>
        <v>747396103464</v>
      </c>
      <c r="C340" t="s">
        <v>569</v>
      </c>
      <c r="D340" t="s">
        <v>1148</v>
      </c>
      <c r="E340" t="s">
        <v>1104</v>
      </c>
      <c r="F340" t="s">
        <v>478</v>
      </c>
      <c r="G340">
        <v>1</v>
      </c>
      <c r="H340">
        <v>1</v>
      </c>
      <c r="I340" t="s">
        <v>97</v>
      </c>
      <c r="J340" s="10">
        <v>89</v>
      </c>
      <c r="K340" s="10">
        <v>267</v>
      </c>
      <c r="L340" s="10">
        <v>0</v>
      </c>
      <c r="N340" s="10">
        <v>0</v>
      </c>
      <c r="O340" t="s">
        <v>99</v>
      </c>
      <c r="P340" s="10">
        <v>189.95</v>
      </c>
      <c r="S340">
        <v>7.75</v>
      </c>
      <c r="U340">
        <v>16</v>
      </c>
      <c r="W340">
        <v>6.17</v>
      </c>
      <c r="X340">
        <v>1</v>
      </c>
      <c r="Y340">
        <v>10</v>
      </c>
      <c r="Z340">
        <v>18.25</v>
      </c>
      <c r="AA340">
        <v>18.25</v>
      </c>
      <c r="AB340">
        <v>1.927</v>
      </c>
      <c r="AC340">
        <v>9.0399999999999991</v>
      </c>
      <c r="AE340">
        <v>3</v>
      </c>
      <c r="AF340" t="s">
        <v>282</v>
      </c>
      <c r="AG340">
        <v>60</v>
      </c>
      <c r="AK340" t="s">
        <v>98</v>
      </c>
      <c r="AM340" t="s">
        <v>98</v>
      </c>
      <c r="AN340" t="s">
        <v>99</v>
      </c>
      <c r="AO340" t="s">
        <v>98</v>
      </c>
      <c r="AP340" t="s">
        <v>100</v>
      </c>
      <c r="AQ340" t="s">
        <v>101</v>
      </c>
      <c r="AV340" t="s">
        <v>98</v>
      </c>
      <c r="AX340" t="s">
        <v>484</v>
      </c>
      <c r="AZ340" t="s">
        <v>124</v>
      </c>
      <c r="BB340" t="s">
        <v>197</v>
      </c>
      <c r="BC340" t="s">
        <v>7528</v>
      </c>
      <c r="BD340" t="s">
        <v>7528</v>
      </c>
      <c r="BF340" t="s">
        <v>1151</v>
      </c>
      <c r="BG340" t="s">
        <v>98</v>
      </c>
      <c r="BH340" t="s">
        <v>98</v>
      </c>
      <c r="BI340" t="s">
        <v>98</v>
      </c>
      <c r="BK340" t="s">
        <v>127</v>
      </c>
      <c r="BL340" t="s">
        <v>7528</v>
      </c>
      <c r="BR340">
        <v>1</v>
      </c>
      <c r="BT340">
        <v>14.13</v>
      </c>
      <c r="CA340">
        <v>3078</v>
      </c>
      <c r="CB340" t="s">
        <v>484</v>
      </c>
      <c r="CL340" t="s">
        <v>99</v>
      </c>
      <c r="CM340" t="s">
        <v>98</v>
      </c>
      <c r="CN340" t="s">
        <v>305</v>
      </c>
      <c r="CO340" s="1">
        <v>42906</v>
      </c>
      <c r="CP340" s="1">
        <v>43633</v>
      </c>
    </row>
    <row r="341" spans="1:94" x14ac:dyDescent="0.25">
      <c r="A341" t="s">
        <v>1152</v>
      </c>
      <c r="B341" t="str">
        <f xml:space="preserve"> "" &amp; 747396103532</f>
        <v>747396103532</v>
      </c>
      <c r="C341" t="s">
        <v>1063</v>
      </c>
      <c r="D341" t="s">
        <v>1153</v>
      </c>
      <c r="E341" t="s">
        <v>1104</v>
      </c>
      <c r="F341" t="s">
        <v>249</v>
      </c>
      <c r="G341">
        <v>1</v>
      </c>
      <c r="H341">
        <v>1</v>
      </c>
      <c r="I341" t="s">
        <v>97</v>
      </c>
      <c r="J341" s="10">
        <v>409</v>
      </c>
      <c r="K341" s="10">
        <v>1227</v>
      </c>
      <c r="L341" s="10">
        <v>0</v>
      </c>
      <c r="N341" s="10">
        <v>0</v>
      </c>
      <c r="O341" t="s">
        <v>99</v>
      </c>
      <c r="P341" s="10">
        <v>859.95</v>
      </c>
      <c r="S341">
        <v>30.5</v>
      </c>
      <c r="T341">
        <v>32</v>
      </c>
      <c r="U341">
        <v>32</v>
      </c>
      <c r="W341">
        <v>24.91</v>
      </c>
      <c r="X341">
        <v>1</v>
      </c>
      <c r="Y341">
        <v>14.5</v>
      </c>
      <c r="Z341">
        <v>32.5</v>
      </c>
      <c r="AA341">
        <v>29</v>
      </c>
      <c r="AB341">
        <v>7.9089999999999998</v>
      </c>
      <c r="AC341">
        <v>32.229999999999997</v>
      </c>
      <c r="AE341">
        <v>9</v>
      </c>
      <c r="AF341" t="s">
        <v>598</v>
      </c>
      <c r="AG341">
        <v>60</v>
      </c>
      <c r="AK341" t="s">
        <v>98</v>
      </c>
      <c r="AM341" t="s">
        <v>98</v>
      </c>
      <c r="AN341" t="s">
        <v>99</v>
      </c>
      <c r="AO341" t="s">
        <v>98</v>
      </c>
      <c r="AP341" t="s">
        <v>100</v>
      </c>
      <c r="AQ341" t="s">
        <v>101</v>
      </c>
      <c r="AV341" t="s">
        <v>98</v>
      </c>
      <c r="AX341" t="s">
        <v>1105</v>
      </c>
      <c r="AZ341" t="s">
        <v>102</v>
      </c>
      <c r="BB341" t="s">
        <v>235</v>
      </c>
      <c r="BC341" t="s">
        <v>746</v>
      </c>
      <c r="BD341" t="s">
        <v>7528</v>
      </c>
      <c r="BF341" t="s">
        <v>1154</v>
      </c>
      <c r="BG341" t="s">
        <v>98</v>
      </c>
      <c r="BH341" t="s">
        <v>98</v>
      </c>
      <c r="BI341" t="s">
        <v>98</v>
      </c>
      <c r="BK341" t="s">
        <v>110</v>
      </c>
      <c r="BL341" t="s">
        <v>7528</v>
      </c>
      <c r="BR341">
        <v>0.75</v>
      </c>
      <c r="BS341">
        <v>5</v>
      </c>
      <c r="BT341">
        <v>5</v>
      </c>
      <c r="CA341">
        <v>3079</v>
      </c>
      <c r="CB341" t="s">
        <v>1105</v>
      </c>
      <c r="CL341" t="s">
        <v>99</v>
      </c>
      <c r="CM341" t="s">
        <v>98</v>
      </c>
      <c r="CN341" t="s">
        <v>442</v>
      </c>
      <c r="CO341" s="1">
        <v>42908</v>
      </c>
      <c r="CP341" s="1">
        <v>43633</v>
      </c>
    </row>
    <row r="342" spans="1:94" x14ac:dyDescent="0.25">
      <c r="A342" t="s">
        <v>1155</v>
      </c>
      <c r="B342" t="str">
        <f xml:space="preserve"> "" &amp; 747396103525</f>
        <v>747396103525</v>
      </c>
      <c r="C342" t="s">
        <v>1063</v>
      </c>
      <c r="D342" t="s">
        <v>1153</v>
      </c>
      <c r="E342" t="s">
        <v>1104</v>
      </c>
      <c r="F342" t="s">
        <v>249</v>
      </c>
      <c r="G342">
        <v>1</v>
      </c>
      <c r="H342">
        <v>1</v>
      </c>
      <c r="I342" t="s">
        <v>97</v>
      </c>
      <c r="J342" s="10">
        <v>409</v>
      </c>
      <c r="K342" s="10">
        <v>1227</v>
      </c>
      <c r="L342" s="10">
        <v>0</v>
      </c>
      <c r="N342" s="10">
        <v>0</v>
      </c>
      <c r="O342" t="s">
        <v>99</v>
      </c>
      <c r="P342" s="10">
        <v>859.95</v>
      </c>
      <c r="S342">
        <v>30.5</v>
      </c>
      <c r="U342">
        <v>32</v>
      </c>
      <c r="W342">
        <v>22.99</v>
      </c>
      <c r="X342">
        <v>1</v>
      </c>
      <c r="Y342">
        <v>14.5</v>
      </c>
      <c r="Z342">
        <v>32.5</v>
      </c>
      <c r="AA342">
        <v>29</v>
      </c>
      <c r="AB342">
        <v>7.9089999999999998</v>
      </c>
      <c r="AC342">
        <v>29.98</v>
      </c>
      <c r="AE342">
        <v>9</v>
      </c>
      <c r="AF342" t="s">
        <v>696</v>
      </c>
      <c r="AG342">
        <v>60</v>
      </c>
      <c r="AK342" t="s">
        <v>98</v>
      </c>
      <c r="AM342" t="s">
        <v>98</v>
      </c>
      <c r="AN342" t="s">
        <v>99</v>
      </c>
      <c r="AO342" t="s">
        <v>98</v>
      </c>
      <c r="AP342" t="s">
        <v>100</v>
      </c>
      <c r="AQ342" t="s">
        <v>101</v>
      </c>
      <c r="AV342" t="s">
        <v>98</v>
      </c>
      <c r="AX342" t="s">
        <v>484</v>
      </c>
      <c r="AZ342" t="s">
        <v>102</v>
      </c>
      <c r="BB342" t="s">
        <v>235</v>
      </c>
      <c r="BC342" t="s">
        <v>746</v>
      </c>
      <c r="BD342" t="s">
        <v>7528</v>
      </c>
      <c r="BF342" t="s">
        <v>1156</v>
      </c>
      <c r="BG342" t="s">
        <v>98</v>
      </c>
      <c r="BH342" t="s">
        <v>98</v>
      </c>
      <c r="BI342" t="s">
        <v>98</v>
      </c>
      <c r="BK342" t="s">
        <v>110</v>
      </c>
      <c r="BL342" t="s">
        <v>7528</v>
      </c>
      <c r="BR342">
        <v>0.75</v>
      </c>
      <c r="BS342">
        <v>5</v>
      </c>
      <c r="BT342">
        <v>5</v>
      </c>
      <c r="CA342">
        <v>3079</v>
      </c>
      <c r="CB342" t="s">
        <v>484</v>
      </c>
      <c r="CL342" t="s">
        <v>99</v>
      </c>
      <c r="CM342" t="s">
        <v>98</v>
      </c>
      <c r="CN342" t="s">
        <v>442</v>
      </c>
      <c r="CO342" s="1">
        <v>42906</v>
      </c>
      <c r="CP342" s="1">
        <v>43633</v>
      </c>
    </row>
    <row r="343" spans="1:94" x14ac:dyDescent="0.25">
      <c r="A343" t="s">
        <v>1157</v>
      </c>
      <c r="B343" t="str">
        <f xml:space="preserve"> "" &amp; 747396103518</f>
        <v>747396103518</v>
      </c>
      <c r="C343" t="s">
        <v>916</v>
      </c>
      <c r="D343" t="s">
        <v>1158</v>
      </c>
      <c r="E343" t="s">
        <v>1104</v>
      </c>
      <c r="F343" t="s">
        <v>323</v>
      </c>
      <c r="G343">
        <v>1</v>
      </c>
      <c r="H343">
        <v>1</v>
      </c>
      <c r="I343" t="s">
        <v>97</v>
      </c>
      <c r="J343" s="10">
        <v>115</v>
      </c>
      <c r="K343" s="10">
        <v>345</v>
      </c>
      <c r="L343" s="10">
        <v>0</v>
      </c>
      <c r="N343" s="10">
        <v>0</v>
      </c>
      <c r="O343" t="s">
        <v>99</v>
      </c>
      <c r="P343" s="10">
        <v>244.95</v>
      </c>
      <c r="S343">
        <v>9</v>
      </c>
      <c r="U343">
        <v>33</v>
      </c>
      <c r="V343">
        <v>8</v>
      </c>
      <c r="W343">
        <v>10.25</v>
      </c>
      <c r="X343">
        <v>1</v>
      </c>
      <c r="Y343">
        <v>12.5</v>
      </c>
      <c r="Z343">
        <v>35.5</v>
      </c>
      <c r="AA343">
        <v>8.5</v>
      </c>
      <c r="AB343">
        <v>2.1829999999999998</v>
      </c>
      <c r="AC343">
        <v>12.63</v>
      </c>
      <c r="AE343">
        <v>4</v>
      </c>
      <c r="AF343" t="s">
        <v>282</v>
      </c>
      <c r="AG343">
        <v>60</v>
      </c>
      <c r="AK343" t="s">
        <v>98</v>
      </c>
      <c r="AL343">
        <v>4</v>
      </c>
      <c r="AM343" t="s">
        <v>98</v>
      </c>
      <c r="AN343" t="s">
        <v>99</v>
      </c>
      <c r="AO343" t="s">
        <v>98</v>
      </c>
      <c r="AP343" t="s">
        <v>100</v>
      </c>
      <c r="AQ343" t="s">
        <v>101</v>
      </c>
      <c r="AV343" t="s">
        <v>98</v>
      </c>
      <c r="AX343" t="s">
        <v>1105</v>
      </c>
      <c r="AZ343" t="s">
        <v>102</v>
      </c>
      <c r="BB343" t="s">
        <v>235</v>
      </c>
      <c r="BC343" t="s">
        <v>746</v>
      </c>
      <c r="BD343" t="s">
        <v>7528</v>
      </c>
      <c r="BF343" t="s">
        <v>1159</v>
      </c>
      <c r="BG343" t="s">
        <v>98</v>
      </c>
      <c r="BH343" t="s">
        <v>98</v>
      </c>
      <c r="BI343" t="s">
        <v>98</v>
      </c>
      <c r="BK343" t="s">
        <v>127</v>
      </c>
      <c r="BL343" t="s">
        <v>756</v>
      </c>
      <c r="BM343">
        <v>6.13</v>
      </c>
      <c r="BN343">
        <v>0.75</v>
      </c>
      <c r="BO343">
        <v>6.13</v>
      </c>
      <c r="BP343">
        <v>6.13</v>
      </c>
      <c r="CA343">
        <v>3080</v>
      </c>
      <c r="CB343" t="s">
        <v>1105</v>
      </c>
      <c r="CL343" t="s">
        <v>99</v>
      </c>
      <c r="CM343" t="s">
        <v>98</v>
      </c>
      <c r="CN343" t="s">
        <v>442</v>
      </c>
      <c r="CO343" s="1">
        <v>42864</v>
      </c>
      <c r="CP343" s="1">
        <v>43633</v>
      </c>
    </row>
    <row r="344" spans="1:94" x14ac:dyDescent="0.25">
      <c r="A344" t="s">
        <v>1160</v>
      </c>
      <c r="B344" t="str">
        <f xml:space="preserve"> "" &amp; 747396103501</f>
        <v>747396103501</v>
      </c>
      <c r="C344" t="s">
        <v>766</v>
      </c>
      <c r="D344" t="s">
        <v>1158</v>
      </c>
      <c r="E344" t="s">
        <v>1104</v>
      </c>
      <c r="F344" t="s">
        <v>323</v>
      </c>
      <c r="G344">
        <v>1</v>
      </c>
      <c r="H344">
        <v>1</v>
      </c>
      <c r="I344" t="s">
        <v>97</v>
      </c>
      <c r="J344" s="10">
        <v>115</v>
      </c>
      <c r="K344" s="10">
        <v>345</v>
      </c>
      <c r="L344" s="10">
        <v>0</v>
      </c>
      <c r="N344" s="10">
        <v>0</v>
      </c>
      <c r="O344" t="s">
        <v>99</v>
      </c>
      <c r="P344" s="10">
        <v>244.95</v>
      </c>
      <c r="S344">
        <v>9</v>
      </c>
      <c r="U344">
        <v>33</v>
      </c>
      <c r="V344">
        <v>8</v>
      </c>
      <c r="W344">
        <v>8.3800000000000008</v>
      </c>
      <c r="X344">
        <v>1</v>
      </c>
      <c r="Y344">
        <v>12.5</v>
      </c>
      <c r="Z344">
        <v>35.5</v>
      </c>
      <c r="AA344">
        <v>8.5</v>
      </c>
      <c r="AB344">
        <v>2.1829999999999998</v>
      </c>
      <c r="AC344">
        <v>10.49</v>
      </c>
      <c r="AE344">
        <v>4</v>
      </c>
      <c r="AF344" t="s">
        <v>696</v>
      </c>
      <c r="AG344">
        <v>60</v>
      </c>
      <c r="AK344" t="s">
        <v>98</v>
      </c>
      <c r="AL344">
        <v>4</v>
      </c>
      <c r="AM344" t="s">
        <v>98</v>
      </c>
      <c r="AN344" t="s">
        <v>99</v>
      </c>
      <c r="AO344" t="s">
        <v>98</v>
      </c>
      <c r="AP344" t="s">
        <v>100</v>
      </c>
      <c r="AQ344" t="s">
        <v>101</v>
      </c>
      <c r="AV344" t="s">
        <v>98</v>
      </c>
      <c r="AX344" t="s">
        <v>484</v>
      </c>
      <c r="AZ344" t="s">
        <v>102</v>
      </c>
      <c r="BB344" t="s">
        <v>235</v>
      </c>
      <c r="BC344" t="s">
        <v>746</v>
      </c>
      <c r="BD344" t="s">
        <v>7528</v>
      </c>
      <c r="BF344" t="s">
        <v>1161</v>
      </c>
      <c r="BG344" t="s">
        <v>98</v>
      </c>
      <c r="BH344" t="s">
        <v>98</v>
      </c>
      <c r="BI344" t="s">
        <v>98</v>
      </c>
      <c r="BK344" t="s">
        <v>127</v>
      </c>
      <c r="BL344" t="s">
        <v>756</v>
      </c>
      <c r="BM344">
        <v>6.13</v>
      </c>
      <c r="BN344">
        <v>0.75</v>
      </c>
      <c r="CA344">
        <v>3080</v>
      </c>
      <c r="CB344" t="s">
        <v>484</v>
      </c>
      <c r="CL344" t="s">
        <v>99</v>
      </c>
      <c r="CM344" t="s">
        <v>98</v>
      </c>
      <c r="CN344" t="s">
        <v>442</v>
      </c>
      <c r="CO344" s="1">
        <v>42906</v>
      </c>
      <c r="CP344" s="1">
        <v>43633</v>
      </c>
    </row>
    <row r="345" spans="1:94" x14ac:dyDescent="0.25">
      <c r="A345" t="s">
        <v>1162</v>
      </c>
      <c r="B345" t="str">
        <f xml:space="preserve"> "" &amp; 747396103112</f>
        <v>747396103112</v>
      </c>
      <c r="C345" t="s">
        <v>807</v>
      </c>
      <c r="D345" t="s">
        <v>1163</v>
      </c>
      <c r="E345" t="s">
        <v>1164</v>
      </c>
      <c r="F345" t="s">
        <v>7532</v>
      </c>
      <c r="G345">
        <v>1</v>
      </c>
      <c r="H345">
        <v>1</v>
      </c>
      <c r="I345" t="s">
        <v>97</v>
      </c>
      <c r="J345" s="10">
        <v>45</v>
      </c>
      <c r="K345" s="10">
        <v>135</v>
      </c>
      <c r="L345" s="10">
        <v>0</v>
      </c>
      <c r="N345" s="10">
        <v>0</v>
      </c>
      <c r="O345" t="s">
        <v>99</v>
      </c>
      <c r="P345" s="10">
        <v>94.95</v>
      </c>
      <c r="S345">
        <v>8</v>
      </c>
      <c r="U345">
        <v>5</v>
      </c>
      <c r="V345">
        <v>5.75</v>
      </c>
      <c r="W345">
        <v>2.16</v>
      </c>
      <c r="X345">
        <v>1</v>
      </c>
      <c r="AB345">
        <v>0.46949999999999997</v>
      </c>
      <c r="AC345">
        <v>2.87</v>
      </c>
      <c r="AE345">
        <v>1</v>
      </c>
      <c r="AF345" t="s">
        <v>559</v>
      </c>
      <c r="AG345">
        <v>8</v>
      </c>
      <c r="AK345" t="s">
        <v>99</v>
      </c>
      <c r="AL345">
        <v>1</v>
      </c>
      <c r="AM345" t="s">
        <v>98</v>
      </c>
      <c r="AN345" t="s">
        <v>99</v>
      </c>
      <c r="AO345" t="s">
        <v>98</v>
      </c>
      <c r="AP345" t="s">
        <v>100</v>
      </c>
      <c r="AQ345" t="s">
        <v>101</v>
      </c>
      <c r="AV345" t="s">
        <v>98</v>
      </c>
      <c r="AX345" t="s">
        <v>367</v>
      </c>
      <c r="AZ345" t="s">
        <v>102</v>
      </c>
      <c r="BB345" t="s">
        <v>235</v>
      </c>
      <c r="BC345" t="s">
        <v>1165</v>
      </c>
      <c r="BD345" t="s">
        <v>7528</v>
      </c>
      <c r="BF345" t="s">
        <v>1166</v>
      </c>
      <c r="BG345" t="s">
        <v>98</v>
      </c>
      <c r="BH345" t="s">
        <v>98</v>
      </c>
      <c r="BI345" t="s">
        <v>98</v>
      </c>
      <c r="BK345" t="s">
        <v>127</v>
      </c>
      <c r="BL345" t="s">
        <v>756</v>
      </c>
      <c r="BM345">
        <v>5</v>
      </c>
      <c r="BN345">
        <v>8</v>
      </c>
      <c r="CA345">
        <v>3081</v>
      </c>
      <c r="CB345" t="s">
        <v>367</v>
      </c>
      <c r="CG345">
        <v>3000</v>
      </c>
      <c r="CH345">
        <v>90</v>
      </c>
      <c r="CI345">
        <v>600.9</v>
      </c>
      <c r="CJ345">
        <v>501.7</v>
      </c>
      <c r="CK345">
        <v>30000</v>
      </c>
      <c r="CL345" t="s">
        <v>99</v>
      </c>
      <c r="CM345" t="s">
        <v>98</v>
      </c>
      <c r="CN345" t="s">
        <v>442</v>
      </c>
      <c r="CO345" s="1">
        <v>42907</v>
      </c>
      <c r="CP345" s="1">
        <v>43633</v>
      </c>
    </row>
    <row r="346" spans="1:94" x14ac:dyDescent="0.25">
      <c r="A346" t="s">
        <v>1167</v>
      </c>
      <c r="B346" t="str">
        <f xml:space="preserve"> "" &amp; 747396101385</f>
        <v>747396101385</v>
      </c>
      <c r="C346" t="s">
        <v>1168</v>
      </c>
      <c r="D346" t="s">
        <v>1163</v>
      </c>
      <c r="E346" t="s">
        <v>1169</v>
      </c>
      <c r="F346" t="s">
        <v>7532</v>
      </c>
      <c r="G346">
        <v>1</v>
      </c>
      <c r="H346">
        <v>1</v>
      </c>
      <c r="I346" t="s">
        <v>97</v>
      </c>
      <c r="J346" s="10">
        <v>45</v>
      </c>
      <c r="K346" s="10">
        <v>135</v>
      </c>
      <c r="L346" s="10">
        <v>0</v>
      </c>
      <c r="N346" s="10">
        <v>0</v>
      </c>
      <c r="O346" t="s">
        <v>99</v>
      </c>
      <c r="P346" s="10">
        <v>94.95</v>
      </c>
      <c r="S346">
        <v>8</v>
      </c>
      <c r="T346">
        <v>12</v>
      </c>
      <c r="U346">
        <v>5</v>
      </c>
      <c r="V346">
        <v>5.75</v>
      </c>
      <c r="W346">
        <v>2.16</v>
      </c>
      <c r="X346">
        <v>1</v>
      </c>
      <c r="Y346">
        <v>7.25</v>
      </c>
      <c r="Z346">
        <v>12</v>
      </c>
      <c r="AA346">
        <v>8</v>
      </c>
      <c r="AB346">
        <v>0.40300000000000002</v>
      </c>
      <c r="AC346">
        <v>2.87</v>
      </c>
      <c r="AE346">
        <v>1</v>
      </c>
      <c r="AF346" t="s">
        <v>559</v>
      </c>
      <c r="AG346">
        <v>8</v>
      </c>
      <c r="AK346" t="s">
        <v>99</v>
      </c>
      <c r="AL346">
        <v>1</v>
      </c>
      <c r="AM346" t="s">
        <v>98</v>
      </c>
      <c r="AN346" t="s">
        <v>99</v>
      </c>
      <c r="AO346" t="s">
        <v>98</v>
      </c>
      <c r="AP346" t="s">
        <v>100</v>
      </c>
      <c r="AQ346" t="s">
        <v>101</v>
      </c>
      <c r="AV346" t="s">
        <v>98</v>
      </c>
      <c r="AX346" t="s">
        <v>484</v>
      </c>
      <c r="AZ346" t="s">
        <v>102</v>
      </c>
      <c r="BB346" t="s">
        <v>235</v>
      </c>
      <c r="BC346" t="s">
        <v>1064</v>
      </c>
      <c r="BD346" t="s">
        <v>7528</v>
      </c>
      <c r="BF346" t="s">
        <v>1170</v>
      </c>
      <c r="BG346" t="s">
        <v>98</v>
      </c>
      <c r="BH346" t="s">
        <v>98</v>
      </c>
      <c r="BI346" t="s">
        <v>98</v>
      </c>
      <c r="BK346" t="s">
        <v>127</v>
      </c>
      <c r="BL346" t="s">
        <v>756</v>
      </c>
      <c r="BM346">
        <v>5</v>
      </c>
      <c r="BN346">
        <v>8</v>
      </c>
      <c r="CA346">
        <v>3081</v>
      </c>
      <c r="CB346" t="s">
        <v>484</v>
      </c>
      <c r="CG346">
        <v>3000</v>
      </c>
      <c r="CH346">
        <v>90</v>
      </c>
      <c r="CI346">
        <v>600.9</v>
      </c>
      <c r="CJ346">
        <v>501.7</v>
      </c>
      <c r="CK346">
        <v>30000</v>
      </c>
      <c r="CL346" t="s">
        <v>99</v>
      </c>
      <c r="CM346" t="s">
        <v>98</v>
      </c>
      <c r="CN346" t="s">
        <v>442</v>
      </c>
      <c r="CO346" s="1">
        <v>42755</v>
      </c>
      <c r="CP346" s="1">
        <v>43633</v>
      </c>
    </row>
    <row r="347" spans="1:94" x14ac:dyDescent="0.25">
      <c r="A347" t="s">
        <v>1171</v>
      </c>
      <c r="B347" t="str">
        <f xml:space="preserve"> "" &amp; 747396103129</f>
        <v>747396103129</v>
      </c>
      <c r="C347" t="s">
        <v>1172</v>
      </c>
      <c r="D347" t="s">
        <v>1173</v>
      </c>
      <c r="E347" t="s">
        <v>1164</v>
      </c>
      <c r="F347" t="s">
        <v>7532</v>
      </c>
      <c r="G347">
        <v>1</v>
      </c>
      <c r="H347">
        <v>1</v>
      </c>
      <c r="I347" t="s">
        <v>97</v>
      </c>
      <c r="J347" s="10">
        <v>85</v>
      </c>
      <c r="K347" s="10">
        <v>255</v>
      </c>
      <c r="L347" s="10">
        <v>0</v>
      </c>
      <c r="N347" s="10">
        <v>0</v>
      </c>
      <c r="O347" t="s">
        <v>99</v>
      </c>
      <c r="P347" s="10">
        <v>179.95</v>
      </c>
      <c r="S347">
        <v>5.75</v>
      </c>
      <c r="U347">
        <v>11.5</v>
      </c>
      <c r="V347">
        <v>5.75</v>
      </c>
      <c r="W347">
        <v>3.55</v>
      </c>
      <c r="X347">
        <v>1</v>
      </c>
      <c r="AB347">
        <v>0.64200000000000002</v>
      </c>
      <c r="AC347">
        <v>4.59</v>
      </c>
      <c r="AE347">
        <v>2</v>
      </c>
      <c r="AF347" t="s">
        <v>559</v>
      </c>
      <c r="AG347">
        <v>8</v>
      </c>
      <c r="AK347" t="s">
        <v>99</v>
      </c>
      <c r="AL347">
        <v>2</v>
      </c>
      <c r="AM347" t="s">
        <v>98</v>
      </c>
      <c r="AN347" t="s">
        <v>99</v>
      </c>
      <c r="AO347" t="s">
        <v>98</v>
      </c>
      <c r="AP347" t="s">
        <v>100</v>
      </c>
      <c r="AQ347" t="s">
        <v>101</v>
      </c>
      <c r="AV347" t="s">
        <v>98</v>
      </c>
      <c r="AX347" t="s">
        <v>367</v>
      </c>
      <c r="AZ347" t="s">
        <v>102</v>
      </c>
      <c r="BB347" t="s">
        <v>235</v>
      </c>
      <c r="BC347" t="s">
        <v>1174</v>
      </c>
      <c r="BD347" t="s">
        <v>7528</v>
      </c>
      <c r="BF347" t="s">
        <v>1175</v>
      </c>
      <c r="BG347" t="s">
        <v>98</v>
      </c>
      <c r="BH347" t="s">
        <v>98</v>
      </c>
      <c r="BI347" t="s">
        <v>98</v>
      </c>
      <c r="BK347" t="s">
        <v>127</v>
      </c>
      <c r="BL347" t="s">
        <v>756</v>
      </c>
      <c r="BM347">
        <v>8</v>
      </c>
      <c r="BN347">
        <v>5</v>
      </c>
      <c r="CA347">
        <v>3082</v>
      </c>
      <c r="CB347" t="s">
        <v>367</v>
      </c>
      <c r="CG347">
        <v>3000</v>
      </c>
      <c r="CH347">
        <v>94</v>
      </c>
      <c r="CI347">
        <v>1250.7</v>
      </c>
      <c r="CJ347">
        <v>1022.5</v>
      </c>
      <c r="CK347">
        <v>30000</v>
      </c>
      <c r="CL347" t="s">
        <v>99</v>
      </c>
      <c r="CM347" t="s">
        <v>98</v>
      </c>
      <c r="CN347" t="s">
        <v>442</v>
      </c>
      <c r="CO347" s="1">
        <v>42907</v>
      </c>
      <c r="CP347" s="1">
        <v>43633</v>
      </c>
    </row>
    <row r="348" spans="1:94" x14ac:dyDescent="0.25">
      <c r="A348" t="s">
        <v>1176</v>
      </c>
      <c r="B348" t="str">
        <f xml:space="preserve"> "" &amp; 747396101392</f>
        <v>747396101392</v>
      </c>
      <c r="C348" t="s">
        <v>1172</v>
      </c>
      <c r="D348" t="s">
        <v>1173</v>
      </c>
      <c r="E348" t="s">
        <v>1169</v>
      </c>
      <c r="F348" t="s">
        <v>7532</v>
      </c>
      <c r="G348">
        <v>1</v>
      </c>
      <c r="H348">
        <v>1</v>
      </c>
      <c r="I348" t="s">
        <v>97</v>
      </c>
      <c r="J348" s="10">
        <v>85</v>
      </c>
      <c r="K348" s="10">
        <v>255</v>
      </c>
      <c r="L348" s="10">
        <v>0</v>
      </c>
      <c r="N348" s="10">
        <v>0</v>
      </c>
      <c r="O348" t="s">
        <v>99</v>
      </c>
      <c r="P348" s="10">
        <v>179.95</v>
      </c>
      <c r="S348">
        <v>5.75</v>
      </c>
      <c r="U348">
        <v>11.5</v>
      </c>
      <c r="V348">
        <v>5.75</v>
      </c>
      <c r="W348">
        <v>3.55</v>
      </c>
      <c r="X348">
        <v>1</v>
      </c>
      <c r="Y348">
        <v>9.75</v>
      </c>
      <c r="Z348">
        <v>14</v>
      </c>
      <c r="AA348">
        <v>8.1300000000000008</v>
      </c>
      <c r="AB348">
        <v>0.64200000000000002</v>
      </c>
      <c r="AC348">
        <v>4.59</v>
      </c>
      <c r="AE348">
        <v>2</v>
      </c>
      <c r="AF348" t="s">
        <v>559</v>
      </c>
      <c r="AG348">
        <v>8</v>
      </c>
      <c r="AK348" t="s">
        <v>99</v>
      </c>
      <c r="AL348">
        <v>2</v>
      </c>
      <c r="AM348" t="s">
        <v>98</v>
      </c>
      <c r="AN348" t="s">
        <v>99</v>
      </c>
      <c r="AO348" t="s">
        <v>98</v>
      </c>
      <c r="AP348" t="s">
        <v>100</v>
      </c>
      <c r="AQ348" t="s">
        <v>101</v>
      </c>
      <c r="AV348" t="s">
        <v>98</v>
      </c>
      <c r="AX348" t="s">
        <v>484</v>
      </c>
      <c r="AZ348" t="s">
        <v>102</v>
      </c>
      <c r="BB348" t="s">
        <v>235</v>
      </c>
      <c r="BC348" t="s">
        <v>1064</v>
      </c>
      <c r="BD348" t="s">
        <v>7528</v>
      </c>
      <c r="BF348" t="s">
        <v>1177</v>
      </c>
      <c r="BG348" t="s">
        <v>98</v>
      </c>
      <c r="BH348" t="s">
        <v>98</v>
      </c>
      <c r="BI348" t="s">
        <v>98</v>
      </c>
      <c r="BK348" t="s">
        <v>127</v>
      </c>
      <c r="BL348" t="s">
        <v>756</v>
      </c>
      <c r="BM348">
        <v>8</v>
      </c>
      <c r="BN348">
        <v>5</v>
      </c>
      <c r="CA348">
        <v>3082</v>
      </c>
      <c r="CB348" t="s">
        <v>484</v>
      </c>
      <c r="CG348">
        <v>3000</v>
      </c>
      <c r="CH348">
        <v>94</v>
      </c>
      <c r="CI348">
        <v>1250.7</v>
      </c>
      <c r="CJ348">
        <v>1022.5</v>
      </c>
      <c r="CK348">
        <v>30000</v>
      </c>
      <c r="CL348" t="s">
        <v>99</v>
      </c>
      <c r="CM348" t="s">
        <v>98</v>
      </c>
      <c r="CN348" t="s">
        <v>442</v>
      </c>
      <c r="CO348" s="1">
        <v>42755</v>
      </c>
      <c r="CP348" s="1">
        <v>43633</v>
      </c>
    </row>
    <row r="349" spans="1:94" x14ac:dyDescent="0.25">
      <c r="A349" t="s">
        <v>1178</v>
      </c>
      <c r="B349" t="str">
        <f xml:space="preserve"> "" &amp; 747396103136</f>
        <v>747396103136</v>
      </c>
      <c r="C349" t="s">
        <v>1179</v>
      </c>
      <c r="D349" t="s">
        <v>1180</v>
      </c>
      <c r="E349" t="s">
        <v>1164</v>
      </c>
      <c r="F349" t="s">
        <v>7532</v>
      </c>
      <c r="G349">
        <v>1</v>
      </c>
      <c r="H349">
        <v>1</v>
      </c>
      <c r="I349" t="s">
        <v>97</v>
      </c>
      <c r="J349" s="10">
        <v>105</v>
      </c>
      <c r="K349" s="10">
        <v>315</v>
      </c>
      <c r="L349" s="10">
        <v>0</v>
      </c>
      <c r="N349" s="10">
        <v>0</v>
      </c>
      <c r="O349" t="s">
        <v>99</v>
      </c>
      <c r="P349" s="10">
        <v>219.95</v>
      </c>
      <c r="S349">
        <v>5.75</v>
      </c>
      <c r="U349">
        <v>19</v>
      </c>
      <c r="V349">
        <v>5.75</v>
      </c>
      <c r="W349">
        <v>5.1100000000000003</v>
      </c>
      <c r="X349">
        <v>1</v>
      </c>
      <c r="AB349">
        <v>0.98599999999999999</v>
      </c>
      <c r="AC349">
        <v>6.68</v>
      </c>
      <c r="AE349">
        <v>3</v>
      </c>
      <c r="AF349" t="s">
        <v>559</v>
      </c>
      <c r="AG349">
        <v>8</v>
      </c>
      <c r="AK349" t="s">
        <v>99</v>
      </c>
      <c r="AL349">
        <v>3</v>
      </c>
      <c r="AM349" t="s">
        <v>98</v>
      </c>
      <c r="AN349" t="s">
        <v>99</v>
      </c>
      <c r="AO349" t="s">
        <v>98</v>
      </c>
      <c r="AP349" t="s">
        <v>100</v>
      </c>
      <c r="AQ349" t="s">
        <v>101</v>
      </c>
      <c r="AV349" t="s">
        <v>98</v>
      </c>
      <c r="AX349" t="s">
        <v>367</v>
      </c>
      <c r="AZ349" t="s">
        <v>102</v>
      </c>
      <c r="BB349" t="s">
        <v>235</v>
      </c>
      <c r="BC349" t="s">
        <v>1174</v>
      </c>
      <c r="BD349" t="s">
        <v>7528</v>
      </c>
      <c r="BF349" t="s">
        <v>1181</v>
      </c>
      <c r="BG349" t="s">
        <v>98</v>
      </c>
      <c r="BH349" t="s">
        <v>98</v>
      </c>
      <c r="BI349" t="s">
        <v>98</v>
      </c>
      <c r="BK349" t="s">
        <v>127</v>
      </c>
      <c r="BL349" t="s">
        <v>756</v>
      </c>
      <c r="BM349">
        <v>8</v>
      </c>
      <c r="BN349">
        <v>5</v>
      </c>
      <c r="CA349">
        <v>3083</v>
      </c>
      <c r="CB349" t="s">
        <v>367</v>
      </c>
      <c r="CG349">
        <v>3000</v>
      </c>
      <c r="CH349">
        <v>94</v>
      </c>
      <c r="CI349">
        <v>1913.6</v>
      </c>
      <c r="CJ349">
        <v>1615.1</v>
      </c>
      <c r="CK349">
        <v>30000</v>
      </c>
      <c r="CL349" t="s">
        <v>99</v>
      </c>
      <c r="CM349" t="s">
        <v>98</v>
      </c>
      <c r="CN349" t="s">
        <v>442</v>
      </c>
      <c r="CO349" s="1">
        <v>42907</v>
      </c>
      <c r="CP349" s="1">
        <v>43633</v>
      </c>
    </row>
    <row r="350" spans="1:94" x14ac:dyDescent="0.25">
      <c r="A350" t="s">
        <v>1182</v>
      </c>
      <c r="B350" t="str">
        <f xml:space="preserve"> "" &amp; 747396101408</f>
        <v>747396101408</v>
      </c>
      <c r="C350" t="s">
        <v>807</v>
      </c>
      <c r="D350" t="s">
        <v>6583</v>
      </c>
      <c r="E350" t="s">
        <v>1169</v>
      </c>
      <c r="F350" t="s">
        <v>7532</v>
      </c>
      <c r="G350">
        <v>1</v>
      </c>
      <c r="H350">
        <v>1</v>
      </c>
      <c r="I350" t="s">
        <v>97</v>
      </c>
      <c r="J350" s="10">
        <v>105</v>
      </c>
      <c r="K350" s="10">
        <v>315</v>
      </c>
      <c r="L350" s="10">
        <v>0</v>
      </c>
      <c r="N350" s="10">
        <v>0</v>
      </c>
      <c r="O350" t="s">
        <v>99</v>
      </c>
      <c r="P350" s="10">
        <v>219.95</v>
      </c>
      <c r="S350">
        <v>5.75</v>
      </c>
      <c r="U350">
        <v>19</v>
      </c>
      <c r="V350">
        <v>5.75</v>
      </c>
      <c r="W350">
        <v>5.1100000000000003</v>
      </c>
      <c r="X350">
        <v>1</v>
      </c>
      <c r="Y350">
        <v>9.75</v>
      </c>
      <c r="Z350">
        <v>21.5</v>
      </c>
      <c r="AA350">
        <v>8.1300000000000008</v>
      </c>
      <c r="AB350">
        <v>0.98599999999999999</v>
      </c>
      <c r="AC350">
        <v>6.68</v>
      </c>
      <c r="AE350">
        <v>3</v>
      </c>
      <c r="AF350" t="s">
        <v>559</v>
      </c>
      <c r="AG350">
        <v>8</v>
      </c>
      <c r="AK350" t="s">
        <v>99</v>
      </c>
      <c r="AL350">
        <v>3</v>
      </c>
      <c r="AM350" t="s">
        <v>98</v>
      </c>
      <c r="AN350" t="s">
        <v>99</v>
      </c>
      <c r="AO350" t="s">
        <v>98</v>
      </c>
      <c r="AP350" t="s">
        <v>100</v>
      </c>
      <c r="AQ350" t="s">
        <v>101</v>
      </c>
      <c r="AV350" t="s">
        <v>98</v>
      </c>
      <c r="AX350" t="s">
        <v>484</v>
      </c>
      <c r="AZ350" t="s">
        <v>102</v>
      </c>
      <c r="BB350" t="s">
        <v>235</v>
      </c>
      <c r="BC350" t="s">
        <v>1064</v>
      </c>
      <c r="BD350" t="s">
        <v>7528</v>
      </c>
      <c r="BF350" t="s">
        <v>1183</v>
      </c>
      <c r="BG350" t="s">
        <v>98</v>
      </c>
      <c r="BH350" t="s">
        <v>98</v>
      </c>
      <c r="BI350" t="s">
        <v>98</v>
      </c>
      <c r="BK350" t="s">
        <v>127</v>
      </c>
      <c r="BL350" t="s">
        <v>756</v>
      </c>
      <c r="BM350">
        <v>8</v>
      </c>
      <c r="BN350">
        <v>5</v>
      </c>
      <c r="CA350">
        <v>3083</v>
      </c>
      <c r="CB350" t="s">
        <v>484</v>
      </c>
      <c r="CG350">
        <v>3000</v>
      </c>
      <c r="CH350">
        <v>94</v>
      </c>
      <c r="CI350">
        <v>1913.6</v>
      </c>
      <c r="CJ350">
        <v>1615.1</v>
      </c>
      <c r="CK350">
        <v>30000</v>
      </c>
      <c r="CL350" t="s">
        <v>99</v>
      </c>
      <c r="CM350" t="s">
        <v>98</v>
      </c>
      <c r="CN350" t="s">
        <v>442</v>
      </c>
      <c r="CO350" s="1">
        <v>42755</v>
      </c>
      <c r="CP350" s="1">
        <v>43633</v>
      </c>
    </row>
    <row r="351" spans="1:94" x14ac:dyDescent="0.25">
      <c r="A351" t="s">
        <v>1184</v>
      </c>
      <c r="B351" t="str">
        <f xml:space="preserve"> "" &amp; 747396103143</f>
        <v>747396103143</v>
      </c>
      <c r="C351" t="s">
        <v>1185</v>
      </c>
      <c r="D351" t="s">
        <v>1186</v>
      </c>
      <c r="E351" t="s">
        <v>1164</v>
      </c>
      <c r="F351" t="s">
        <v>7532</v>
      </c>
      <c r="G351">
        <v>1</v>
      </c>
      <c r="H351">
        <v>1</v>
      </c>
      <c r="I351" t="s">
        <v>97</v>
      </c>
      <c r="J351" s="10">
        <v>135</v>
      </c>
      <c r="K351" s="10">
        <v>405</v>
      </c>
      <c r="L351" s="10">
        <v>0</v>
      </c>
      <c r="N351" s="10">
        <v>0</v>
      </c>
      <c r="O351" t="s">
        <v>99</v>
      </c>
      <c r="P351" s="10">
        <v>309.95</v>
      </c>
      <c r="S351">
        <v>5.75</v>
      </c>
      <c r="U351">
        <v>26.5</v>
      </c>
      <c r="V351">
        <v>5.75</v>
      </c>
      <c r="W351">
        <v>6.46</v>
      </c>
      <c r="X351">
        <v>1</v>
      </c>
      <c r="AB351">
        <v>1.33</v>
      </c>
      <c r="AC351">
        <v>8.25</v>
      </c>
      <c r="AE351">
        <v>4</v>
      </c>
      <c r="AF351" t="s">
        <v>559</v>
      </c>
      <c r="AG351">
        <v>8</v>
      </c>
      <c r="AK351" t="s">
        <v>99</v>
      </c>
      <c r="AL351">
        <v>4</v>
      </c>
      <c r="AM351" t="s">
        <v>98</v>
      </c>
      <c r="AN351" t="s">
        <v>99</v>
      </c>
      <c r="AO351" t="s">
        <v>98</v>
      </c>
      <c r="AP351" t="s">
        <v>100</v>
      </c>
      <c r="AQ351" t="s">
        <v>101</v>
      </c>
      <c r="AV351" t="s">
        <v>98</v>
      </c>
      <c r="AX351" t="s">
        <v>367</v>
      </c>
      <c r="AZ351" t="s">
        <v>102</v>
      </c>
      <c r="BB351" t="s">
        <v>235</v>
      </c>
      <c r="BC351" t="s">
        <v>1165</v>
      </c>
      <c r="BD351" t="s">
        <v>7528</v>
      </c>
      <c r="BF351" t="s">
        <v>1187</v>
      </c>
      <c r="BG351" t="s">
        <v>98</v>
      </c>
      <c r="BH351" t="s">
        <v>98</v>
      </c>
      <c r="BI351" t="s">
        <v>98</v>
      </c>
      <c r="BK351" t="s">
        <v>127</v>
      </c>
      <c r="BL351" t="s">
        <v>756</v>
      </c>
      <c r="BM351">
        <v>8</v>
      </c>
      <c r="BN351">
        <v>5</v>
      </c>
      <c r="CA351">
        <v>3084</v>
      </c>
      <c r="CB351" t="s">
        <v>367</v>
      </c>
      <c r="CG351">
        <v>3000</v>
      </c>
      <c r="CH351">
        <v>90</v>
      </c>
      <c r="CI351">
        <v>600.9</v>
      </c>
      <c r="CJ351">
        <v>501.7</v>
      </c>
      <c r="CK351">
        <v>30000</v>
      </c>
      <c r="CL351" t="s">
        <v>99</v>
      </c>
      <c r="CM351" t="s">
        <v>98</v>
      </c>
      <c r="CN351" t="s">
        <v>442</v>
      </c>
      <c r="CO351" s="1">
        <v>42907</v>
      </c>
      <c r="CP351" s="1">
        <v>43633</v>
      </c>
    </row>
    <row r="352" spans="1:94" x14ac:dyDescent="0.25">
      <c r="A352" t="s">
        <v>1188</v>
      </c>
      <c r="B352" t="str">
        <f xml:space="preserve"> "" &amp; 747396101415</f>
        <v>747396101415</v>
      </c>
      <c r="C352" t="s">
        <v>1185</v>
      </c>
      <c r="D352" t="s">
        <v>1186</v>
      </c>
      <c r="E352" t="s">
        <v>1169</v>
      </c>
      <c r="F352" t="s">
        <v>7532</v>
      </c>
      <c r="G352">
        <v>1</v>
      </c>
      <c r="H352">
        <v>1</v>
      </c>
      <c r="I352" t="s">
        <v>97</v>
      </c>
      <c r="J352" s="10">
        <v>135</v>
      </c>
      <c r="K352" s="10">
        <v>405</v>
      </c>
      <c r="L352" s="10">
        <v>0</v>
      </c>
      <c r="N352" s="10">
        <v>0</v>
      </c>
      <c r="O352" t="s">
        <v>99</v>
      </c>
      <c r="P352" s="10">
        <v>284.95</v>
      </c>
      <c r="S352">
        <v>5.75</v>
      </c>
      <c r="U352">
        <v>26.5</v>
      </c>
      <c r="V352">
        <v>5.75</v>
      </c>
      <c r="W352">
        <v>6.46</v>
      </c>
      <c r="X352">
        <v>1</v>
      </c>
      <c r="Y352">
        <v>9.75</v>
      </c>
      <c r="Z352">
        <v>29</v>
      </c>
      <c r="AA352">
        <v>8.1300000000000008</v>
      </c>
      <c r="AB352">
        <v>1.33</v>
      </c>
      <c r="AC352">
        <v>8.25</v>
      </c>
      <c r="AE352">
        <v>4</v>
      </c>
      <c r="AF352" t="s">
        <v>559</v>
      </c>
      <c r="AG352">
        <v>8</v>
      </c>
      <c r="AK352" t="s">
        <v>99</v>
      </c>
      <c r="AL352">
        <v>4</v>
      </c>
      <c r="AM352" t="s">
        <v>98</v>
      </c>
      <c r="AN352" t="s">
        <v>99</v>
      </c>
      <c r="AO352" t="s">
        <v>98</v>
      </c>
      <c r="AP352" t="s">
        <v>100</v>
      </c>
      <c r="AQ352" t="s">
        <v>101</v>
      </c>
      <c r="AV352" t="s">
        <v>98</v>
      </c>
      <c r="AX352" t="s">
        <v>484</v>
      </c>
      <c r="AZ352" t="s">
        <v>102</v>
      </c>
      <c r="BB352" t="s">
        <v>235</v>
      </c>
      <c r="BC352" t="s">
        <v>1064</v>
      </c>
      <c r="BD352" t="s">
        <v>7528</v>
      </c>
      <c r="BF352" t="s">
        <v>1189</v>
      </c>
      <c r="BG352" t="s">
        <v>98</v>
      </c>
      <c r="BH352" t="s">
        <v>98</v>
      </c>
      <c r="BI352" t="s">
        <v>98</v>
      </c>
      <c r="BK352" t="s">
        <v>127</v>
      </c>
      <c r="BL352" t="s">
        <v>756</v>
      </c>
      <c r="BM352">
        <v>8</v>
      </c>
      <c r="BN352">
        <v>5</v>
      </c>
      <c r="CA352">
        <v>3084</v>
      </c>
      <c r="CB352" t="s">
        <v>484</v>
      </c>
      <c r="CG352">
        <v>3000</v>
      </c>
      <c r="CH352">
        <v>93</v>
      </c>
      <c r="CI352">
        <v>244.4</v>
      </c>
      <c r="CJ352">
        <v>2023.8</v>
      </c>
      <c r="CK352">
        <v>30000</v>
      </c>
      <c r="CL352" t="s">
        <v>99</v>
      </c>
      <c r="CM352" t="s">
        <v>98</v>
      </c>
      <c r="CN352" t="s">
        <v>442</v>
      </c>
      <c r="CO352" s="1">
        <v>42755</v>
      </c>
      <c r="CP352" s="1">
        <v>43633</v>
      </c>
    </row>
    <row r="353" spans="1:94" x14ac:dyDescent="0.25">
      <c r="A353" t="s">
        <v>1190</v>
      </c>
      <c r="B353" t="str">
        <f xml:space="preserve"> "" &amp; 747396104829</f>
        <v>747396104829</v>
      </c>
      <c r="C353" t="s">
        <v>1063</v>
      </c>
      <c r="D353" t="s">
        <v>6584</v>
      </c>
      <c r="E353" t="s">
        <v>1104</v>
      </c>
      <c r="F353" t="s">
        <v>249</v>
      </c>
      <c r="G353">
        <v>1</v>
      </c>
      <c r="H353">
        <v>1</v>
      </c>
      <c r="I353" t="s">
        <v>97</v>
      </c>
      <c r="J353" s="10">
        <v>479</v>
      </c>
      <c r="K353" s="10">
        <v>1437</v>
      </c>
      <c r="L353" s="10">
        <v>0</v>
      </c>
      <c r="N353" s="10">
        <v>0</v>
      </c>
      <c r="O353" t="s">
        <v>99</v>
      </c>
      <c r="P353" s="10">
        <v>1009.95</v>
      </c>
      <c r="S353">
        <v>31</v>
      </c>
      <c r="T353">
        <v>45</v>
      </c>
      <c r="U353">
        <v>45</v>
      </c>
      <c r="W353">
        <v>25.62</v>
      </c>
      <c r="X353">
        <v>1</v>
      </c>
      <c r="Y353">
        <v>8.25</v>
      </c>
      <c r="Z353">
        <v>44.5</v>
      </c>
      <c r="AA353">
        <v>43.75</v>
      </c>
      <c r="AB353">
        <v>9.2949999999999999</v>
      </c>
      <c r="AC353">
        <v>36.51</v>
      </c>
      <c r="AE353">
        <v>9</v>
      </c>
      <c r="AF353" t="s">
        <v>282</v>
      </c>
      <c r="AG353">
        <v>60</v>
      </c>
      <c r="AK353" t="s">
        <v>98</v>
      </c>
      <c r="AM353" t="s">
        <v>98</v>
      </c>
      <c r="AN353" t="s">
        <v>99</v>
      </c>
      <c r="AO353" t="s">
        <v>98</v>
      </c>
      <c r="AP353" t="s">
        <v>100</v>
      </c>
      <c r="AQ353" t="s">
        <v>101</v>
      </c>
      <c r="AV353" t="s">
        <v>98</v>
      </c>
      <c r="AX353" t="s">
        <v>1105</v>
      </c>
      <c r="AZ353" t="s">
        <v>102</v>
      </c>
      <c r="BB353" t="s">
        <v>235</v>
      </c>
      <c r="BC353" t="s">
        <v>708</v>
      </c>
      <c r="BD353" t="s">
        <v>7528</v>
      </c>
      <c r="BF353" t="s">
        <v>1191</v>
      </c>
      <c r="BG353" t="s">
        <v>98</v>
      </c>
      <c r="BH353" t="s">
        <v>98</v>
      </c>
      <c r="BI353" t="s">
        <v>98</v>
      </c>
      <c r="BK353" t="s">
        <v>110</v>
      </c>
      <c r="BL353" t="s">
        <v>7528</v>
      </c>
      <c r="BR353">
        <v>0.75</v>
      </c>
      <c r="BS353">
        <v>5</v>
      </c>
      <c r="BT353">
        <v>5</v>
      </c>
      <c r="CA353">
        <v>3087</v>
      </c>
      <c r="CB353" t="s">
        <v>1105</v>
      </c>
      <c r="CL353" t="s">
        <v>99</v>
      </c>
      <c r="CM353" t="s">
        <v>98</v>
      </c>
      <c r="CN353" t="s">
        <v>442</v>
      </c>
      <c r="CO353" s="1">
        <v>43034</v>
      </c>
      <c r="CP353" s="1">
        <v>43633</v>
      </c>
    </row>
    <row r="354" spans="1:94" x14ac:dyDescent="0.25">
      <c r="A354" t="s">
        <v>1192</v>
      </c>
      <c r="B354" t="str">
        <f xml:space="preserve"> "" &amp; 747396104812</f>
        <v>747396104812</v>
      </c>
      <c r="C354" t="s">
        <v>1063</v>
      </c>
      <c r="D354" t="s">
        <v>6584</v>
      </c>
      <c r="E354" t="s">
        <v>1104</v>
      </c>
      <c r="F354" t="s">
        <v>249</v>
      </c>
      <c r="G354">
        <v>1</v>
      </c>
      <c r="H354">
        <v>1</v>
      </c>
      <c r="I354" t="s">
        <v>97</v>
      </c>
      <c r="J354" s="10">
        <v>479</v>
      </c>
      <c r="K354" s="10">
        <v>1437</v>
      </c>
      <c r="L354" s="10">
        <v>0</v>
      </c>
      <c r="N354" s="10">
        <v>0</v>
      </c>
      <c r="O354" t="s">
        <v>99</v>
      </c>
      <c r="P354" s="10">
        <v>1009.95</v>
      </c>
      <c r="S354">
        <v>31</v>
      </c>
      <c r="T354">
        <v>45</v>
      </c>
      <c r="U354">
        <v>45</v>
      </c>
      <c r="W354">
        <v>23.59</v>
      </c>
      <c r="X354">
        <v>1</v>
      </c>
      <c r="Y354">
        <v>8.25</v>
      </c>
      <c r="Z354">
        <v>44.5</v>
      </c>
      <c r="AA354">
        <v>43.75</v>
      </c>
      <c r="AB354">
        <v>9.2949999999999999</v>
      </c>
      <c r="AC354">
        <v>34.39</v>
      </c>
      <c r="AE354">
        <v>9</v>
      </c>
      <c r="AF354" t="s">
        <v>696</v>
      </c>
      <c r="AG354">
        <v>60</v>
      </c>
      <c r="AK354" t="s">
        <v>98</v>
      </c>
      <c r="AM354" t="s">
        <v>98</v>
      </c>
      <c r="AN354" t="s">
        <v>99</v>
      </c>
      <c r="AO354" t="s">
        <v>98</v>
      </c>
      <c r="AP354" t="s">
        <v>100</v>
      </c>
      <c r="AQ354" t="s">
        <v>101</v>
      </c>
      <c r="AV354" t="s">
        <v>98</v>
      </c>
      <c r="AX354" t="s">
        <v>484</v>
      </c>
      <c r="AZ354" t="s">
        <v>102</v>
      </c>
      <c r="BB354" t="s">
        <v>235</v>
      </c>
      <c r="BC354" t="s">
        <v>746</v>
      </c>
      <c r="BD354" t="s">
        <v>7528</v>
      </c>
      <c r="BF354" t="s">
        <v>1193</v>
      </c>
      <c r="BG354" t="s">
        <v>98</v>
      </c>
      <c r="BH354" t="s">
        <v>98</v>
      </c>
      <c r="BI354" t="s">
        <v>98</v>
      </c>
      <c r="BK354" t="s">
        <v>110</v>
      </c>
      <c r="BL354" t="s">
        <v>7528</v>
      </c>
      <c r="BR354">
        <v>0.75</v>
      </c>
      <c r="BS354">
        <v>5</v>
      </c>
      <c r="BT354">
        <v>5</v>
      </c>
      <c r="CA354">
        <v>3087</v>
      </c>
      <c r="CB354" t="s">
        <v>484</v>
      </c>
      <c r="CL354" t="s">
        <v>99</v>
      </c>
      <c r="CM354" t="s">
        <v>98</v>
      </c>
      <c r="CN354" t="s">
        <v>442</v>
      </c>
      <c r="CO354" s="1">
        <v>43034</v>
      </c>
      <c r="CP354" s="1">
        <v>43633</v>
      </c>
    </row>
    <row r="355" spans="1:94" x14ac:dyDescent="0.25">
      <c r="A355" t="s">
        <v>1194</v>
      </c>
      <c r="B355" t="str">
        <f xml:space="preserve"> "" &amp; 747396104805</f>
        <v>747396104805</v>
      </c>
      <c r="C355" t="s">
        <v>1063</v>
      </c>
      <c r="D355" t="s">
        <v>6585</v>
      </c>
      <c r="E355" t="s">
        <v>1104</v>
      </c>
      <c r="F355" t="s">
        <v>249</v>
      </c>
      <c r="G355">
        <v>1</v>
      </c>
      <c r="H355">
        <v>1</v>
      </c>
      <c r="I355" t="s">
        <v>97</v>
      </c>
      <c r="J355" s="10">
        <v>525</v>
      </c>
      <c r="K355" s="10">
        <v>1575</v>
      </c>
      <c r="L355" s="10">
        <v>0</v>
      </c>
      <c r="N355" s="10">
        <v>0</v>
      </c>
      <c r="O355" t="s">
        <v>99</v>
      </c>
      <c r="P355" s="10">
        <v>1104.95</v>
      </c>
      <c r="S355">
        <v>43</v>
      </c>
      <c r="T355">
        <v>32</v>
      </c>
      <c r="U355">
        <v>32</v>
      </c>
      <c r="W355">
        <v>31.77</v>
      </c>
      <c r="X355">
        <v>1</v>
      </c>
      <c r="Y355">
        <v>14.25</v>
      </c>
      <c r="Z355">
        <v>44.25</v>
      </c>
      <c r="AA355">
        <v>36.25</v>
      </c>
      <c r="AB355">
        <v>13.228</v>
      </c>
      <c r="AC355">
        <v>41.62</v>
      </c>
      <c r="AE355">
        <v>12</v>
      </c>
      <c r="AF355" t="s">
        <v>282</v>
      </c>
      <c r="AG355">
        <v>60</v>
      </c>
      <c r="AK355" t="s">
        <v>98</v>
      </c>
      <c r="AM355" t="s">
        <v>98</v>
      </c>
      <c r="AN355" t="s">
        <v>99</v>
      </c>
      <c r="AO355" t="s">
        <v>98</v>
      </c>
      <c r="AP355" t="s">
        <v>100</v>
      </c>
      <c r="AQ355" t="s">
        <v>101</v>
      </c>
      <c r="AV355" t="s">
        <v>98</v>
      </c>
      <c r="AX355" t="s">
        <v>1105</v>
      </c>
      <c r="AZ355" t="s">
        <v>102</v>
      </c>
      <c r="BB355" t="s">
        <v>235</v>
      </c>
      <c r="BC355" t="s">
        <v>746</v>
      </c>
      <c r="BD355" t="s">
        <v>7528</v>
      </c>
      <c r="BF355" t="s">
        <v>1195</v>
      </c>
      <c r="BG355" t="s">
        <v>98</v>
      </c>
      <c r="BH355" t="s">
        <v>98</v>
      </c>
      <c r="BI355" t="s">
        <v>98</v>
      </c>
      <c r="BK355" t="s">
        <v>110</v>
      </c>
      <c r="BL355" t="s">
        <v>7528</v>
      </c>
      <c r="BR355">
        <v>0.75</v>
      </c>
      <c r="BS355">
        <v>5</v>
      </c>
      <c r="BT355">
        <v>5</v>
      </c>
      <c r="CA355">
        <v>3088</v>
      </c>
      <c r="CB355" t="s">
        <v>1105</v>
      </c>
      <c r="CL355" t="s">
        <v>99</v>
      </c>
      <c r="CM355" t="s">
        <v>98</v>
      </c>
      <c r="CN355" t="s">
        <v>442</v>
      </c>
      <c r="CO355" s="1">
        <v>43034</v>
      </c>
      <c r="CP355" s="1">
        <v>43633</v>
      </c>
    </row>
    <row r="356" spans="1:94" x14ac:dyDescent="0.25">
      <c r="A356" t="s">
        <v>1196</v>
      </c>
      <c r="B356" t="str">
        <f xml:space="preserve"> "" &amp; 747396104799</f>
        <v>747396104799</v>
      </c>
      <c r="C356" t="s">
        <v>1063</v>
      </c>
      <c r="D356" t="s">
        <v>6585</v>
      </c>
      <c r="E356" t="s">
        <v>1104</v>
      </c>
      <c r="F356" t="s">
        <v>249</v>
      </c>
      <c r="G356">
        <v>1</v>
      </c>
      <c r="H356">
        <v>1</v>
      </c>
      <c r="I356" t="s">
        <v>97</v>
      </c>
      <c r="J356" s="10">
        <v>525</v>
      </c>
      <c r="K356" s="10">
        <v>1575</v>
      </c>
      <c r="L356" s="10">
        <v>0</v>
      </c>
      <c r="N356" s="10">
        <v>0</v>
      </c>
      <c r="O356" t="s">
        <v>99</v>
      </c>
      <c r="P356" s="10">
        <v>1104.95</v>
      </c>
      <c r="S356">
        <v>43</v>
      </c>
      <c r="T356">
        <v>32</v>
      </c>
      <c r="U356">
        <v>32</v>
      </c>
      <c r="W356">
        <v>28.95</v>
      </c>
      <c r="X356">
        <v>1</v>
      </c>
      <c r="Y356">
        <v>14.25</v>
      </c>
      <c r="Z356">
        <v>44.25</v>
      </c>
      <c r="AA356">
        <v>36.25</v>
      </c>
      <c r="AB356">
        <v>13.228</v>
      </c>
      <c r="AC356">
        <v>39.200000000000003</v>
      </c>
      <c r="AE356">
        <v>12</v>
      </c>
      <c r="AF356" t="s">
        <v>696</v>
      </c>
      <c r="AG356">
        <v>60</v>
      </c>
      <c r="AK356" t="s">
        <v>98</v>
      </c>
      <c r="AM356" t="s">
        <v>98</v>
      </c>
      <c r="AN356" t="s">
        <v>99</v>
      </c>
      <c r="AO356" t="s">
        <v>98</v>
      </c>
      <c r="AP356" t="s">
        <v>100</v>
      </c>
      <c r="AQ356" t="s">
        <v>101</v>
      </c>
      <c r="AV356" t="s">
        <v>98</v>
      </c>
      <c r="AX356" t="s">
        <v>484</v>
      </c>
      <c r="AZ356" t="s">
        <v>102</v>
      </c>
      <c r="BB356" t="s">
        <v>235</v>
      </c>
      <c r="BC356" t="s">
        <v>746</v>
      </c>
      <c r="BD356" t="s">
        <v>7528</v>
      </c>
      <c r="BF356" t="s">
        <v>1197</v>
      </c>
      <c r="BG356" t="s">
        <v>98</v>
      </c>
      <c r="BH356" t="s">
        <v>98</v>
      </c>
      <c r="BI356" t="s">
        <v>98</v>
      </c>
      <c r="BK356" t="s">
        <v>110</v>
      </c>
      <c r="BL356" t="s">
        <v>7528</v>
      </c>
      <c r="BR356">
        <v>0.75</v>
      </c>
      <c r="BS356">
        <v>5</v>
      </c>
      <c r="BT356">
        <v>5</v>
      </c>
      <c r="CA356">
        <v>3088</v>
      </c>
      <c r="CB356" t="s">
        <v>484</v>
      </c>
      <c r="CL356" t="s">
        <v>99</v>
      </c>
      <c r="CM356" t="s">
        <v>98</v>
      </c>
      <c r="CN356" t="s">
        <v>442</v>
      </c>
      <c r="CO356" s="1">
        <v>43034</v>
      </c>
      <c r="CP356" s="1">
        <v>43633</v>
      </c>
    </row>
    <row r="357" spans="1:94" x14ac:dyDescent="0.25">
      <c r="A357" t="s">
        <v>1198</v>
      </c>
      <c r="B357" t="str">
        <f xml:space="preserve"> "" &amp; 747396103457</f>
        <v>747396103457</v>
      </c>
      <c r="C357" t="s">
        <v>845</v>
      </c>
      <c r="D357" t="s">
        <v>1103</v>
      </c>
      <c r="E357" t="s">
        <v>1104</v>
      </c>
      <c r="F357" t="s">
        <v>240</v>
      </c>
      <c r="G357">
        <v>1</v>
      </c>
      <c r="H357">
        <v>1</v>
      </c>
      <c r="I357" t="s">
        <v>97</v>
      </c>
      <c r="J357" s="10">
        <v>55</v>
      </c>
      <c r="K357" s="10">
        <v>165</v>
      </c>
      <c r="L357" s="10">
        <v>0</v>
      </c>
      <c r="N357" s="10">
        <v>0</v>
      </c>
      <c r="O357" t="s">
        <v>99</v>
      </c>
      <c r="P357" s="10">
        <v>119.95</v>
      </c>
      <c r="S357">
        <v>14.5</v>
      </c>
      <c r="T357">
        <v>7</v>
      </c>
      <c r="U357">
        <v>7</v>
      </c>
      <c r="W357">
        <v>4.92</v>
      </c>
      <c r="X357">
        <v>1</v>
      </c>
      <c r="Y357">
        <v>9.5</v>
      </c>
      <c r="Z357">
        <v>15</v>
      </c>
      <c r="AA357">
        <v>10.25</v>
      </c>
      <c r="AB357">
        <v>0.84499999999999997</v>
      </c>
      <c r="AC357">
        <v>6.28</v>
      </c>
      <c r="AE357">
        <v>1</v>
      </c>
      <c r="AF357" t="s">
        <v>745</v>
      </c>
      <c r="AG357">
        <v>60</v>
      </c>
      <c r="AK357" t="s">
        <v>98</v>
      </c>
      <c r="AM357" t="s">
        <v>98</v>
      </c>
      <c r="AN357" t="s">
        <v>99</v>
      </c>
      <c r="AO357" t="s">
        <v>98</v>
      </c>
      <c r="AP357" t="s">
        <v>100</v>
      </c>
      <c r="AQ357" t="s">
        <v>101</v>
      </c>
      <c r="AV357" t="s">
        <v>98</v>
      </c>
      <c r="AX357" t="s">
        <v>1105</v>
      </c>
      <c r="AZ357" t="s">
        <v>102</v>
      </c>
      <c r="BB357" t="s">
        <v>235</v>
      </c>
      <c r="BC357" t="s">
        <v>746</v>
      </c>
      <c r="BD357" t="s">
        <v>7528</v>
      </c>
      <c r="BF357" t="s">
        <v>1199</v>
      </c>
      <c r="BG357" t="s">
        <v>98</v>
      </c>
      <c r="BH357" t="s">
        <v>98</v>
      </c>
      <c r="BI357" t="s">
        <v>98</v>
      </c>
      <c r="BK357" t="s">
        <v>110</v>
      </c>
      <c r="BL357" t="s">
        <v>7528</v>
      </c>
      <c r="BQ357">
        <v>5</v>
      </c>
      <c r="BR357">
        <v>0.75</v>
      </c>
      <c r="BS357">
        <v>5</v>
      </c>
      <c r="BT357">
        <v>5</v>
      </c>
      <c r="CA357">
        <v>3089</v>
      </c>
      <c r="CB357" t="s">
        <v>1105</v>
      </c>
      <c r="CL357" t="s">
        <v>99</v>
      </c>
      <c r="CM357" t="s">
        <v>99</v>
      </c>
      <c r="CN357" t="s">
        <v>442</v>
      </c>
      <c r="CO357" s="1">
        <v>42902</v>
      </c>
      <c r="CP357" s="1">
        <v>43633</v>
      </c>
    </row>
    <row r="358" spans="1:94" x14ac:dyDescent="0.25">
      <c r="A358" t="s">
        <v>1200</v>
      </c>
      <c r="B358" t="str">
        <f xml:space="preserve"> "" &amp; 747396103440</f>
        <v>747396103440</v>
      </c>
      <c r="C358" t="s">
        <v>845</v>
      </c>
      <c r="D358" t="s">
        <v>1103</v>
      </c>
      <c r="E358" t="s">
        <v>1104</v>
      </c>
      <c r="F358" t="s">
        <v>240</v>
      </c>
      <c r="G358">
        <v>1</v>
      </c>
      <c r="H358">
        <v>1</v>
      </c>
      <c r="I358" t="s">
        <v>97</v>
      </c>
      <c r="J358" s="10">
        <v>55</v>
      </c>
      <c r="K358" s="10">
        <v>165</v>
      </c>
      <c r="L358" s="10">
        <v>0</v>
      </c>
      <c r="N358" s="10">
        <v>0</v>
      </c>
      <c r="O358" t="s">
        <v>99</v>
      </c>
      <c r="P358" s="10">
        <v>119.95</v>
      </c>
      <c r="S358">
        <v>14.5</v>
      </c>
      <c r="T358">
        <v>7</v>
      </c>
      <c r="U358">
        <v>7</v>
      </c>
      <c r="W358">
        <v>4.5199999999999996</v>
      </c>
      <c r="X358">
        <v>1</v>
      </c>
      <c r="Y358">
        <v>9.5</v>
      </c>
      <c r="Z358">
        <v>15</v>
      </c>
      <c r="AA358">
        <v>10.25</v>
      </c>
      <c r="AB358">
        <v>0.84499999999999997</v>
      </c>
      <c r="AC358">
        <v>5.6</v>
      </c>
      <c r="AE358">
        <v>1</v>
      </c>
      <c r="AF358" t="s">
        <v>745</v>
      </c>
      <c r="AG358">
        <v>60</v>
      </c>
      <c r="AK358" t="s">
        <v>98</v>
      </c>
      <c r="AM358" t="s">
        <v>98</v>
      </c>
      <c r="AN358" t="s">
        <v>99</v>
      </c>
      <c r="AO358" t="s">
        <v>98</v>
      </c>
      <c r="AP358" t="s">
        <v>100</v>
      </c>
      <c r="AQ358" t="s">
        <v>101</v>
      </c>
      <c r="AV358" t="s">
        <v>98</v>
      </c>
      <c r="AX358" t="s">
        <v>484</v>
      </c>
      <c r="AZ358" t="s">
        <v>102</v>
      </c>
      <c r="BB358" t="s">
        <v>235</v>
      </c>
      <c r="BC358" t="s">
        <v>746</v>
      </c>
      <c r="BD358" t="s">
        <v>7528</v>
      </c>
      <c r="BF358" t="s">
        <v>1201</v>
      </c>
      <c r="BG358" t="s">
        <v>98</v>
      </c>
      <c r="BH358" t="s">
        <v>98</v>
      </c>
      <c r="BI358" t="s">
        <v>98</v>
      </c>
      <c r="BK358" t="s">
        <v>110</v>
      </c>
      <c r="BL358" t="s">
        <v>7528</v>
      </c>
      <c r="BQ358">
        <v>5</v>
      </c>
      <c r="BR358">
        <v>0.75</v>
      </c>
      <c r="BS358">
        <v>5</v>
      </c>
      <c r="BT358">
        <v>5</v>
      </c>
      <c r="CA358">
        <v>3089</v>
      </c>
      <c r="CB358" t="s">
        <v>484</v>
      </c>
      <c r="CL358" t="s">
        <v>99</v>
      </c>
      <c r="CM358" t="s">
        <v>99</v>
      </c>
      <c r="CN358" t="s">
        <v>442</v>
      </c>
      <c r="CO358" s="1">
        <v>42902</v>
      </c>
      <c r="CP358" s="1">
        <v>43633</v>
      </c>
    </row>
    <row r="359" spans="1:94" x14ac:dyDescent="0.25">
      <c r="A359" t="s">
        <v>1202</v>
      </c>
      <c r="B359" t="str">
        <f xml:space="preserve"> "" &amp; 747396103433</f>
        <v>747396103433</v>
      </c>
      <c r="C359" t="s">
        <v>835</v>
      </c>
      <c r="D359" t="s">
        <v>1203</v>
      </c>
      <c r="E359" t="s">
        <v>1204</v>
      </c>
      <c r="F359" t="s">
        <v>232</v>
      </c>
      <c r="G359">
        <v>1</v>
      </c>
      <c r="H359">
        <v>1</v>
      </c>
      <c r="I359" t="s">
        <v>97</v>
      </c>
      <c r="J359" s="10">
        <v>48</v>
      </c>
      <c r="K359" s="10">
        <v>144</v>
      </c>
      <c r="L359" s="10">
        <v>0</v>
      </c>
      <c r="N359" s="10">
        <v>0</v>
      </c>
      <c r="O359" t="s">
        <v>99</v>
      </c>
      <c r="P359" s="10">
        <v>99.95</v>
      </c>
      <c r="S359">
        <v>10.25</v>
      </c>
      <c r="T359">
        <v>12.25</v>
      </c>
      <c r="U359">
        <v>8</v>
      </c>
      <c r="V359">
        <v>4</v>
      </c>
      <c r="W359">
        <v>2.14</v>
      </c>
      <c r="X359">
        <v>1</v>
      </c>
      <c r="Y359">
        <v>10</v>
      </c>
      <c r="Z359">
        <v>12.25</v>
      </c>
      <c r="AA359">
        <v>6</v>
      </c>
      <c r="AB359">
        <v>0.42499999999999999</v>
      </c>
      <c r="AC359">
        <v>2.76</v>
      </c>
      <c r="AE359">
        <v>2</v>
      </c>
      <c r="AF359" t="s">
        <v>1205</v>
      </c>
      <c r="AG359">
        <v>60</v>
      </c>
      <c r="AK359" t="s">
        <v>98</v>
      </c>
      <c r="AL359">
        <v>2</v>
      </c>
      <c r="AM359" t="s">
        <v>98</v>
      </c>
      <c r="AN359" t="s">
        <v>99</v>
      </c>
      <c r="AO359" t="s">
        <v>98</v>
      </c>
      <c r="AP359" t="s">
        <v>100</v>
      </c>
      <c r="AQ359" t="s">
        <v>101</v>
      </c>
      <c r="AV359" t="s">
        <v>98</v>
      </c>
      <c r="AX359" t="s">
        <v>399</v>
      </c>
      <c r="AZ359" t="s">
        <v>102</v>
      </c>
      <c r="BB359" t="s">
        <v>7528</v>
      </c>
      <c r="BC359" t="s">
        <v>7528</v>
      </c>
      <c r="BD359" t="s">
        <v>7528</v>
      </c>
      <c r="BF359" t="s">
        <v>1206</v>
      </c>
      <c r="BG359" t="s">
        <v>98</v>
      </c>
      <c r="BH359" t="s">
        <v>98</v>
      </c>
      <c r="BI359" t="s">
        <v>98</v>
      </c>
      <c r="BK359" t="s">
        <v>127</v>
      </c>
      <c r="BL359" t="s">
        <v>236</v>
      </c>
      <c r="BM359">
        <v>5</v>
      </c>
      <c r="BN359">
        <v>0.75</v>
      </c>
      <c r="CA359">
        <v>3092</v>
      </c>
      <c r="CB359" t="s">
        <v>399</v>
      </c>
      <c r="CL359" t="s">
        <v>99</v>
      </c>
      <c r="CM359" t="s">
        <v>98</v>
      </c>
      <c r="CN359" t="s">
        <v>442</v>
      </c>
      <c r="CO359" s="1">
        <v>42908</v>
      </c>
      <c r="CP359" s="1">
        <v>43633</v>
      </c>
    </row>
    <row r="360" spans="1:94" x14ac:dyDescent="0.25">
      <c r="A360" t="s">
        <v>1207</v>
      </c>
      <c r="B360" t="str">
        <f xml:space="preserve"> "" &amp; 747396101613</f>
        <v>747396101613</v>
      </c>
      <c r="C360" t="s">
        <v>1063</v>
      </c>
      <c r="D360" t="s">
        <v>1208</v>
      </c>
      <c r="E360" t="s">
        <v>1204</v>
      </c>
      <c r="F360" t="s">
        <v>249</v>
      </c>
      <c r="G360">
        <v>1</v>
      </c>
      <c r="H360">
        <v>1</v>
      </c>
      <c r="I360" t="s">
        <v>97</v>
      </c>
      <c r="J360" s="10">
        <v>159</v>
      </c>
      <c r="K360" s="10">
        <v>477</v>
      </c>
      <c r="L360" s="10">
        <v>0</v>
      </c>
      <c r="N360" s="10">
        <v>0</v>
      </c>
      <c r="O360" t="s">
        <v>99</v>
      </c>
      <c r="P360" s="10">
        <v>334.95</v>
      </c>
      <c r="S360">
        <v>27.75</v>
      </c>
      <c r="T360">
        <v>22</v>
      </c>
      <c r="U360">
        <v>22</v>
      </c>
      <c r="W360">
        <v>11.35</v>
      </c>
      <c r="X360">
        <v>1</v>
      </c>
      <c r="Y360">
        <v>7.75</v>
      </c>
      <c r="Z360">
        <v>28.375</v>
      </c>
      <c r="AA360">
        <v>22.125</v>
      </c>
      <c r="AB360">
        <v>2.8159999999999998</v>
      </c>
      <c r="AC360">
        <v>15.43</v>
      </c>
      <c r="AE360">
        <v>4</v>
      </c>
      <c r="AF360" t="s">
        <v>1205</v>
      </c>
      <c r="AG360">
        <v>60</v>
      </c>
      <c r="AK360" t="s">
        <v>98</v>
      </c>
      <c r="AM360" t="s">
        <v>98</v>
      </c>
      <c r="AN360" t="s">
        <v>99</v>
      </c>
      <c r="AO360" t="s">
        <v>98</v>
      </c>
      <c r="AP360" t="s">
        <v>100</v>
      </c>
      <c r="AQ360" t="s">
        <v>101</v>
      </c>
      <c r="AV360" t="s">
        <v>98</v>
      </c>
      <c r="AX360" t="s">
        <v>399</v>
      </c>
      <c r="AZ360" t="s">
        <v>102</v>
      </c>
      <c r="BB360" t="s">
        <v>7528</v>
      </c>
      <c r="BC360" t="s">
        <v>7528</v>
      </c>
      <c r="BD360" t="s">
        <v>7528</v>
      </c>
      <c r="BF360" t="s">
        <v>1209</v>
      </c>
      <c r="BG360" t="s">
        <v>98</v>
      </c>
      <c r="BH360" t="s">
        <v>98</v>
      </c>
      <c r="BI360" t="s">
        <v>98</v>
      </c>
      <c r="BK360" t="s">
        <v>110</v>
      </c>
      <c r="BL360" t="s">
        <v>7528</v>
      </c>
      <c r="BQ360">
        <v>5</v>
      </c>
      <c r="BR360">
        <v>0.75</v>
      </c>
      <c r="BS360">
        <v>5</v>
      </c>
      <c r="BT360">
        <v>5</v>
      </c>
      <c r="CA360">
        <v>3094</v>
      </c>
      <c r="CB360" t="s">
        <v>399</v>
      </c>
      <c r="CL360" t="s">
        <v>99</v>
      </c>
      <c r="CM360" t="s">
        <v>99</v>
      </c>
      <c r="CN360" t="s">
        <v>442</v>
      </c>
      <c r="CO360" s="1">
        <v>42755</v>
      </c>
      <c r="CP360" s="1">
        <v>43633</v>
      </c>
    </row>
    <row r="361" spans="1:94" x14ac:dyDescent="0.25">
      <c r="A361" t="s">
        <v>1210</v>
      </c>
      <c r="B361" t="str">
        <f xml:space="preserve"> "" &amp; 747396101637</f>
        <v>747396101637</v>
      </c>
      <c r="C361" t="s">
        <v>879</v>
      </c>
      <c r="D361" t="s">
        <v>1211</v>
      </c>
      <c r="E361" t="s">
        <v>1204</v>
      </c>
      <c r="F361" t="s">
        <v>314</v>
      </c>
      <c r="G361">
        <v>1</v>
      </c>
      <c r="H361">
        <v>1</v>
      </c>
      <c r="I361" t="s">
        <v>97</v>
      </c>
      <c r="J361" s="10">
        <v>209</v>
      </c>
      <c r="K361" s="10">
        <v>627</v>
      </c>
      <c r="L361" s="10">
        <v>0</v>
      </c>
      <c r="N361" s="10">
        <v>0</v>
      </c>
      <c r="O361" t="s">
        <v>99</v>
      </c>
      <c r="P361" s="10">
        <v>439.95</v>
      </c>
      <c r="S361">
        <v>18</v>
      </c>
      <c r="T361">
        <v>38</v>
      </c>
      <c r="U361">
        <v>10</v>
      </c>
      <c r="W361">
        <v>14.62</v>
      </c>
      <c r="X361">
        <v>1</v>
      </c>
      <c r="Y361">
        <v>8.75</v>
      </c>
      <c r="Z361">
        <v>40.25</v>
      </c>
      <c r="AA361">
        <v>13</v>
      </c>
      <c r="AB361">
        <v>2.65</v>
      </c>
      <c r="AC361">
        <v>17.920000000000002</v>
      </c>
      <c r="AE361">
        <v>6</v>
      </c>
      <c r="AF361" t="s">
        <v>1205</v>
      </c>
      <c r="AG361">
        <v>60</v>
      </c>
      <c r="AK361" t="s">
        <v>98</v>
      </c>
      <c r="AM361" t="s">
        <v>98</v>
      </c>
      <c r="AN361" t="s">
        <v>99</v>
      </c>
      <c r="AO361" t="s">
        <v>98</v>
      </c>
      <c r="AP361" t="s">
        <v>100</v>
      </c>
      <c r="AQ361" t="s">
        <v>101</v>
      </c>
      <c r="AV361" t="s">
        <v>98</v>
      </c>
      <c r="AX361" t="s">
        <v>399</v>
      </c>
      <c r="AZ361" t="s">
        <v>102</v>
      </c>
      <c r="BB361" t="s">
        <v>7528</v>
      </c>
      <c r="BC361" t="s">
        <v>7528</v>
      </c>
      <c r="BD361" t="s">
        <v>7528</v>
      </c>
      <c r="BF361" t="s">
        <v>1212</v>
      </c>
      <c r="BG361" t="s">
        <v>98</v>
      </c>
      <c r="BH361" t="s">
        <v>98</v>
      </c>
      <c r="BI361" t="s">
        <v>98</v>
      </c>
      <c r="BK361" t="s">
        <v>110</v>
      </c>
      <c r="BL361" t="s">
        <v>7528</v>
      </c>
      <c r="BR361">
        <v>0.75</v>
      </c>
      <c r="BS361">
        <v>13.25</v>
      </c>
      <c r="BT361">
        <v>4.5</v>
      </c>
      <c r="CA361">
        <v>3096</v>
      </c>
      <c r="CB361" t="s">
        <v>399</v>
      </c>
      <c r="CL361" t="s">
        <v>99</v>
      </c>
      <c r="CM361" t="s">
        <v>99</v>
      </c>
      <c r="CN361" t="s">
        <v>442</v>
      </c>
      <c r="CO361" s="1">
        <v>42755</v>
      </c>
      <c r="CP361" s="1">
        <v>43633</v>
      </c>
    </row>
    <row r="362" spans="1:94" x14ac:dyDescent="0.25">
      <c r="A362" t="s">
        <v>1213</v>
      </c>
      <c r="B362" t="str">
        <f xml:space="preserve"> "" &amp; 747396101651</f>
        <v>747396101651</v>
      </c>
      <c r="C362" t="s">
        <v>1063</v>
      </c>
      <c r="D362" t="s">
        <v>1214</v>
      </c>
      <c r="E362" t="s">
        <v>1204</v>
      </c>
      <c r="F362" t="s">
        <v>249</v>
      </c>
      <c r="G362">
        <v>1</v>
      </c>
      <c r="H362">
        <v>1</v>
      </c>
      <c r="I362" t="s">
        <v>97</v>
      </c>
      <c r="J362" s="10">
        <v>209</v>
      </c>
      <c r="K362" s="10">
        <v>627</v>
      </c>
      <c r="L362" s="10">
        <v>0</v>
      </c>
      <c r="N362" s="10">
        <v>0</v>
      </c>
      <c r="O362" t="s">
        <v>99</v>
      </c>
      <c r="P362" s="10">
        <v>439.95</v>
      </c>
      <c r="S362">
        <v>30.25</v>
      </c>
      <c r="T362">
        <v>26</v>
      </c>
      <c r="U362">
        <v>26</v>
      </c>
      <c r="W362">
        <v>15.79</v>
      </c>
      <c r="X362">
        <v>1</v>
      </c>
      <c r="Y362">
        <v>7.875</v>
      </c>
      <c r="Z362">
        <v>30.375</v>
      </c>
      <c r="AA362">
        <v>28</v>
      </c>
      <c r="AB362">
        <v>3.8759999999999999</v>
      </c>
      <c r="AC362">
        <v>20.079999999999998</v>
      </c>
      <c r="AE362">
        <v>6</v>
      </c>
      <c r="AF362" t="s">
        <v>1205</v>
      </c>
      <c r="AG362">
        <v>60</v>
      </c>
      <c r="AK362" t="s">
        <v>98</v>
      </c>
      <c r="AM362" t="s">
        <v>98</v>
      </c>
      <c r="AN362" t="s">
        <v>99</v>
      </c>
      <c r="AO362" t="s">
        <v>98</v>
      </c>
      <c r="AP362" t="s">
        <v>100</v>
      </c>
      <c r="AQ362" t="s">
        <v>101</v>
      </c>
      <c r="AV362" t="s">
        <v>98</v>
      </c>
      <c r="AX362" t="s">
        <v>399</v>
      </c>
      <c r="AZ362" t="s">
        <v>102</v>
      </c>
      <c r="BB362" t="s">
        <v>7528</v>
      </c>
      <c r="BC362" t="s">
        <v>7528</v>
      </c>
      <c r="BD362" t="s">
        <v>7528</v>
      </c>
      <c r="BF362" t="s">
        <v>1215</v>
      </c>
      <c r="BG362" t="s">
        <v>98</v>
      </c>
      <c r="BH362" t="s">
        <v>98</v>
      </c>
      <c r="BI362" t="s">
        <v>98</v>
      </c>
      <c r="BK362" t="s">
        <v>110</v>
      </c>
      <c r="BL362" t="s">
        <v>7528</v>
      </c>
      <c r="BQ362">
        <v>5</v>
      </c>
      <c r="BR362">
        <v>0.75</v>
      </c>
      <c r="BS362">
        <v>5</v>
      </c>
      <c r="BT362">
        <v>5</v>
      </c>
      <c r="CA362" t="s">
        <v>1213</v>
      </c>
      <c r="CB362" t="s">
        <v>399</v>
      </c>
      <c r="CL362" t="s">
        <v>99</v>
      </c>
      <c r="CM362" t="s">
        <v>99</v>
      </c>
      <c r="CN362" t="s">
        <v>442</v>
      </c>
      <c r="CO362" s="1">
        <v>42755</v>
      </c>
      <c r="CP362" s="1">
        <v>43633</v>
      </c>
    </row>
    <row r="363" spans="1:94" x14ac:dyDescent="0.25">
      <c r="A363" t="s">
        <v>1216</v>
      </c>
      <c r="B363" t="str">
        <f xml:space="preserve"> "" &amp; 747396043548</f>
        <v>747396043548</v>
      </c>
      <c r="C363" t="s">
        <v>1217</v>
      </c>
      <c r="D363" t="s">
        <v>1217</v>
      </c>
      <c r="E363" t="s">
        <v>7528</v>
      </c>
      <c r="F363" t="s">
        <v>249</v>
      </c>
      <c r="G363">
        <v>1</v>
      </c>
      <c r="H363">
        <v>1</v>
      </c>
      <c r="I363" t="s">
        <v>97</v>
      </c>
      <c r="J363" s="10">
        <v>79</v>
      </c>
      <c r="K363" s="10">
        <v>237</v>
      </c>
      <c r="L363" s="10">
        <v>0</v>
      </c>
      <c r="N363" s="10">
        <v>0</v>
      </c>
      <c r="O363" t="s">
        <v>99</v>
      </c>
      <c r="P363" s="10">
        <v>159.94999999999999</v>
      </c>
      <c r="S363">
        <v>16.25</v>
      </c>
      <c r="T363">
        <v>11</v>
      </c>
      <c r="U363">
        <v>11</v>
      </c>
      <c r="W363">
        <v>3.75</v>
      </c>
      <c r="X363">
        <v>1</v>
      </c>
      <c r="Y363">
        <v>13.5</v>
      </c>
      <c r="Z363">
        <v>12.5</v>
      </c>
      <c r="AA363">
        <v>11</v>
      </c>
      <c r="AB363">
        <v>1.0740000000000001</v>
      </c>
      <c r="AC363">
        <v>6.79</v>
      </c>
      <c r="AE363">
        <v>1</v>
      </c>
      <c r="AF363" t="s">
        <v>1218</v>
      </c>
      <c r="AG363">
        <v>60</v>
      </c>
      <c r="AK363" t="s">
        <v>98</v>
      </c>
      <c r="AM363" t="s">
        <v>98</v>
      </c>
      <c r="AN363" t="s">
        <v>99</v>
      </c>
      <c r="AO363" t="s">
        <v>98</v>
      </c>
      <c r="AP363" t="s">
        <v>100</v>
      </c>
      <c r="AQ363" t="s">
        <v>101</v>
      </c>
      <c r="AV363" t="s">
        <v>98</v>
      </c>
      <c r="AX363" t="s">
        <v>1219</v>
      </c>
      <c r="AZ363" t="s">
        <v>124</v>
      </c>
      <c r="BB363" t="s">
        <v>235</v>
      </c>
      <c r="BC363" t="s">
        <v>7528</v>
      </c>
      <c r="BD363" t="s">
        <v>1220</v>
      </c>
      <c r="BF363" t="s">
        <v>1221</v>
      </c>
      <c r="BG363" t="s">
        <v>98</v>
      </c>
      <c r="BH363" t="s">
        <v>98</v>
      </c>
      <c r="BI363" t="s">
        <v>98</v>
      </c>
      <c r="BK363" t="s">
        <v>127</v>
      </c>
      <c r="BL363" t="s">
        <v>7528</v>
      </c>
      <c r="BR363">
        <v>1.1299999999999999</v>
      </c>
      <c r="BT363">
        <v>5.13</v>
      </c>
      <c r="CA363">
        <v>3121</v>
      </c>
      <c r="CB363" t="s">
        <v>1219</v>
      </c>
      <c r="CL363" t="s">
        <v>99</v>
      </c>
      <c r="CM363" t="s">
        <v>99</v>
      </c>
      <c r="CN363" t="s">
        <v>1222</v>
      </c>
      <c r="CO363" s="1">
        <v>38147</v>
      </c>
      <c r="CP363" s="1">
        <v>43633</v>
      </c>
    </row>
    <row r="364" spans="1:94" x14ac:dyDescent="0.25">
      <c r="A364" t="s">
        <v>1223</v>
      </c>
      <c r="B364" t="str">
        <f xml:space="preserve"> "" &amp; 747396043579</f>
        <v>747396043579</v>
      </c>
      <c r="C364" t="s">
        <v>248</v>
      </c>
      <c r="D364" t="s">
        <v>248</v>
      </c>
      <c r="E364" t="s">
        <v>7528</v>
      </c>
      <c r="F364" t="s">
        <v>249</v>
      </c>
      <c r="G364">
        <v>1</v>
      </c>
      <c r="H364">
        <v>1</v>
      </c>
      <c r="I364" t="s">
        <v>97</v>
      </c>
      <c r="J364" s="10">
        <v>84</v>
      </c>
      <c r="K364" s="10">
        <v>252</v>
      </c>
      <c r="L364" s="10">
        <v>0</v>
      </c>
      <c r="N364" s="10">
        <v>0</v>
      </c>
      <c r="O364" t="s">
        <v>99</v>
      </c>
      <c r="P364" s="10">
        <v>169.95</v>
      </c>
      <c r="S364">
        <v>18.25</v>
      </c>
      <c r="T364">
        <v>13.25</v>
      </c>
      <c r="U364">
        <v>13.25</v>
      </c>
      <c r="W364">
        <v>5.51</v>
      </c>
      <c r="X364">
        <v>1</v>
      </c>
      <c r="Y364">
        <v>14.5</v>
      </c>
      <c r="Z364">
        <v>14</v>
      </c>
      <c r="AA364">
        <v>13</v>
      </c>
      <c r="AB364">
        <v>1.5269999999999999</v>
      </c>
      <c r="AC364">
        <v>8.27</v>
      </c>
      <c r="AE364">
        <v>3</v>
      </c>
      <c r="AF364" t="s">
        <v>1218</v>
      </c>
      <c r="AG364">
        <v>60</v>
      </c>
      <c r="AK364" t="s">
        <v>98</v>
      </c>
      <c r="AL364">
        <v>3</v>
      </c>
      <c r="AM364" t="s">
        <v>98</v>
      </c>
      <c r="AN364" t="s">
        <v>99</v>
      </c>
      <c r="AO364" t="s">
        <v>98</v>
      </c>
      <c r="AP364" t="s">
        <v>100</v>
      </c>
      <c r="AQ364" t="s">
        <v>101</v>
      </c>
      <c r="AV364" t="s">
        <v>98</v>
      </c>
      <c r="AX364" t="s">
        <v>1224</v>
      </c>
      <c r="AZ364" t="s">
        <v>124</v>
      </c>
      <c r="BB364" t="s">
        <v>235</v>
      </c>
      <c r="BC364" t="s">
        <v>7528</v>
      </c>
      <c r="BD364" t="s">
        <v>1225</v>
      </c>
      <c r="BF364" t="s">
        <v>1226</v>
      </c>
      <c r="BG364" t="s">
        <v>98</v>
      </c>
      <c r="BH364" t="s">
        <v>98</v>
      </c>
      <c r="BI364" t="s">
        <v>98</v>
      </c>
      <c r="BK364" t="s">
        <v>127</v>
      </c>
      <c r="BL364" t="s">
        <v>7528</v>
      </c>
      <c r="BR364">
        <v>1.1299999999999999</v>
      </c>
      <c r="BT364">
        <v>5.13</v>
      </c>
      <c r="CA364">
        <v>3122</v>
      </c>
      <c r="CB364" t="s">
        <v>1224</v>
      </c>
      <c r="CL364" t="s">
        <v>99</v>
      </c>
      <c r="CM364" t="s">
        <v>99</v>
      </c>
      <c r="CN364" t="s">
        <v>1222</v>
      </c>
      <c r="CO364" s="1">
        <v>38147</v>
      </c>
      <c r="CP364" s="1">
        <v>43633</v>
      </c>
    </row>
    <row r="365" spans="1:94" x14ac:dyDescent="0.25">
      <c r="A365" t="s">
        <v>1227</v>
      </c>
      <c r="B365" t="str">
        <f xml:space="preserve"> "" &amp; 747396043586</f>
        <v>747396043586</v>
      </c>
      <c r="C365" t="s">
        <v>1217</v>
      </c>
      <c r="D365" t="s">
        <v>1217</v>
      </c>
      <c r="E365" t="s">
        <v>7528</v>
      </c>
      <c r="F365" t="s">
        <v>249</v>
      </c>
      <c r="G365">
        <v>1</v>
      </c>
      <c r="H365">
        <v>1</v>
      </c>
      <c r="I365" t="s">
        <v>97</v>
      </c>
      <c r="J365" s="10">
        <v>69</v>
      </c>
      <c r="K365" s="10">
        <v>207</v>
      </c>
      <c r="L365" s="10">
        <v>0</v>
      </c>
      <c r="N365" s="10">
        <v>0</v>
      </c>
      <c r="O365" t="s">
        <v>99</v>
      </c>
      <c r="P365" s="10">
        <v>139.94999999999999</v>
      </c>
      <c r="S365">
        <v>20</v>
      </c>
      <c r="T365">
        <v>12.5</v>
      </c>
      <c r="U365">
        <v>12.5</v>
      </c>
      <c r="W365">
        <v>5.73</v>
      </c>
      <c r="X365">
        <v>1</v>
      </c>
      <c r="Y365">
        <v>17</v>
      </c>
      <c r="Z365">
        <v>14</v>
      </c>
      <c r="AA365">
        <v>14</v>
      </c>
      <c r="AB365">
        <v>1.9279999999999999</v>
      </c>
      <c r="AC365">
        <v>8.5299999999999994</v>
      </c>
      <c r="AE365">
        <v>1</v>
      </c>
      <c r="AF365" t="s">
        <v>1228</v>
      </c>
      <c r="AG365">
        <v>60</v>
      </c>
      <c r="AK365" t="s">
        <v>98</v>
      </c>
      <c r="AM365" t="s">
        <v>98</v>
      </c>
      <c r="AN365" t="s">
        <v>98</v>
      </c>
      <c r="AO365" t="s">
        <v>99</v>
      </c>
      <c r="AP365" t="s">
        <v>100</v>
      </c>
      <c r="AQ365" t="s">
        <v>101</v>
      </c>
      <c r="AV365" t="s">
        <v>98</v>
      </c>
      <c r="AX365" t="s">
        <v>1229</v>
      </c>
      <c r="AZ365" t="s">
        <v>124</v>
      </c>
      <c r="BB365" t="s">
        <v>235</v>
      </c>
      <c r="BC365" t="s">
        <v>7601</v>
      </c>
      <c r="BD365" t="s">
        <v>1230</v>
      </c>
      <c r="BF365" t="s">
        <v>1231</v>
      </c>
      <c r="BG365" t="s">
        <v>98</v>
      </c>
      <c r="BH365" t="s">
        <v>98</v>
      </c>
      <c r="BI365" t="s">
        <v>98</v>
      </c>
      <c r="BK365" t="s">
        <v>127</v>
      </c>
      <c r="BL365" t="s">
        <v>7528</v>
      </c>
      <c r="BR365">
        <v>1.1299999999999999</v>
      </c>
      <c r="BT365">
        <v>5.13</v>
      </c>
      <c r="CA365">
        <v>3123</v>
      </c>
      <c r="CB365" t="s">
        <v>1229</v>
      </c>
      <c r="CL365" t="s">
        <v>99</v>
      </c>
      <c r="CM365" t="s">
        <v>99</v>
      </c>
      <c r="CN365" t="s">
        <v>1222</v>
      </c>
      <c r="CO365" s="1">
        <v>38147</v>
      </c>
      <c r="CP365" s="1">
        <v>43633</v>
      </c>
    </row>
    <row r="366" spans="1:94" x14ac:dyDescent="0.25">
      <c r="A366" t="s">
        <v>1232</v>
      </c>
      <c r="B366" t="str">
        <f xml:space="preserve"> "" &amp; 747396046396</f>
        <v>747396046396</v>
      </c>
      <c r="C366" t="s">
        <v>1233</v>
      </c>
      <c r="D366" t="s">
        <v>1233</v>
      </c>
      <c r="E366" t="s">
        <v>7528</v>
      </c>
      <c r="F366" t="s">
        <v>249</v>
      </c>
      <c r="G366">
        <v>1</v>
      </c>
      <c r="H366">
        <v>1</v>
      </c>
      <c r="I366" t="s">
        <v>97</v>
      </c>
      <c r="J366" s="10">
        <v>85</v>
      </c>
      <c r="K366" s="10">
        <v>255</v>
      </c>
      <c r="L366" s="10">
        <v>0</v>
      </c>
      <c r="N366" s="10">
        <v>0</v>
      </c>
      <c r="O366" t="s">
        <v>99</v>
      </c>
      <c r="P366" s="10">
        <v>169.95</v>
      </c>
      <c r="S366">
        <v>16</v>
      </c>
      <c r="T366">
        <v>12.5</v>
      </c>
      <c r="U366">
        <v>12.5</v>
      </c>
      <c r="W366">
        <v>5.51</v>
      </c>
      <c r="X366">
        <v>1</v>
      </c>
      <c r="Y366">
        <v>17</v>
      </c>
      <c r="Z366">
        <v>11</v>
      </c>
      <c r="AA366">
        <v>11</v>
      </c>
      <c r="AB366">
        <v>1.19</v>
      </c>
      <c r="AC366">
        <v>7.39</v>
      </c>
      <c r="AE366">
        <v>4</v>
      </c>
      <c r="AF366" t="s">
        <v>519</v>
      </c>
      <c r="AG366">
        <v>60</v>
      </c>
      <c r="AK366" t="s">
        <v>98</v>
      </c>
      <c r="AL366">
        <v>4</v>
      </c>
      <c r="AM366" t="s">
        <v>98</v>
      </c>
      <c r="AN366" t="s">
        <v>99</v>
      </c>
      <c r="AO366" t="s">
        <v>98</v>
      </c>
      <c r="AP366" t="s">
        <v>100</v>
      </c>
      <c r="AQ366" t="s">
        <v>101</v>
      </c>
      <c r="AV366" t="s">
        <v>98</v>
      </c>
      <c r="AX366" t="s">
        <v>636</v>
      </c>
      <c r="AZ366" t="s">
        <v>124</v>
      </c>
      <c r="BB366" t="s">
        <v>235</v>
      </c>
      <c r="BC366" t="s">
        <v>7601</v>
      </c>
      <c r="BD366" t="s">
        <v>1234</v>
      </c>
      <c r="BF366" t="s">
        <v>1235</v>
      </c>
      <c r="BG366" t="s">
        <v>98</v>
      </c>
      <c r="BH366" t="s">
        <v>98</v>
      </c>
      <c r="BI366" t="s">
        <v>98</v>
      </c>
      <c r="BK366" t="s">
        <v>127</v>
      </c>
      <c r="BL366" t="s">
        <v>7528</v>
      </c>
      <c r="BR366">
        <v>1</v>
      </c>
      <c r="BT366">
        <v>5.13</v>
      </c>
      <c r="CA366">
        <v>3127</v>
      </c>
      <c r="CB366" t="s">
        <v>636</v>
      </c>
      <c r="CL366" t="s">
        <v>99</v>
      </c>
      <c r="CM366" t="s">
        <v>99</v>
      </c>
      <c r="CN366" t="s">
        <v>838</v>
      </c>
      <c r="CO366" s="1">
        <v>38275</v>
      </c>
      <c r="CP366" s="1">
        <v>43633</v>
      </c>
    </row>
    <row r="367" spans="1:94" x14ac:dyDescent="0.25">
      <c r="A367" t="s">
        <v>1238</v>
      </c>
      <c r="B367" t="str">
        <f xml:space="preserve"> "" &amp; 747396066400</f>
        <v>747396066400</v>
      </c>
      <c r="C367" t="s">
        <v>248</v>
      </c>
      <c r="D367" t="s">
        <v>248</v>
      </c>
      <c r="E367" t="s">
        <v>7528</v>
      </c>
      <c r="F367" t="s">
        <v>249</v>
      </c>
      <c r="G367">
        <v>1</v>
      </c>
      <c r="H367">
        <v>1</v>
      </c>
      <c r="I367" t="s">
        <v>97</v>
      </c>
      <c r="J367" s="10">
        <v>125</v>
      </c>
      <c r="K367" s="10">
        <v>375</v>
      </c>
      <c r="L367" s="10">
        <v>0</v>
      </c>
      <c r="N367" s="10">
        <v>0</v>
      </c>
      <c r="O367" t="s">
        <v>99</v>
      </c>
      <c r="P367" s="10">
        <v>249.95</v>
      </c>
      <c r="S367">
        <v>20</v>
      </c>
      <c r="T367">
        <v>16</v>
      </c>
      <c r="U367">
        <v>16</v>
      </c>
      <c r="W367">
        <v>7.83</v>
      </c>
      <c r="X367">
        <v>1</v>
      </c>
      <c r="Y367">
        <v>9.5</v>
      </c>
      <c r="Z367">
        <v>16.5</v>
      </c>
      <c r="AA367">
        <v>15.5</v>
      </c>
      <c r="AB367">
        <v>1.4059999999999999</v>
      </c>
      <c r="AC367">
        <v>11.24</v>
      </c>
      <c r="AE367">
        <v>3</v>
      </c>
      <c r="AF367" t="s">
        <v>308</v>
      </c>
      <c r="AG367">
        <v>60</v>
      </c>
      <c r="AK367" t="s">
        <v>98</v>
      </c>
      <c r="AL367">
        <v>3</v>
      </c>
      <c r="AM367" t="s">
        <v>98</v>
      </c>
      <c r="AN367" t="s">
        <v>99</v>
      </c>
      <c r="AO367" t="s">
        <v>98</v>
      </c>
      <c r="AP367" t="s">
        <v>100</v>
      </c>
      <c r="AQ367" t="s">
        <v>101</v>
      </c>
      <c r="AV367" t="s">
        <v>98</v>
      </c>
      <c r="AX367" t="s">
        <v>399</v>
      </c>
      <c r="AZ367" t="s">
        <v>124</v>
      </c>
      <c r="BB367" t="s">
        <v>197</v>
      </c>
      <c r="BC367" t="s">
        <v>1239</v>
      </c>
      <c r="BD367" t="s">
        <v>1240</v>
      </c>
      <c r="BF367" t="s">
        <v>1241</v>
      </c>
      <c r="BG367" t="s">
        <v>98</v>
      </c>
      <c r="BH367" t="s">
        <v>98</v>
      </c>
      <c r="BI367" t="s">
        <v>98</v>
      </c>
      <c r="BK367" t="s">
        <v>127</v>
      </c>
      <c r="BL367" t="s">
        <v>7528</v>
      </c>
      <c r="BR367">
        <v>1.25</v>
      </c>
      <c r="BT367">
        <v>4.75</v>
      </c>
      <c r="CA367">
        <v>3132</v>
      </c>
      <c r="CB367" t="s">
        <v>399</v>
      </c>
      <c r="CL367" t="s">
        <v>99</v>
      </c>
      <c r="CM367" t="s">
        <v>99</v>
      </c>
      <c r="CN367" t="s">
        <v>1237</v>
      </c>
      <c r="CO367" s="1">
        <v>39420</v>
      </c>
      <c r="CP367" s="1">
        <v>43633</v>
      </c>
    </row>
    <row r="368" spans="1:94" x14ac:dyDescent="0.25">
      <c r="A368" t="s">
        <v>1242</v>
      </c>
      <c r="B368" t="str">
        <f xml:space="preserve"> "" &amp; 747396066424</f>
        <v>747396066424</v>
      </c>
      <c r="C368" t="s">
        <v>1236</v>
      </c>
      <c r="D368" t="s">
        <v>1236</v>
      </c>
      <c r="E368" t="s">
        <v>7528</v>
      </c>
      <c r="F368" t="s">
        <v>249</v>
      </c>
      <c r="G368">
        <v>1</v>
      </c>
      <c r="H368">
        <v>1</v>
      </c>
      <c r="I368" t="s">
        <v>97</v>
      </c>
      <c r="J368" s="10">
        <v>169</v>
      </c>
      <c r="K368" s="10">
        <v>507</v>
      </c>
      <c r="L368" s="10">
        <v>0</v>
      </c>
      <c r="N368" s="10">
        <v>0</v>
      </c>
      <c r="O368" t="s">
        <v>99</v>
      </c>
      <c r="P368" s="10">
        <v>339.95</v>
      </c>
      <c r="S368">
        <v>25.5</v>
      </c>
      <c r="T368">
        <v>18.5</v>
      </c>
      <c r="U368">
        <v>18.5</v>
      </c>
      <c r="W368">
        <v>10.16</v>
      </c>
      <c r="X368">
        <v>1</v>
      </c>
      <c r="Y368">
        <v>20.5</v>
      </c>
      <c r="Z368">
        <v>19</v>
      </c>
      <c r="AA368">
        <v>18</v>
      </c>
      <c r="AB368">
        <v>4.0570000000000004</v>
      </c>
      <c r="AC368">
        <v>14.95</v>
      </c>
      <c r="AE368">
        <v>5</v>
      </c>
      <c r="AF368" t="s">
        <v>519</v>
      </c>
      <c r="AG368">
        <v>60</v>
      </c>
      <c r="AK368" t="s">
        <v>98</v>
      </c>
      <c r="AL368">
        <v>5</v>
      </c>
      <c r="AM368" t="s">
        <v>98</v>
      </c>
      <c r="AN368" t="s">
        <v>99</v>
      </c>
      <c r="AO368" t="s">
        <v>98</v>
      </c>
      <c r="AP368" t="s">
        <v>100</v>
      </c>
      <c r="AQ368" t="s">
        <v>101</v>
      </c>
      <c r="AV368" t="s">
        <v>98</v>
      </c>
      <c r="AX368" t="s">
        <v>1243</v>
      </c>
      <c r="AZ368" t="s">
        <v>124</v>
      </c>
      <c r="BB368" t="s">
        <v>7528</v>
      </c>
      <c r="BC368" t="s">
        <v>7528</v>
      </c>
      <c r="BD368" t="s">
        <v>1230</v>
      </c>
      <c r="BF368" t="s">
        <v>1244</v>
      </c>
      <c r="BG368" t="s">
        <v>98</v>
      </c>
      <c r="BH368" t="s">
        <v>98</v>
      </c>
      <c r="BI368" t="s">
        <v>98</v>
      </c>
      <c r="BK368" t="s">
        <v>127</v>
      </c>
      <c r="BL368" t="s">
        <v>7528</v>
      </c>
      <c r="BR368">
        <v>1.63</v>
      </c>
      <c r="BT368">
        <v>5.75</v>
      </c>
      <c r="CA368">
        <v>3134</v>
      </c>
      <c r="CB368" t="s">
        <v>1243</v>
      </c>
      <c r="CL368" t="s">
        <v>99</v>
      </c>
      <c r="CM368" t="s">
        <v>99</v>
      </c>
      <c r="CN368" t="s">
        <v>1245</v>
      </c>
      <c r="CO368" s="1">
        <v>39420</v>
      </c>
      <c r="CP368" s="1">
        <v>43633</v>
      </c>
    </row>
    <row r="369" spans="1:94" x14ac:dyDescent="0.25">
      <c r="A369" t="s">
        <v>1246</v>
      </c>
      <c r="B369" t="str">
        <f xml:space="preserve"> "" &amp; 747396068879</f>
        <v>747396068879</v>
      </c>
      <c r="C369" t="s">
        <v>1236</v>
      </c>
      <c r="D369" t="s">
        <v>1236</v>
      </c>
      <c r="E369" t="s">
        <v>7528</v>
      </c>
      <c r="F369" t="s">
        <v>249</v>
      </c>
      <c r="G369">
        <v>1</v>
      </c>
      <c r="H369">
        <v>1</v>
      </c>
      <c r="I369" t="s">
        <v>97</v>
      </c>
      <c r="J369" s="10">
        <v>125</v>
      </c>
      <c r="K369" s="10">
        <v>375</v>
      </c>
      <c r="L369" s="10">
        <v>0</v>
      </c>
      <c r="N369" s="10">
        <v>0</v>
      </c>
      <c r="O369" t="s">
        <v>99</v>
      </c>
      <c r="P369" s="10">
        <v>249.95</v>
      </c>
      <c r="S369">
        <v>22.5</v>
      </c>
      <c r="T369">
        <v>22</v>
      </c>
      <c r="U369">
        <v>22</v>
      </c>
      <c r="W369">
        <v>8.16</v>
      </c>
      <c r="X369">
        <v>1</v>
      </c>
      <c r="Y369">
        <v>0</v>
      </c>
      <c r="Z369">
        <v>0</v>
      </c>
      <c r="AA369">
        <v>0</v>
      </c>
      <c r="AB369">
        <v>0</v>
      </c>
      <c r="AC369">
        <v>13.18</v>
      </c>
      <c r="AE369">
        <v>5</v>
      </c>
      <c r="AF369" t="s">
        <v>519</v>
      </c>
      <c r="AG369">
        <v>60</v>
      </c>
      <c r="AK369" t="s">
        <v>98</v>
      </c>
      <c r="AL369">
        <v>5</v>
      </c>
      <c r="AM369" t="s">
        <v>98</v>
      </c>
      <c r="AN369" t="s">
        <v>99</v>
      </c>
      <c r="AO369" t="s">
        <v>98</v>
      </c>
      <c r="AP369" t="s">
        <v>100</v>
      </c>
      <c r="AQ369" t="s">
        <v>101</v>
      </c>
      <c r="AV369" t="s">
        <v>98</v>
      </c>
      <c r="AX369" t="s">
        <v>1247</v>
      </c>
      <c r="AZ369" t="s">
        <v>124</v>
      </c>
      <c r="BB369" t="s">
        <v>7528</v>
      </c>
      <c r="BC369" t="s">
        <v>7528</v>
      </c>
      <c r="BD369" t="s">
        <v>7528</v>
      </c>
      <c r="BF369" t="s">
        <v>1248</v>
      </c>
      <c r="BG369" t="s">
        <v>98</v>
      </c>
      <c r="BH369" t="s">
        <v>98</v>
      </c>
      <c r="BI369" t="s">
        <v>98</v>
      </c>
      <c r="BK369" t="s">
        <v>127</v>
      </c>
      <c r="BL369" t="s">
        <v>7528</v>
      </c>
      <c r="BR369">
        <v>1</v>
      </c>
      <c r="BT369">
        <v>5</v>
      </c>
      <c r="CA369">
        <v>3135</v>
      </c>
      <c r="CB369" t="s">
        <v>1247</v>
      </c>
      <c r="CL369" t="s">
        <v>99</v>
      </c>
      <c r="CM369" t="s">
        <v>99</v>
      </c>
      <c r="CN369" t="s">
        <v>1292</v>
      </c>
      <c r="CO369" s="1">
        <v>41426</v>
      </c>
      <c r="CP369" s="1">
        <v>43633</v>
      </c>
    </row>
    <row r="370" spans="1:94" x14ac:dyDescent="0.25">
      <c r="A370" t="s">
        <v>1249</v>
      </c>
      <c r="B370" t="str">
        <f xml:space="preserve"> "" &amp; 747396068886</f>
        <v>747396068886</v>
      </c>
      <c r="C370" t="s">
        <v>1236</v>
      </c>
      <c r="D370" t="s">
        <v>1236</v>
      </c>
      <c r="E370" t="s">
        <v>7528</v>
      </c>
      <c r="F370" t="s">
        <v>249</v>
      </c>
      <c r="G370">
        <v>1</v>
      </c>
      <c r="H370">
        <v>1</v>
      </c>
      <c r="I370" t="s">
        <v>97</v>
      </c>
      <c r="J370" s="10">
        <v>158</v>
      </c>
      <c r="K370" s="10">
        <v>474</v>
      </c>
      <c r="L370" s="10">
        <v>0</v>
      </c>
      <c r="N370" s="10">
        <v>0</v>
      </c>
      <c r="O370" t="s">
        <v>99</v>
      </c>
      <c r="P370" s="10">
        <v>314.95</v>
      </c>
      <c r="S370">
        <v>27.5</v>
      </c>
      <c r="T370">
        <v>20</v>
      </c>
      <c r="U370">
        <v>20</v>
      </c>
      <c r="W370">
        <v>10.029999999999999</v>
      </c>
      <c r="X370">
        <v>1</v>
      </c>
      <c r="Y370">
        <v>10</v>
      </c>
      <c r="Z370">
        <v>20</v>
      </c>
      <c r="AA370">
        <v>20</v>
      </c>
      <c r="AB370">
        <v>2.3149999999999999</v>
      </c>
      <c r="AC370">
        <v>14.77</v>
      </c>
      <c r="AE370">
        <v>5</v>
      </c>
      <c r="AF370" t="s">
        <v>519</v>
      </c>
      <c r="AG370">
        <v>60</v>
      </c>
      <c r="AK370" t="s">
        <v>98</v>
      </c>
      <c r="AL370">
        <v>5</v>
      </c>
      <c r="AM370" t="s">
        <v>98</v>
      </c>
      <c r="AN370" t="s">
        <v>99</v>
      </c>
      <c r="AO370" t="s">
        <v>98</v>
      </c>
      <c r="AP370" t="s">
        <v>100</v>
      </c>
      <c r="AQ370" t="s">
        <v>101</v>
      </c>
      <c r="AV370" t="s">
        <v>98</v>
      </c>
      <c r="AX370" t="s">
        <v>1250</v>
      </c>
      <c r="AZ370" t="s">
        <v>124</v>
      </c>
      <c r="BB370" t="s">
        <v>7528</v>
      </c>
      <c r="BC370" t="s">
        <v>7528</v>
      </c>
      <c r="BD370" t="s">
        <v>7528</v>
      </c>
      <c r="BF370" t="s">
        <v>1251</v>
      </c>
      <c r="BG370" t="s">
        <v>98</v>
      </c>
      <c r="BH370" t="s">
        <v>98</v>
      </c>
      <c r="BI370" t="s">
        <v>98</v>
      </c>
      <c r="BK370" t="s">
        <v>127</v>
      </c>
      <c r="BL370" t="s">
        <v>7528</v>
      </c>
      <c r="BQ370">
        <v>5</v>
      </c>
      <c r="BR370">
        <v>1</v>
      </c>
      <c r="BS370">
        <v>5</v>
      </c>
      <c r="BT370">
        <v>5</v>
      </c>
      <c r="CA370">
        <v>3136</v>
      </c>
      <c r="CB370" t="s">
        <v>1250</v>
      </c>
      <c r="CL370" t="s">
        <v>99</v>
      </c>
      <c r="CM370" t="s">
        <v>99</v>
      </c>
      <c r="CN370" t="s">
        <v>838</v>
      </c>
      <c r="CO370" s="1">
        <v>41426</v>
      </c>
      <c r="CP370" s="1">
        <v>43633</v>
      </c>
    </row>
    <row r="371" spans="1:94" x14ac:dyDescent="0.25">
      <c r="A371" t="s">
        <v>1252</v>
      </c>
      <c r="B371" t="str">
        <f xml:space="preserve"> "" &amp; 747396091303</f>
        <v>747396091303</v>
      </c>
      <c r="C371" t="s">
        <v>248</v>
      </c>
      <c r="D371" t="s">
        <v>248</v>
      </c>
      <c r="E371" t="s">
        <v>7528</v>
      </c>
      <c r="F371" t="s">
        <v>249</v>
      </c>
      <c r="G371">
        <v>1</v>
      </c>
      <c r="H371">
        <v>1</v>
      </c>
      <c r="I371" t="s">
        <v>97</v>
      </c>
      <c r="J371" s="10">
        <v>95</v>
      </c>
      <c r="K371" s="10">
        <v>285</v>
      </c>
      <c r="L371" s="10">
        <v>0</v>
      </c>
      <c r="N371" s="10">
        <v>0</v>
      </c>
      <c r="O371" t="s">
        <v>99</v>
      </c>
      <c r="P371" s="10">
        <v>189.95</v>
      </c>
      <c r="S371">
        <v>22</v>
      </c>
      <c r="T371">
        <v>13.5</v>
      </c>
      <c r="U371">
        <v>13.5</v>
      </c>
      <c r="W371">
        <v>4.8899999999999997</v>
      </c>
      <c r="Y371">
        <v>18</v>
      </c>
      <c r="Z371">
        <v>13.5</v>
      </c>
      <c r="AA371">
        <v>12.25</v>
      </c>
      <c r="AB371">
        <v>1.7230000000000001</v>
      </c>
      <c r="AC371">
        <v>7.36</v>
      </c>
      <c r="AE371">
        <v>3</v>
      </c>
      <c r="AF371" t="s">
        <v>308</v>
      </c>
      <c r="AG371">
        <v>60</v>
      </c>
      <c r="AK371" t="s">
        <v>98</v>
      </c>
      <c r="AL371">
        <v>3</v>
      </c>
      <c r="AM371" t="s">
        <v>98</v>
      </c>
      <c r="AN371" t="s">
        <v>99</v>
      </c>
      <c r="AO371" t="s">
        <v>98</v>
      </c>
      <c r="AP371" t="s">
        <v>100</v>
      </c>
      <c r="AQ371" t="s">
        <v>101</v>
      </c>
      <c r="AV371" t="s">
        <v>98</v>
      </c>
      <c r="AX371" t="s">
        <v>1253</v>
      </c>
      <c r="AZ371" t="s">
        <v>124</v>
      </c>
      <c r="BB371" t="s">
        <v>7528</v>
      </c>
      <c r="BC371" t="s">
        <v>7528</v>
      </c>
      <c r="BD371" t="s">
        <v>1254</v>
      </c>
      <c r="BF371" t="s">
        <v>1255</v>
      </c>
      <c r="BG371" t="s">
        <v>98</v>
      </c>
      <c r="BH371" t="s">
        <v>98</v>
      </c>
      <c r="BI371" t="s">
        <v>98</v>
      </c>
      <c r="BK371" t="s">
        <v>127</v>
      </c>
      <c r="BL371" t="s">
        <v>7528</v>
      </c>
      <c r="BR371">
        <v>1.1299999999999999</v>
      </c>
      <c r="BT371">
        <v>4.75</v>
      </c>
      <c r="CA371">
        <v>3137</v>
      </c>
      <c r="CB371" t="s">
        <v>1253</v>
      </c>
      <c r="CL371" t="s">
        <v>99</v>
      </c>
      <c r="CM371" t="s">
        <v>99</v>
      </c>
      <c r="CN371" t="s">
        <v>1292</v>
      </c>
      <c r="CO371" s="1">
        <v>41605</v>
      </c>
      <c r="CP371" s="1">
        <v>43633</v>
      </c>
    </row>
    <row r="372" spans="1:94" x14ac:dyDescent="0.25">
      <c r="A372" t="s">
        <v>1256</v>
      </c>
      <c r="B372" t="str">
        <f xml:space="preserve"> "" &amp; 747396091310</f>
        <v>747396091310</v>
      </c>
      <c r="C372" t="s">
        <v>248</v>
      </c>
      <c r="D372" t="s">
        <v>248</v>
      </c>
      <c r="E372" t="s">
        <v>7528</v>
      </c>
      <c r="F372" t="s">
        <v>249</v>
      </c>
      <c r="G372">
        <v>1</v>
      </c>
      <c r="H372">
        <v>1</v>
      </c>
      <c r="I372" t="s">
        <v>97</v>
      </c>
      <c r="J372" s="10">
        <v>79</v>
      </c>
      <c r="K372" s="10">
        <v>237</v>
      </c>
      <c r="L372" s="10">
        <v>0</v>
      </c>
      <c r="N372" s="10">
        <v>0</v>
      </c>
      <c r="O372" t="s">
        <v>99</v>
      </c>
      <c r="P372" s="10">
        <v>159.94999999999999</v>
      </c>
      <c r="S372">
        <v>16.5</v>
      </c>
      <c r="T372">
        <v>11.5</v>
      </c>
      <c r="U372">
        <v>11.5</v>
      </c>
      <c r="W372">
        <v>4.28</v>
      </c>
      <c r="Y372">
        <v>12.25</v>
      </c>
      <c r="Z372">
        <v>12</v>
      </c>
      <c r="AA372">
        <v>11</v>
      </c>
      <c r="AB372">
        <v>0.93600000000000005</v>
      </c>
      <c r="AC372">
        <v>5.82</v>
      </c>
      <c r="AE372">
        <v>3</v>
      </c>
      <c r="AF372" t="s">
        <v>308</v>
      </c>
      <c r="AG372">
        <v>60</v>
      </c>
      <c r="AK372" t="s">
        <v>98</v>
      </c>
      <c r="AL372">
        <v>3</v>
      </c>
      <c r="AM372" t="s">
        <v>98</v>
      </c>
      <c r="AN372" t="s">
        <v>99</v>
      </c>
      <c r="AO372" t="s">
        <v>98</v>
      </c>
      <c r="AP372" t="s">
        <v>100</v>
      </c>
      <c r="AQ372" t="s">
        <v>101</v>
      </c>
      <c r="AV372" t="s">
        <v>98</v>
      </c>
      <c r="AX372" t="s">
        <v>1257</v>
      </c>
      <c r="AZ372" t="s">
        <v>124</v>
      </c>
      <c r="BB372" t="s">
        <v>7528</v>
      </c>
      <c r="BC372" t="s">
        <v>7528</v>
      </c>
      <c r="BD372" t="s">
        <v>1258</v>
      </c>
      <c r="BF372" t="s">
        <v>1259</v>
      </c>
      <c r="BG372" t="s">
        <v>98</v>
      </c>
      <c r="BH372" t="s">
        <v>98</v>
      </c>
      <c r="BI372" t="s">
        <v>98</v>
      </c>
      <c r="BK372" t="s">
        <v>127</v>
      </c>
      <c r="BL372" t="s">
        <v>7528</v>
      </c>
      <c r="BR372">
        <v>2.13</v>
      </c>
      <c r="BT372">
        <v>5.75</v>
      </c>
      <c r="CA372">
        <v>3138</v>
      </c>
      <c r="CB372" t="s">
        <v>1257</v>
      </c>
      <c r="CL372" t="s">
        <v>99</v>
      </c>
      <c r="CM372" t="s">
        <v>99</v>
      </c>
      <c r="CN372" t="s">
        <v>1292</v>
      </c>
      <c r="CO372" s="1">
        <v>41605</v>
      </c>
      <c r="CP372" s="1">
        <v>43633</v>
      </c>
    </row>
    <row r="373" spans="1:94" x14ac:dyDescent="0.25">
      <c r="A373" t="s">
        <v>1260</v>
      </c>
      <c r="B373" t="str">
        <f xml:space="preserve"> "" &amp; 747396094243</f>
        <v>747396094243</v>
      </c>
      <c r="C373" t="s">
        <v>248</v>
      </c>
      <c r="D373" t="s">
        <v>1261</v>
      </c>
      <c r="E373" t="s">
        <v>1277</v>
      </c>
      <c r="F373" t="s">
        <v>249</v>
      </c>
      <c r="G373">
        <v>1</v>
      </c>
      <c r="H373">
        <v>1</v>
      </c>
      <c r="I373" t="s">
        <v>97</v>
      </c>
      <c r="J373" s="10">
        <v>124</v>
      </c>
      <c r="K373" s="10">
        <v>372</v>
      </c>
      <c r="L373" s="10">
        <v>0</v>
      </c>
      <c r="N373" s="10">
        <v>0</v>
      </c>
      <c r="O373" t="s">
        <v>99</v>
      </c>
      <c r="P373" s="10">
        <v>259.95</v>
      </c>
      <c r="S373">
        <v>17</v>
      </c>
      <c r="T373">
        <v>14</v>
      </c>
      <c r="U373">
        <v>14</v>
      </c>
      <c r="W373">
        <v>8.6</v>
      </c>
      <c r="Y373">
        <v>16.25</v>
      </c>
      <c r="Z373">
        <v>18</v>
      </c>
      <c r="AA373">
        <v>18</v>
      </c>
      <c r="AB373">
        <v>3.0470000000000002</v>
      </c>
      <c r="AC373">
        <v>11.82</v>
      </c>
      <c r="AE373">
        <v>3</v>
      </c>
      <c r="AF373" t="s">
        <v>519</v>
      </c>
      <c r="AG373">
        <v>60</v>
      </c>
      <c r="AK373" t="s">
        <v>98</v>
      </c>
      <c r="AM373" t="s">
        <v>98</v>
      </c>
      <c r="AN373" t="s">
        <v>98</v>
      </c>
      <c r="AO373" t="s">
        <v>99</v>
      </c>
      <c r="AP373" t="s">
        <v>100</v>
      </c>
      <c r="AQ373" t="s">
        <v>101</v>
      </c>
      <c r="AV373" t="s">
        <v>98</v>
      </c>
      <c r="AX373" t="s">
        <v>399</v>
      </c>
      <c r="AZ373" t="s">
        <v>124</v>
      </c>
      <c r="BB373" t="s">
        <v>7528</v>
      </c>
      <c r="BC373" t="s">
        <v>7528</v>
      </c>
      <c r="BD373" t="s">
        <v>1262</v>
      </c>
      <c r="BF373" t="s">
        <v>1263</v>
      </c>
      <c r="BG373" t="s">
        <v>98</v>
      </c>
      <c r="BH373" t="s">
        <v>98</v>
      </c>
      <c r="BI373" t="s">
        <v>98</v>
      </c>
      <c r="BK373" t="s">
        <v>110</v>
      </c>
      <c r="BL373" t="s">
        <v>7528</v>
      </c>
      <c r="BR373">
        <v>1</v>
      </c>
      <c r="BT373">
        <v>5</v>
      </c>
      <c r="CA373">
        <v>3150</v>
      </c>
      <c r="CB373" t="s">
        <v>399</v>
      </c>
      <c r="CL373" t="s">
        <v>99</v>
      </c>
      <c r="CM373" t="s">
        <v>99</v>
      </c>
      <c r="CN373" t="s">
        <v>1264</v>
      </c>
      <c r="CO373" s="1">
        <v>41993</v>
      </c>
      <c r="CP373" s="1">
        <v>43633</v>
      </c>
    </row>
    <row r="374" spans="1:94" x14ac:dyDescent="0.25">
      <c r="A374" t="s">
        <v>1265</v>
      </c>
      <c r="B374" t="str">
        <f xml:space="preserve"> "" &amp; 747396094267</f>
        <v>747396094267</v>
      </c>
      <c r="C374" t="s">
        <v>248</v>
      </c>
      <c r="D374" t="s">
        <v>248</v>
      </c>
      <c r="E374" t="s">
        <v>7528</v>
      </c>
      <c r="F374" t="s">
        <v>249</v>
      </c>
      <c r="G374">
        <v>1</v>
      </c>
      <c r="H374">
        <v>1</v>
      </c>
      <c r="I374" t="s">
        <v>97</v>
      </c>
      <c r="J374" s="10">
        <v>125</v>
      </c>
      <c r="K374" s="10">
        <v>375</v>
      </c>
      <c r="L374" s="10">
        <v>0</v>
      </c>
      <c r="N374" s="10">
        <v>0</v>
      </c>
      <c r="O374" t="s">
        <v>99</v>
      </c>
      <c r="P374" s="10">
        <v>259.95</v>
      </c>
      <c r="S374">
        <v>23</v>
      </c>
      <c r="T374">
        <v>19</v>
      </c>
      <c r="U374">
        <v>19</v>
      </c>
      <c r="W374">
        <v>10.47</v>
      </c>
      <c r="Y374">
        <v>22.75</v>
      </c>
      <c r="Z374">
        <v>22.75</v>
      </c>
      <c r="AA374">
        <v>22.75</v>
      </c>
      <c r="AB374">
        <v>6.8140000000000001</v>
      </c>
      <c r="AC374">
        <v>17.2</v>
      </c>
      <c r="AE374">
        <v>3</v>
      </c>
      <c r="AF374" t="s">
        <v>519</v>
      </c>
      <c r="AG374">
        <v>60</v>
      </c>
      <c r="AK374" t="s">
        <v>98</v>
      </c>
      <c r="AM374" t="s">
        <v>98</v>
      </c>
      <c r="AN374" t="s">
        <v>98</v>
      </c>
      <c r="AO374" t="s">
        <v>99</v>
      </c>
      <c r="AP374" t="s">
        <v>100</v>
      </c>
      <c r="AQ374" t="s">
        <v>101</v>
      </c>
      <c r="AV374" t="s">
        <v>98</v>
      </c>
      <c r="AX374" t="s">
        <v>399</v>
      </c>
      <c r="AZ374" t="s">
        <v>124</v>
      </c>
      <c r="BB374" t="s">
        <v>7528</v>
      </c>
      <c r="BC374" t="s">
        <v>7528</v>
      </c>
      <c r="BD374" t="s">
        <v>1266</v>
      </c>
      <c r="BF374" t="s">
        <v>1267</v>
      </c>
      <c r="BG374" t="s">
        <v>98</v>
      </c>
      <c r="BH374" t="s">
        <v>98</v>
      </c>
      <c r="BI374" t="s">
        <v>98</v>
      </c>
      <c r="BK374" t="s">
        <v>127</v>
      </c>
      <c r="BL374" t="s">
        <v>7528</v>
      </c>
      <c r="BR374">
        <v>1</v>
      </c>
      <c r="BT374">
        <v>5</v>
      </c>
      <c r="CA374">
        <v>3152</v>
      </c>
      <c r="CB374" t="s">
        <v>399</v>
      </c>
      <c r="CL374" t="s">
        <v>99</v>
      </c>
      <c r="CM374" t="s">
        <v>99</v>
      </c>
      <c r="CN374" t="s">
        <v>838</v>
      </c>
      <c r="CO374" s="1">
        <v>41993</v>
      </c>
      <c r="CP374" s="1">
        <v>43633</v>
      </c>
    </row>
    <row r="375" spans="1:94" x14ac:dyDescent="0.25">
      <c r="A375" t="s">
        <v>1268</v>
      </c>
      <c r="B375" t="str">
        <f xml:space="preserve"> "" &amp; 747396094274</f>
        <v>747396094274</v>
      </c>
      <c r="C375" t="s">
        <v>248</v>
      </c>
      <c r="D375" t="s">
        <v>248</v>
      </c>
      <c r="E375" t="s">
        <v>7528</v>
      </c>
      <c r="F375" t="s">
        <v>249</v>
      </c>
      <c r="G375">
        <v>1</v>
      </c>
      <c r="H375">
        <v>1</v>
      </c>
      <c r="I375" t="s">
        <v>97</v>
      </c>
      <c r="J375" s="10">
        <v>115</v>
      </c>
      <c r="K375" s="10">
        <v>345</v>
      </c>
      <c r="L375" s="10">
        <v>0</v>
      </c>
      <c r="N375" s="10">
        <v>0</v>
      </c>
      <c r="O375" t="s">
        <v>99</v>
      </c>
      <c r="P375" s="10">
        <v>239.95</v>
      </c>
      <c r="S375">
        <v>23.25</v>
      </c>
      <c r="T375">
        <v>16.5</v>
      </c>
      <c r="U375">
        <v>16.5</v>
      </c>
      <c r="W375">
        <v>7.61</v>
      </c>
      <c r="Y375">
        <v>22.25</v>
      </c>
      <c r="Z375">
        <v>20</v>
      </c>
      <c r="AA375">
        <v>19.75</v>
      </c>
      <c r="AB375">
        <v>5.0860000000000003</v>
      </c>
      <c r="AC375">
        <v>12.57</v>
      </c>
      <c r="AE375">
        <v>3</v>
      </c>
      <c r="AF375" t="s">
        <v>519</v>
      </c>
      <c r="AG375">
        <v>60</v>
      </c>
      <c r="AK375" t="s">
        <v>98</v>
      </c>
      <c r="AM375" t="s">
        <v>98</v>
      </c>
      <c r="AN375" t="s">
        <v>98</v>
      </c>
      <c r="AO375" t="s">
        <v>99</v>
      </c>
      <c r="AP375" t="s">
        <v>100</v>
      </c>
      <c r="AQ375" t="s">
        <v>101</v>
      </c>
      <c r="AV375" t="s">
        <v>98</v>
      </c>
      <c r="AX375" t="s">
        <v>1269</v>
      </c>
      <c r="AZ375" t="s">
        <v>124</v>
      </c>
      <c r="BB375" t="s">
        <v>7528</v>
      </c>
      <c r="BC375" t="s">
        <v>7528</v>
      </c>
      <c r="BD375" t="s">
        <v>1270</v>
      </c>
      <c r="BF375" t="s">
        <v>1271</v>
      </c>
      <c r="BG375" t="s">
        <v>98</v>
      </c>
      <c r="BH375" t="s">
        <v>98</v>
      </c>
      <c r="BI375" t="s">
        <v>98</v>
      </c>
      <c r="BK375" t="s">
        <v>127</v>
      </c>
      <c r="BL375" t="s">
        <v>7528</v>
      </c>
      <c r="BR375">
        <v>1</v>
      </c>
      <c r="BS375">
        <v>5</v>
      </c>
      <c r="BT375">
        <v>5</v>
      </c>
      <c r="CA375">
        <v>3153</v>
      </c>
      <c r="CB375" t="s">
        <v>1269</v>
      </c>
      <c r="CL375" t="s">
        <v>99</v>
      </c>
      <c r="CM375" t="s">
        <v>99</v>
      </c>
      <c r="CN375" t="s">
        <v>838</v>
      </c>
      <c r="CO375" s="1">
        <v>41993</v>
      </c>
      <c r="CP375" s="1">
        <v>43637</v>
      </c>
    </row>
    <row r="376" spans="1:94" x14ac:dyDescent="0.25">
      <c r="A376" t="s">
        <v>1272</v>
      </c>
      <c r="B376" t="str">
        <f xml:space="preserve"> "" &amp; 747396094281</f>
        <v>747396094281</v>
      </c>
      <c r="C376" t="s">
        <v>248</v>
      </c>
      <c r="D376" t="s">
        <v>248</v>
      </c>
      <c r="E376" t="s">
        <v>7528</v>
      </c>
      <c r="F376" t="s">
        <v>249</v>
      </c>
      <c r="G376">
        <v>1</v>
      </c>
      <c r="H376">
        <v>1</v>
      </c>
      <c r="I376" t="s">
        <v>97</v>
      </c>
      <c r="J376" s="10">
        <v>115</v>
      </c>
      <c r="K376" s="10">
        <v>345</v>
      </c>
      <c r="L376" s="10">
        <v>0</v>
      </c>
      <c r="N376" s="10">
        <v>0</v>
      </c>
      <c r="O376" t="s">
        <v>99</v>
      </c>
      <c r="P376" s="10">
        <v>239.95</v>
      </c>
      <c r="S376">
        <v>22.25</v>
      </c>
      <c r="T376">
        <v>17.75</v>
      </c>
      <c r="U376">
        <v>17.75</v>
      </c>
      <c r="W376">
        <v>7.05</v>
      </c>
      <c r="Y376">
        <v>21.38</v>
      </c>
      <c r="Z376">
        <v>20.75</v>
      </c>
      <c r="AA376">
        <v>20.75</v>
      </c>
      <c r="AB376">
        <v>5.327</v>
      </c>
      <c r="AC376">
        <v>13.34</v>
      </c>
      <c r="AE376">
        <v>3</v>
      </c>
      <c r="AF376" t="s">
        <v>519</v>
      </c>
      <c r="AG376">
        <v>60</v>
      </c>
      <c r="AK376" t="s">
        <v>98</v>
      </c>
      <c r="AM376" t="s">
        <v>98</v>
      </c>
      <c r="AN376" t="s">
        <v>98</v>
      </c>
      <c r="AO376" t="s">
        <v>99</v>
      </c>
      <c r="AP376" t="s">
        <v>100</v>
      </c>
      <c r="AQ376" t="s">
        <v>101</v>
      </c>
      <c r="AV376" t="s">
        <v>98</v>
      </c>
      <c r="AX376" t="s">
        <v>1253</v>
      </c>
      <c r="AZ376" t="s">
        <v>124</v>
      </c>
      <c r="BB376" t="s">
        <v>7528</v>
      </c>
      <c r="BC376" t="s">
        <v>7528</v>
      </c>
      <c r="BD376" t="s">
        <v>1273</v>
      </c>
      <c r="BF376" t="s">
        <v>1274</v>
      </c>
      <c r="BG376" t="s">
        <v>98</v>
      </c>
      <c r="BH376" t="s">
        <v>98</v>
      </c>
      <c r="BI376" t="s">
        <v>98</v>
      </c>
      <c r="BK376" t="s">
        <v>127</v>
      </c>
      <c r="BL376" t="s">
        <v>7528</v>
      </c>
      <c r="BR376">
        <v>1</v>
      </c>
      <c r="BT376">
        <v>5</v>
      </c>
      <c r="CA376">
        <v>3154</v>
      </c>
      <c r="CB376" t="s">
        <v>1253</v>
      </c>
      <c r="CL376" t="s">
        <v>99</v>
      </c>
      <c r="CM376" t="s">
        <v>99</v>
      </c>
      <c r="CN376" t="s">
        <v>838</v>
      </c>
      <c r="CO376" s="1">
        <v>41993</v>
      </c>
      <c r="CP376" s="1">
        <v>43633</v>
      </c>
    </row>
    <row r="377" spans="1:94" x14ac:dyDescent="0.25">
      <c r="A377" t="s">
        <v>1275</v>
      </c>
      <c r="B377" t="str">
        <f xml:space="preserve"> "" &amp; 747396099781</f>
        <v>747396099781</v>
      </c>
      <c r="C377" t="s">
        <v>239</v>
      </c>
      <c r="D377" t="s">
        <v>1276</v>
      </c>
      <c r="E377" t="s">
        <v>1277</v>
      </c>
      <c r="F377" t="s">
        <v>240</v>
      </c>
      <c r="G377">
        <v>1</v>
      </c>
      <c r="H377">
        <v>1</v>
      </c>
      <c r="I377" t="s">
        <v>97</v>
      </c>
      <c r="J377" s="10">
        <v>95</v>
      </c>
      <c r="K377" s="10">
        <v>285</v>
      </c>
      <c r="L377" s="10">
        <v>0</v>
      </c>
      <c r="N377" s="10">
        <v>0</v>
      </c>
      <c r="O377" t="s">
        <v>99</v>
      </c>
      <c r="P377" s="10">
        <v>199.95</v>
      </c>
      <c r="S377">
        <v>12.75</v>
      </c>
      <c r="U377">
        <v>9.75</v>
      </c>
      <c r="W377">
        <v>5.51</v>
      </c>
      <c r="X377">
        <v>1</v>
      </c>
      <c r="Y377">
        <v>11.38</v>
      </c>
      <c r="Z377">
        <v>13.38</v>
      </c>
      <c r="AA377">
        <v>11.38</v>
      </c>
      <c r="AB377">
        <v>1.0029999999999999</v>
      </c>
      <c r="AC377">
        <v>7.28</v>
      </c>
      <c r="AE377">
        <v>1</v>
      </c>
      <c r="AF377" t="s">
        <v>598</v>
      </c>
      <c r="AG377">
        <v>100</v>
      </c>
      <c r="AK377" t="s">
        <v>98</v>
      </c>
      <c r="AM377" t="s">
        <v>98</v>
      </c>
      <c r="AN377" t="s">
        <v>98</v>
      </c>
      <c r="AO377" t="s">
        <v>99</v>
      </c>
      <c r="AP377" t="s">
        <v>100</v>
      </c>
      <c r="AQ377" t="s">
        <v>101</v>
      </c>
      <c r="AV377" t="s">
        <v>98</v>
      </c>
      <c r="AX377" t="s">
        <v>399</v>
      </c>
      <c r="AZ377" t="s">
        <v>124</v>
      </c>
      <c r="BB377" t="s">
        <v>876</v>
      </c>
      <c r="BC377" t="s">
        <v>1278</v>
      </c>
      <c r="BD377" t="s">
        <v>7528</v>
      </c>
      <c r="BF377" t="s">
        <v>1279</v>
      </c>
      <c r="BG377" t="s">
        <v>98</v>
      </c>
      <c r="BH377" t="s">
        <v>98</v>
      </c>
      <c r="BI377" t="s">
        <v>98</v>
      </c>
      <c r="BK377" t="s">
        <v>127</v>
      </c>
      <c r="BL377" t="s">
        <v>7528</v>
      </c>
      <c r="BQ377">
        <v>5</v>
      </c>
      <c r="BR377">
        <v>1</v>
      </c>
      <c r="BS377">
        <v>5</v>
      </c>
      <c r="BT377">
        <v>5</v>
      </c>
      <c r="CA377">
        <v>3155</v>
      </c>
      <c r="CB377" t="s">
        <v>399</v>
      </c>
      <c r="CL377" t="s">
        <v>99</v>
      </c>
      <c r="CM377" t="s">
        <v>99</v>
      </c>
      <c r="CN377" t="s">
        <v>838</v>
      </c>
      <c r="CO377" s="1">
        <v>42570</v>
      </c>
      <c r="CP377" s="1">
        <v>43633</v>
      </c>
    </row>
    <row r="378" spans="1:94" x14ac:dyDescent="0.25">
      <c r="A378" t="s">
        <v>1280</v>
      </c>
      <c r="B378" t="str">
        <f xml:space="preserve"> "" &amp; 747396099798</f>
        <v>747396099798</v>
      </c>
      <c r="C378" t="s">
        <v>1281</v>
      </c>
      <c r="D378" t="s">
        <v>1282</v>
      </c>
      <c r="E378" t="s">
        <v>1277</v>
      </c>
      <c r="F378" t="s">
        <v>249</v>
      </c>
      <c r="G378">
        <v>1</v>
      </c>
      <c r="H378">
        <v>1</v>
      </c>
      <c r="I378" t="s">
        <v>97</v>
      </c>
      <c r="J378" s="10">
        <v>159</v>
      </c>
      <c r="K378" s="10">
        <v>477</v>
      </c>
      <c r="L378" s="10">
        <v>0</v>
      </c>
      <c r="N378" s="10">
        <v>0</v>
      </c>
      <c r="O378" t="s">
        <v>99</v>
      </c>
      <c r="P378" s="10">
        <v>334.95</v>
      </c>
      <c r="S378">
        <v>20.75</v>
      </c>
      <c r="U378">
        <v>18</v>
      </c>
      <c r="W378">
        <v>10.36</v>
      </c>
      <c r="X378">
        <v>1</v>
      </c>
      <c r="Y378">
        <v>8.5</v>
      </c>
      <c r="Z378">
        <v>19.5</v>
      </c>
      <c r="AA378">
        <v>17</v>
      </c>
      <c r="AB378">
        <v>1.631</v>
      </c>
      <c r="AC378">
        <v>12.41</v>
      </c>
      <c r="AE378">
        <v>4</v>
      </c>
      <c r="AF378" t="s">
        <v>308</v>
      </c>
      <c r="AG378">
        <v>60</v>
      </c>
      <c r="AK378" t="s">
        <v>98</v>
      </c>
      <c r="AM378" t="s">
        <v>98</v>
      </c>
      <c r="AN378" t="s">
        <v>98</v>
      </c>
      <c r="AO378" t="s">
        <v>99</v>
      </c>
      <c r="AP378" t="s">
        <v>100</v>
      </c>
      <c r="AQ378" t="s">
        <v>101</v>
      </c>
      <c r="AV378" t="s">
        <v>98</v>
      </c>
      <c r="AX378" t="s">
        <v>399</v>
      </c>
      <c r="AZ378" t="s">
        <v>124</v>
      </c>
      <c r="BB378" t="s">
        <v>876</v>
      </c>
      <c r="BC378" t="s">
        <v>1283</v>
      </c>
      <c r="BD378" t="s">
        <v>7528</v>
      </c>
      <c r="BF378" t="s">
        <v>1284</v>
      </c>
      <c r="BG378" t="s">
        <v>98</v>
      </c>
      <c r="BH378" t="s">
        <v>98</v>
      </c>
      <c r="BI378" t="s">
        <v>98</v>
      </c>
      <c r="BK378" t="s">
        <v>127</v>
      </c>
      <c r="BL378" t="s">
        <v>7528</v>
      </c>
      <c r="BQ378">
        <v>5</v>
      </c>
      <c r="BR378">
        <v>1</v>
      </c>
      <c r="BS378">
        <v>5</v>
      </c>
      <c r="BT378">
        <v>5</v>
      </c>
      <c r="CA378">
        <v>3156</v>
      </c>
      <c r="CB378" t="s">
        <v>399</v>
      </c>
      <c r="CL378" t="s">
        <v>99</v>
      </c>
      <c r="CM378" t="s">
        <v>99</v>
      </c>
      <c r="CN378" t="s">
        <v>838</v>
      </c>
      <c r="CO378" s="1">
        <v>42570</v>
      </c>
      <c r="CP378" s="1">
        <v>43633</v>
      </c>
    </row>
    <row r="379" spans="1:94" x14ac:dyDescent="0.25">
      <c r="A379" t="s">
        <v>1285</v>
      </c>
      <c r="B379" t="str">
        <f xml:space="preserve"> "" &amp; 747396099804</f>
        <v>747396099804</v>
      </c>
      <c r="C379" t="s">
        <v>252</v>
      </c>
      <c r="D379" t="s">
        <v>1286</v>
      </c>
      <c r="E379" t="s">
        <v>1277</v>
      </c>
      <c r="F379" t="s">
        <v>249</v>
      </c>
      <c r="G379">
        <v>1</v>
      </c>
      <c r="H379">
        <v>1</v>
      </c>
      <c r="I379" t="s">
        <v>97</v>
      </c>
      <c r="J379" s="10">
        <v>215</v>
      </c>
      <c r="K379" s="10">
        <v>645</v>
      </c>
      <c r="L379" s="10">
        <v>0</v>
      </c>
      <c r="N379" s="10">
        <v>0</v>
      </c>
      <c r="O379" t="s">
        <v>99</v>
      </c>
      <c r="P379" s="10">
        <v>449.95</v>
      </c>
      <c r="S379">
        <v>24.25</v>
      </c>
      <c r="U379">
        <v>22</v>
      </c>
      <c r="W379">
        <v>11.86</v>
      </c>
      <c r="X379">
        <v>1</v>
      </c>
      <c r="Y379">
        <v>8.5</v>
      </c>
      <c r="Z379">
        <v>23.5</v>
      </c>
      <c r="AA379">
        <v>20.25</v>
      </c>
      <c r="AB379">
        <v>2.3410000000000002</v>
      </c>
      <c r="AC379">
        <v>14.73</v>
      </c>
      <c r="AE379">
        <v>6</v>
      </c>
      <c r="AF379" t="s">
        <v>308</v>
      </c>
      <c r="AG379">
        <v>60</v>
      </c>
      <c r="AK379" t="s">
        <v>98</v>
      </c>
      <c r="AM379" t="s">
        <v>98</v>
      </c>
      <c r="AN379" t="s">
        <v>98</v>
      </c>
      <c r="AO379" t="s">
        <v>99</v>
      </c>
      <c r="AP379" t="s">
        <v>100</v>
      </c>
      <c r="AQ379" t="s">
        <v>101</v>
      </c>
      <c r="AV379" t="s">
        <v>98</v>
      </c>
      <c r="AX379" t="s">
        <v>399</v>
      </c>
      <c r="AZ379" t="s">
        <v>124</v>
      </c>
      <c r="BB379" t="s">
        <v>876</v>
      </c>
      <c r="BC379" t="s">
        <v>1283</v>
      </c>
      <c r="BD379" t="s">
        <v>7528</v>
      </c>
      <c r="BF379" t="s">
        <v>1287</v>
      </c>
      <c r="BG379" t="s">
        <v>98</v>
      </c>
      <c r="BH379" t="s">
        <v>98</v>
      </c>
      <c r="BI379" t="s">
        <v>98</v>
      </c>
      <c r="BK379" t="s">
        <v>127</v>
      </c>
      <c r="BL379" t="s">
        <v>7528</v>
      </c>
      <c r="BQ379">
        <v>5</v>
      </c>
      <c r="BR379">
        <v>1</v>
      </c>
      <c r="BS379">
        <v>5</v>
      </c>
      <c r="BT379">
        <v>5</v>
      </c>
      <c r="CA379">
        <v>3157</v>
      </c>
      <c r="CB379" t="s">
        <v>399</v>
      </c>
      <c r="CL379" t="s">
        <v>99</v>
      </c>
      <c r="CM379" t="s">
        <v>99</v>
      </c>
      <c r="CN379" t="s">
        <v>838</v>
      </c>
      <c r="CO379" s="1">
        <v>42560</v>
      </c>
      <c r="CP379" s="1">
        <v>43633</v>
      </c>
    </row>
    <row r="380" spans="1:94" x14ac:dyDescent="0.25">
      <c r="A380" t="s">
        <v>1288</v>
      </c>
      <c r="B380" t="str">
        <f xml:space="preserve"> "" &amp; 747396099811</f>
        <v>747396099811</v>
      </c>
      <c r="C380" t="s">
        <v>255</v>
      </c>
      <c r="D380" t="s">
        <v>1286</v>
      </c>
      <c r="E380" t="s">
        <v>1277</v>
      </c>
      <c r="F380" t="s">
        <v>249</v>
      </c>
      <c r="G380">
        <v>1</v>
      </c>
      <c r="H380">
        <v>1</v>
      </c>
      <c r="I380" t="s">
        <v>97</v>
      </c>
      <c r="J380" s="10">
        <v>289</v>
      </c>
      <c r="K380" s="10">
        <v>867</v>
      </c>
      <c r="L380" s="10">
        <v>0</v>
      </c>
      <c r="N380" s="10">
        <v>0</v>
      </c>
      <c r="O380" t="s">
        <v>99</v>
      </c>
      <c r="P380" s="10">
        <v>609.95000000000005</v>
      </c>
      <c r="S380">
        <v>30.5</v>
      </c>
      <c r="U380">
        <v>26</v>
      </c>
      <c r="W380">
        <v>18.739999999999998</v>
      </c>
      <c r="X380">
        <v>1</v>
      </c>
      <c r="Y380">
        <v>11.75</v>
      </c>
      <c r="Z380">
        <v>26.5</v>
      </c>
      <c r="AA380">
        <v>18</v>
      </c>
      <c r="AB380">
        <v>3.2429999999999999</v>
      </c>
      <c r="AC380">
        <v>21.65</v>
      </c>
      <c r="AE380">
        <v>8</v>
      </c>
      <c r="AF380" t="s">
        <v>772</v>
      </c>
      <c r="AG380">
        <v>60</v>
      </c>
      <c r="AK380" t="s">
        <v>98</v>
      </c>
      <c r="AM380" t="s">
        <v>98</v>
      </c>
      <c r="AN380" t="s">
        <v>98</v>
      </c>
      <c r="AO380" t="s">
        <v>99</v>
      </c>
      <c r="AP380" t="s">
        <v>100</v>
      </c>
      <c r="AQ380" t="s">
        <v>101</v>
      </c>
      <c r="AV380" t="s">
        <v>98</v>
      </c>
      <c r="AX380" t="s">
        <v>399</v>
      </c>
      <c r="AZ380" t="s">
        <v>124</v>
      </c>
      <c r="BB380" t="s">
        <v>1289</v>
      </c>
      <c r="BC380" t="s">
        <v>1290</v>
      </c>
      <c r="BD380" t="s">
        <v>7528</v>
      </c>
      <c r="BF380" t="s">
        <v>1291</v>
      </c>
      <c r="BG380" t="s">
        <v>98</v>
      </c>
      <c r="BH380" t="s">
        <v>98</v>
      </c>
      <c r="BI380" t="s">
        <v>98</v>
      </c>
      <c r="BK380" t="s">
        <v>127</v>
      </c>
      <c r="BL380" t="s">
        <v>7528</v>
      </c>
      <c r="BQ380">
        <v>5</v>
      </c>
      <c r="BR380">
        <v>1</v>
      </c>
      <c r="BS380">
        <v>5</v>
      </c>
      <c r="BT380">
        <v>5</v>
      </c>
      <c r="CA380">
        <v>3158</v>
      </c>
      <c r="CB380" t="s">
        <v>399</v>
      </c>
      <c r="CL380" t="s">
        <v>99</v>
      </c>
      <c r="CM380" t="s">
        <v>99</v>
      </c>
      <c r="CN380" t="s">
        <v>1292</v>
      </c>
      <c r="CO380" s="1">
        <v>42560</v>
      </c>
      <c r="CP380" s="1">
        <v>43633</v>
      </c>
    </row>
    <row r="381" spans="1:94" x14ac:dyDescent="0.25">
      <c r="A381" t="s">
        <v>1293</v>
      </c>
      <c r="B381" t="str">
        <f xml:space="preserve"> "" &amp; 747396103549</f>
        <v>747396103549</v>
      </c>
      <c r="C381" t="s">
        <v>1294</v>
      </c>
      <c r="D381" t="s">
        <v>1295</v>
      </c>
      <c r="E381" t="s">
        <v>7528</v>
      </c>
      <c r="F381" t="s">
        <v>249</v>
      </c>
      <c r="G381">
        <v>1</v>
      </c>
      <c r="H381">
        <v>1</v>
      </c>
      <c r="I381" t="s">
        <v>97</v>
      </c>
      <c r="J381" s="10">
        <v>145</v>
      </c>
      <c r="K381" s="10">
        <v>435</v>
      </c>
      <c r="L381" s="10">
        <v>0</v>
      </c>
      <c r="N381" s="10">
        <v>0</v>
      </c>
      <c r="O381" t="s">
        <v>99</v>
      </c>
      <c r="P381" s="10">
        <v>304.95</v>
      </c>
      <c r="S381">
        <v>22</v>
      </c>
      <c r="T381">
        <v>14</v>
      </c>
      <c r="U381">
        <v>14</v>
      </c>
      <c r="W381">
        <v>8.27</v>
      </c>
      <c r="X381">
        <v>1</v>
      </c>
      <c r="Y381">
        <v>12.5</v>
      </c>
      <c r="Z381">
        <v>16</v>
      </c>
      <c r="AA381">
        <v>16</v>
      </c>
      <c r="AB381">
        <v>1.8520000000000001</v>
      </c>
      <c r="AC381">
        <v>10.25</v>
      </c>
      <c r="AE381">
        <v>7</v>
      </c>
      <c r="AF381" t="s">
        <v>519</v>
      </c>
      <c r="AG381">
        <v>60</v>
      </c>
      <c r="AK381" t="s">
        <v>98</v>
      </c>
      <c r="AM381" t="s">
        <v>98</v>
      </c>
      <c r="AN381" t="s">
        <v>99</v>
      </c>
      <c r="AO381" t="s">
        <v>98</v>
      </c>
      <c r="AP381" t="s">
        <v>100</v>
      </c>
      <c r="AQ381" t="s">
        <v>101</v>
      </c>
      <c r="AV381" t="s">
        <v>98</v>
      </c>
      <c r="AX381" t="s">
        <v>399</v>
      </c>
      <c r="AZ381" t="s">
        <v>124</v>
      </c>
      <c r="BB381" t="s">
        <v>7528</v>
      </c>
      <c r="BC381" t="s">
        <v>7528</v>
      </c>
      <c r="BD381" t="s">
        <v>7528</v>
      </c>
      <c r="BF381" t="s">
        <v>1296</v>
      </c>
      <c r="BG381" t="s">
        <v>98</v>
      </c>
      <c r="BH381" t="s">
        <v>98</v>
      </c>
      <c r="BI381" t="s">
        <v>98</v>
      </c>
      <c r="BK381" t="s">
        <v>127</v>
      </c>
      <c r="BL381" t="s">
        <v>7528</v>
      </c>
      <c r="BQ381">
        <v>4.75</v>
      </c>
      <c r="BR381">
        <v>0.75</v>
      </c>
      <c r="BS381">
        <v>4.75</v>
      </c>
      <c r="BT381">
        <v>4.75</v>
      </c>
      <c r="CA381">
        <v>3159</v>
      </c>
      <c r="CB381" t="s">
        <v>399</v>
      </c>
      <c r="CL381" t="s">
        <v>99</v>
      </c>
      <c r="CM381" t="s">
        <v>99</v>
      </c>
      <c r="CN381" t="s">
        <v>838</v>
      </c>
      <c r="CO381" s="1">
        <v>42864</v>
      </c>
      <c r="CP381" s="1">
        <v>43633</v>
      </c>
    </row>
    <row r="382" spans="1:94" x14ac:dyDescent="0.25">
      <c r="A382" t="s">
        <v>1297</v>
      </c>
      <c r="B382" t="str">
        <f xml:space="preserve"> "" &amp; 747396103372</f>
        <v>747396103372</v>
      </c>
      <c r="C382" t="s">
        <v>339</v>
      </c>
      <c r="D382" t="s">
        <v>6586</v>
      </c>
      <c r="E382" t="s">
        <v>1076</v>
      </c>
      <c r="F382" t="s">
        <v>240</v>
      </c>
      <c r="G382">
        <v>1</v>
      </c>
      <c r="H382">
        <v>1</v>
      </c>
      <c r="I382" t="s">
        <v>97</v>
      </c>
      <c r="J382" s="10">
        <v>109.95</v>
      </c>
      <c r="K382" s="10">
        <v>329.85</v>
      </c>
      <c r="L382" s="10">
        <v>0</v>
      </c>
      <c r="N382" s="10">
        <v>0</v>
      </c>
      <c r="O382" t="s">
        <v>99</v>
      </c>
      <c r="P382" s="10">
        <v>234.95</v>
      </c>
      <c r="S382">
        <v>13.5</v>
      </c>
      <c r="U382">
        <v>12</v>
      </c>
      <c r="W382">
        <v>8.66</v>
      </c>
      <c r="X382">
        <v>1</v>
      </c>
      <c r="Y382">
        <v>18.63</v>
      </c>
      <c r="Z382">
        <v>12.25</v>
      </c>
      <c r="AA382">
        <v>12.25</v>
      </c>
      <c r="AB382">
        <v>1.6180000000000001</v>
      </c>
      <c r="AC382">
        <v>11.29</v>
      </c>
      <c r="AE382">
        <v>4</v>
      </c>
      <c r="AF382" t="s">
        <v>772</v>
      </c>
      <c r="AG382">
        <v>60</v>
      </c>
      <c r="AK382" t="s">
        <v>98</v>
      </c>
      <c r="AM382" t="s">
        <v>98</v>
      </c>
      <c r="AN382" t="s">
        <v>99</v>
      </c>
      <c r="AO382" t="s">
        <v>98</v>
      </c>
      <c r="AP382" t="s">
        <v>100</v>
      </c>
      <c r="AQ382" t="s">
        <v>101</v>
      </c>
      <c r="AV382" t="s">
        <v>98</v>
      </c>
      <c r="AX382" t="s">
        <v>279</v>
      </c>
      <c r="AZ382" t="s">
        <v>102</v>
      </c>
      <c r="BB382" t="s">
        <v>235</v>
      </c>
      <c r="BC382" t="s">
        <v>1081</v>
      </c>
      <c r="BD382" t="s">
        <v>7528</v>
      </c>
      <c r="BF382" t="s">
        <v>1298</v>
      </c>
      <c r="BG382" t="s">
        <v>98</v>
      </c>
      <c r="BH382" t="s">
        <v>98</v>
      </c>
      <c r="BI382" t="s">
        <v>98</v>
      </c>
      <c r="BK382" t="s">
        <v>110</v>
      </c>
      <c r="BL382" t="s">
        <v>7528</v>
      </c>
      <c r="BR382">
        <v>1</v>
      </c>
      <c r="BS382">
        <v>5</v>
      </c>
      <c r="BT382">
        <v>5</v>
      </c>
      <c r="CA382">
        <v>3164</v>
      </c>
      <c r="CB382" t="s">
        <v>279</v>
      </c>
      <c r="CL382" t="s">
        <v>99</v>
      </c>
      <c r="CM382" t="s">
        <v>99</v>
      </c>
      <c r="CN382" t="s">
        <v>442</v>
      </c>
      <c r="CO382" s="1">
        <v>42906</v>
      </c>
      <c r="CP382" s="1">
        <v>43633</v>
      </c>
    </row>
    <row r="383" spans="1:94" x14ac:dyDescent="0.25">
      <c r="A383" t="s">
        <v>1299</v>
      </c>
      <c r="B383" t="str">
        <f xml:space="preserve"> "" &amp; 747396103389</f>
        <v>747396103389</v>
      </c>
      <c r="C383" t="s">
        <v>464</v>
      </c>
      <c r="D383" t="s">
        <v>6586</v>
      </c>
      <c r="E383" t="s">
        <v>1076</v>
      </c>
      <c r="F383" t="s">
        <v>240</v>
      </c>
      <c r="G383">
        <v>1</v>
      </c>
      <c r="H383">
        <v>1</v>
      </c>
      <c r="I383" t="s">
        <v>97</v>
      </c>
      <c r="J383" s="10">
        <v>169</v>
      </c>
      <c r="K383" s="10">
        <v>507</v>
      </c>
      <c r="L383" s="10">
        <v>0</v>
      </c>
      <c r="N383" s="10">
        <v>0</v>
      </c>
      <c r="O383" t="s">
        <v>99</v>
      </c>
      <c r="P383" s="10">
        <v>354.95</v>
      </c>
      <c r="S383">
        <v>19.5</v>
      </c>
      <c r="T383">
        <v>18</v>
      </c>
      <c r="U383">
        <v>18</v>
      </c>
      <c r="W383">
        <v>12.83</v>
      </c>
      <c r="X383">
        <v>1</v>
      </c>
      <c r="Y383">
        <v>24.75</v>
      </c>
      <c r="Z383">
        <v>16.25</v>
      </c>
      <c r="AA383">
        <v>16.25</v>
      </c>
      <c r="AB383">
        <v>3.782</v>
      </c>
      <c r="AC383">
        <v>17.170000000000002</v>
      </c>
      <c r="AE383">
        <v>4</v>
      </c>
      <c r="AF383" t="s">
        <v>772</v>
      </c>
      <c r="AG383">
        <v>60</v>
      </c>
      <c r="AK383" t="s">
        <v>98</v>
      </c>
      <c r="AM383" t="s">
        <v>98</v>
      </c>
      <c r="AN383" t="s">
        <v>99</v>
      </c>
      <c r="AO383" t="s">
        <v>98</v>
      </c>
      <c r="AP383" t="s">
        <v>100</v>
      </c>
      <c r="AQ383" t="s">
        <v>101</v>
      </c>
      <c r="AV383" t="s">
        <v>98</v>
      </c>
      <c r="AX383" t="s">
        <v>279</v>
      </c>
      <c r="AZ383" t="s">
        <v>102</v>
      </c>
      <c r="BB383" t="s">
        <v>235</v>
      </c>
      <c r="BC383" t="s">
        <v>1081</v>
      </c>
      <c r="BD383" t="s">
        <v>7528</v>
      </c>
      <c r="BF383" t="s">
        <v>1300</v>
      </c>
      <c r="BG383" t="s">
        <v>98</v>
      </c>
      <c r="BH383" t="s">
        <v>98</v>
      </c>
      <c r="BI383" t="s">
        <v>98</v>
      </c>
      <c r="BK383" t="s">
        <v>110</v>
      </c>
      <c r="BL383" t="s">
        <v>7528</v>
      </c>
      <c r="BR383">
        <v>1</v>
      </c>
      <c r="BS383">
        <v>5</v>
      </c>
      <c r="BT383">
        <v>5</v>
      </c>
      <c r="CA383">
        <v>3165</v>
      </c>
      <c r="CB383" t="s">
        <v>279</v>
      </c>
      <c r="CL383" t="s">
        <v>99</v>
      </c>
      <c r="CM383" t="s">
        <v>99</v>
      </c>
      <c r="CN383" t="s">
        <v>442</v>
      </c>
      <c r="CO383" s="1">
        <v>42906</v>
      </c>
      <c r="CP383" s="1">
        <v>43633</v>
      </c>
    </row>
    <row r="384" spans="1:94" x14ac:dyDescent="0.25">
      <c r="A384" t="s">
        <v>1301</v>
      </c>
      <c r="B384" t="str">
        <f xml:space="preserve"> "" &amp; 747396103419</f>
        <v>747396103419</v>
      </c>
      <c r="C384" t="s">
        <v>1063</v>
      </c>
      <c r="D384" t="s">
        <v>6587</v>
      </c>
      <c r="E384" t="s">
        <v>1076</v>
      </c>
      <c r="F384" t="s">
        <v>249</v>
      </c>
      <c r="G384">
        <v>1</v>
      </c>
      <c r="H384">
        <v>1</v>
      </c>
      <c r="I384" t="s">
        <v>97</v>
      </c>
      <c r="J384" s="10">
        <v>229</v>
      </c>
      <c r="K384" s="10">
        <v>687</v>
      </c>
      <c r="L384" s="10">
        <v>0</v>
      </c>
      <c r="N384" s="10">
        <v>0</v>
      </c>
      <c r="O384" t="s">
        <v>99</v>
      </c>
      <c r="P384" s="10">
        <v>479.95</v>
      </c>
      <c r="S384">
        <v>24</v>
      </c>
      <c r="U384">
        <v>26</v>
      </c>
      <c r="W384">
        <v>14.64</v>
      </c>
      <c r="X384">
        <v>1</v>
      </c>
      <c r="Y384">
        <v>6.5</v>
      </c>
      <c r="Z384">
        <v>27.25</v>
      </c>
      <c r="AA384">
        <v>24</v>
      </c>
      <c r="AB384">
        <v>2.46</v>
      </c>
      <c r="AC384">
        <v>18.52</v>
      </c>
      <c r="AE384">
        <v>6</v>
      </c>
      <c r="AF384" t="s">
        <v>772</v>
      </c>
      <c r="AG384">
        <v>60</v>
      </c>
      <c r="AK384" t="s">
        <v>98</v>
      </c>
      <c r="AM384" t="s">
        <v>98</v>
      </c>
      <c r="AN384" t="s">
        <v>99</v>
      </c>
      <c r="AO384" t="s">
        <v>98</v>
      </c>
      <c r="AP384" t="s">
        <v>100</v>
      </c>
      <c r="AQ384" t="s">
        <v>101</v>
      </c>
      <c r="AV384" t="s">
        <v>98</v>
      </c>
      <c r="AX384" t="s">
        <v>279</v>
      </c>
      <c r="AZ384" t="s">
        <v>102</v>
      </c>
      <c r="BB384" t="s">
        <v>235</v>
      </c>
      <c r="BC384" t="s">
        <v>1081</v>
      </c>
      <c r="BD384" t="s">
        <v>7528</v>
      </c>
      <c r="BF384" t="s">
        <v>1302</v>
      </c>
      <c r="BG384" t="s">
        <v>98</v>
      </c>
      <c r="BH384" t="s">
        <v>98</v>
      </c>
      <c r="BI384" t="s">
        <v>98</v>
      </c>
      <c r="BK384" t="s">
        <v>110</v>
      </c>
      <c r="BL384" t="s">
        <v>7528</v>
      </c>
      <c r="BR384">
        <v>1</v>
      </c>
      <c r="BS384">
        <v>5</v>
      </c>
      <c r="BT384">
        <v>5</v>
      </c>
      <c r="CA384">
        <v>3166</v>
      </c>
      <c r="CB384" t="s">
        <v>279</v>
      </c>
      <c r="CL384" t="s">
        <v>99</v>
      </c>
      <c r="CM384" t="s">
        <v>99</v>
      </c>
      <c r="CN384" t="s">
        <v>442</v>
      </c>
      <c r="CO384" s="1">
        <v>42906</v>
      </c>
      <c r="CP384" s="1">
        <v>43633</v>
      </c>
    </row>
    <row r="385" spans="1:94" x14ac:dyDescent="0.25">
      <c r="A385" t="s">
        <v>1303</v>
      </c>
      <c r="B385" t="str">
        <f xml:space="preserve"> "" &amp; 747396103396</f>
        <v>747396103396</v>
      </c>
      <c r="C385" t="s">
        <v>569</v>
      </c>
      <c r="D385" t="s">
        <v>570</v>
      </c>
      <c r="E385" t="s">
        <v>1076</v>
      </c>
      <c r="F385" t="s">
        <v>478</v>
      </c>
      <c r="G385">
        <v>1</v>
      </c>
      <c r="H385">
        <v>1</v>
      </c>
      <c r="I385" t="s">
        <v>97</v>
      </c>
      <c r="J385" s="10">
        <v>112.95</v>
      </c>
      <c r="K385" s="10">
        <v>338.85</v>
      </c>
      <c r="L385" s="10">
        <v>0</v>
      </c>
      <c r="N385" s="10">
        <v>0</v>
      </c>
      <c r="O385" t="s">
        <v>99</v>
      </c>
      <c r="P385" s="10">
        <v>239.95</v>
      </c>
      <c r="S385">
        <v>6</v>
      </c>
      <c r="T385">
        <v>16</v>
      </c>
      <c r="U385">
        <v>16</v>
      </c>
      <c r="W385">
        <v>13.23</v>
      </c>
      <c r="X385">
        <v>1</v>
      </c>
      <c r="Y385">
        <v>12.5</v>
      </c>
      <c r="Z385">
        <v>18</v>
      </c>
      <c r="AA385">
        <v>18</v>
      </c>
      <c r="AB385">
        <v>2.3439999999999999</v>
      </c>
      <c r="AC385">
        <v>16.2</v>
      </c>
      <c r="AE385">
        <v>3</v>
      </c>
      <c r="AF385" t="s">
        <v>282</v>
      </c>
      <c r="AG385">
        <v>60</v>
      </c>
      <c r="AK385" t="s">
        <v>98</v>
      </c>
      <c r="AM385" t="s">
        <v>98</v>
      </c>
      <c r="AN385" t="s">
        <v>99</v>
      </c>
      <c r="AO385" t="s">
        <v>98</v>
      </c>
      <c r="AP385" t="s">
        <v>100</v>
      </c>
      <c r="AQ385" t="s">
        <v>101</v>
      </c>
      <c r="AV385" t="s">
        <v>98</v>
      </c>
      <c r="AX385" t="s">
        <v>279</v>
      </c>
      <c r="AZ385" t="s">
        <v>102</v>
      </c>
      <c r="BB385" t="s">
        <v>235</v>
      </c>
      <c r="BC385" t="s">
        <v>1304</v>
      </c>
      <c r="BD385" t="s">
        <v>7528</v>
      </c>
      <c r="BF385" t="s">
        <v>1305</v>
      </c>
      <c r="BG385" t="s">
        <v>98</v>
      </c>
      <c r="BH385" t="s">
        <v>98</v>
      </c>
      <c r="BI385" t="s">
        <v>98</v>
      </c>
      <c r="BK385" t="s">
        <v>127</v>
      </c>
      <c r="BL385" t="s">
        <v>7528</v>
      </c>
      <c r="BR385">
        <v>0.75</v>
      </c>
      <c r="BS385">
        <v>16</v>
      </c>
      <c r="BT385">
        <v>16</v>
      </c>
      <c r="CA385">
        <v>3168</v>
      </c>
      <c r="CB385" t="s">
        <v>279</v>
      </c>
      <c r="CL385" t="s">
        <v>99</v>
      </c>
      <c r="CM385" t="s">
        <v>98</v>
      </c>
      <c r="CN385" t="s">
        <v>442</v>
      </c>
      <c r="CO385" s="1">
        <v>42905</v>
      </c>
      <c r="CP385" s="1">
        <v>43633</v>
      </c>
    </row>
    <row r="386" spans="1:94" x14ac:dyDescent="0.25">
      <c r="A386" t="s">
        <v>1306</v>
      </c>
      <c r="B386" t="str">
        <f xml:space="preserve"> "" &amp; 747396103402</f>
        <v>747396103402</v>
      </c>
      <c r="C386" t="s">
        <v>569</v>
      </c>
      <c r="D386" t="s">
        <v>570</v>
      </c>
      <c r="E386" t="s">
        <v>1076</v>
      </c>
      <c r="F386" t="s">
        <v>478</v>
      </c>
      <c r="G386">
        <v>1</v>
      </c>
      <c r="H386">
        <v>1</v>
      </c>
      <c r="I386" t="s">
        <v>97</v>
      </c>
      <c r="J386" s="10">
        <v>159.94999999999999</v>
      </c>
      <c r="K386" s="10">
        <v>479.85</v>
      </c>
      <c r="L386" s="10">
        <v>0</v>
      </c>
      <c r="N386" s="10">
        <v>0</v>
      </c>
      <c r="O386" t="s">
        <v>99</v>
      </c>
      <c r="P386" s="10">
        <v>339.95</v>
      </c>
      <c r="S386">
        <v>7.5</v>
      </c>
      <c r="T386">
        <v>20</v>
      </c>
      <c r="U386">
        <v>20</v>
      </c>
      <c r="W386">
        <v>19.399999999999999</v>
      </c>
      <c r="X386">
        <v>1</v>
      </c>
      <c r="Y386">
        <v>15.13</v>
      </c>
      <c r="Z386">
        <v>22.25</v>
      </c>
      <c r="AA386">
        <v>22.25</v>
      </c>
      <c r="AB386">
        <v>4.335</v>
      </c>
      <c r="AC386">
        <v>24.1</v>
      </c>
      <c r="AE386">
        <v>5</v>
      </c>
      <c r="AF386" t="s">
        <v>1307</v>
      </c>
      <c r="AG386">
        <v>60</v>
      </c>
      <c r="AK386" t="s">
        <v>98</v>
      </c>
      <c r="AM386" t="s">
        <v>98</v>
      </c>
      <c r="AN386" t="s">
        <v>99</v>
      </c>
      <c r="AO386" t="s">
        <v>98</v>
      </c>
      <c r="AP386" t="s">
        <v>100</v>
      </c>
      <c r="AQ386" t="s">
        <v>101</v>
      </c>
      <c r="AV386" t="s">
        <v>98</v>
      </c>
      <c r="AX386" t="s">
        <v>279</v>
      </c>
      <c r="AZ386" t="s">
        <v>102</v>
      </c>
      <c r="BB386" t="s">
        <v>235</v>
      </c>
      <c r="BC386" t="s">
        <v>1081</v>
      </c>
      <c r="BD386" t="s">
        <v>7528</v>
      </c>
      <c r="BF386" t="s">
        <v>1308</v>
      </c>
      <c r="BG386" t="s">
        <v>98</v>
      </c>
      <c r="BH386" t="s">
        <v>98</v>
      </c>
      <c r="BI386" t="s">
        <v>98</v>
      </c>
      <c r="BK386" t="s">
        <v>127</v>
      </c>
      <c r="BL386" t="s">
        <v>7528</v>
      </c>
      <c r="BR386">
        <v>1</v>
      </c>
      <c r="BS386">
        <v>20</v>
      </c>
      <c r="BT386">
        <v>20</v>
      </c>
      <c r="CA386">
        <v>3169</v>
      </c>
      <c r="CB386" t="s">
        <v>279</v>
      </c>
      <c r="CL386" t="s">
        <v>99</v>
      </c>
      <c r="CM386" t="s">
        <v>98</v>
      </c>
      <c r="CN386" t="s">
        <v>442</v>
      </c>
      <c r="CO386" s="1">
        <v>42905</v>
      </c>
      <c r="CP386" s="1">
        <v>43633</v>
      </c>
    </row>
    <row r="387" spans="1:94" x14ac:dyDescent="0.25">
      <c r="A387" t="s">
        <v>1309</v>
      </c>
      <c r="B387" t="str">
        <f xml:space="preserve"> "" &amp; 747396065946</f>
        <v>747396065946</v>
      </c>
      <c r="C387" t="s">
        <v>1310</v>
      </c>
      <c r="D387" t="s">
        <v>6588</v>
      </c>
      <c r="E387" t="s">
        <v>1311</v>
      </c>
      <c r="F387" t="s">
        <v>7535</v>
      </c>
      <c r="G387">
        <v>1</v>
      </c>
      <c r="H387">
        <v>1</v>
      </c>
      <c r="I387" t="s">
        <v>97</v>
      </c>
      <c r="J387" s="10">
        <v>25</v>
      </c>
      <c r="K387" s="10">
        <v>75</v>
      </c>
      <c r="L387" s="10">
        <v>0</v>
      </c>
      <c r="N387" s="10">
        <v>0</v>
      </c>
      <c r="S387">
        <v>8.5</v>
      </c>
      <c r="T387">
        <v>9</v>
      </c>
      <c r="U387">
        <v>6.75</v>
      </c>
      <c r="V387">
        <v>7.25</v>
      </c>
      <c r="W387">
        <v>15.34</v>
      </c>
      <c r="X387">
        <v>1</v>
      </c>
      <c r="Y387">
        <v>12</v>
      </c>
      <c r="Z387">
        <v>9</v>
      </c>
      <c r="AA387">
        <v>8</v>
      </c>
      <c r="AB387">
        <v>0.5</v>
      </c>
      <c r="AC387">
        <v>26.08</v>
      </c>
      <c r="AE387">
        <v>1</v>
      </c>
      <c r="AF387" t="s">
        <v>1312</v>
      </c>
      <c r="AG387">
        <v>13</v>
      </c>
      <c r="AH387">
        <v>0</v>
      </c>
      <c r="AJ387">
        <v>0</v>
      </c>
      <c r="AK387" t="s">
        <v>99</v>
      </c>
      <c r="AL387">
        <v>1</v>
      </c>
      <c r="AM387" t="s">
        <v>98</v>
      </c>
      <c r="AN387" t="s">
        <v>98</v>
      </c>
      <c r="AO387" t="s">
        <v>99</v>
      </c>
      <c r="AP387" t="s">
        <v>100</v>
      </c>
      <c r="AQ387" t="s">
        <v>101</v>
      </c>
      <c r="AV387" t="s">
        <v>98</v>
      </c>
      <c r="AX387" t="s">
        <v>399</v>
      </c>
      <c r="AZ387" t="s">
        <v>392</v>
      </c>
      <c r="BB387" t="s">
        <v>235</v>
      </c>
      <c r="BC387" t="s">
        <v>808</v>
      </c>
      <c r="BD387" t="s">
        <v>7528</v>
      </c>
      <c r="BF387" t="s">
        <v>1313</v>
      </c>
      <c r="BG387" t="s">
        <v>98</v>
      </c>
      <c r="BH387" t="s">
        <v>98</v>
      </c>
      <c r="BI387" t="s">
        <v>99</v>
      </c>
      <c r="BK387" t="s">
        <v>127</v>
      </c>
      <c r="BL387" t="s">
        <v>756</v>
      </c>
      <c r="BT387">
        <v>4.75</v>
      </c>
      <c r="CA387" t="s">
        <v>1314</v>
      </c>
      <c r="CB387" t="s">
        <v>399</v>
      </c>
      <c r="CL387" t="s">
        <v>98</v>
      </c>
      <c r="CM387" t="s">
        <v>98</v>
      </c>
      <c r="CN387" t="s">
        <v>692</v>
      </c>
      <c r="CO387" s="1">
        <v>39498</v>
      </c>
      <c r="CP387" s="1">
        <v>43633</v>
      </c>
    </row>
    <row r="388" spans="1:94" x14ac:dyDescent="0.25">
      <c r="A388" t="s">
        <v>1315</v>
      </c>
      <c r="B388" t="str">
        <f xml:space="preserve"> "" &amp; 747396065861</f>
        <v>747396065861</v>
      </c>
      <c r="C388" t="s">
        <v>751</v>
      </c>
      <c r="D388" t="s">
        <v>6589</v>
      </c>
      <c r="E388" t="s">
        <v>1316</v>
      </c>
      <c r="F388" t="s">
        <v>323</v>
      </c>
      <c r="G388">
        <v>1</v>
      </c>
      <c r="H388">
        <v>1</v>
      </c>
      <c r="I388" t="s">
        <v>97</v>
      </c>
      <c r="J388" s="10">
        <v>58</v>
      </c>
      <c r="K388" s="10">
        <v>174</v>
      </c>
      <c r="L388" s="10">
        <v>0</v>
      </c>
      <c r="N388" s="10">
        <v>0</v>
      </c>
      <c r="O388" t="s">
        <v>99</v>
      </c>
      <c r="P388" s="10">
        <v>114.95</v>
      </c>
      <c r="S388">
        <v>8.25</v>
      </c>
      <c r="T388">
        <v>8.5</v>
      </c>
      <c r="U388">
        <v>5</v>
      </c>
      <c r="V388">
        <v>6</v>
      </c>
      <c r="W388">
        <v>16.53</v>
      </c>
      <c r="X388">
        <v>1</v>
      </c>
      <c r="Y388">
        <v>12.75</v>
      </c>
      <c r="Z388">
        <v>8.5</v>
      </c>
      <c r="AA388">
        <v>7</v>
      </c>
      <c r="AB388">
        <v>0.439</v>
      </c>
      <c r="AC388">
        <v>24.25</v>
      </c>
      <c r="AE388">
        <v>1</v>
      </c>
      <c r="AF388" t="s">
        <v>1012</v>
      </c>
      <c r="AG388">
        <v>100</v>
      </c>
      <c r="AK388" t="s">
        <v>98</v>
      </c>
      <c r="AL388">
        <v>1</v>
      </c>
      <c r="AM388" t="s">
        <v>98</v>
      </c>
      <c r="AN388" t="s">
        <v>99</v>
      </c>
      <c r="AO388" t="s">
        <v>98</v>
      </c>
      <c r="AP388" t="s">
        <v>100</v>
      </c>
      <c r="AQ388" t="s">
        <v>101</v>
      </c>
      <c r="AV388" t="s">
        <v>98</v>
      </c>
      <c r="AX388" t="s">
        <v>399</v>
      </c>
      <c r="AZ388" t="s">
        <v>392</v>
      </c>
      <c r="BB388" t="s">
        <v>235</v>
      </c>
      <c r="BC388" t="s">
        <v>7602</v>
      </c>
      <c r="BD388" t="s">
        <v>7632</v>
      </c>
      <c r="BF388" t="s">
        <v>1317</v>
      </c>
      <c r="BG388" t="s">
        <v>98</v>
      </c>
      <c r="BH388" t="s">
        <v>98</v>
      </c>
      <c r="BI388" t="s">
        <v>98</v>
      </c>
      <c r="BK388" t="s">
        <v>127</v>
      </c>
      <c r="BL388" t="s">
        <v>756</v>
      </c>
      <c r="BR388">
        <v>6.5</v>
      </c>
      <c r="BT388">
        <v>4.75</v>
      </c>
      <c r="CA388">
        <v>3241</v>
      </c>
      <c r="CB388" t="s">
        <v>399</v>
      </c>
      <c r="CL388" t="s">
        <v>99</v>
      </c>
      <c r="CM388" t="s">
        <v>98</v>
      </c>
      <c r="CN388" t="s">
        <v>1318</v>
      </c>
      <c r="CO388" s="1">
        <v>39420</v>
      </c>
      <c r="CP388" s="1">
        <v>43633</v>
      </c>
    </row>
    <row r="389" spans="1:94" x14ac:dyDescent="0.25">
      <c r="A389" t="s">
        <v>1319</v>
      </c>
      <c r="B389" t="str">
        <f xml:space="preserve"> "" &amp; 747396065878</f>
        <v>747396065878</v>
      </c>
      <c r="C389" t="s">
        <v>758</v>
      </c>
      <c r="D389" t="s">
        <v>6590</v>
      </c>
      <c r="E389" t="s">
        <v>1316</v>
      </c>
      <c r="F389" t="s">
        <v>323</v>
      </c>
      <c r="G389">
        <v>1</v>
      </c>
      <c r="H389">
        <v>1</v>
      </c>
      <c r="I389" t="s">
        <v>97</v>
      </c>
      <c r="J389" s="10">
        <v>110</v>
      </c>
      <c r="K389" s="10">
        <v>330</v>
      </c>
      <c r="L389" s="10">
        <v>0</v>
      </c>
      <c r="N389" s="10">
        <v>0</v>
      </c>
      <c r="O389" t="s">
        <v>99</v>
      </c>
      <c r="P389" s="10">
        <v>219.95</v>
      </c>
      <c r="S389">
        <v>8.25</v>
      </c>
      <c r="U389">
        <v>17.25</v>
      </c>
      <c r="V389">
        <v>6</v>
      </c>
      <c r="W389">
        <v>6.06</v>
      </c>
      <c r="X389">
        <v>1</v>
      </c>
      <c r="Y389">
        <v>13.25</v>
      </c>
      <c r="Z389">
        <v>19.5</v>
      </c>
      <c r="AA389">
        <v>8.5</v>
      </c>
      <c r="AB389">
        <v>1.2709999999999999</v>
      </c>
      <c r="AC389">
        <v>7.98</v>
      </c>
      <c r="AE389">
        <v>2</v>
      </c>
      <c r="AF389" t="s">
        <v>282</v>
      </c>
      <c r="AG389">
        <v>100</v>
      </c>
      <c r="AK389" t="s">
        <v>98</v>
      </c>
      <c r="AM389" t="s">
        <v>98</v>
      </c>
      <c r="AN389" t="s">
        <v>99</v>
      </c>
      <c r="AO389" t="s">
        <v>98</v>
      </c>
      <c r="AP389" t="s">
        <v>100</v>
      </c>
      <c r="AQ389" t="s">
        <v>101</v>
      </c>
      <c r="AV389" t="s">
        <v>98</v>
      </c>
      <c r="AX389" t="s">
        <v>399</v>
      </c>
      <c r="AZ389" t="s">
        <v>392</v>
      </c>
      <c r="BB389" t="s">
        <v>235</v>
      </c>
      <c r="BC389" t="s">
        <v>7602</v>
      </c>
      <c r="BD389" t="s">
        <v>7632</v>
      </c>
      <c r="BF389" t="s">
        <v>1320</v>
      </c>
      <c r="BG389" t="s">
        <v>98</v>
      </c>
      <c r="BH389" t="s">
        <v>98</v>
      </c>
      <c r="BI389" t="s">
        <v>98</v>
      </c>
      <c r="BK389" t="s">
        <v>127</v>
      </c>
      <c r="BL389" t="s">
        <v>756</v>
      </c>
      <c r="BR389">
        <v>4.75</v>
      </c>
      <c r="BT389">
        <v>15.75</v>
      </c>
      <c r="CA389">
        <v>3242</v>
      </c>
      <c r="CB389" t="s">
        <v>399</v>
      </c>
      <c r="CL389" t="s">
        <v>99</v>
      </c>
      <c r="CM389" t="s">
        <v>98</v>
      </c>
      <c r="CN389" t="s">
        <v>1318</v>
      </c>
      <c r="CO389" s="1">
        <v>39420</v>
      </c>
      <c r="CP389" s="1">
        <v>43633</v>
      </c>
    </row>
    <row r="390" spans="1:94" x14ac:dyDescent="0.25">
      <c r="A390" t="s">
        <v>1321</v>
      </c>
      <c r="B390" t="str">
        <f xml:space="preserve"> "" &amp; 747396065885</f>
        <v>747396065885</v>
      </c>
      <c r="C390" t="s">
        <v>762</v>
      </c>
      <c r="D390" t="s">
        <v>6591</v>
      </c>
      <c r="E390" t="s">
        <v>1316</v>
      </c>
      <c r="F390" t="s">
        <v>323</v>
      </c>
      <c r="G390">
        <v>1</v>
      </c>
      <c r="H390">
        <v>1</v>
      </c>
      <c r="I390" t="s">
        <v>97</v>
      </c>
      <c r="J390" s="10">
        <v>155</v>
      </c>
      <c r="K390" s="10">
        <v>465</v>
      </c>
      <c r="L390" s="10">
        <v>0</v>
      </c>
      <c r="N390" s="10">
        <v>0</v>
      </c>
      <c r="O390" t="s">
        <v>99</v>
      </c>
      <c r="P390" s="10">
        <v>309.95</v>
      </c>
      <c r="S390">
        <v>8.25</v>
      </c>
      <c r="U390">
        <v>25.5</v>
      </c>
      <c r="V390">
        <v>6</v>
      </c>
      <c r="W390">
        <v>8.93</v>
      </c>
      <c r="X390">
        <v>1</v>
      </c>
      <c r="Y390">
        <v>12.75</v>
      </c>
      <c r="Z390">
        <v>28</v>
      </c>
      <c r="AA390">
        <v>8.5</v>
      </c>
      <c r="AB390">
        <v>1.756</v>
      </c>
      <c r="AC390">
        <v>11.35</v>
      </c>
      <c r="AE390">
        <v>3</v>
      </c>
      <c r="AF390" t="s">
        <v>1012</v>
      </c>
      <c r="AG390">
        <v>100</v>
      </c>
      <c r="AK390" t="s">
        <v>98</v>
      </c>
      <c r="AM390" t="s">
        <v>98</v>
      </c>
      <c r="AN390" t="s">
        <v>99</v>
      </c>
      <c r="AO390" t="s">
        <v>98</v>
      </c>
      <c r="AP390" t="s">
        <v>100</v>
      </c>
      <c r="AQ390" t="s">
        <v>101</v>
      </c>
      <c r="AV390" t="s">
        <v>98</v>
      </c>
      <c r="AX390" t="s">
        <v>399</v>
      </c>
      <c r="AZ390" t="s">
        <v>392</v>
      </c>
      <c r="BB390" t="s">
        <v>235</v>
      </c>
      <c r="BC390" t="s">
        <v>7602</v>
      </c>
      <c r="BD390" t="s">
        <v>7632</v>
      </c>
      <c r="BF390" t="s">
        <v>1322</v>
      </c>
      <c r="BG390" t="s">
        <v>98</v>
      </c>
      <c r="BH390" t="s">
        <v>98</v>
      </c>
      <c r="BI390" t="s">
        <v>98</v>
      </c>
      <c r="BK390" t="s">
        <v>127</v>
      </c>
      <c r="BL390" t="s">
        <v>756</v>
      </c>
      <c r="BR390">
        <v>4.75</v>
      </c>
      <c r="BT390">
        <v>24.13</v>
      </c>
      <c r="CA390">
        <v>3243</v>
      </c>
      <c r="CB390" t="s">
        <v>399</v>
      </c>
      <c r="CL390" t="s">
        <v>99</v>
      </c>
      <c r="CM390" t="s">
        <v>98</v>
      </c>
      <c r="CN390" t="s">
        <v>1318</v>
      </c>
      <c r="CO390" s="1">
        <v>39420</v>
      </c>
      <c r="CP390" s="1">
        <v>43633</v>
      </c>
    </row>
    <row r="391" spans="1:94" x14ac:dyDescent="0.25">
      <c r="A391" t="s">
        <v>1323</v>
      </c>
      <c r="B391" t="str">
        <f xml:space="preserve"> "" &amp; 747396065892</f>
        <v>747396065892</v>
      </c>
      <c r="C391" t="s">
        <v>766</v>
      </c>
      <c r="D391" t="s">
        <v>6592</v>
      </c>
      <c r="E391" t="s">
        <v>1316</v>
      </c>
      <c r="F391" t="s">
        <v>323</v>
      </c>
      <c r="G391">
        <v>1</v>
      </c>
      <c r="H391">
        <v>1</v>
      </c>
      <c r="I391" t="s">
        <v>97</v>
      </c>
      <c r="J391" s="10">
        <v>188</v>
      </c>
      <c r="K391" s="10">
        <v>564</v>
      </c>
      <c r="L391" s="10">
        <v>0</v>
      </c>
      <c r="N391" s="10">
        <v>0</v>
      </c>
      <c r="O391" t="s">
        <v>99</v>
      </c>
      <c r="P391" s="10">
        <v>374.95</v>
      </c>
      <c r="S391">
        <v>8.25</v>
      </c>
      <c r="U391">
        <v>34</v>
      </c>
      <c r="V391">
        <v>6</v>
      </c>
      <c r="W391">
        <v>12.13</v>
      </c>
      <c r="X391">
        <v>1</v>
      </c>
      <c r="Y391">
        <v>12.75</v>
      </c>
      <c r="Z391">
        <v>36.5</v>
      </c>
      <c r="AA391">
        <v>8.5</v>
      </c>
      <c r="AB391">
        <v>2.2890000000000001</v>
      </c>
      <c r="AC391">
        <v>15.21</v>
      </c>
      <c r="AE391">
        <v>4</v>
      </c>
      <c r="AF391" t="s">
        <v>282</v>
      </c>
      <c r="AG391">
        <v>100</v>
      </c>
      <c r="AK391" t="s">
        <v>98</v>
      </c>
      <c r="AM391" t="s">
        <v>98</v>
      </c>
      <c r="AN391" t="s">
        <v>99</v>
      </c>
      <c r="AO391" t="s">
        <v>98</v>
      </c>
      <c r="AP391" t="s">
        <v>100</v>
      </c>
      <c r="AQ391" t="s">
        <v>101</v>
      </c>
      <c r="AV391" t="s">
        <v>98</v>
      </c>
      <c r="AX391" t="s">
        <v>399</v>
      </c>
      <c r="AZ391" t="s">
        <v>392</v>
      </c>
      <c r="BB391" t="s">
        <v>235</v>
      </c>
      <c r="BC391" t="s">
        <v>7602</v>
      </c>
      <c r="BD391" t="s">
        <v>7632</v>
      </c>
      <c r="BF391" t="s">
        <v>1324</v>
      </c>
      <c r="BG391" t="s">
        <v>98</v>
      </c>
      <c r="BH391" t="s">
        <v>98</v>
      </c>
      <c r="BI391" t="s">
        <v>98</v>
      </c>
      <c r="BK391" t="s">
        <v>127</v>
      </c>
      <c r="BL391" t="s">
        <v>756</v>
      </c>
      <c r="BR391">
        <v>4.75</v>
      </c>
      <c r="BT391">
        <v>32.630000000000003</v>
      </c>
      <c r="CA391">
        <v>3244</v>
      </c>
      <c r="CB391" t="s">
        <v>399</v>
      </c>
      <c r="CL391" t="s">
        <v>99</v>
      </c>
      <c r="CM391" t="s">
        <v>98</v>
      </c>
      <c r="CN391" t="s">
        <v>1318</v>
      </c>
      <c r="CO391" s="1">
        <v>39420</v>
      </c>
      <c r="CP391" s="1">
        <v>43633</v>
      </c>
    </row>
    <row r="392" spans="1:94" x14ac:dyDescent="0.25">
      <c r="A392" t="s">
        <v>1325</v>
      </c>
      <c r="B392" t="str">
        <f xml:space="preserve"> "" &amp; 747396097060</f>
        <v>747396097060</v>
      </c>
      <c r="C392" t="s">
        <v>239</v>
      </c>
      <c r="D392" t="s">
        <v>6593</v>
      </c>
      <c r="E392" t="s">
        <v>753</v>
      </c>
      <c r="F392" t="s">
        <v>240</v>
      </c>
      <c r="G392">
        <v>1</v>
      </c>
      <c r="H392">
        <v>1</v>
      </c>
      <c r="I392" t="s">
        <v>97</v>
      </c>
      <c r="J392" s="10">
        <v>32</v>
      </c>
      <c r="K392" s="10">
        <v>96</v>
      </c>
      <c r="L392" s="10">
        <v>0</v>
      </c>
      <c r="N392" s="10">
        <v>0</v>
      </c>
      <c r="O392" t="s">
        <v>99</v>
      </c>
      <c r="P392" s="10">
        <v>64.95</v>
      </c>
      <c r="S392">
        <v>7</v>
      </c>
      <c r="T392">
        <v>6.25</v>
      </c>
      <c r="U392">
        <v>6.25</v>
      </c>
      <c r="W392">
        <v>3.09</v>
      </c>
      <c r="Y392">
        <v>26.75</v>
      </c>
      <c r="Z392">
        <v>17.5</v>
      </c>
      <c r="AA392">
        <v>14.25</v>
      </c>
      <c r="AB392">
        <v>3.86</v>
      </c>
      <c r="AC392">
        <v>3.75</v>
      </c>
      <c r="AE392">
        <v>1</v>
      </c>
      <c r="AF392" t="s">
        <v>347</v>
      </c>
      <c r="AG392">
        <v>100</v>
      </c>
      <c r="AK392" t="s">
        <v>98</v>
      </c>
      <c r="AM392" t="s">
        <v>98</v>
      </c>
      <c r="AN392" t="s">
        <v>99</v>
      </c>
      <c r="AO392" t="s">
        <v>98</v>
      </c>
      <c r="AP392" t="s">
        <v>100</v>
      </c>
      <c r="AQ392" t="s">
        <v>101</v>
      </c>
      <c r="AV392" t="s">
        <v>98</v>
      </c>
      <c r="AX392" t="s">
        <v>754</v>
      </c>
      <c r="AZ392" t="s">
        <v>102</v>
      </c>
      <c r="BB392" t="s">
        <v>235</v>
      </c>
      <c r="BC392" t="s">
        <v>561</v>
      </c>
      <c r="BD392" t="s">
        <v>7528</v>
      </c>
      <c r="BF392" t="s">
        <v>1326</v>
      </c>
      <c r="BG392" t="s">
        <v>98</v>
      </c>
      <c r="BH392" t="s">
        <v>98</v>
      </c>
      <c r="BI392" t="s">
        <v>98</v>
      </c>
      <c r="BK392" t="s">
        <v>110</v>
      </c>
      <c r="BL392" t="s">
        <v>7528</v>
      </c>
      <c r="BQ392">
        <v>5.25</v>
      </c>
      <c r="BR392">
        <v>1.25</v>
      </c>
      <c r="BS392">
        <v>5.25</v>
      </c>
      <c r="BT392">
        <v>5.25</v>
      </c>
      <c r="CA392">
        <v>3281</v>
      </c>
      <c r="CB392" t="s">
        <v>754</v>
      </c>
      <c r="CL392" t="s">
        <v>99</v>
      </c>
      <c r="CM392" t="s">
        <v>99</v>
      </c>
      <c r="CN392" t="s">
        <v>442</v>
      </c>
      <c r="CO392" s="1">
        <v>42324</v>
      </c>
      <c r="CP392" s="1">
        <v>43633</v>
      </c>
    </row>
    <row r="393" spans="1:94" x14ac:dyDescent="0.25">
      <c r="A393" t="s">
        <v>1327</v>
      </c>
      <c r="B393" t="str">
        <f xml:space="preserve"> "" &amp; 747396097312</f>
        <v>747396097312</v>
      </c>
      <c r="C393" t="s">
        <v>318</v>
      </c>
      <c r="D393" t="s">
        <v>1328</v>
      </c>
      <c r="E393" t="s">
        <v>753</v>
      </c>
      <c r="F393" t="s">
        <v>377</v>
      </c>
      <c r="G393">
        <v>1</v>
      </c>
      <c r="H393">
        <v>1</v>
      </c>
      <c r="I393" t="s">
        <v>97</v>
      </c>
      <c r="J393" s="10">
        <v>75</v>
      </c>
      <c r="K393" s="10">
        <v>225</v>
      </c>
      <c r="L393" s="10">
        <v>0</v>
      </c>
      <c r="N393" s="10">
        <v>0</v>
      </c>
      <c r="O393" t="s">
        <v>99</v>
      </c>
      <c r="P393" s="10">
        <v>149.94999999999999</v>
      </c>
      <c r="S393">
        <v>11.75</v>
      </c>
      <c r="T393">
        <v>18.25</v>
      </c>
      <c r="U393">
        <v>18.25</v>
      </c>
      <c r="W393">
        <v>4.96</v>
      </c>
      <c r="Y393">
        <v>9.25</v>
      </c>
      <c r="Z393">
        <v>18.5</v>
      </c>
      <c r="AA393">
        <v>18.5</v>
      </c>
      <c r="AB393">
        <v>1.8320000000000001</v>
      </c>
      <c r="AC393">
        <v>7.28</v>
      </c>
      <c r="AE393">
        <v>2</v>
      </c>
      <c r="AF393" t="s">
        <v>347</v>
      </c>
      <c r="AG393">
        <v>100</v>
      </c>
      <c r="AK393" t="s">
        <v>98</v>
      </c>
      <c r="AM393" t="s">
        <v>98</v>
      </c>
      <c r="AN393" t="s">
        <v>99</v>
      </c>
      <c r="AO393" t="s">
        <v>98</v>
      </c>
      <c r="AP393" t="s">
        <v>100</v>
      </c>
      <c r="AQ393" t="s">
        <v>101</v>
      </c>
      <c r="AV393" t="s">
        <v>98</v>
      </c>
      <c r="AX393" t="s">
        <v>754</v>
      </c>
      <c r="AZ393" t="s">
        <v>102</v>
      </c>
      <c r="BB393" t="s">
        <v>235</v>
      </c>
      <c r="BC393" t="s">
        <v>561</v>
      </c>
      <c r="BD393" t="s">
        <v>7528</v>
      </c>
      <c r="BF393" t="s">
        <v>1329</v>
      </c>
      <c r="BG393" t="s">
        <v>98</v>
      </c>
      <c r="BH393" t="s">
        <v>98</v>
      </c>
      <c r="BI393" t="s">
        <v>98</v>
      </c>
      <c r="BK393" t="s">
        <v>127</v>
      </c>
      <c r="BL393" t="s">
        <v>7528</v>
      </c>
      <c r="BQ393">
        <v>5.25</v>
      </c>
      <c r="BR393">
        <v>1.25</v>
      </c>
      <c r="BS393">
        <v>5.25</v>
      </c>
      <c r="BT393">
        <v>5.25</v>
      </c>
      <c r="CA393">
        <v>3282</v>
      </c>
      <c r="CB393" t="s">
        <v>754</v>
      </c>
      <c r="CL393" t="s">
        <v>99</v>
      </c>
      <c r="CM393" t="s">
        <v>98</v>
      </c>
      <c r="CN393" t="s">
        <v>442</v>
      </c>
      <c r="CO393" s="1">
        <v>42324</v>
      </c>
      <c r="CP393" s="1">
        <v>43633</v>
      </c>
    </row>
    <row r="394" spans="1:94" x14ac:dyDescent="0.25">
      <c r="A394" t="s">
        <v>1330</v>
      </c>
      <c r="B394" t="str">
        <f xml:space="preserve"> "" &amp; 747396097008</f>
        <v>747396097008</v>
      </c>
      <c r="C394" t="s">
        <v>543</v>
      </c>
      <c r="D394" t="s">
        <v>1331</v>
      </c>
      <c r="E394" t="s">
        <v>753</v>
      </c>
      <c r="F394" t="s">
        <v>249</v>
      </c>
      <c r="G394">
        <v>1</v>
      </c>
      <c r="H394">
        <v>1</v>
      </c>
      <c r="I394" t="s">
        <v>97</v>
      </c>
      <c r="J394" s="10">
        <v>95</v>
      </c>
      <c r="K394" s="10">
        <v>285</v>
      </c>
      <c r="L394" s="10">
        <v>0</v>
      </c>
      <c r="N394" s="10">
        <v>0</v>
      </c>
      <c r="O394" t="s">
        <v>99</v>
      </c>
      <c r="P394" s="10">
        <v>189.95</v>
      </c>
      <c r="S394">
        <v>23.75</v>
      </c>
      <c r="T394">
        <v>20.25</v>
      </c>
      <c r="U394">
        <v>20.25</v>
      </c>
      <c r="W394">
        <v>9.48</v>
      </c>
      <c r="Y394">
        <v>24.25</v>
      </c>
      <c r="Z394">
        <v>20</v>
      </c>
      <c r="AA394">
        <v>8.25</v>
      </c>
      <c r="AB394">
        <v>2.3159999999999998</v>
      </c>
      <c r="AC394">
        <v>13.45</v>
      </c>
      <c r="AE394">
        <v>3</v>
      </c>
      <c r="AF394" t="s">
        <v>347</v>
      </c>
      <c r="AG394">
        <v>100</v>
      </c>
      <c r="AK394" t="s">
        <v>98</v>
      </c>
      <c r="AM394" t="s">
        <v>98</v>
      </c>
      <c r="AN394" t="s">
        <v>99</v>
      </c>
      <c r="AO394" t="s">
        <v>98</v>
      </c>
      <c r="AP394" t="s">
        <v>100</v>
      </c>
      <c r="AQ394" t="s">
        <v>101</v>
      </c>
      <c r="AV394" t="s">
        <v>98</v>
      </c>
      <c r="AX394" t="s">
        <v>754</v>
      </c>
      <c r="AZ394" t="s">
        <v>102</v>
      </c>
      <c r="BB394" t="s">
        <v>235</v>
      </c>
      <c r="BC394" t="s">
        <v>561</v>
      </c>
      <c r="BD394" t="s">
        <v>7528</v>
      </c>
      <c r="BF394" t="s">
        <v>1332</v>
      </c>
      <c r="BG394" t="s">
        <v>98</v>
      </c>
      <c r="BH394" t="s">
        <v>98</v>
      </c>
      <c r="BI394" t="s">
        <v>98</v>
      </c>
      <c r="BK394" t="s">
        <v>127</v>
      </c>
      <c r="BL394" t="s">
        <v>7528</v>
      </c>
      <c r="BQ394">
        <v>5.25</v>
      </c>
      <c r="BR394">
        <v>1.25</v>
      </c>
      <c r="BS394">
        <v>5.25</v>
      </c>
      <c r="BT394">
        <v>5.25</v>
      </c>
      <c r="CA394">
        <v>3283</v>
      </c>
      <c r="CB394" t="s">
        <v>754</v>
      </c>
      <c r="CL394" t="s">
        <v>99</v>
      </c>
      <c r="CM394" t="s">
        <v>99</v>
      </c>
      <c r="CN394" t="s">
        <v>442</v>
      </c>
      <c r="CO394" s="1">
        <v>42324</v>
      </c>
      <c r="CP394" s="1">
        <v>43633</v>
      </c>
    </row>
    <row r="395" spans="1:94" x14ac:dyDescent="0.25">
      <c r="A395" t="s">
        <v>1333</v>
      </c>
      <c r="B395" t="str">
        <f xml:space="preserve"> "" &amp; 747396097053</f>
        <v>747396097053</v>
      </c>
      <c r="C395" t="s">
        <v>243</v>
      </c>
      <c r="D395" t="s">
        <v>6594</v>
      </c>
      <c r="E395" t="s">
        <v>753</v>
      </c>
      <c r="F395" t="s">
        <v>240</v>
      </c>
      <c r="G395">
        <v>1</v>
      </c>
      <c r="H395">
        <v>1</v>
      </c>
      <c r="I395" t="s">
        <v>97</v>
      </c>
      <c r="J395" s="10">
        <v>122</v>
      </c>
      <c r="K395" s="10">
        <v>366</v>
      </c>
      <c r="L395" s="10">
        <v>0</v>
      </c>
      <c r="N395" s="10">
        <v>0</v>
      </c>
      <c r="O395" t="s">
        <v>99</v>
      </c>
      <c r="P395" s="10">
        <v>244.95</v>
      </c>
      <c r="S395">
        <v>22.75</v>
      </c>
      <c r="T395">
        <v>21.25</v>
      </c>
      <c r="U395">
        <v>21.25</v>
      </c>
      <c r="W395">
        <v>9.44</v>
      </c>
      <c r="Y395">
        <v>10.5</v>
      </c>
      <c r="Z395">
        <v>22</v>
      </c>
      <c r="AA395">
        <v>20.5</v>
      </c>
      <c r="AB395">
        <v>2.74</v>
      </c>
      <c r="AC395">
        <v>12.54</v>
      </c>
      <c r="AE395">
        <v>3</v>
      </c>
      <c r="AF395" t="s">
        <v>347</v>
      </c>
      <c r="AG395">
        <v>100</v>
      </c>
      <c r="AK395" t="s">
        <v>98</v>
      </c>
      <c r="AM395" t="s">
        <v>98</v>
      </c>
      <c r="AN395" t="s">
        <v>99</v>
      </c>
      <c r="AO395" t="s">
        <v>98</v>
      </c>
      <c r="AP395" t="s">
        <v>100</v>
      </c>
      <c r="AQ395" t="s">
        <v>101</v>
      </c>
      <c r="AV395" t="s">
        <v>98</v>
      </c>
      <c r="AX395" t="s">
        <v>754</v>
      </c>
      <c r="AZ395" t="s">
        <v>102</v>
      </c>
      <c r="BB395" t="s">
        <v>235</v>
      </c>
      <c r="BC395" t="s">
        <v>561</v>
      </c>
      <c r="BD395" t="s">
        <v>7528</v>
      </c>
      <c r="BF395" t="s">
        <v>1335</v>
      </c>
      <c r="BG395" t="s">
        <v>98</v>
      </c>
      <c r="BH395" t="s">
        <v>98</v>
      </c>
      <c r="BI395" t="s">
        <v>98</v>
      </c>
      <c r="BK395" t="s">
        <v>110</v>
      </c>
      <c r="BL395" t="s">
        <v>7528</v>
      </c>
      <c r="BQ395">
        <v>5.25</v>
      </c>
      <c r="BR395">
        <v>1.25</v>
      </c>
      <c r="BS395">
        <v>5.25</v>
      </c>
      <c r="BT395">
        <v>5.25</v>
      </c>
      <c r="CA395">
        <v>3284</v>
      </c>
      <c r="CB395" t="s">
        <v>754</v>
      </c>
      <c r="CL395" t="s">
        <v>99</v>
      </c>
      <c r="CM395" t="s">
        <v>99</v>
      </c>
      <c r="CN395" t="s">
        <v>442</v>
      </c>
      <c r="CO395" s="1">
        <v>42324</v>
      </c>
      <c r="CP395" s="1">
        <v>43633</v>
      </c>
    </row>
    <row r="396" spans="1:94" x14ac:dyDescent="0.25">
      <c r="A396" t="s">
        <v>1336</v>
      </c>
      <c r="B396" t="str">
        <f xml:space="preserve"> "" &amp; 747396096995</f>
        <v>747396096995</v>
      </c>
      <c r="C396" t="s">
        <v>343</v>
      </c>
      <c r="D396" t="s">
        <v>1337</v>
      </c>
      <c r="E396" t="s">
        <v>753</v>
      </c>
      <c r="F396" t="s">
        <v>249</v>
      </c>
      <c r="G396">
        <v>1</v>
      </c>
      <c r="H396">
        <v>1</v>
      </c>
      <c r="I396" t="s">
        <v>97</v>
      </c>
      <c r="J396" s="10">
        <v>149</v>
      </c>
      <c r="K396" s="10">
        <v>447</v>
      </c>
      <c r="L396" s="10">
        <v>0</v>
      </c>
      <c r="N396" s="10">
        <v>0</v>
      </c>
      <c r="O396" t="s">
        <v>99</v>
      </c>
      <c r="P396" s="10">
        <v>299.95</v>
      </c>
      <c r="S396">
        <v>26.5</v>
      </c>
      <c r="T396">
        <v>26.25</v>
      </c>
      <c r="U396">
        <v>26.25</v>
      </c>
      <c r="W396">
        <v>14.77</v>
      </c>
      <c r="Y396">
        <v>26.5</v>
      </c>
      <c r="Z396">
        <v>27.5</v>
      </c>
      <c r="AA396">
        <v>10.75</v>
      </c>
      <c r="AB396">
        <v>4.5339999999999998</v>
      </c>
      <c r="AC396">
        <v>21.38</v>
      </c>
      <c r="AE396">
        <v>5</v>
      </c>
      <c r="AF396" t="s">
        <v>282</v>
      </c>
      <c r="AG396">
        <v>100</v>
      </c>
      <c r="AK396" t="s">
        <v>98</v>
      </c>
      <c r="AL396">
        <v>5</v>
      </c>
      <c r="AM396" t="s">
        <v>98</v>
      </c>
      <c r="AN396" t="s">
        <v>99</v>
      </c>
      <c r="AO396" t="s">
        <v>98</v>
      </c>
      <c r="AP396" t="s">
        <v>100</v>
      </c>
      <c r="AQ396" t="s">
        <v>101</v>
      </c>
      <c r="AV396" t="s">
        <v>98</v>
      </c>
      <c r="AX396" t="s">
        <v>754</v>
      </c>
      <c r="AZ396" t="s">
        <v>102</v>
      </c>
      <c r="BB396" t="s">
        <v>235</v>
      </c>
      <c r="BC396" t="s">
        <v>561</v>
      </c>
      <c r="BD396" t="s">
        <v>7528</v>
      </c>
      <c r="BF396" t="s">
        <v>1338</v>
      </c>
      <c r="BG396" t="s">
        <v>98</v>
      </c>
      <c r="BH396" t="s">
        <v>98</v>
      </c>
      <c r="BI396" t="s">
        <v>98</v>
      </c>
      <c r="BK396" t="s">
        <v>110</v>
      </c>
      <c r="BL396" t="s">
        <v>7528</v>
      </c>
      <c r="BQ396">
        <v>5.25</v>
      </c>
      <c r="BR396">
        <v>1.25</v>
      </c>
      <c r="BS396">
        <v>5.25</v>
      </c>
      <c r="BT396">
        <v>5.25</v>
      </c>
      <c r="CA396">
        <v>3285</v>
      </c>
      <c r="CB396" t="s">
        <v>754</v>
      </c>
      <c r="CL396" t="s">
        <v>99</v>
      </c>
      <c r="CM396" t="s">
        <v>99</v>
      </c>
      <c r="CN396" t="s">
        <v>442</v>
      </c>
      <c r="CO396" s="1">
        <v>42324</v>
      </c>
      <c r="CP396" s="1">
        <v>43633</v>
      </c>
    </row>
    <row r="397" spans="1:94" x14ac:dyDescent="0.25">
      <c r="A397" t="s">
        <v>1339</v>
      </c>
      <c r="B397" t="str">
        <f xml:space="preserve"> "" &amp; 747396097114</f>
        <v>747396097114</v>
      </c>
      <c r="C397" t="s">
        <v>376</v>
      </c>
      <c r="D397" t="s">
        <v>1340</v>
      </c>
      <c r="E397" t="s">
        <v>753</v>
      </c>
      <c r="F397" t="s">
        <v>377</v>
      </c>
      <c r="G397">
        <v>1</v>
      </c>
      <c r="H397">
        <v>1</v>
      </c>
      <c r="I397" t="s">
        <v>97</v>
      </c>
      <c r="J397" s="10">
        <v>84</v>
      </c>
      <c r="K397" s="10">
        <v>252</v>
      </c>
      <c r="L397" s="10">
        <v>0</v>
      </c>
      <c r="N397" s="10">
        <v>0</v>
      </c>
      <c r="O397" t="s">
        <v>99</v>
      </c>
      <c r="P397" s="10">
        <v>169.95</v>
      </c>
      <c r="S397">
        <v>12</v>
      </c>
      <c r="T397">
        <v>16</v>
      </c>
      <c r="U397">
        <v>16</v>
      </c>
      <c r="W397">
        <v>4.59</v>
      </c>
      <c r="Y397">
        <v>8.5</v>
      </c>
      <c r="Z397">
        <v>17.5</v>
      </c>
      <c r="AA397">
        <v>17.5</v>
      </c>
      <c r="AB397">
        <v>1.506</v>
      </c>
      <c r="AC397">
        <v>7.05</v>
      </c>
      <c r="AE397">
        <v>3</v>
      </c>
      <c r="AF397" t="s">
        <v>347</v>
      </c>
      <c r="AG397">
        <v>100</v>
      </c>
      <c r="AK397" t="s">
        <v>98</v>
      </c>
      <c r="AM397" t="s">
        <v>98</v>
      </c>
      <c r="AN397" t="s">
        <v>99</v>
      </c>
      <c r="AO397" t="s">
        <v>98</v>
      </c>
      <c r="AP397" t="s">
        <v>100</v>
      </c>
      <c r="AQ397" t="s">
        <v>101</v>
      </c>
      <c r="AV397" t="s">
        <v>98</v>
      </c>
      <c r="AX397" t="s">
        <v>461</v>
      </c>
      <c r="AZ397" t="s">
        <v>102</v>
      </c>
      <c r="BB397" t="s">
        <v>1341</v>
      </c>
      <c r="BC397" t="s">
        <v>117</v>
      </c>
      <c r="BD397" t="s">
        <v>7528</v>
      </c>
      <c r="BF397" t="s">
        <v>1342</v>
      </c>
      <c r="BG397" t="s">
        <v>98</v>
      </c>
      <c r="BH397" t="s">
        <v>98</v>
      </c>
      <c r="BI397" t="s">
        <v>98</v>
      </c>
      <c r="BK397" t="s">
        <v>127</v>
      </c>
      <c r="BL397" t="s">
        <v>7528</v>
      </c>
      <c r="BQ397">
        <v>5.25</v>
      </c>
      <c r="BR397">
        <v>1.25</v>
      </c>
      <c r="BS397">
        <v>5.25</v>
      </c>
      <c r="BT397">
        <v>5.25</v>
      </c>
      <c r="CA397">
        <v>3286</v>
      </c>
      <c r="CB397" t="s">
        <v>461</v>
      </c>
      <c r="CL397" t="s">
        <v>99</v>
      </c>
      <c r="CM397" t="s">
        <v>98</v>
      </c>
      <c r="CN397" t="s">
        <v>442</v>
      </c>
      <c r="CO397" s="1">
        <v>42324</v>
      </c>
      <c r="CP397" s="1">
        <v>43633</v>
      </c>
    </row>
    <row r="398" spans="1:94" x14ac:dyDescent="0.25">
      <c r="A398" t="s">
        <v>1343</v>
      </c>
      <c r="B398" t="str">
        <f xml:space="preserve"> "" &amp; 747396097107</f>
        <v>747396097107</v>
      </c>
      <c r="C398" t="s">
        <v>243</v>
      </c>
      <c r="D398" t="s">
        <v>1334</v>
      </c>
      <c r="E398" t="s">
        <v>753</v>
      </c>
      <c r="F398" t="s">
        <v>240</v>
      </c>
      <c r="G398">
        <v>1</v>
      </c>
      <c r="H398">
        <v>1</v>
      </c>
      <c r="I398" t="s">
        <v>97</v>
      </c>
      <c r="J398" s="10">
        <v>129</v>
      </c>
      <c r="K398" s="10">
        <v>387</v>
      </c>
      <c r="L398" s="10">
        <v>0</v>
      </c>
      <c r="N398" s="10">
        <v>0</v>
      </c>
      <c r="O398" t="s">
        <v>99</v>
      </c>
      <c r="P398" s="10">
        <v>254.95</v>
      </c>
      <c r="S398">
        <v>22</v>
      </c>
      <c r="T398">
        <v>20</v>
      </c>
      <c r="U398">
        <v>20</v>
      </c>
      <c r="W398">
        <v>10.14</v>
      </c>
      <c r="Y398">
        <v>9.75</v>
      </c>
      <c r="Z398">
        <v>21.5</v>
      </c>
      <c r="AA398">
        <v>21.5</v>
      </c>
      <c r="AB398">
        <v>2.6080000000000001</v>
      </c>
      <c r="AC398">
        <v>13.01</v>
      </c>
      <c r="AE398">
        <v>3</v>
      </c>
      <c r="AF398" t="s">
        <v>282</v>
      </c>
      <c r="AG398">
        <v>100</v>
      </c>
      <c r="AK398" t="s">
        <v>98</v>
      </c>
      <c r="AM398" t="s">
        <v>98</v>
      </c>
      <c r="AN398" t="s">
        <v>99</v>
      </c>
      <c r="AO398" t="s">
        <v>98</v>
      </c>
      <c r="AP398" t="s">
        <v>100</v>
      </c>
      <c r="AQ398" t="s">
        <v>101</v>
      </c>
      <c r="AV398" t="s">
        <v>98</v>
      </c>
      <c r="AX398" t="s">
        <v>754</v>
      </c>
      <c r="AZ398" t="s">
        <v>102</v>
      </c>
      <c r="BB398" t="s">
        <v>197</v>
      </c>
      <c r="BC398" t="s">
        <v>117</v>
      </c>
      <c r="BD398" t="s">
        <v>7528</v>
      </c>
      <c r="BF398" t="s">
        <v>1344</v>
      </c>
      <c r="BG398" t="s">
        <v>98</v>
      </c>
      <c r="BH398" t="s">
        <v>98</v>
      </c>
      <c r="BI398" t="s">
        <v>98</v>
      </c>
      <c r="BK398" t="s">
        <v>110</v>
      </c>
      <c r="BL398" t="s">
        <v>7528</v>
      </c>
      <c r="BQ398">
        <v>5.25</v>
      </c>
      <c r="BR398">
        <v>1.25</v>
      </c>
      <c r="BS398">
        <v>5.25</v>
      </c>
      <c r="BT398">
        <v>5.25</v>
      </c>
      <c r="CA398">
        <v>3287</v>
      </c>
      <c r="CB398" t="s">
        <v>754</v>
      </c>
      <c r="CL398" t="s">
        <v>99</v>
      </c>
      <c r="CM398" t="s">
        <v>99</v>
      </c>
      <c r="CN398" t="s">
        <v>442</v>
      </c>
      <c r="CO398" s="1">
        <v>42324</v>
      </c>
      <c r="CP398" s="1">
        <v>43633</v>
      </c>
    </row>
    <row r="399" spans="1:94" x14ac:dyDescent="0.25">
      <c r="A399" t="s">
        <v>1345</v>
      </c>
      <c r="B399" t="str">
        <f xml:space="preserve"> "" &amp; 747396097084</f>
        <v>747396097084</v>
      </c>
      <c r="C399" t="s">
        <v>1346</v>
      </c>
      <c r="D399" t="s">
        <v>1347</v>
      </c>
      <c r="E399" t="s">
        <v>753</v>
      </c>
      <c r="F399" t="s">
        <v>478</v>
      </c>
      <c r="G399">
        <v>1</v>
      </c>
      <c r="H399">
        <v>1</v>
      </c>
      <c r="I399" t="s">
        <v>97</v>
      </c>
      <c r="J399" s="10">
        <v>37</v>
      </c>
      <c r="K399" s="10">
        <v>111</v>
      </c>
      <c r="L399" s="10">
        <v>0</v>
      </c>
      <c r="N399" s="10">
        <v>0</v>
      </c>
      <c r="O399" t="s">
        <v>99</v>
      </c>
      <c r="P399" s="10">
        <v>74.95</v>
      </c>
      <c r="S399">
        <v>7.5</v>
      </c>
      <c r="T399">
        <v>15</v>
      </c>
      <c r="U399">
        <v>15</v>
      </c>
      <c r="W399">
        <v>5.84</v>
      </c>
      <c r="Y399">
        <v>8.5</v>
      </c>
      <c r="Z399">
        <v>16</v>
      </c>
      <c r="AA399">
        <v>16</v>
      </c>
      <c r="AB399">
        <v>1.2589999999999999</v>
      </c>
      <c r="AC399">
        <v>7.39</v>
      </c>
      <c r="AE399">
        <v>3</v>
      </c>
      <c r="AF399" t="s">
        <v>282</v>
      </c>
      <c r="AG399">
        <v>60</v>
      </c>
      <c r="AK399" t="s">
        <v>98</v>
      </c>
      <c r="AM399" t="s">
        <v>98</v>
      </c>
      <c r="AN399" t="s">
        <v>99</v>
      </c>
      <c r="AO399" t="s">
        <v>98</v>
      </c>
      <c r="AP399" t="s">
        <v>100</v>
      </c>
      <c r="AQ399" t="s">
        <v>101</v>
      </c>
      <c r="AV399" t="s">
        <v>98</v>
      </c>
      <c r="AX399" t="s">
        <v>754</v>
      </c>
      <c r="AZ399" t="s">
        <v>102</v>
      </c>
      <c r="BB399" t="s">
        <v>235</v>
      </c>
      <c r="BC399" t="s">
        <v>561</v>
      </c>
      <c r="BD399" t="s">
        <v>7528</v>
      </c>
      <c r="BF399" t="s">
        <v>1348</v>
      </c>
      <c r="BG399" t="s">
        <v>98</v>
      </c>
      <c r="BH399" t="s">
        <v>98</v>
      </c>
      <c r="BI399" t="s">
        <v>98</v>
      </c>
      <c r="BK399" t="s">
        <v>127</v>
      </c>
      <c r="BL399" t="s">
        <v>7528</v>
      </c>
      <c r="BQ399">
        <v>15</v>
      </c>
      <c r="BR399">
        <v>1.85</v>
      </c>
      <c r="BS399">
        <v>15</v>
      </c>
      <c r="BT399">
        <v>15</v>
      </c>
      <c r="CA399">
        <v>3288</v>
      </c>
      <c r="CB399" t="s">
        <v>754</v>
      </c>
      <c r="CL399" t="s">
        <v>99</v>
      </c>
      <c r="CM399" t="s">
        <v>98</v>
      </c>
      <c r="CN399" t="s">
        <v>442</v>
      </c>
      <c r="CO399" s="1">
        <v>42324</v>
      </c>
      <c r="CP399" s="1">
        <v>43633</v>
      </c>
    </row>
    <row r="400" spans="1:94" x14ac:dyDescent="0.25">
      <c r="A400" t="s">
        <v>1349</v>
      </c>
      <c r="B400" t="str">
        <f xml:space="preserve"> "" &amp; 747396097091</f>
        <v>747396097091</v>
      </c>
      <c r="C400" t="s">
        <v>350</v>
      </c>
      <c r="D400" t="s">
        <v>1350</v>
      </c>
      <c r="E400" t="s">
        <v>753</v>
      </c>
      <c r="F400" t="s">
        <v>249</v>
      </c>
      <c r="G400">
        <v>1</v>
      </c>
      <c r="H400">
        <v>1</v>
      </c>
      <c r="I400" t="s">
        <v>97</v>
      </c>
      <c r="J400" s="10">
        <v>225</v>
      </c>
      <c r="K400" s="10">
        <v>675</v>
      </c>
      <c r="L400" s="10">
        <v>0</v>
      </c>
      <c r="N400" s="10">
        <v>0</v>
      </c>
      <c r="O400" t="s">
        <v>99</v>
      </c>
      <c r="P400" s="10">
        <v>449.95</v>
      </c>
      <c r="S400">
        <v>29</v>
      </c>
      <c r="T400">
        <v>30.5</v>
      </c>
      <c r="U400">
        <v>30.5</v>
      </c>
      <c r="W400">
        <v>24.47</v>
      </c>
      <c r="Y400">
        <v>29</v>
      </c>
      <c r="Z400">
        <v>30.5</v>
      </c>
      <c r="AA400">
        <v>15</v>
      </c>
      <c r="AB400">
        <v>7.6779999999999999</v>
      </c>
      <c r="AC400">
        <v>34.17</v>
      </c>
      <c r="AE400">
        <v>9</v>
      </c>
      <c r="AF400" t="s">
        <v>282</v>
      </c>
      <c r="AG400">
        <v>100</v>
      </c>
      <c r="AK400" t="s">
        <v>98</v>
      </c>
      <c r="AL400">
        <v>9</v>
      </c>
      <c r="AM400" t="s">
        <v>98</v>
      </c>
      <c r="AN400" t="s">
        <v>99</v>
      </c>
      <c r="AO400" t="s">
        <v>98</v>
      </c>
      <c r="AP400" t="s">
        <v>100</v>
      </c>
      <c r="AQ400" t="s">
        <v>101</v>
      </c>
      <c r="AV400" t="s">
        <v>98</v>
      </c>
      <c r="AX400" t="s">
        <v>754</v>
      </c>
      <c r="AZ400" t="s">
        <v>102</v>
      </c>
      <c r="BB400" t="s">
        <v>235</v>
      </c>
      <c r="BC400" t="s">
        <v>561</v>
      </c>
      <c r="BD400" t="s">
        <v>7528</v>
      </c>
      <c r="BF400" t="s">
        <v>1351</v>
      </c>
      <c r="BG400" t="s">
        <v>98</v>
      </c>
      <c r="BH400" t="s">
        <v>98</v>
      </c>
      <c r="BI400" t="s">
        <v>98</v>
      </c>
      <c r="BK400" t="s">
        <v>110</v>
      </c>
      <c r="BL400" t="s">
        <v>7528</v>
      </c>
      <c r="BQ400">
        <v>5.25</v>
      </c>
      <c r="BR400">
        <v>1.25</v>
      </c>
      <c r="BS400">
        <v>5.25</v>
      </c>
      <c r="BT400">
        <v>5.25</v>
      </c>
      <c r="CA400">
        <v>3289</v>
      </c>
      <c r="CB400" t="s">
        <v>754</v>
      </c>
      <c r="CL400" t="s">
        <v>99</v>
      </c>
      <c r="CM400" t="s">
        <v>98</v>
      </c>
      <c r="CN400" t="s">
        <v>442</v>
      </c>
      <c r="CO400" s="1">
        <v>42324</v>
      </c>
      <c r="CP400" s="1">
        <v>43633</v>
      </c>
    </row>
    <row r="401" spans="1:94" x14ac:dyDescent="0.25">
      <c r="A401" t="s">
        <v>1352</v>
      </c>
      <c r="B401" t="str">
        <f xml:space="preserve"> "" &amp; 747396097329</f>
        <v>747396097329</v>
      </c>
      <c r="C401" t="s">
        <v>239</v>
      </c>
      <c r="D401" t="s">
        <v>1353</v>
      </c>
      <c r="E401" t="s">
        <v>1354</v>
      </c>
      <c r="F401" t="s">
        <v>240</v>
      </c>
      <c r="G401">
        <v>1</v>
      </c>
      <c r="H401">
        <v>1</v>
      </c>
      <c r="I401" t="s">
        <v>97</v>
      </c>
      <c r="J401" s="10">
        <v>44</v>
      </c>
      <c r="K401" s="10">
        <v>132</v>
      </c>
      <c r="L401" s="10">
        <v>0</v>
      </c>
      <c r="N401" s="10">
        <v>0</v>
      </c>
      <c r="O401" t="s">
        <v>99</v>
      </c>
      <c r="P401" s="10">
        <v>89.95</v>
      </c>
      <c r="S401">
        <v>8.5</v>
      </c>
      <c r="T401">
        <v>5.5</v>
      </c>
      <c r="U401">
        <v>5.5</v>
      </c>
      <c r="W401">
        <v>2.76</v>
      </c>
      <c r="Y401">
        <v>8</v>
      </c>
      <c r="Z401">
        <v>13.25</v>
      </c>
      <c r="AA401">
        <v>7.25</v>
      </c>
      <c r="AB401">
        <v>0.44500000000000001</v>
      </c>
      <c r="AC401">
        <v>3.53</v>
      </c>
      <c r="AE401">
        <v>1</v>
      </c>
      <c r="AF401" t="s">
        <v>282</v>
      </c>
      <c r="AG401">
        <v>100</v>
      </c>
      <c r="AK401" t="s">
        <v>98</v>
      </c>
      <c r="AM401" t="s">
        <v>98</v>
      </c>
      <c r="AN401" t="s">
        <v>99</v>
      </c>
      <c r="AO401" t="s">
        <v>98</v>
      </c>
      <c r="AP401" t="s">
        <v>100</v>
      </c>
      <c r="AQ401" t="s">
        <v>101</v>
      </c>
      <c r="AV401" t="s">
        <v>98</v>
      </c>
      <c r="AX401" t="s">
        <v>484</v>
      </c>
      <c r="AZ401" t="s">
        <v>124</v>
      </c>
      <c r="BB401" t="s">
        <v>235</v>
      </c>
      <c r="BC401" t="s">
        <v>460</v>
      </c>
      <c r="BD401" t="s">
        <v>7528</v>
      </c>
      <c r="BF401" t="s">
        <v>1355</v>
      </c>
      <c r="BG401" t="s">
        <v>98</v>
      </c>
      <c r="BH401" t="s">
        <v>98</v>
      </c>
      <c r="BI401" t="s">
        <v>98</v>
      </c>
      <c r="BK401" t="s">
        <v>110</v>
      </c>
      <c r="BL401" t="s">
        <v>7528</v>
      </c>
      <c r="BQ401">
        <v>5.13</v>
      </c>
      <c r="BR401">
        <v>1</v>
      </c>
      <c r="BS401">
        <v>5.13</v>
      </c>
      <c r="BT401">
        <v>5.13</v>
      </c>
      <c r="CA401">
        <v>3290</v>
      </c>
      <c r="CB401" t="s">
        <v>484</v>
      </c>
      <c r="CL401" t="s">
        <v>99</v>
      </c>
      <c r="CM401" t="s">
        <v>99</v>
      </c>
      <c r="CN401" t="s">
        <v>442</v>
      </c>
      <c r="CO401" s="1">
        <v>42325</v>
      </c>
      <c r="CP401" s="1">
        <v>43633</v>
      </c>
    </row>
    <row r="402" spans="1:94" x14ac:dyDescent="0.25">
      <c r="A402" t="s">
        <v>1356</v>
      </c>
      <c r="B402" t="str">
        <f xml:space="preserve"> "" &amp; 747396097336</f>
        <v>747396097336</v>
      </c>
      <c r="C402" t="s">
        <v>751</v>
      </c>
      <c r="D402" t="s">
        <v>1357</v>
      </c>
      <c r="E402" t="s">
        <v>1354</v>
      </c>
      <c r="F402" t="s">
        <v>323</v>
      </c>
      <c r="G402">
        <v>1</v>
      </c>
      <c r="H402">
        <v>1</v>
      </c>
      <c r="I402" t="s">
        <v>97</v>
      </c>
      <c r="J402" s="10">
        <v>37</v>
      </c>
      <c r="K402" s="10">
        <v>111</v>
      </c>
      <c r="L402" s="10">
        <v>0</v>
      </c>
      <c r="N402" s="10">
        <v>0</v>
      </c>
      <c r="O402" t="s">
        <v>99</v>
      </c>
      <c r="P402" s="10">
        <v>79.95</v>
      </c>
      <c r="S402">
        <v>10.75</v>
      </c>
      <c r="T402">
        <v>13.25</v>
      </c>
      <c r="U402">
        <v>5.25</v>
      </c>
      <c r="V402">
        <v>6.75</v>
      </c>
      <c r="W402">
        <v>1.76</v>
      </c>
      <c r="Y402">
        <v>7.38</v>
      </c>
      <c r="Z402">
        <v>13.25</v>
      </c>
      <c r="AA402">
        <v>8.75</v>
      </c>
      <c r="AB402">
        <v>0.495</v>
      </c>
      <c r="AC402">
        <v>2.6</v>
      </c>
      <c r="AE402">
        <v>1</v>
      </c>
      <c r="AF402" t="s">
        <v>282</v>
      </c>
      <c r="AG402">
        <v>100</v>
      </c>
      <c r="AK402" t="s">
        <v>98</v>
      </c>
      <c r="AM402" t="s">
        <v>98</v>
      </c>
      <c r="AN402" t="s">
        <v>99</v>
      </c>
      <c r="AO402" t="s">
        <v>98</v>
      </c>
      <c r="AP402" t="s">
        <v>100</v>
      </c>
      <c r="AQ402" t="s">
        <v>101</v>
      </c>
      <c r="AV402" t="s">
        <v>98</v>
      </c>
      <c r="AX402" t="s">
        <v>484</v>
      </c>
      <c r="AZ402" t="s">
        <v>124</v>
      </c>
      <c r="BB402" t="s">
        <v>235</v>
      </c>
      <c r="BC402" t="s">
        <v>460</v>
      </c>
      <c r="BD402" t="s">
        <v>7528</v>
      </c>
      <c r="BF402" t="s">
        <v>1358</v>
      </c>
      <c r="BG402" t="s">
        <v>98</v>
      </c>
      <c r="BH402" t="s">
        <v>98</v>
      </c>
      <c r="BI402" t="s">
        <v>98</v>
      </c>
      <c r="BK402" t="s">
        <v>127</v>
      </c>
      <c r="BL402" t="s">
        <v>756</v>
      </c>
      <c r="BR402">
        <v>8.75</v>
      </c>
      <c r="BT402">
        <v>5</v>
      </c>
      <c r="CA402">
        <v>3291</v>
      </c>
      <c r="CB402" t="s">
        <v>484</v>
      </c>
      <c r="CL402" t="s">
        <v>99</v>
      </c>
      <c r="CM402" t="s">
        <v>98</v>
      </c>
      <c r="CN402" t="s">
        <v>442</v>
      </c>
      <c r="CO402" s="1">
        <v>42325</v>
      </c>
      <c r="CP402" s="1">
        <v>43633</v>
      </c>
    </row>
    <row r="403" spans="1:94" x14ac:dyDescent="0.25">
      <c r="A403" t="s">
        <v>1359</v>
      </c>
      <c r="B403" t="str">
        <f xml:space="preserve"> "" &amp; 747396097343</f>
        <v>747396097343</v>
      </c>
      <c r="C403" t="s">
        <v>758</v>
      </c>
      <c r="D403" t="s">
        <v>6595</v>
      </c>
      <c r="E403" t="s">
        <v>1354</v>
      </c>
      <c r="F403" t="s">
        <v>323</v>
      </c>
      <c r="G403">
        <v>1</v>
      </c>
      <c r="H403">
        <v>1</v>
      </c>
      <c r="I403" t="s">
        <v>97</v>
      </c>
      <c r="J403" s="10">
        <v>65</v>
      </c>
      <c r="K403" s="10">
        <v>195</v>
      </c>
      <c r="L403" s="10">
        <v>0</v>
      </c>
      <c r="N403" s="10">
        <v>0</v>
      </c>
      <c r="O403" t="s">
        <v>99</v>
      </c>
      <c r="P403" s="10">
        <v>134.94999999999999</v>
      </c>
      <c r="S403">
        <v>8.5</v>
      </c>
      <c r="U403">
        <v>15</v>
      </c>
      <c r="V403">
        <v>7.5</v>
      </c>
      <c r="W403">
        <v>3.53</v>
      </c>
      <c r="Y403">
        <v>11.88</v>
      </c>
      <c r="Z403">
        <v>15.5</v>
      </c>
      <c r="AA403">
        <v>9</v>
      </c>
      <c r="AB403">
        <v>0.95899999999999996</v>
      </c>
      <c r="AC403">
        <v>5.4</v>
      </c>
      <c r="AE403">
        <v>2</v>
      </c>
      <c r="AF403" t="s">
        <v>282</v>
      </c>
      <c r="AG403">
        <v>100</v>
      </c>
      <c r="AK403" t="s">
        <v>98</v>
      </c>
      <c r="AM403" t="s">
        <v>98</v>
      </c>
      <c r="AN403" t="s">
        <v>99</v>
      </c>
      <c r="AO403" t="s">
        <v>98</v>
      </c>
      <c r="AP403" t="s">
        <v>100</v>
      </c>
      <c r="AQ403" t="s">
        <v>101</v>
      </c>
      <c r="AV403" t="s">
        <v>98</v>
      </c>
      <c r="AX403" t="s">
        <v>484</v>
      </c>
      <c r="AZ403" t="s">
        <v>124</v>
      </c>
      <c r="BB403" t="s">
        <v>235</v>
      </c>
      <c r="BC403" t="s">
        <v>460</v>
      </c>
      <c r="BD403" t="s">
        <v>7528</v>
      </c>
      <c r="BF403" t="s">
        <v>1360</v>
      </c>
      <c r="BG403" t="s">
        <v>98</v>
      </c>
      <c r="BH403" t="s">
        <v>98</v>
      </c>
      <c r="BI403" t="s">
        <v>98</v>
      </c>
      <c r="BK403" t="s">
        <v>127</v>
      </c>
      <c r="BL403" t="s">
        <v>756</v>
      </c>
      <c r="BR403">
        <v>4.88</v>
      </c>
      <c r="BT403">
        <v>8.8800000000000008</v>
      </c>
      <c r="CA403">
        <v>3292</v>
      </c>
      <c r="CB403" t="s">
        <v>484</v>
      </c>
      <c r="CL403" t="s">
        <v>99</v>
      </c>
      <c r="CM403" t="s">
        <v>98</v>
      </c>
      <c r="CN403" t="s">
        <v>442</v>
      </c>
      <c r="CO403" s="1">
        <v>42325</v>
      </c>
      <c r="CP403" s="1">
        <v>43633</v>
      </c>
    </row>
    <row r="404" spans="1:94" x14ac:dyDescent="0.25">
      <c r="A404" t="s">
        <v>1361</v>
      </c>
      <c r="B404" t="str">
        <f xml:space="preserve"> "" &amp; 747396097350</f>
        <v>747396097350</v>
      </c>
      <c r="C404" t="s">
        <v>762</v>
      </c>
      <c r="D404" t="s">
        <v>1362</v>
      </c>
      <c r="E404" t="s">
        <v>1354</v>
      </c>
      <c r="F404" t="s">
        <v>323</v>
      </c>
      <c r="G404">
        <v>1</v>
      </c>
      <c r="H404">
        <v>1</v>
      </c>
      <c r="I404" t="s">
        <v>97</v>
      </c>
      <c r="J404" s="10">
        <v>85</v>
      </c>
      <c r="K404" s="10">
        <v>255</v>
      </c>
      <c r="L404" s="10">
        <v>0</v>
      </c>
      <c r="N404" s="10">
        <v>0</v>
      </c>
      <c r="O404" t="s">
        <v>99</v>
      </c>
      <c r="P404" s="10">
        <v>179.95</v>
      </c>
      <c r="S404">
        <v>8.5</v>
      </c>
      <c r="U404">
        <v>22.25</v>
      </c>
      <c r="V404">
        <v>7.5</v>
      </c>
      <c r="W404">
        <v>4.9400000000000004</v>
      </c>
      <c r="Y404">
        <v>11.88</v>
      </c>
      <c r="Z404">
        <v>21.75</v>
      </c>
      <c r="AA404">
        <v>9</v>
      </c>
      <c r="AB404">
        <v>1.3460000000000001</v>
      </c>
      <c r="AC404">
        <v>7.69</v>
      </c>
      <c r="AE404">
        <v>3</v>
      </c>
      <c r="AF404" t="s">
        <v>282</v>
      </c>
      <c r="AG404">
        <v>100</v>
      </c>
      <c r="AK404" t="s">
        <v>98</v>
      </c>
      <c r="AM404" t="s">
        <v>98</v>
      </c>
      <c r="AN404" t="s">
        <v>99</v>
      </c>
      <c r="AO404" t="s">
        <v>98</v>
      </c>
      <c r="AP404" t="s">
        <v>100</v>
      </c>
      <c r="AQ404" t="s">
        <v>101</v>
      </c>
      <c r="AV404" t="s">
        <v>98</v>
      </c>
      <c r="AX404" t="s">
        <v>484</v>
      </c>
      <c r="AZ404" t="s">
        <v>124</v>
      </c>
      <c r="BB404" t="s">
        <v>235</v>
      </c>
      <c r="BC404" t="s">
        <v>460</v>
      </c>
      <c r="BD404" t="s">
        <v>7528</v>
      </c>
      <c r="BF404" t="s">
        <v>1363</v>
      </c>
      <c r="BG404" t="s">
        <v>98</v>
      </c>
      <c r="BH404" t="s">
        <v>98</v>
      </c>
      <c r="BI404" t="s">
        <v>98</v>
      </c>
      <c r="BK404" t="s">
        <v>127</v>
      </c>
      <c r="BL404" t="s">
        <v>756</v>
      </c>
      <c r="BR404">
        <v>4.88</v>
      </c>
      <c r="BT404">
        <v>8.8800000000000008</v>
      </c>
      <c r="CA404">
        <v>3293</v>
      </c>
      <c r="CB404" t="s">
        <v>484</v>
      </c>
      <c r="CL404" t="s">
        <v>99</v>
      </c>
      <c r="CM404" t="s">
        <v>98</v>
      </c>
      <c r="CN404" t="s">
        <v>442</v>
      </c>
      <c r="CO404" s="1">
        <v>42325</v>
      </c>
      <c r="CP404" s="1">
        <v>43633</v>
      </c>
    </row>
    <row r="405" spans="1:94" x14ac:dyDescent="0.25">
      <c r="A405" t="s">
        <v>1364</v>
      </c>
      <c r="B405" t="str">
        <f xml:space="preserve"> "" &amp; 747396097367</f>
        <v>747396097367</v>
      </c>
      <c r="C405" t="s">
        <v>766</v>
      </c>
      <c r="D405" t="s">
        <v>1365</v>
      </c>
      <c r="E405" t="s">
        <v>1354</v>
      </c>
      <c r="F405" t="s">
        <v>249</v>
      </c>
      <c r="G405">
        <v>1</v>
      </c>
      <c r="H405">
        <v>1</v>
      </c>
      <c r="I405" t="s">
        <v>97</v>
      </c>
      <c r="J405" s="10">
        <v>105</v>
      </c>
      <c r="K405" s="10">
        <v>315</v>
      </c>
      <c r="L405" s="10">
        <v>0</v>
      </c>
      <c r="N405" s="10">
        <v>0</v>
      </c>
      <c r="O405" t="s">
        <v>99</v>
      </c>
      <c r="P405" s="10">
        <v>219.95</v>
      </c>
      <c r="S405">
        <v>8.5</v>
      </c>
      <c r="U405">
        <v>30.75</v>
      </c>
      <c r="V405">
        <v>7.5</v>
      </c>
      <c r="W405">
        <v>6.57</v>
      </c>
      <c r="Y405">
        <v>11.88</v>
      </c>
      <c r="Z405">
        <v>30.25</v>
      </c>
      <c r="AA405">
        <v>9</v>
      </c>
      <c r="AB405">
        <v>1.8720000000000001</v>
      </c>
      <c r="AC405">
        <v>10.45</v>
      </c>
      <c r="AE405">
        <v>4</v>
      </c>
      <c r="AF405" t="s">
        <v>282</v>
      </c>
      <c r="AG405">
        <v>100</v>
      </c>
      <c r="AK405" t="s">
        <v>98</v>
      </c>
      <c r="AM405" t="s">
        <v>98</v>
      </c>
      <c r="AN405" t="s">
        <v>99</v>
      </c>
      <c r="AO405" t="s">
        <v>98</v>
      </c>
      <c r="AP405" t="s">
        <v>100</v>
      </c>
      <c r="AQ405" t="s">
        <v>101</v>
      </c>
      <c r="AV405" t="s">
        <v>98</v>
      </c>
      <c r="AX405" t="s">
        <v>484</v>
      </c>
      <c r="AZ405" t="s">
        <v>124</v>
      </c>
      <c r="BB405" t="s">
        <v>235</v>
      </c>
      <c r="BC405" t="s">
        <v>460</v>
      </c>
      <c r="BD405" t="s">
        <v>7528</v>
      </c>
      <c r="BF405" t="s">
        <v>1366</v>
      </c>
      <c r="BG405" t="s">
        <v>98</v>
      </c>
      <c r="BH405" t="s">
        <v>98</v>
      </c>
      <c r="BI405" t="s">
        <v>98</v>
      </c>
      <c r="BK405" t="s">
        <v>127</v>
      </c>
      <c r="BL405" t="s">
        <v>756</v>
      </c>
      <c r="BR405">
        <v>4.88</v>
      </c>
      <c r="BT405">
        <v>8.8800000000000008</v>
      </c>
      <c r="CA405">
        <v>3294</v>
      </c>
      <c r="CB405" t="s">
        <v>484</v>
      </c>
      <c r="CL405" t="s">
        <v>99</v>
      </c>
      <c r="CM405" t="s">
        <v>98</v>
      </c>
      <c r="CN405" t="s">
        <v>442</v>
      </c>
      <c r="CO405" s="1">
        <v>42325</v>
      </c>
      <c r="CP405" s="1">
        <v>43633</v>
      </c>
    </row>
    <row r="406" spans="1:94" x14ac:dyDescent="0.25">
      <c r="A406" t="s">
        <v>1367</v>
      </c>
      <c r="B406" t="str">
        <f xml:space="preserve"> "" &amp; 747396097374</f>
        <v>747396097374</v>
      </c>
      <c r="C406" t="s">
        <v>343</v>
      </c>
      <c r="D406" t="s">
        <v>1368</v>
      </c>
      <c r="E406" t="s">
        <v>1354</v>
      </c>
      <c r="F406" t="s">
        <v>249</v>
      </c>
      <c r="G406">
        <v>1</v>
      </c>
      <c r="H406">
        <v>1</v>
      </c>
      <c r="I406" t="s">
        <v>97</v>
      </c>
      <c r="J406" s="10">
        <v>179</v>
      </c>
      <c r="K406" s="10">
        <v>537</v>
      </c>
      <c r="L406" s="10">
        <v>0</v>
      </c>
      <c r="N406" s="10">
        <v>0</v>
      </c>
      <c r="O406" t="s">
        <v>99</v>
      </c>
      <c r="P406" s="10">
        <v>374.95</v>
      </c>
      <c r="S406">
        <v>25.25</v>
      </c>
      <c r="T406">
        <v>25</v>
      </c>
      <c r="U406">
        <v>25</v>
      </c>
      <c r="W406">
        <v>12.63</v>
      </c>
      <c r="Y406">
        <v>25.5</v>
      </c>
      <c r="Z406">
        <v>23.75</v>
      </c>
      <c r="AA406">
        <v>13.75</v>
      </c>
      <c r="AB406">
        <v>4.819</v>
      </c>
      <c r="AC406">
        <v>19.559999999999999</v>
      </c>
      <c r="AE406">
        <v>5</v>
      </c>
      <c r="AF406" t="s">
        <v>282</v>
      </c>
      <c r="AG406">
        <v>100</v>
      </c>
      <c r="AK406" t="s">
        <v>98</v>
      </c>
      <c r="AL406">
        <v>5</v>
      </c>
      <c r="AM406" t="s">
        <v>98</v>
      </c>
      <c r="AN406" t="s">
        <v>99</v>
      </c>
      <c r="AO406" t="s">
        <v>98</v>
      </c>
      <c r="AP406" t="s">
        <v>100</v>
      </c>
      <c r="AQ406" t="s">
        <v>101</v>
      </c>
      <c r="AV406" t="s">
        <v>98</v>
      </c>
      <c r="AX406" t="s">
        <v>484</v>
      </c>
      <c r="AZ406" t="s">
        <v>124</v>
      </c>
      <c r="BB406" t="s">
        <v>235</v>
      </c>
      <c r="BC406" t="s">
        <v>460</v>
      </c>
      <c r="BD406" t="s">
        <v>7528</v>
      </c>
      <c r="BF406" t="s">
        <v>1369</v>
      </c>
      <c r="BG406" t="s">
        <v>98</v>
      </c>
      <c r="BH406" t="s">
        <v>98</v>
      </c>
      <c r="BI406" t="s">
        <v>98</v>
      </c>
      <c r="BK406" t="s">
        <v>110</v>
      </c>
      <c r="BL406" t="s">
        <v>7528</v>
      </c>
      <c r="BQ406">
        <v>5.13</v>
      </c>
      <c r="BR406">
        <v>1</v>
      </c>
      <c r="BS406">
        <v>5.13</v>
      </c>
      <c r="BT406">
        <v>5.13</v>
      </c>
      <c r="CA406">
        <v>3295</v>
      </c>
      <c r="CB406" t="s">
        <v>484</v>
      </c>
      <c r="CL406" t="s">
        <v>99</v>
      </c>
      <c r="CM406" t="s">
        <v>99</v>
      </c>
      <c r="CN406" t="s">
        <v>442</v>
      </c>
      <c r="CO406" s="1">
        <v>42325</v>
      </c>
      <c r="CP406" s="1">
        <v>43633</v>
      </c>
    </row>
    <row r="407" spans="1:94" x14ac:dyDescent="0.25">
      <c r="A407" t="s">
        <v>1370</v>
      </c>
      <c r="B407" t="str">
        <f xml:space="preserve"> "" &amp; 747396097381</f>
        <v>747396097381</v>
      </c>
      <c r="C407" t="s">
        <v>1371</v>
      </c>
      <c r="D407" t="s">
        <v>1372</v>
      </c>
      <c r="E407" t="s">
        <v>1354</v>
      </c>
      <c r="F407" t="s">
        <v>377</v>
      </c>
      <c r="G407">
        <v>1</v>
      </c>
      <c r="H407">
        <v>1</v>
      </c>
      <c r="I407" t="s">
        <v>97</v>
      </c>
      <c r="J407" s="10">
        <v>115</v>
      </c>
      <c r="K407" s="10">
        <v>345</v>
      </c>
      <c r="L407" s="10">
        <v>0</v>
      </c>
      <c r="N407" s="10">
        <v>0</v>
      </c>
      <c r="O407" t="s">
        <v>99</v>
      </c>
      <c r="P407" s="10">
        <v>239.95</v>
      </c>
      <c r="S407">
        <v>14.25</v>
      </c>
      <c r="T407">
        <v>17.25</v>
      </c>
      <c r="U407">
        <v>17.25</v>
      </c>
      <c r="W407">
        <v>5.84</v>
      </c>
      <c r="Y407">
        <v>16.63</v>
      </c>
      <c r="Z407">
        <v>18.5</v>
      </c>
      <c r="AA407">
        <v>18.5</v>
      </c>
      <c r="AB407">
        <v>3.294</v>
      </c>
      <c r="AC407">
        <v>9.6999999999999993</v>
      </c>
      <c r="AE407">
        <v>4</v>
      </c>
      <c r="AF407" t="s">
        <v>519</v>
      </c>
      <c r="AG407">
        <v>60</v>
      </c>
      <c r="AK407" t="s">
        <v>98</v>
      </c>
      <c r="AM407" t="s">
        <v>98</v>
      </c>
      <c r="AN407" t="s">
        <v>99</v>
      </c>
      <c r="AO407" t="s">
        <v>98</v>
      </c>
      <c r="AP407" t="s">
        <v>100</v>
      </c>
      <c r="AQ407" t="s">
        <v>101</v>
      </c>
      <c r="AV407" t="s">
        <v>98</v>
      </c>
      <c r="AX407" t="s">
        <v>484</v>
      </c>
      <c r="AZ407" t="s">
        <v>124</v>
      </c>
      <c r="BB407" t="s">
        <v>7528</v>
      </c>
      <c r="BC407" t="s">
        <v>7528</v>
      </c>
      <c r="BD407" t="s">
        <v>7528</v>
      </c>
      <c r="BF407" t="s">
        <v>1373</v>
      </c>
      <c r="BG407" t="s">
        <v>98</v>
      </c>
      <c r="BH407" t="s">
        <v>98</v>
      </c>
      <c r="BI407" t="s">
        <v>98</v>
      </c>
      <c r="BK407" t="s">
        <v>127</v>
      </c>
      <c r="BL407" t="s">
        <v>7528</v>
      </c>
      <c r="BQ407">
        <v>5.13</v>
      </c>
      <c r="BR407">
        <v>1</v>
      </c>
      <c r="BS407">
        <v>5.13</v>
      </c>
      <c r="BT407">
        <v>5.13</v>
      </c>
      <c r="CA407">
        <v>3296</v>
      </c>
      <c r="CB407" t="s">
        <v>484</v>
      </c>
      <c r="CL407" t="s">
        <v>99</v>
      </c>
      <c r="CM407" t="s">
        <v>98</v>
      </c>
      <c r="CN407" t="s">
        <v>692</v>
      </c>
      <c r="CO407" s="1">
        <v>42325</v>
      </c>
      <c r="CP407" s="1">
        <v>43633</v>
      </c>
    </row>
    <row r="408" spans="1:94" x14ac:dyDescent="0.25">
      <c r="A408" t="s">
        <v>1374</v>
      </c>
      <c r="B408" t="str">
        <f xml:space="preserve"> "" &amp; 747396097398</f>
        <v>747396097398</v>
      </c>
      <c r="C408" t="s">
        <v>6596</v>
      </c>
      <c r="D408" t="s">
        <v>6597</v>
      </c>
      <c r="E408" t="s">
        <v>1354</v>
      </c>
      <c r="F408" t="s">
        <v>240</v>
      </c>
      <c r="G408">
        <v>1</v>
      </c>
      <c r="H408">
        <v>1</v>
      </c>
      <c r="I408" t="s">
        <v>97</v>
      </c>
      <c r="J408" s="10">
        <v>149</v>
      </c>
      <c r="K408" s="10">
        <v>447</v>
      </c>
      <c r="L408" s="10">
        <v>0</v>
      </c>
      <c r="N408" s="10">
        <v>0</v>
      </c>
      <c r="O408" t="s">
        <v>99</v>
      </c>
      <c r="P408" s="10">
        <v>314.95</v>
      </c>
      <c r="S408">
        <v>17.5</v>
      </c>
      <c r="T408">
        <v>15.5</v>
      </c>
      <c r="U408">
        <v>15.5</v>
      </c>
      <c r="W408">
        <v>7.78</v>
      </c>
      <c r="Y408">
        <v>15</v>
      </c>
      <c r="Z408">
        <v>15</v>
      </c>
      <c r="AA408">
        <v>15</v>
      </c>
      <c r="AB408">
        <v>1.9530000000000001</v>
      </c>
      <c r="AC408">
        <v>10.85</v>
      </c>
      <c r="AE408">
        <v>3</v>
      </c>
      <c r="AF408" t="s">
        <v>519</v>
      </c>
      <c r="AG408">
        <v>60</v>
      </c>
      <c r="AK408" t="s">
        <v>98</v>
      </c>
      <c r="AM408" t="s">
        <v>98</v>
      </c>
      <c r="AN408" t="s">
        <v>99</v>
      </c>
      <c r="AO408" t="s">
        <v>98</v>
      </c>
      <c r="AP408" t="s">
        <v>100</v>
      </c>
      <c r="AQ408" t="s">
        <v>101</v>
      </c>
      <c r="AV408" t="s">
        <v>98</v>
      </c>
      <c r="AX408" t="s">
        <v>484</v>
      </c>
      <c r="AZ408" t="s">
        <v>124</v>
      </c>
      <c r="BB408" t="s">
        <v>235</v>
      </c>
      <c r="BC408" t="s">
        <v>746</v>
      </c>
      <c r="BD408" t="s">
        <v>7528</v>
      </c>
      <c r="BF408" t="s">
        <v>1375</v>
      </c>
      <c r="BG408" t="s">
        <v>98</v>
      </c>
      <c r="BH408" t="s">
        <v>98</v>
      </c>
      <c r="BI408" t="s">
        <v>98</v>
      </c>
      <c r="BK408" t="s">
        <v>127</v>
      </c>
      <c r="BL408" t="s">
        <v>7528</v>
      </c>
      <c r="BQ408">
        <v>5.13</v>
      </c>
      <c r="BR408">
        <v>1</v>
      </c>
      <c r="BS408">
        <v>5.13</v>
      </c>
      <c r="BT408">
        <v>5.13</v>
      </c>
      <c r="CA408">
        <v>3297</v>
      </c>
      <c r="CB408" t="s">
        <v>484</v>
      </c>
      <c r="CL408" t="s">
        <v>99</v>
      </c>
      <c r="CM408" t="s">
        <v>99</v>
      </c>
      <c r="CN408" t="s">
        <v>442</v>
      </c>
      <c r="CO408" s="1">
        <v>42325</v>
      </c>
      <c r="CP408" s="1">
        <v>43633</v>
      </c>
    </row>
    <row r="409" spans="1:94" x14ac:dyDescent="0.25">
      <c r="A409" t="s">
        <v>1376</v>
      </c>
      <c r="B409" t="str">
        <f xml:space="preserve"> "" &amp; 747396097404</f>
        <v>747396097404</v>
      </c>
      <c r="C409" t="s">
        <v>6598</v>
      </c>
      <c r="D409" t="s">
        <v>6599</v>
      </c>
      <c r="E409" t="s">
        <v>1354</v>
      </c>
      <c r="F409" t="s">
        <v>240</v>
      </c>
      <c r="G409">
        <v>1</v>
      </c>
      <c r="H409">
        <v>1</v>
      </c>
      <c r="I409" t="s">
        <v>97</v>
      </c>
      <c r="J409" s="10">
        <v>199</v>
      </c>
      <c r="K409" s="10">
        <v>597</v>
      </c>
      <c r="L409" s="10">
        <v>0</v>
      </c>
      <c r="N409" s="10">
        <v>0</v>
      </c>
      <c r="O409" t="s">
        <v>99</v>
      </c>
      <c r="P409" s="10">
        <v>419.95</v>
      </c>
      <c r="S409">
        <v>30.25</v>
      </c>
      <c r="T409">
        <v>19.75</v>
      </c>
      <c r="U409">
        <v>19.75</v>
      </c>
      <c r="W409">
        <v>17.79</v>
      </c>
      <c r="Y409">
        <v>20.25</v>
      </c>
      <c r="Z409">
        <v>18.5</v>
      </c>
      <c r="AA409">
        <v>18.5</v>
      </c>
      <c r="AB409">
        <v>4.0110000000000001</v>
      </c>
      <c r="AC409">
        <v>23.7</v>
      </c>
      <c r="AE409">
        <v>4</v>
      </c>
      <c r="AF409" t="s">
        <v>519</v>
      </c>
      <c r="AG409">
        <v>60</v>
      </c>
      <c r="AK409" t="s">
        <v>98</v>
      </c>
      <c r="AM409" t="s">
        <v>98</v>
      </c>
      <c r="AN409" t="s">
        <v>99</v>
      </c>
      <c r="AO409" t="s">
        <v>98</v>
      </c>
      <c r="AP409" t="s">
        <v>100</v>
      </c>
      <c r="AQ409" t="s">
        <v>101</v>
      </c>
      <c r="AV409" t="s">
        <v>98</v>
      </c>
      <c r="AX409" t="s">
        <v>484</v>
      </c>
      <c r="AZ409" t="s">
        <v>124</v>
      </c>
      <c r="BB409" t="s">
        <v>235</v>
      </c>
      <c r="BC409" t="s">
        <v>746</v>
      </c>
      <c r="BD409" t="s">
        <v>7528</v>
      </c>
      <c r="BF409" t="s">
        <v>1377</v>
      </c>
      <c r="BG409" t="s">
        <v>98</v>
      </c>
      <c r="BH409" t="s">
        <v>98</v>
      </c>
      <c r="BI409" t="s">
        <v>98</v>
      </c>
      <c r="BK409" t="s">
        <v>127</v>
      </c>
      <c r="BL409" t="s">
        <v>7528</v>
      </c>
      <c r="BQ409">
        <v>5.13</v>
      </c>
      <c r="BR409">
        <v>1</v>
      </c>
      <c r="BS409">
        <v>5.13</v>
      </c>
      <c r="BT409">
        <v>5.13</v>
      </c>
      <c r="CA409">
        <v>3298</v>
      </c>
      <c r="CB409" t="s">
        <v>484</v>
      </c>
      <c r="CL409" t="s">
        <v>99</v>
      </c>
      <c r="CM409" t="s">
        <v>99</v>
      </c>
      <c r="CN409" t="s">
        <v>442</v>
      </c>
      <c r="CO409" s="1">
        <v>42325</v>
      </c>
      <c r="CP409" s="1">
        <v>43633</v>
      </c>
    </row>
    <row r="410" spans="1:94" x14ac:dyDescent="0.25">
      <c r="A410" t="s">
        <v>1378</v>
      </c>
      <c r="B410" t="str">
        <f xml:space="preserve"> "" &amp; 747396097411</f>
        <v>747396097411</v>
      </c>
      <c r="C410" t="s">
        <v>350</v>
      </c>
      <c r="D410" t="s">
        <v>1379</v>
      </c>
      <c r="E410" t="s">
        <v>1354</v>
      </c>
      <c r="F410" t="s">
        <v>249</v>
      </c>
      <c r="G410">
        <v>1</v>
      </c>
      <c r="H410">
        <v>1</v>
      </c>
      <c r="I410" t="s">
        <v>97</v>
      </c>
      <c r="J410" s="10">
        <v>289</v>
      </c>
      <c r="K410" s="10">
        <v>867</v>
      </c>
      <c r="L410" s="10">
        <v>0</v>
      </c>
      <c r="N410" s="10">
        <v>0</v>
      </c>
      <c r="O410" t="s">
        <v>99</v>
      </c>
      <c r="P410" s="10">
        <v>604.95000000000005</v>
      </c>
      <c r="S410">
        <v>29.5</v>
      </c>
      <c r="T410">
        <v>31.25</v>
      </c>
      <c r="U410">
        <v>31.25</v>
      </c>
      <c r="W410">
        <v>20.39</v>
      </c>
      <c r="Y410">
        <v>30.5</v>
      </c>
      <c r="Z410">
        <v>30.75</v>
      </c>
      <c r="AA410">
        <v>13.75</v>
      </c>
      <c r="AB410">
        <v>7.4630000000000001</v>
      </c>
      <c r="AC410">
        <v>30.47</v>
      </c>
      <c r="AE410">
        <v>9</v>
      </c>
      <c r="AF410" t="s">
        <v>282</v>
      </c>
      <c r="AG410">
        <v>100</v>
      </c>
      <c r="AK410" t="s">
        <v>98</v>
      </c>
      <c r="AL410">
        <v>9</v>
      </c>
      <c r="AM410" t="s">
        <v>98</v>
      </c>
      <c r="AN410" t="s">
        <v>99</v>
      </c>
      <c r="AO410" t="s">
        <v>98</v>
      </c>
      <c r="AP410" t="s">
        <v>100</v>
      </c>
      <c r="AQ410" t="s">
        <v>101</v>
      </c>
      <c r="AV410" t="s">
        <v>98</v>
      </c>
      <c r="AX410" t="s">
        <v>484</v>
      </c>
      <c r="AZ410" t="s">
        <v>124</v>
      </c>
      <c r="BB410" t="s">
        <v>235</v>
      </c>
      <c r="BC410" t="s">
        <v>460</v>
      </c>
      <c r="BD410" t="s">
        <v>7528</v>
      </c>
      <c r="BF410" t="s">
        <v>1380</v>
      </c>
      <c r="BG410" t="s">
        <v>98</v>
      </c>
      <c r="BH410" t="s">
        <v>98</v>
      </c>
      <c r="BI410" t="s">
        <v>98</v>
      </c>
      <c r="BK410" t="s">
        <v>110</v>
      </c>
      <c r="BL410" t="s">
        <v>7528</v>
      </c>
      <c r="BR410">
        <v>1</v>
      </c>
      <c r="BT410">
        <v>5.13</v>
      </c>
      <c r="CA410">
        <v>3299</v>
      </c>
      <c r="CB410" t="s">
        <v>484</v>
      </c>
      <c r="CL410" t="s">
        <v>99</v>
      </c>
      <c r="CM410" t="s">
        <v>99</v>
      </c>
      <c r="CN410" t="s">
        <v>442</v>
      </c>
      <c r="CO410" s="1">
        <v>42325</v>
      </c>
      <c r="CP410" s="1">
        <v>43633</v>
      </c>
    </row>
    <row r="411" spans="1:94" x14ac:dyDescent="0.25">
      <c r="A411" t="s">
        <v>1381</v>
      </c>
      <c r="B411" t="str">
        <f xml:space="preserve"> "" &amp; 747396097435</f>
        <v>747396097435</v>
      </c>
      <c r="C411" t="s">
        <v>239</v>
      </c>
      <c r="D411" t="s">
        <v>1382</v>
      </c>
      <c r="E411" t="s">
        <v>793</v>
      </c>
      <c r="F411" t="s">
        <v>240</v>
      </c>
      <c r="G411">
        <v>1</v>
      </c>
      <c r="H411">
        <v>1</v>
      </c>
      <c r="I411" t="s">
        <v>97</v>
      </c>
      <c r="J411" s="10">
        <v>59</v>
      </c>
      <c r="K411" s="10">
        <v>177</v>
      </c>
      <c r="L411" s="10">
        <v>0</v>
      </c>
      <c r="N411" s="10">
        <v>0</v>
      </c>
      <c r="O411" t="s">
        <v>99</v>
      </c>
      <c r="P411" s="10">
        <v>124.95</v>
      </c>
      <c r="S411">
        <v>9.25</v>
      </c>
      <c r="T411">
        <v>3.75</v>
      </c>
      <c r="U411">
        <v>3.75</v>
      </c>
      <c r="W411">
        <v>4.32</v>
      </c>
      <c r="Y411">
        <v>7.75</v>
      </c>
      <c r="Z411">
        <v>13.25</v>
      </c>
      <c r="AA411">
        <v>7.25</v>
      </c>
      <c r="AB411">
        <v>0.43099999999999999</v>
      </c>
      <c r="AC411">
        <v>5.1100000000000003</v>
      </c>
      <c r="AE411">
        <v>1</v>
      </c>
      <c r="AF411" t="s">
        <v>794</v>
      </c>
      <c r="AG411">
        <v>60</v>
      </c>
      <c r="AK411" t="s">
        <v>98</v>
      </c>
      <c r="AM411" t="s">
        <v>98</v>
      </c>
      <c r="AN411" t="s">
        <v>99</v>
      </c>
      <c r="AO411" t="s">
        <v>98</v>
      </c>
      <c r="AP411" t="s">
        <v>100</v>
      </c>
      <c r="AQ411" t="s">
        <v>101</v>
      </c>
      <c r="AV411" t="s">
        <v>98</v>
      </c>
      <c r="AX411" t="s">
        <v>279</v>
      </c>
      <c r="AZ411" t="s">
        <v>102</v>
      </c>
      <c r="BB411" t="s">
        <v>235</v>
      </c>
      <c r="BC411" t="s">
        <v>746</v>
      </c>
      <c r="BD411" t="s">
        <v>7528</v>
      </c>
      <c r="BF411" t="s">
        <v>1383</v>
      </c>
      <c r="BG411" t="s">
        <v>98</v>
      </c>
      <c r="BH411" t="s">
        <v>98</v>
      </c>
      <c r="BI411" t="s">
        <v>98</v>
      </c>
      <c r="BK411" t="s">
        <v>110</v>
      </c>
      <c r="BL411" t="s">
        <v>7528</v>
      </c>
      <c r="BQ411">
        <v>5.5</v>
      </c>
      <c r="BR411">
        <v>1.1299999999999999</v>
      </c>
      <c r="BS411">
        <v>5.5</v>
      </c>
      <c r="BT411">
        <v>5.5</v>
      </c>
      <c r="CA411">
        <v>3301</v>
      </c>
      <c r="CB411" t="s">
        <v>279</v>
      </c>
      <c r="CL411" t="s">
        <v>99</v>
      </c>
      <c r="CM411" t="s">
        <v>99</v>
      </c>
      <c r="CN411" t="s">
        <v>442</v>
      </c>
      <c r="CO411" s="1">
        <v>42324</v>
      </c>
      <c r="CP411" s="1">
        <v>43633</v>
      </c>
    </row>
    <row r="412" spans="1:94" x14ac:dyDescent="0.25">
      <c r="A412" t="s">
        <v>1384</v>
      </c>
      <c r="B412" t="str">
        <f xml:space="preserve"> "" &amp; 747396097442</f>
        <v>747396097442</v>
      </c>
      <c r="C412" t="s">
        <v>1281</v>
      </c>
      <c r="D412" t="s">
        <v>1385</v>
      </c>
      <c r="E412" t="s">
        <v>793</v>
      </c>
      <c r="F412" t="s">
        <v>249</v>
      </c>
      <c r="G412">
        <v>1</v>
      </c>
      <c r="H412">
        <v>1</v>
      </c>
      <c r="I412" t="s">
        <v>97</v>
      </c>
      <c r="J412" s="10">
        <v>159</v>
      </c>
      <c r="K412" s="10">
        <v>477</v>
      </c>
      <c r="L412" s="10">
        <v>0</v>
      </c>
      <c r="N412" s="10">
        <v>0</v>
      </c>
      <c r="O412" t="s">
        <v>99</v>
      </c>
      <c r="P412" s="10">
        <v>334.95</v>
      </c>
      <c r="S412">
        <v>23.75</v>
      </c>
      <c r="T412">
        <v>21</v>
      </c>
      <c r="U412">
        <v>21</v>
      </c>
      <c r="W412">
        <v>17.53</v>
      </c>
      <c r="Y412">
        <v>8.25</v>
      </c>
      <c r="Z412">
        <v>18</v>
      </c>
      <c r="AA412">
        <v>18</v>
      </c>
      <c r="AB412">
        <v>1.5469999999999999</v>
      </c>
      <c r="AC412">
        <v>19.690000000000001</v>
      </c>
      <c r="AE412">
        <v>4</v>
      </c>
      <c r="AF412" t="s">
        <v>794</v>
      </c>
      <c r="AG412">
        <v>60</v>
      </c>
      <c r="AK412" t="s">
        <v>98</v>
      </c>
      <c r="AL412">
        <v>4</v>
      </c>
      <c r="AM412" t="s">
        <v>98</v>
      </c>
      <c r="AN412" t="s">
        <v>99</v>
      </c>
      <c r="AO412" t="s">
        <v>98</v>
      </c>
      <c r="AP412" t="s">
        <v>100</v>
      </c>
      <c r="AQ412" t="s">
        <v>101</v>
      </c>
      <c r="AV412" t="s">
        <v>98</v>
      </c>
      <c r="AX412" t="s">
        <v>279</v>
      </c>
      <c r="AZ412" t="s">
        <v>102</v>
      </c>
      <c r="BB412" t="s">
        <v>235</v>
      </c>
      <c r="BC412" t="s">
        <v>746</v>
      </c>
      <c r="BD412" t="s">
        <v>7528</v>
      </c>
      <c r="BF412" t="s">
        <v>1386</v>
      </c>
      <c r="BG412" t="s">
        <v>98</v>
      </c>
      <c r="BH412" t="s">
        <v>98</v>
      </c>
      <c r="BI412" t="s">
        <v>98</v>
      </c>
      <c r="BK412" t="s">
        <v>110</v>
      </c>
      <c r="BL412" t="s">
        <v>7528</v>
      </c>
      <c r="BQ412">
        <v>5.5</v>
      </c>
      <c r="BR412">
        <v>1.1299999999999999</v>
      </c>
      <c r="BS412">
        <v>5.5</v>
      </c>
      <c r="BT412">
        <v>5.5</v>
      </c>
      <c r="CA412">
        <v>3304</v>
      </c>
      <c r="CB412" t="s">
        <v>279</v>
      </c>
      <c r="CL412" t="s">
        <v>99</v>
      </c>
      <c r="CM412" t="s">
        <v>99</v>
      </c>
      <c r="CN412" t="s">
        <v>442</v>
      </c>
      <c r="CO412" s="1">
        <v>42324</v>
      </c>
      <c r="CP412" s="1">
        <v>43633</v>
      </c>
    </row>
    <row r="413" spans="1:94" x14ac:dyDescent="0.25">
      <c r="A413" t="s">
        <v>1387</v>
      </c>
      <c r="B413" t="str">
        <f xml:space="preserve"> "" &amp; 747396096957</f>
        <v>747396096957</v>
      </c>
      <c r="C413" t="s">
        <v>343</v>
      </c>
      <c r="D413" t="s">
        <v>1388</v>
      </c>
      <c r="E413" t="s">
        <v>793</v>
      </c>
      <c r="F413" t="s">
        <v>249</v>
      </c>
      <c r="G413">
        <v>1</v>
      </c>
      <c r="H413">
        <v>1</v>
      </c>
      <c r="I413" t="s">
        <v>97</v>
      </c>
      <c r="J413" s="10">
        <v>214</v>
      </c>
      <c r="K413" s="10">
        <v>642</v>
      </c>
      <c r="L413" s="10">
        <v>0</v>
      </c>
      <c r="N413" s="10">
        <v>0</v>
      </c>
      <c r="O413" t="s">
        <v>99</v>
      </c>
      <c r="P413" s="10">
        <v>449.95</v>
      </c>
      <c r="S413">
        <v>26.5</v>
      </c>
      <c r="T413">
        <v>26.5</v>
      </c>
      <c r="U413">
        <v>26.5</v>
      </c>
      <c r="W413">
        <v>23.15</v>
      </c>
      <c r="Y413">
        <v>6.5</v>
      </c>
      <c r="Z413">
        <v>27.5</v>
      </c>
      <c r="AA413">
        <v>26.25</v>
      </c>
      <c r="AB413">
        <v>2.7149999999999999</v>
      </c>
      <c r="AC413">
        <v>27.73</v>
      </c>
      <c r="AE413">
        <v>5</v>
      </c>
      <c r="AF413" t="s">
        <v>794</v>
      </c>
      <c r="AG413">
        <v>60</v>
      </c>
      <c r="AK413" t="s">
        <v>98</v>
      </c>
      <c r="AL413">
        <v>5</v>
      </c>
      <c r="AM413" t="s">
        <v>98</v>
      </c>
      <c r="AN413" t="s">
        <v>99</v>
      </c>
      <c r="AO413" t="s">
        <v>98</v>
      </c>
      <c r="AP413" t="s">
        <v>100</v>
      </c>
      <c r="AQ413" t="s">
        <v>101</v>
      </c>
      <c r="AV413" t="s">
        <v>98</v>
      </c>
      <c r="AX413" t="s">
        <v>279</v>
      </c>
      <c r="AZ413" t="s">
        <v>102</v>
      </c>
      <c r="BB413" t="s">
        <v>235</v>
      </c>
      <c r="BC413" t="s">
        <v>746</v>
      </c>
      <c r="BD413" t="s">
        <v>7528</v>
      </c>
      <c r="BF413" t="s">
        <v>1389</v>
      </c>
      <c r="BG413" t="s">
        <v>98</v>
      </c>
      <c r="BH413" t="s">
        <v>98</v>
      </c>
      <c r="BI413" t="s">
        <v>98</v>
      </c>
      <c r="BK413" t="s">
        <v>110</v>
      </c>
      <c r="BL413" t="s">
        <v>7528</v>
      </c>
      <c r="BQ413">
        <v>5.5</v>
      </c>
      <c r="BR413">
        <v>1.1299999999999999</v>
      </c>
      <c r="BS413">
        <v>5.5</v>
      </c>
      <c r="BT413">
        <v>5.5</v>
      </c>
      <c r="CA413">
        <v>3305</v>
      </c>
      <c r="CB413" t="s">
        <v>279</v>
      </c>
      <c r="CL413" t="s">
        <v>99</v>
      </c>
      <c r="CM413" t="s">
        <v>98</v>
      </c>
      <c r="CN413" t="s">
        <v>442</v>
      </c>
      <c r="CO413" s="1">
        <v>42324</v>
      </c>
      <c r="CP413" s="1">
        <v>43633</v>
      </c>
    </row>
    <row r="414" spans="1:94" x14ac:dyDescent="0.25">
      <c r="A414" t="s">
        <v>1390</v>
      </c>
      <c r="B414" t="str">
        <f xml:space="preserve"> "" &amp; 747396097459</f>
        <v>747396097459</v>
      </c>
      <c r="C414" t="s">
        <v>1391</v>
      </c>
      <c r="D414" t="s">
        <v>1392</v>
      </c>
      <c r="E414" t="s">
        <v>793</v>
      </c>
      <c r="F414" t="s">
        <v>314</v>
      </c>
      <c r="G414">
        <v>1</v>
      </c>
      <c r="H414">
        <v>1</v>
      </c>
      <c r="I414" t="s">
        <v>97</v>
      </c>
      <c r="J414" s="10">
        <v>214</v>
      </c>
      <c r="K414" s="10">
        <v>642</v>
      </c>
      <c r="L414" s="10">
        <v>0</v>
      </c>
      <c r="N414" s="10">
        <v>0</v>
      </c>
      <c r="O414" t="s">
        <v>99</v>
      </c>
      <c r="P414" s="10">
        <v>449.95</v>
      </c>
      <c r="S414">
        <v>28.5</v>
      </c>
      <c r="T414">
        <v>39</v>
      </c>
      <c r="V414">
        <v>5</v>
      </c>
      <c r="W414">
        <v>24.18</v>
      </c>
      <c r="Y414">
        <v>10.75</v>
      </c>
      <c r="Z414">
        <v>42</v>
      </c>
      <c r="AA414">
        <v>11.38</v>
      </c>
      <c r="AB414">
        <v>2.9729999999999999</v>
      </c>
      <c r="AC414">
        <v>28.97</v>
      </c>
      <c r="AE414">
        <v>5</v>
      </c>
      <c r="AF414" t="s">
        <v>794</v>
      </c>
      <c r="AG414">
        <v>60</v>
      </c>
      <c r="AK414" t="s">
        <v>98</v>
      </c>
      <c r="AM414" t="s">
        <v>98</v>
      </c>
      <c r="AN414" t="s">
        <v>99</v>
      </c>
      <c r="AO414" t="s">
        <v>98</v>
      </c>
      <c r="AP414" t="s">
        <v>100</v>
      </c>
      <c r="AQ414" t="s">
        <v>101</v>
      </c>
      <c r="AV414" t="s">
        <v>98</v>
      </c>
      <c r="AX414" t="s">
        <v>279</v>
      </c>
      <c r="AZ414" t="s">
        <v>102</v>
      </c>
      <c r="BB414" t="s">
        <v>235</v>
      </c>
      <c r="BC414" t="s">
        <v>746</v>
      </c>
      <c r="BD414" t="s">
        <v>7528</v>
      </c>
      <c r="BF414" t="s">
        <v>1393</v>
      </c>
      <c r="BG414" t="s">
        <v>98</v>
      </c>
      <c r="BH414" t="s">
        <v>98</v>
      </c>
      <c r="BI414" t="s">
        <v>98</v>
      </c>
      <c r="BK414" t="s">
        <v>110</v>
      </c>
      <c r="BL414" t="s">
        <v>7528</v>
      </c>
      <c r="BR414">
        <v>0.88</v>
      </c>
      <c r="BS414">
        <v>10.5</v>
      </c>
      <c r="BT414">
        <v>10.5</v>
      </c>
      <c r="CA414">
        <v>3306</v>
      </c>
      <c r="CB414" t="s">
        <v>279</v>
      </c>
      <c r="CL414" t="s">
        <v>99</v>
      </c>
      <c r="CM414" t="s">
        <v>98</v>
      </c>
      <c r="CN414" t="s">
        <v>442</v>
      </c>
      <c r="CO414" s="1">
        <v>42324</v>
      </c>
      <c r="CP414" s="1">
        <v>43633</v>
      </c>
    </row>
    <row r="415" spans="1:94" x14ac:dyDescent="0.25">
      <c r="A415" t="s">
        <v>1394</v>
      </c>
      <c r="B415" t="str">
        <f xml:space="preserve"> "" &amp; 747396096933</f>
        <v>747396096933</v>
      </c>
      <c r="C415" t="s">
        <v>1395</v>
      </c>
      <c r="D415" t="s">
        <v>1396</v>
      </c>
      <c r="E415" t="s">
        <v>793</v>
      </c>
      <c r="F415" t="s">
        <v>377</v>
      </c>
      <c r="G415">
        <v>1</v>
      </c>
      <c r="H415">
        <v>1</v>
      </c>
      <c r="I415" t="s">
        <v>97</v>
      </c>
      <c r="J415" s="10">
        <v>99</v>
      </c>
      <c r="K415" s="10">
        <v>297</v>
      </c>
      <c r="L415" s="10">
        <v>0</v>
      </c>
      <c r="N415" s="10">
        <v>0</v>
      </c>
      <c r="O415" t="s">
        <v>99</v>
      </c>
      <c r="P415" s="10">
        <v>209.95</v>
      </c>
      <c r="S415">
        <v>12.5</v>
      </c>
      <c r="T415">
        <v>16.5</v>
      </c>
      <c r="U415">
        <v>16.5</v>
      </c>
      <c r="W415">
        <v>8.0500000000000007</v>
      </c>
      <c r="Y415">
        <v>11.13</v>
      </c>
      <c r="Z415">
        <v>19</v>
      </c>
      <c r="AA415">
        <v>19</v>
      </c>
      <c r="AB415">
        <v>2.3250000000000002</v>
      </c>
      <c r="AC415">
        <v>12.06</v>
      </c>
      <c r="AE415">
        <v>3</v>
      </c>
      <c r="AF415" t="s">
        <v>282</v>
      </c>
      <c r="AG415">
        <v>60</v>
      </c>
      <c r="AK415" t="s">
        <v>98</v>
      </c>
      <c r="AM415" t="s">
        <v>98</v>
      </c>
      <c r="AN415" t="s">
        <v>99</v>
      </c>
      <c r="AO415" t="s">
        <v>98</v>
      </c>
      <c r="AP415" t="s">
        <v>100</v>
      </c>
      <c r="AQ415" t="s">
        <v>101</v>
      </c>
      <c r="AV415" t="s">
        <v>98</v>
      </c>
      <c r="AX415" t="s">
        <v>279</v>
      </c>
      <c r="AZ415" t="s">
        <v>102</v>
      </c>
      <c r="BB415" t="s">
        <v>197</v>
      </c>
      <c r="BC415" t="s">
        <v>285</v>
      </c>
      <c r="BD415" t="s">
        <v>7528</v>
      </c>
      <c r="BF415" t="s">
        <v>1397</v>
      </c>
      <c r="BG415" t="s">
        <v>98</v>
      </c>
      <c r="BH415" t="s">
        <v>98</v>
      </c>
      <c r="BI415" t="s">
        <v>98</v>
      </c>
      <c r="BK415" t="s">
        <v>127</v>
      </c>
      <c r="BL415" t="s">
        <v>7528</v>
      </c>
      <c r="BQ415">
        <v>5</v>
      </c>
      <c r="BR415">
        <v>0.75</v>
      </c>
      <c r="BS415">
        <v>5</v>
      </c>
      <c r="BT415">
        <v>5</v>
      </c>
      <c r="CA415">
        <v>3307</v>
      </c>
      <c r="CB415" t="s">
        <v>279</v>
      </c>
      <c r="CL415" t="s">
        <v>99</v>
      </c>
      <c r="CM415" t="s">
        <v>98</v>
      </c>
      <c r="CN415" t="s">
        <v>1398</v>
      </c>
      <c r="CO415" s="1">
        <v>42324</v>
      </c>
      <c r="CP415" s="1">
        <v>43633</v>
      </c>
    </row>
    <row r="416" spans="1:94" x14ac:dyDescent="0.25">
      <c r="A416" t="s">
        <v>1399</v>
      </c>
      <c r="B416" t="str">
        <f xml:space="preserve"> "" &amp; 747396096940</f>
        <v>747396096940</v>
      </c>
      <c r="C416" t="s">
        <v>1400</v>
      </c>
      <c r="D416" t="s">
        <v>1401</v>
      </c>
      <c r="E416" t="s">
        <v>793</v>
      </c>
      <c r="F416" t="s">
        <v>240</v>
      </c>
      <c r="G416">
        <v>1</v>
      </c>
      <c r="H416">
        <v>1</v>
      </c>
      <c r="I416" t="s">
        <v>97</v>
      </c>
      <c r="J416" s="10">
        <v>145</v>
      </c>
      <c r="K416" s="10">
        <v>435</v>
      </c>
      <c r="L416" s="10">
        <v>0</v>
      </c>
      <c r="N416" s="10">
        <v>0</v>
      </c>
      <c r="O416" t="s">
        <v>99</v>
      </c>
      <c r="P416" s="10">
        <v>304.95</v>
      </c>
      <c r="S416">
        <v>20</v>
      </c>
      <c r="T416">
        <v>20</v>
      </c>
      <c r="U416">
        <v>20</v>
      </c>
      <c r="W416">
        <v>12.1</v>
      </c>
      <c r="Y416">
        <v>12</v>
      </c>
      <c r="Z416">
        <v>22.5</v>
      </c>
      <c r="AA416">
        <v>22.5</v>
      </c>
      <c r="AB416">
        <v>3.516</v>
      </c>
      <c r="AC416">
        <v>17.350000000000001</v>
      </c>
      <c r="AE416">
        <v>3</v>
      </c>
      <c r="AF416" t="s">
        <v>282</v>
      </c>
      <c r="AG416">
        <v>100</v>
      </c>
      <c r="AK416" t="s">
        <v>98</v>
      </c>
      <c r="AM416" t="s">
        <v>98</v>
      </c>
      <c r="AN416" t="s">
        <v>99</v>
      </c>
      <c r="AO416" t="s">
        <v>98</v>
      </c>
      <c r="AP416" t="s">
        <v>100</v>
      </c>
      <c r="AQ416" t="s">
        <v>101</v>
      </c>
      <c r="AV416" t="s">
        <v>98</v>
      </c>
      <c r="AX416" t="s">
        <v>279</v>
      </c>
      <c r="AZ416" t="s">
        <v>102</v>
      </c>
      <c r="BB416" t="s">
        <v>197</v>
      </c>
      <c r="BC416" t="s">
        <v>285</v>
      </c>
      <c r="BD416" t="s">
        <v>7528</v>
      </c>
      <c r="BF416" t="s">
        <v>1402</v>
      </c>
      <c r="BG416" t="s">
        <v>98</v>
      </c>
      <c r="BH416" t="s">
        <v>98</v>
      </c>
      <c r="BI416" t="s">
        <v>98</v>
      </c>
      <c r="BK416" t="s">
        <v>110</v>
      </c>
      <c r="BL416" t="s">
        <v>7528</v>
      </c>
      <c r="BQ416">
        <v>5.5</v>
      </c>
      <c r="BR416">
        <v>1.1299999999999999</v>
      </c>
      <c r="BS416">
        <v>5.5</v>
      </c>
      <c r="BT416">
        <v>5.5</v>
      </c>
      <c r="CA416">
        <v>3308</v>
      </c>
      <c r="CB416" t="s">
        <v>279</v>
      </c>
      <c r="CL416" t="s">
        <v>99</v>
      </c>
      <c r="CM416" t="s">
        <v>99</v>
      </c>
      <c r="CN416" t="s">
        <v>1403</v>
      </c>
      <c r="CO416" s="1">
        <v>42324</v>
      </c>
      <c r="CP416" s="1">
        <v>43633</v>
      </c>
    </row>
    <row r="417" spans="1:94" x14ac:dyDescent="0.25">
      <c r="A417" t="s">
        <v>1404</v>
      </c>
      <c r="B417" t="str">
        <f xml:space="preserve"> "" &amp; 747396097466</f>
        <v>747396097466</v>
      </c>
      <c r="C417" t="s">
        <v>751</v>
      </c>
      <c r="D417" t="s">
        <v>1405</v>
      </c>
      <c r="E417" t="s">
        <v>1406</v>
      </c>
      <c r="F417" t="s">
        <v>323</v>
      </c>
      <c r="G417">
        <v>1</v>
      </c>
      <c r="H417">
        <v>1</v>
      </c>
      <c r="I417" t="s">
        <v>97</v>
      </c>
      <c r="J417" s="10">
        <v>42</v>
      </c>
      <c r="K417" s="10">
        <v>126</v>
      </c>
      <c r="L417" s="10">
        <v>0</v>
      </c>
      <c r="N417" s="10">
        <v>0</v>
      </c>
      <c r="O417" t="s">
        <v>99</v>
      </c>
      <c r="P417" s="10">
        <v>89.95</v>
      </c>
      <c r="S417">
        <v>9.25</v>
      </c>
      <c r="U417">
        <v>5.5</v>
      </c>
      <c r="V417">
        <v>7.25</v>
      </c>
      <c r="W417">
        <v>1.68</v>
      </c>
      <c r="Y417">
        <v>7.5</v>
      </c>
      <c r="Z417">
        <v>13.75</v>
      </c>
      <c r="AA417">
        <v>9.5</v>
      </c>
      <c r="AB417">
        <v>0.56699999999999995</v>
      </c>
      <c r="AC417">
        <v>2.4300000000000002</v>
      </c>
      <c r="AE417">
        <v>1</v>
      </c>
      <c r="AF417" t="s">
        <v>282</v>
      </c>
      <c r="AG417">
        <v>100</v>
      </c>
      <c r="AK417" t="s">
        <v>98</v>
      </c>
      <c r="AM417" t="s">
        <v>98</v>
      </c>
      <c r="AN417" t="s">
        <v>98</v>
      </c>
      <c r="AO417" t="s">
        <v>99</v>
      </c>
      <c r="AP417" t="s">
        <v>100</v>
      </c>
      <c r="AQ417" t="s">
        <v>101</v>
      </c>
      <c r="AV417" t="s">
        <v>98</v>
      </c>
      <c r="AX417" t="s">
        <v>279</v>
      </c>
      <c r="AZ417" t="s">
        <v>124</v>
      </c>
      <c r="BB417" t="s">
        <v>235</v>
      </c>
      <c r="BC417" t="s">
        <v>460</v>
      </c>
      <c r="BD417" t="s">
        <v>7528</v>
      </c>
      <c r="BF417" t="s">
        <v>1407</v>
      </c>
      <c r="BG417" t="s">
        <v>98</v>
      </c>
      <c r="BH417" t="s">
        <v>98</v>
      </c>
      <c r="BI417" t="s">
        <v>98</v>
      </c>
      <c r="BK417" t="s">
        <v>127</v>
      </c>
      <c r="BL417" t="s">
        <v>756</v>
      </c>
      <c r="BR417">
        <v>8.5</v>
      </c>
      <c r="BT417">
        <v>5</v>
      </c>
      <c r="CA417">
        <v>3321</v>
      </c>
      <c r="CB417" t="s">
        <v>279</v>
      </c>
      <c r="CL417" t="s">
        <v>99</v>
      </c>
      <c r="CM417" t="s">
        <v>98</v>
      </c>
      <c r="CN417" t="s">
        <v>442</v>
      </c>
      <c r="CO417" s="1">
        <v>42324</v>
      </c>
      <c r="CP417" s="1">
        <v>43633</v>
      </c>
    </row>
    <row r="418" spans="1:94" x14ac:dyDescent="0.25">
      <c r="A418" t="s">
        <v>1408</v>
      </c>
      <c r="B418" t="str">
        <f xml:space="preserve"> "" &amp; 747396097473</f>
        <v>747396097473</v>
      </c>
      <c r="C418" t="s">
        <v>758</v>
      </c>
      <c r="D418" t="s">
        <v>1409</v>
      </c>
      <c r="E418" t="s">
        <v>1406</v>
      </c>
      <c r="F418" t="s">
        <v>323</v>
      </c>
      <c r="G418">
        <v>1</v>
      </c>
      <c r="H418">
        <v>1</v>
      </c>
      <c r="I418" t="s">
        <v>97</v>
      </c>
      <c r="J418" s="10">
        <v>56</v>
      </c>
      <c r="K418" s="10">
        <v>168</v>
      </c>
      <c r="L418" s="10">
        <v>0</v>
      </c>
      <c r="N418" s="10">
        <v>0</v>
      </c>
      <c r="O418" t="s">
        <v>99</v>
      </c>
      <c r="P418" s="10">
        <v>114.95</v>
      </c>
      <c r="S418">
        <v>8.25</v>
      </c>
      <c r="U418">
        <v>18</v>
      </c>
      <c r="V418">
        <v>7</v>
      </c>
      <c r="W418">
        <v>2.95</v>
      </c>
      <c r="Y418">
        <v>9</v>
      </c>
      <c r="Z418">
        <v>23.25</v>
      </c>
      <c r="AA418">
        <v>11.25</v>
      </c>
      <c r="AB418">
        <v>1.3620000000000001</v>
      </c>
      <c r="AC418">
        <v>4.9400000000000004</v>
      </c>
      <c r="AE418">
        <v>2</v>
      </c>
      <c r="AF418" t="s">
        <v>282</v>
      </c>
      <c r="AG418">
        <v>100</v>
      </c>
      <c r="AK418" t="s">
        <v>98</v>
      </c>
      <c r="AM418" t="s">
        <v>98</v>
      </c>
      <c r="AN418" t="s">
        <v>98</v>
      </c>
      <c r="AO418" t="s">
        <v>99</v>
      </c>
      <c r="AP418" t="s">
        <v>100</v>
      </c>
      <c r="AQ418" t="s">
        <v>101</v>
      </c>
      <c r="AV418" t="s">
        <v>98</v>
      </c>
      <c r="AX418" t="s">
        <v>279</v>
      </c>
      <c r="AZ418" t="s">
        <v>124</v>
      </c>
      <c r="BB418" t="s">
        <v>235</v>
      </c>
      <c r="BC418" t="s">
        <v>460</v>
      </c>
      <c r="BD418" t="s">
        <v>7528</v>
      </c>
      <c r="BF418" t="s">
        <v>1410</v>
      </c>
      <c r="BG418" t="s">
        <v>98</v>
      </c>
      <c r="BH418" t="s">
        <v>98</v>
      </c>
      <c r="BI418" t="s">
        <v>98</v>
      </c>
      <c r="BK418" t="s">
        <v>127</v>
      </c>
      <c r="BL418" t="s">
        <v>756</v>
      </c>
      <c r="BR418">
        <v>5</v>
      </c>
      <c r="BT418">
        <v>8.5</v>
      </c>
      <c r="CA418">
        <v>3322</v>
      </c>
      <c r="CB418" t="s">
        <v>279</v>
      </c>
      <c r="CL418" t="s">
        <v>99</v>
      </c>
      <c r="CM418" t="s">
        <v>98</v>
      </c>
      <c r="CN418" t="s">
        <v>442</v>
      </c>
      <c r="CO418" s="1">
        <v>42324</v>
      </c>
      <c r="CP418" s="1">
        <v>43633</v>
      </c>
    </row>
    <row r="419" spans="1:94" x14ac:dyDescent="0.25">
      <c r="A419" t="s">
        <v>1411</v>
      </c>
      <c r="B419" t="str">
        <f xml:space="preserve"> "" &amp; 747396097480</f>
        <v>747396097480</v>
      </c>
      <c r="C419" t="s">
        <v>762</v>
      </c>
      <c r="D419" t="s">
        <v>1412</v>
      </c>
      <c r="E419" t="s">
        <v>1406</v>
      </c>
      <c r="F419" t="s">
        <v>323</v>
      </c>
      <c r="G419">
        <v>1</v>
      </c>
      <c r="H419">
        <v>1</v>
      </c>
      <c r="I419" t="s">
        <v>97</v>
      </c>
      <c r="J419" s="10">
        <v>66</v>
      </c>
      <c r="K419" s="10">
        <v>198</v>
      </c>
      <c r="L419" s="10">
        <v>0</v>
      </c>
      <c r="N419" s="10">
        <v>0</v>
      </c>
      <c r="O419" t="s">
        <v>99</v>
      </c>
      <c r="P419" s="10">
        <v>134.94999999999999</v>
      </c>
      <c r="S419">
        <v>8.25</v>
      </c>
      <c r="U419">
        <v>22.75</v>
      </c>
      <c r="V419">
        <v>8.25</v>
      </c>
      <c r="W419">
        <v>4.12</v>
      </c>
      <c r="Y419">
        <v>8.6300000000000008</v>
      </c>
      <c r="Z419">
        <v>28</v>
      </c>
      <c r="AA419">
        <v>11</v>
      </c>
      <c r="AB419">
        <v>1.538</v>
      </c>
      <c r="AC419">
        <v>5.89</v>
      </c>
      <c r="AE419">
        <v>3</v>
      </c>
      <c r="AF419" t="s">
        <v>282</v>
      </c>
      <c r="AG419">
        <v>100</v>
      </c>
      <c r="AK419" t="s">
        <v>98</v>
      </c>
      <c r="AM419" t="s">
        <v>98</v>
      </c>
      <c r="AN419" t="s">
        <v>98</v>
      </c>
      <c r="AO419" t="s">
        <v>99</v>
      </c>
      <c r="AP419" t="s">
        <v>100</v>
      </c>
      <c r="AQ419" t="s">
        <v>101</v>
      </c>
      <c r="AV419" t="s">
        <v>98</v>
      </c>
      <c r="AX419" t="s">
        <v>279</v>
      </c>
      <c r="AZ419" t="s">
        <v>124</v>
      </c>
      <c r="BB419" t="s">
        <v>235</v>
      </c>
      <c r="BC419" t="s">
        <v>460</v>
      </c>
      <c r="BD419" t="s">
        <v>7528</v>
      </c>
      <c r="BF419" t="s">
        <v>1413</v>
      </c>
      <c r="BG419" t="s">
        <v>98</v>
      </c>
      <c r="BH419" t="s">
        <v>98</v>
      </c>
      <c r="BI419" t="s">
        <v>98</v>
      </c>
      <c r="BK419" t="s">
        <v>127</v>
      </c>
      <c r="BL419" t="s">
        <v>756</v>
      </c>
      <c r="BR419">
        <v>5</v>
      </c>
      <c r="BT419">
        <v>8.5</v>
      </c>
      <c r="CA419">
        <v>3323</v>
      </c>
      <c r="CB419" t="s">
        <v>279</v>
      </c>
      <c r="CL419" t="s">
        <v>99</v>
      </c>
      <c r="CM419" t="s">
        <v>98</v>
      </c>
      <c r="CN419" t="s">
        <v>442</v>
      </c>
      <c r="CO419" s="1">
        <v>42324</v>
      </c>
      <c r="CP419" s="1">
        <v>43633</v>
      </c>
    </row>
    <row r="420" spans="1:94" x14ac:dyDescent="0.25">
      <c r="A420" t="s">
        <v>1414</v>
      </c>
      <c r="B420" t="str">
        <f xml:space="preserve"> "" &amp; 747396097497</f>
        <v>747396097497</v>
      </c>
      <c r="C420" t="s">
        <v>766</v>
      </c>
      <c r="D420" t="s">
        <v>1415</v>
      </c>
      <c r="E420" t="s">
        <v>1406</v>
      </c>
      <c r="F420" t="s">
        <v>323</v>
      </c>
      <c r="G420">
        <v>1</v>
      </c>
      <c r="H420">
        <v>1</v>
      </c>
      <c r="I420" t="s">
        <v>97</v>
      </c>
      <c r="J420" s="10">
        <v>96</v>
      </c>
      <c r="K420" s="10">
        <v>288</v>
      </c>
      <c r="L420" s="10">
        <v>0</v>
      </c>
      <c r="N420" s="10">
        <v>0</v>
      </c>
      <c r="O420" t="s">
        <v>99</v>
      </c>
      <c r="P420" s="10">
        <v>194.95</v>
      </c>
      <c r="S420">
        <v>8.25</v>
      </c>
      <c r="U420">
        <v>31</v>
      </c>
      <c r="V420">
        <v>8.25</v>
      </c>
      <c r="W420">
        <v>5.75</v>
      </c>
      <c r="Y420">
        <v>9</v>
      </c>
      <c r="Z420">
        <v>36</v>
      </c>
      <c r="AA420">
        <v>12.63</v>
      </c>
      <c r="AB420">
        <v>2.3679999999999999</v>
      </c>
      <c r="AC420">
        <v>7.96</v>
      </c>
      <c r="AE420">
        <v>4</v>
      </c>
      <c r="AF420" t="s">
        <v>282</v>
      </c>
      <c r="AG420">
        <v>100</v>
      </c>
      <c r="AK420" t="s">
        <v>98</v>
      </c>
      <c r="AM420" t="s">
        <v>98</v>
      </c>
      <c r="AN420" t="s">
        <v>98</v>
      </c>
      <c r="AO420" t="s">
        <v>99</v>
      </c>
      <c r="AP420" t="s">
        <v>100</v>
      </c>
      <c r="AQ420" t="s">
        <v>101</v>
      </c>
      <c r="AV420" t="s">
        <v>98</v>
      </c>
      <c r="AX420" t="s">
        <v>279</v>
      </c>
      <c r="AZ420" t="s">
        <v>124</v>
      </c>
      <c r="BB420" t="s">
        <v>235</v>
      </c>
      <c r="BC420" t="s">
        <v>746</v>
      </c>
      <c r="BD420" t="s">
        <v>7528</v>
      </c>
      <c r="BF420" t="s">
        <v>1416</v>
      </c>
      <c r="BG420" t="s">
        <v>98</v>
      </c>
      <c r="BH420" t="s">
        <v>98</v>
      </c>
      <c r="BI420" t="s">
        <v>98</v>
      </c>
      <c r="BK420" t="s">
        <v>127</v>
      </c>
      <c r="BL420" t="s">
        <v>756</v>
      </c>
      <c r="BR420">
        <v>5</v>
      </c>
      <c r="BT420">
        <v>8.5</v>
      </c>
      <c r="CA420">
        <v>3324</v>
      </c>
      <c r="CB420" t="s">
        <v>279</v>
      </c>
      <c r="CL420" t="s">
        <v>99</v>
      </c>
      <c r="CM420" t="s">
        <v>98</v>
      </c>
      <c r="CN420" t="s">
        <v>442</v>
      </c>
      <c r="CO420" s="1">
        <v>42324</v>
      </c>
      <c r="CP420" s="1">
        <v>43633</v>
      </c>
    </row>
    <row r="421" spans="1:94" x14ac:dyDescent="0.25">
      <c r="A421" t="s">
        <v>1420</v>
      </c>
      <c r="B421" t="str">
        <f xml:space="preserve"> "" &amp; 747396097602</f>
        <v>747396097602</v>
      </c>
      <c r="C421" t="s">
        <v>1421</v>
      </c>
      <c r="D421" t="s">
        <v>1422</v>
      </c>
      <c r="E421" t="s">
        <v>1406</v>
      </c>
      <c r="F421" t="s">
        <v>240</v>
      </c>
      <c r="G421">
        <v>1</v>
      </c>
      <c r="H421">
        <v>1</v>
      </c>
      <c r="I421" t="s">
        <v>97</v>
      </c>
      <c r="J421" s="10">
        <v>99</v>
      </c>
      <c r="K421" s="10">
        <v>297</v>
      </c>
      <c r="L421" s="10">
        <v>0</v>
      </c>
      <c r="N421" s="10">
        <v>0</v>
      </c>
      <c r="O421" t="s">
        <v>99</v>
      </c>
      <c r="P421" s="10">
        <v>209.95</v>
      </c>
      <c r="S421">
        <v>24.5</v>
      </c>
      <c r="T421">
        <v>13</v>
      </c>
      <c r="U421">
        <v>13</v>
      </c>
      <c r="W421">
        <v>6.02</v>
      </c>
      <c r="Y421">
        <v>23</v>
      </c>
      <c r="Z421">
        <v>11.5</v>
      </c>
      <c r="AA421">
        <v>11.5</v>
      </c>
      <c r="AB421">
        <v>1.76</v>
      </c>
      <c r="AC421">
        <v>8.5500000000000007</v>
      </c>
      <c r="AE421">
        <v>4</v>
      </c>
      <c r="AF421" t="s">
        <v>519</v>
      </c>
      <c r="AG421">
        <v>60</v>
      </c>
      <c r="AK421" t="s">
        <v>98</v>
      </c>
      <c r="AM421" t="s">
        <v>98</v>
      </c>
      <c r="AN421" t="s">
        <v>98</v>
      </c>
      <c r="AO421" t="s">
        <v>99</v>
      </c>
      <c r="AP421" t="s">
        <v>100</v>
      </c>
      <c r="AQ421" t="s">
        <v>101</v>
      </c>
      <c r="AV421" t="s">
        <v>98</v>
      </c>
      <c r="AX421" t="s">
        <v>279</v>
      </c>
      <c r="AZ421" t="s">
        <v>124</v>
      </c>
      <c r="BB421" t="s">
        <v>235</v>
      </c>
      <c r="BC421" t="s">
        <v>746</v>
      </c>
      <c r="BD421" t="s">
        <v>7528</v>
      </c>
      <c r="BF421" t="s">
        <v>1423</v>
      </c>
      <c r="BG421" t="s">
        <v>98</v>
      </c>
      <c r="BH421" t="s">
        <v>98</v>
      </c>
      <c r="BI421" t="s">
        <v>98</v>
      </c>
      <c r="BK421" t="s">
        <v>110</v>
      </c>
      <c r="BL421" t="s">
        <v>7528</v>
      </c>
      <c r="BQ421">
        <v>5</v>
      </c>
      <c r="BR421">
        <v>1</v>
      </c>
      <c r="BS421">
        <v>5</v>
      </c>
      <c r="BT421">
        <v>5</v>
      </c>
      <c r="CA421">
        <v>3331</v>
      </c>
      <c r="CB421" t="s">
        <v>279</v>
      </c>
      <c r="CL421" t="s">
        <v>99</v>
      </c>
      <c r="CM421" t="s">
        <v>99</v>
      </c>
      <c r="CN421" t="s">
        <v>442</v>
      </c>
      <c r="CO421" s="1">
        <v>42325</v>
      </c>
      <c r="CP421" s="1">
        <v>43633</v>
      </c>
    </row>
    <row r="422" spans="1:94" x14ac:dyDescent="0.25">
      <c r="A422" t="s">
        <v>1424</v>
      </c>
      <c r="B422" t="str">
        <f xml:space="preserve"> "" &amp; 747396097619</f>
        <v>747396097619</v>
      </c>
      <c r="C422" t="s">
        <v>1876</v>
      </c>
      <c r="D422" t="s">
        <v>6600</v>
      </c>
      <c r="E422" t="s">
        <v>1406</v>
      </c>
      <c r="F422" t="s">
        <v>240</v>
      </c>
      <c r="G422">
        <v>1</v>
      </c>
      <c r="H422">
        <v>1</v>
      </c>
      <c r="I422" t="s">
        <v>97</v>
      </c>
      <c r="J422" s="10">
        <v>99</v>
      </c>
      <c r="K422" s="10">
        <v>297</v>
      </c>
      <c r="L422" s="10">
        <v>0</v>
      </c>
      <c r="N422" s="10">
        <v>0</v>
      </c>
      <c r="O422" t="s">
        <v>99</v>
      </c>
      <c r="P422" s="10">
        <v>209.95</v>
      </c>
      <c r="S422">
        <v>20.75</v>
      </c>
      <c r="T422">
        <v>18</v>
      </c>
      <c r="U422">
        <v>18</v>
      </c>
      <c r="W422">
        <v>7.36</v>
      </c>
      <c r="Y422">
        <v>19.5</v>
      </c>
      <c r="Z422">
        <v>15.38</v>
      </c>
      <c r="AA422">
        <v>15.38</v>
      </c>
      <c r="AB422">
        <v>2.669</v>
      </c>
      <c r="AC422">
        <v>10.41</v>
      </c>
      <c r="AE422">
        <v>4</v>
      </c>
      <c r="AF422" t="s">
        <v>519</v>
      </c>
      <c r="AG422">
        <v>60</v>
      </c>
      <c r="AK422" t="s">
        <v>98</v>
      </c>
      <c r="AM422" t="s">
        <v>98</v>
      </c>
      <c r="AN422" t="s">
        <v>98</v>
      </c>
      <c r="AO422" t="s">
        <v>99</v>
      </c>
      <c r="AP422" t="s">
        <v>100</v>
      </c>
      <c r="AQ422" t="s">
        <v>101</v>
      </c>
      <c r="AV422" t="s">
        <v>98</v>
      </c>
      <c r="AX422" t="s">
        <v>279</v>
      </c>
      <c r="AZ422" t="s">
        <v>124</v>
      </c>
      <c r="BB422" t="s">
        <v>235</v>
      </c>
      <c r="BC422" t="s">
        <v>746</v>
      </c>
      <c r="BD422" t="s">
        <v>7528</v>
      </c>
      <c r="BF422" t="s">
        <v>1425</v>
      </c>
      <c r="BG422" t="s">
        <v>98</v>
      </c>
      <c r="BH422" t="s">
        <v>98</v>
      </c>
      <c r="BI422" t="s">
        <v>98</v>
      </c>
      <c r="BK422" t="s">
        <v>127</v>
      </c>
      <c r="BL422" t="s">
        <v>7528</v>
      </c>
      <c r="BR422">
        <v>1</v>
      </c>
      <c r="BS422">
        <v>7</v>
      </c>
      <c r="BT422">
        <v>7</v>
      </c>
      <c r="CA422">
        <v>3332</v>
      </c>
      <c r="CB422" t="s">
        <v>279</v>
      </c>
      <c r="CL422" t="s">
        <v>99</v>
      </c>
      <c r="CM422" t="s">
        <v>98</v>
      </c>
      <c r="CN422" t="s">
        <v>442</v>
      </c>
      <c r="CO422" s="1">
        <v>42325</v>
      </c>
      <c r="CP422" s="1">
        <v>43633</v>
      </c>
    </row>
    <row r="423" spans="1:94" x14ac:dyDescent="0.25">
      <c r="A423" t="s">
        <v>1426</v>
      </c>
      <c r="B423" t="str">
        <f xml:space="preserve"> "" &amp; 747396097626</f>
        <v>747396097626</v>
      </c>
      <c r="C423" t="s">
        <v>1281</v>
      </c>
      <c r="D423" t="s">
        <v>1427</v>
      </c>
      <c r="E423" t="s">
        <v>1406</v>
      </c>
      <c r="F423" t="s">
        <v>240</v>
      </c>
      <c r="G423">
        <v>1</v>
      </c>
      <c r="H423">
        <v>1</v>
      </c>
      <c r="I423" t="s">
        <v>97</v>
      </c>
      <c r="J423" s="10">
        <v>122</v>
      </c>
      <c r="K423" s="10">
        <v>366</v>
      </c>
      <c r="L423" s="10">
        <v>0</v>
      </c>
      <c r="N423" s="10">
        <v>0</v>
      </c>
      <c r="O423" t="s">
        <v>99</v>
      </c>
      <c r="P423" s="10">
        <v>254.95</v>
      </c>
      <c r="S423">
        <v>31.25</v>
      </c>
      <c r="T423">
        <v>17.25</v>
      </c>
      <c r="U423">
        <v>17.25</v>
      </c>
      <c r="W423">
        <v>8.09</v>
      </c>
      <c r="Y423">
        <v>30</v>
      </c>
      <c r="Z423">
        <v>15.5</v>
      </c>
      <c r="AA423">
        <v>15.5</v>
      </c>
      <c r="AB423">
        <v>4.1710000000000003</v>
      </c>
      <c r="AC423">
        <v>12.41</v>
      </c>
      <c r="AE423">
        <v>4</v>
      </c>
      <c r="AF423" t="s">
        <v>519</v>
      </c>
      <c r="AG423">
        <v>60</v>
      </c>
      <c r="AK423" t="s">
        <v>98</v>
      </c>
      <c r="AM423" t="s">
        <v>98</v>
      </c>
      <c r="AN423" t="s">
        <v>98</v>
      </c>
      <c r="AO423" t="s">
        <v>99</v>
      </c>
      <c r="AP423" t="s">
        <v>100</v>
      </c>
      <c r="AQ423" t="s">
        <v>101</v>
      </c>
      <c r="AV423" t="s">
        <v>98</v>
      </c>
      <c r="AX423" t="s">
        <v>279</v>
      </c>
      <c r="AZ423" t="s">
        <v>124</v>
      </c>
      <c r="BB423" t="s">
        <v>235</v>
      </c>
      <c r="BC423" t="s">
        <v>746</v>
      </c>
      <c r="BD423" t="s">
        <v>7528</v>
      </c>
      <c r="BF423" t="s">
        <v>1428</v>
      </c>
      <c r="BG423" t="s">
        <v>98</v>
      </c>
      <c r="BH423" t="s">
        <v>98</v>
      </c>
      <c r="BI423" t="s">
        <v>98</v>
      </c>
      <c r="BK423" t="s">
        <v>110</v>
      </c>
      <c r="BL423" t="s">
        <v>7528</v>
      </c>
      <c r="BQ423">
        <v>5</v>
      </c>
      <c r="BR423">
        <v>1</v>
      </c>
      <c r="BS423">
        <v>5</v>
      </c>
      <c r="BT423">
        <v>5</v>
      </c>
      <c r="CA423">
        <v>3333</v>
      </c>
      <c r="CB423" t="s">
        <v>279</v>
      </c>
      <c r="CL423" t="s">
        <v>99</v>
      </c>
      <c r="CM423" t="s">
        <v>99</v>
      </c>
      <c r="CN423" t="s">
        <v>442</v>
      </c>
      <c r="CO423" s="1">
        <v>42325</v>
      </c>
      <c r="CP423" s="1">
        <v>43633</v>
      </c>
    </row>
    <row r="424" spans="1:94" x14ac:dyDescent="0.25">
      <c r="A424" t="s">
        <v>1429</v>
      </c>
      <c r="B424" t="str">
        <f xml:space="preserve"> "" &amp; 747396096926</f>
        <v>747396096926</v>
      </c>
      <c r="C424" t="s">
        <v>1281</v>
      </c>
      <c r="D424" t="s">
        <v>1422</v>
      </c>
      <c r="E424" t="s">
        <v>1406</v>
      </c>
      <c r="F424" t="s">
        <v>249</v>
      </c>
      <c r="G424">
        <v>1</v>
      </c>
      <c r="H424">
        <v>1</v>
      </c>
      <c r="I424" t="s">
        <v>97</v>
      </c>
      <c r="J424" s="10">
        <v>139</v>
      </c>
      <c r="K424" s="10">
        <v>417</v>
      </c>
      <c r="L424" s="10">
        <v>0</v>
      </c>
      <c r="N424" s="10">
        <v>0</v>
      </c>
      <c r="O424" t="s">
        <v>99</v>
      </c>
      <c r="P424" s="10">
        <v>289.95</v>
      </c>
      <c r="S424">
        <v>22.5</v>
      </c>
      <c r="T424">
        <v>20</v>
      </c>
      <c r="U424">
        <v>20</v>
      </c>
      <c r="W424">
        <v>6.48</v>
      </c>
      <c r="Y424">
        <v>22.5</v>
      </c>
      <c r="Z424">
        <v>21.63</v>
      </c>
      <c r="AA424">
        <v>10.63</v>
      </c>
      <c r="AB424">
        <v>2.9940000000000002</v>
      </c>
      <c r="AC424">
        <v>10.23</v>
      </c>
      <c r="AE424">
        <v>4</v>
      </c>
      <c r="AF424" t="s">
        <v>519</v>
      </c>
      <c r="AG424">
        <v>60</v>
      </c>
      <c r="AK424" t="s">
        <v>98</v>
      </c>
      <c r="AL424">
        <v>4</v>
      </c>
      <c r="AM424" t="s">
        <v>98</v>
      </c>
      <c r="AN424" t="s">
        <v>98</v>
      </c>
      <c r="AO424" t="s">
        <v>99</v>
      </c>
      <c r="AP424" t="s">
        <v>100</v>
      </c>
      <c r="AQ424" t="s">
        <v>101</v>
      </c>
      <c r="AV424" t="s">
        <v>98</v>
      </c>
      <c r="AX424" t="s">
        <v>279</v>
      </c>
      <c r="AZ424" t="s">
        <v>124</v>
      </c>
      <c r="BB424" t="s">
        <v>235</v>
      </c>
      <c r="BC424" t="s">
        <v>746</v>
      </c>
      <c r="BD424" t="s">
        <v>7528</v>
      </c>
      <c r="BF424" t="s">
        <v>1430</v>
      </c>
      <c r="BG424" t="s">
        <v>98</v>
      </c>
      <c r="BH424" t="s">
        <v>98</v>
      </c>
      <c r="BI424" t="s">
        <v>98</v>
      </c>
      <c r="BK424" t="s">
        <v>110</v>
      </c>
      <c r="BL424" t="s">
        <v>7528</v>
      </c>
      <c r="BQ424">
        <v>5</v>
      </c>
      <c r="BR424">
        <v>1</v>
      </c>
      <c r="BS424">
        <v>5</v>
      </c>
      <c r="BT424">
        <v>5</v>
      </c>
      <c r="CA424">
        <v>3334</v>
      </c>
      <c r="CB424" t="s">
        <v>279</v>
      </c>
      <c r="CL424" t="s">
        <v>99</v>
      </c>
      <c r="CM424" t="s">
        <v>99</v>
      </c>
      <c r="CN424" t="s">
        <v>692</v>
      </c>
      <c r="CO424" s="1">
        <v>42325</v>
      </c>
      <c r="CP424" s="1">
        <v>43633</v>
      </c>
    </row>
    <row r="425" spans="1:94" x14ac:dyDescent="0.25">
      <c r="A425" t="s">
        <v>1431</v>
      </c>
      <c r="B425" t="str">
        <f xml:space="preserve"> "" &amp; 747396096902</f>
        <v>747396096902</v>
      </c>
      <c r="C425" t="s">
        <v>252</v>
      </c>
      <c r="D425" t="s">
        <v>1432</v>
      </c>
      <c r="E425" t="s">
        <v>1406</v>
      </c>
      <c r="F425" t="s">
        <v>249</v>
      </c>
      <c r="G425">
        <v>1</v>
      </c>
      <c r="H425">
        <v>1</v>
      </c>
      <c r="I425" t="s">
        <v>97</v>
      </c>
      <c r="J425" s="10">
        <v>159</v>
      </c>
      <c r="K425" s="10">
        <v>477</v>
      </c>
      <c r="L425" s="10">
        <v>0</v>
      </c>
      <c r="N425" s="10">
        <v>0</v>
      </c>
      <c r="O425" t="s">
        <v>99</v>
      </c>
      <c r="P425" s="10">
        <v>334.95</v>
      </c>
      <c r="S425">
        <v>26.75</v>
      </c>
      <c r="T425">
        <v>26</v>
      </c>
      <c r="U425">
        <v>26</v>
      </c>
      <c r="W425">
        <v>8.14</v>
      </c>
      <c r="Y425">
        <v>27.75</v>
      </c>
      <c r="Z425">
        <v>29.5</v>
      </c>
      <c r="AA425">
        <v>13.25</v>
      </c>
      <c r="AB425">
        <v>6.2770000000000001</v>
      </c>
      <c r="AC425">
        <v>14.88</v>
      </c>
      <c r="AE425">
        <v>6</v>
      </c>
      <c r="AF425" t="s">
        <v>519</v>
      </c>
      <c r="AG425">
        <v>60</v>
      </c>
      <c r="AK425" t="s">
        <v>98</v>
      </c>
      <c r="AL425">
        <v>6</v>
      </c>
      <c r="AM425" t="s">
        <v>98</v>
      </c>
      <c r="AN425" t="s">
        <v>98</v>
      </c>
      <c r="AO425" t="s">
        <v>99</v>
      </c>
      <c r="AP425" t="s">
        <v>100</v>
      </c>
      <c r="AQ425" t="s">
        <v>101</v>
      </c>
      <c r="AV425" t="s">
        <v>98</v>
      </c>
      <c r="AX425" t="s">
        <v>279</v>
      </c>
      <c r="AZ425" t="s">
        <v>124</v>
      </c>
      <c r="BB425" t="s">
        <v>235</v>
      </c>
      <c r="BC425" t="s">
        <v>746</v>
      </c>
      <c r="BD425" t="s">
        <v>7528</v>
      </c>
      <c r="BF425" t="s">
        <v>1433</v>
      </c>
      <c r="BG425" t="s">
        <v>98</v>
      </c>
      <c r="BH425" t="s">
        <v>98</v>
      </c>
      <c r="BI425" t="s">
        <v>98</v>
      </c>
      <c r="BK425" t="s">
        <v>110</v>
      </c>
      <c r="BL425" t="s">
        <v>7528</v>
      </c>
      <c r="BQ425">
        <v>5</v>
      </c>
      <c r="BR425">
        <v>1</v>
      </c>
      <c r="BS425">
        <v>5</v>
      </c>
      <c r="BT425">
        <v>5</v>
      </c>
      <c r="CA425">
        <v>3336</v>
      </c>
      <c r="CB425" t="s">
        <v>279</v>
      </c>
      <c r="CL425" t="s">
        <v>99</v>
      </c>
      <c r="CM425" t="s">
        <v>99</v>
      </c>
      <c r="CN425" t="s">
        <v>442</v>
      </c>
      <c r="CO425" s="1">
        <v>42325</v>
      </c>
      <c r="CP425" s="1">
        <v>43633</v>
      </c>
    </row>
    <row r="426" spans="1:94" x14ac:dyDescent="0.25">
      <c r="A426" t="s">
        <v>1434</v>
      </c>
      <c r="B426" t="str">
        <f xml:space="preserve"> "" &amp; 747396096919</f>
        <v>747396096919</v>
      </c>
      <c r="C426" t="s">
        <v>350</v>
      </c>
      <c r="D426" t="s">
        <v>1435</v>
      </c>
      <c r="E426" t="s">
        <v>1406</v>
      </c>
      <c r="F426" t="s">
        <v>249</v>
      </c>
      <c r="G426">
        <v>1</v>
      </c>
      <c r="H426">
        <v>1</v>
      </c>
      <c r="I426" t="s">
        <v>97</v>
      </c>
      <c r="J426" s="10">
        <v>229</v>
      </c>
      <c r="K426" s="10">
        <v>687</v>
      </c>
      <c r="L426" s="10">
        <v>0</v>
      </c>
      <c r="N426" s="10">
        <v>0</v>
      </c>
      <c r="O426" t="s">
        <v>99</v>
      </c>
      <c r="P426" s="10">
        <v>479.95</v>
      </c>
      <c r="S426">
        <v>36</v>
      </c>
      <c r="T426">
        <v>33.5</v>
      </c>
      <c r="U426">
        <v>33.5</v>
      </c>
      <c r="W426">
        <v>11.79</v>
      </c>
      <c r="Y426">
        <v>34</v>
      </c>
      <c r="Z426">
        <v>37.5</v>
      </c>
      <c r="AA426">
        <v>18</v>
      </c>
      <c r="AB426">
        <v>13.281000000000001</v>
      </c>
      <c r="AC426">
        <v>24.74</v>
      </c>
      <c r="AE426">
        <v>9</v>
      </c>
      <c r="AF426" t="s">
        <v>519</v>
      </c>
      <c r="AG426">
        <v>60</v>
      </c>
      <c r="AK426" t="s">
        <v>98</v>
      </c>
      <c r="AL426">
        <v>9</v>
      </c>
      <c r="AM426" t="s">
        <v>98</v>
      </c>
      <c r="AN426" t="s">
        <v>98</v>
      </c>
      <c r="AO426" t="s">
        <v>99</v>
      </c>
      <c r="AP426" t="s">
        <v>259</v>
      </c>
      <c r="AQ426" t="s">
        <v>101</v>
      </c>
      <c r="AV426" t="s">
        <v>98</v>
      </c>
      <c r="AX426" t="s">
        <v>279</v>
      </c>
      <c r="AZ426" t="s">
        <v>124</v>
      </c>
      <c r="BB426" t="s">
        <v>235</v>
      </c>
      <c r="BC426" t="s">
        <v>746</v>
      </c>
      <c r="BD426" t="s">
        <v>7528</v>
      </c>
      <c r="BF426" t="s">
        <v>1436</v>
      </c>
      <c r="BG426" t="s">
        <v>98</v>
      </c>
      <c r="BH426" t="s">
        <v>98</v>
      </c>
      <c r="BI426" t="s">
        <v>98</v>
      </c>
      <c r="BK426" t="s">
        <v>110</v>
      </c>
      <c r="BL426" t="s">
        <v>7528</v>
      </c>
      <c r="BQ426">
        <v>5</v>
      </c>
      <c r="BR426">
        <v>1</v>
      </c>
      <c r="BS426">
        <v>5</v>
      </c>
      <c r="BT426">
        <v>5</v>
      </c>
      <c r="CA426">
        <v>3339</v>
      </c>
      <c r="CB426" t="s">
        <v>279</v>
      </c>
      <c r="CL426" t="s">
        <v>99</v>
      </c>
      <c r="CM426" t="s">
        <v>99</v>
      </c>
      <c r="CN426" t="s">
        <v>442</v>
      </c>
      <c r="CO426" s="1">
        <v>42325</v>
      </c>
      <c r="CP426" s="1">
        <v>43633</v>
      </c>
    </row>
    <row r="427" spans="1:94" x14ac:dyDescent="0.25">
      <c r="A427" t="s">
        <v>1442</v>
      </c>
      <c r="B427" t="str">
        <f xml:space="preserve"> "" &amp; 747396111100</f>
        <v>747396111100</v>
      </c>
      <c r="C427" t="s">
        <v>751</v>
      </c>
      <c r="D427" t="s">
        <v>1443</v>
      </c>
      <c r="E427" t="s">
        <v>1444</v>
      </c>
      <c r="F427" t="s">
        <v>323</v>
      </c>
      <c r="G427">
        <v>1</v>
      </c>
      <c r="H427">
        <v>1</v>
      </c>
      <c r="I427" t="s">
        <v>97</v>
      </c>
      <c r="J427" s="10">
        <v>45</v>
      </c>
      <c r="K427" s="10">
        <v>135</v>
      </c>
      <c r="L427" s="10">
        <v>0</v>
      </c>
      <c r="N427" s="10">
        <v>0</v>
      </c>
      <c r="O427" t="s">
        <v>99</v>
      </c>
      <c r="P427" s="10">
        <v>94.95</v>
      </c>
      <c r="S427">
        <v>8.5</v>
      </c>
      <c r="U427">
        <v>5.25</v>
      </c>
      <c r="V427">
        <v>7</v>
      </c>
      <c r="W427">
        <v>2.67</v>
      </c>
      <c r="X427">
        <v>1</v>
      </c>
      <c r="Y427">
        <v>19.5</v>
      </c>
      <c r="Z427">
        <v>19.75</v>
      </c>
      <c r="AA427">
        <v>12.5</v>
      </c>
      <c r="AB427">
        <v>2.786</v>
      </c>
      <c r="AC427">
        <v>3.66</v>
      </c>
      <c r="AE427">
        <v>1</v>
      </c>
      <c r="AF427" t="s">
        <v>745</v>
      </c>
      <c r="AG427">
        <v>60</v>
      </c>
      <c r="AK427" t="s">
        <v>98</v>
      </c>
      <c r="AM427" t="s">
        <v>98</v>
      </c>
      <c r="AN427" t="s">
        <v>99</v>
      </c>
      <c r="AO427" t="s">
        <v>98</v>
      </c>
      <c r="AP427" t="s">
        <v>100</v>
      </c>
      <c r="AQ427" t="s">
        <v>101</v>
      </c>
      <c r="AV427" t="s">
        <v>98</v>
      </c>
      <c r="AX427" t="s">
        <v>1445</v>
      </c>
      <c r="AZ427" t="s">
        <v>102</v>
      </c>
      <c r="BB427" t="s">
        <v>7528</v>
      </c>
      <c r="BC427" t="s">
        <v>1446</v>
      </c>
      <c r="BD427" t="s">
        <v>7528</v>
      </c>
      <c r="BF427" t="s">
        <v>1447</v>
      </c>
      <c r="BG427" t="s">
        <v>98</v>
      </c>
      <c r="BH427" t="s">
        <v>98</v>
      </c>
      <c r="BI427" t="s">
        <v>98</v>
      </c>
      <c r="BK427" t="s">
        <v>127</v>
      </c>
      <c r="BL427" t="s">
        <v>756</v>
      </c>
      <c r="BM427">
        <v>5.25</v>
      </c>
      <c r="BN427">
        <v>7</v>
      </c>
      <c r="CA427">
        <v>3341</v>
      </c>
      <c r="CB427" t="s">
        <v>1445</v>
      </c>
      <c r="CL427" t="s">
        <v>99</v>
      </c>
      <c r="CM427" t="s">
        <v>98</v>
      </c>
      <c r="CN427" t="s">
        <v>237</v>
      </c>
      <c r="CO427" s="1">
        <v>43530</v>
      </c>
      <c r="CP427" s="1">
        <v>43633</v>
      </c>
    </row>
    <row r="428" spans="1:94" x14ac:dyDescent="0.25">
      <c r="A428" t="s">
        <v>1448</v>
      </c>
      <c r="B428" t="str">
        <f xml:space="preserve"> "" &amp; 747396111117</f>
        <v>747396111117</v>
      </c>
      <c r="C428" t="s">
        <v>758</v>
      </c>
      <c r="D428" t="s">
        <v>1449</v>
      </c>
      <c r="E428" t="s">
        <v>1444</v>
      </c>
      <c r="F428" t="s">
        <v>323</v>
      </c>
      <c r="G428">
        <v>1</v>
      </c>
      <c r="H428">
        <v>1</v>
      </c>
      <c r="I428" t="s">
        <v>97</v>
      </c>
      <c r="J428" s="10">
        <v>65</v>
      </c>
      <c r="K428" s="10">
        <v>195</v>
      </c>
      <c r="L428" s="10">
        <v>0</v>
      </c>
      <c r="N428" s="10">
        <v>0</v>
      </c>
      <c r="O428" t="s">
        <v>99</v>
      </c>
      <c r="P428" s="10">
        <v>139.94999999999999</v>
      </c>
      <c r="S428">
        <v>8.5</v>
      </c>
      <c r="U428">
        <v>15.5</v>
      </c>
      <c r="V428">
        <v>7</v>
      </c>
      <c r="W428">
        <v>5.73</v>
      </c>
      <c r="X428">
        <v>1</v>
      </c>
      <c r="Y428">
        <v>11.75</v>
      </c>
      <c r="Z428">
        <v>18</v>
      </c>
      <c r="AA428">
        <v>9.6300000000000008</v>
      </c>
      <c r="AB428">
        <v>1.179</v>
      </c>
      <c r="AC428">
        <v>8.0500000000000007</v>
      </c>
      <c r="AE428">
        <v>2</v>
      </c>
      <c r="AF428" t="s">
        <v>745</v>
      </c>
      <c r="AG428">
        <v>60</v>
      </c>
      <c r="AK428" t="s">
        <v>98</v>
      </c>
      <c r="AM428" t="s">
        <v>98</v>
      </c>
      <c r="AN428" t="s">
        <v>99</v>
      </c>
      <c r="AO428" t="s">
        <v>98</v>
      </c>
      <c r="AP428" t="s">
        <v>100</v>
      </c>
      <c r="AQ428" t="s">
        <v>101</v>
      </c>
      <c r="AV428" t="s">
        <v>98</v>
      </c>
      <c r="AX428" t="s">
        <v>1445</v>
      </c>
      <c r="AZ428" t="s">
        <v>102</v>
      </c>
      <c r="BB428" t="s">
        <v>7528</v>
      </c>
      <c r="BC428" t="s">
        <v>1446</v>
      </c>
      <c r="BD428" t="s">
        <v>7528</v>
      </c>
      <c r="BF428" t="s">
        <v>1450</v>
      </c>
      <c r="BG428" t="s">
        <v>98</v>
      </c>
      <c r="BH428" t="s">
        <v>98</v>
      </c>
      <c r="BI428" t="s">
        <v>98</v>
      </c>
      <c r="BK428" t="s">
        <v>127</v>
      </c>
      <c r="BL428" t="s">
        <v>756</v>
      </c>
      <c r="BM428">
        <v>15.5</v>
      </c>
      <c r="BN428">
        <v>5</v>
      </c>
      <c r="CA428">
        <v>3342</v>
      </c>
      <c r="CB428" t="s">
        <v>1445</v>
      </c>
      <c r="CL428" t="s">
        <v>99</v>
      </c>
      <c r="CM428" t="s">
        <v>98</v>
      </c>
      <c r="CN428" t="s">
        <v>237</v>
      </c>
      <c r="CO428" s="1">
        <v>43530</v>
      </c>
      <c r="CP428" s="1">
        <v>43633</v>
      </c>
    </row>
    <row r="429" spans="1:94" x14ac:dyDescent="0.25">
      <c r="A429" t="s">
        <v>1451</v>
      </c>
      <c r="B429" t="str">
        <f xml:space="preserve"> "" &amp; 747396111124</f>
        <v>747396111124</v>
      </c>
      <c r="C429" t="s">
        <v>762</v>
      </c>
      <c r="D429" t="s">
        <v>1452</v>
      </c>
      <c r="E429" t="s">
        <v>1444</v>
      </c>
      <c r="F429" t="s">
        <v>323</v>
      </c>
      <c r="G429">
        <v>1</v>
      </c>
      <c r="H429">
        <v>1</v>
      </c>
      <c r="I429" t="s">
        <v>97</v>
      </c>
      <c r="J429" s="10">
        <v>105</v>
      </c>
      <c r="K429" s="10">
        <v>315</v>
      </c>
      <c r="L429" s="10">
        <v>0</v>
      </c>
      <c r="N429" s="10">
        <v>0</v>
      </c>
      <c r="O429" t="s">
        <v>99</v>
      </c>
      <c r="P429" s="10">
        <v>209.95</v>
      </c>
      <c r="S429">
        <v>8.5</v>
      </c>
      <c r="U429">
        <v>24</v>
      </c>
      <c r="V429">
        <v>7</v>
      </c>
      <c r="W429">
        <v>8.9700000000000006</v>
      </c>
      <c r="X429">
        <v>1</v>
      </c>
      <c r="Y429">
        <v>11.75</v>
      </c>
      <c r="Z429">
        <v>26.5</v>
      </c>
      <c r="AA429">
        <v>9.6300000000000008</v>
      </c>
      <c r="AB429">
        <v>1.7350000000000001</v>
      </c>
      <c r="AC429">
        <v>12.21</v>
      </c>
      <c r="AE429">
        <v>3</v>
      </c>
      <c r="AF429" t="s">
        <v>745</v>
      </c>
      <c r="AG429">
        <v>60</v>
      </c>
      <c r="AK429" t="s">
        <v>98</v>
      </c>
      <c r="AM429" t="s">
        <v>98</v>
      </c>
      <c r="AN429" t="s">
        <v>99</v>
      </c>
      <c r="AO429" t="s">
        <v>98</v>
      </c>
      <c r="AP429" t="s">
        <v>100</v>
      </c>
      <c r="AQ429" t="s">
        <v>101</v>
      </c>
      <c r="AV429" t="s">
        <v>98</v>
      </c>
      <c r="AX429" t="s">
        <v>1445</v>
      </c>
      <c r="AZ429" t="s">
        <v>102</v>
      </c>
      <c r="BB429" t="s">
        <v>7528</v>
      </c>
      <c r="BC429" t="s">
        <v>1446</v>
      </c>
      <c r="BD429" t="s">
        <v>7528</v>
      </c>
      <c r="BF429" t="s">
        <v>1453</v>
      </c>
      <c r="BG429" t="s">
        <v>98</v>
      </c>
      <c r="BH429" t="s">
        <v>98</v>
      </c>
      <c r="BI429" t="s">
        <v>98</v>
      </c>
      <c r="BK429" t="s">
        <v>127</v>
      </c>
      <c r="BL429" t="s">
        <v>756</v>
      </c>
      <c r="BM429">
        <v>24</v>
      </c>
      <c r="BN429">
        <v>5</v>
      </c>
      <c r="CA429">
        <v>3343</v>
      </c>
      <c r="CB429" t="s">
        <v>1445</v>
      </c>
      <c r="CL429" t="s">
        <v>99</v>
      </c>
      <c r="CM429" t="s">
        <v>98</v>
      </c>
      <c r="CN429" t="s">
        <v>237</v>
      </c>
      <c r="CO429" s="1">
        <v>43530</v>
      </c>
      <c r="CP429" s="1">
        <v>43633</v>
      </c>
    </row>
    <row r="430" spans="1:94" x14ac:dyDescent="0.25">
      <c r="A430" t="s">
        <v>1437</v>
      </c>
      <c r="B430" t="str">
        <f xml:space="preserve"> "" &amp; 747396053387</f>
        <v>747396053387</v>
      </c>
      <c r="C430" t="s">
        <v>322</v>
      </c>
      <c r="D430" t="s">
        <v>230</v>
      </c>
      <c r="E430" t="s">
        <v>7528</v>
      </c>
      <c r="F430" t="s">
        <v>473</v>
      </c>
      <c r="G430">
        <v>1</v>
      </c>
      <c r="H430">
        <v>1</v>
      </c>
      <c r="I430" t="s">
        <v>97</v>
      </c>
      <c r="J430" s="10">
        <v>20</v>
      </c>
      <c r="K430" s="10">
        <v>60</v>
      </c>
      <c r="L430" s="10">
        <v>0</v>
      </c>
      <c r="N430" s="10">
        <v>0</v>
      </c>
      <c r="S430">
        <v>9</v>
      </c>
      <c r="T430">
        <v>11.5</v>
      </c>
      <c r="U430">
        <v>8.75</v>
      </c>
      <c r="V430">
        <v>4</v>
      </c>
      <c r="W430">
        <v>4.5199999999999996</v>
      </c>
      <c r="X430">
        <v>1</v>
      </c>
      <c r="Y430">
        <v>8</v>
      </c>
      <c r="Z430">
        <v>11.5</v>
      </c>
      <c r="AA430">
        <v>11</v>
      </c>
      <c r="AB430">
        <v>0.58599999999999997</v>
      </c>
      <c r="AC430">
        <v>5.62</v>
      </c>
      <c r="AE430">
        <v>2</v>
      </c>
      <c r="AF430" t="s">
        <v>1438</v>
      </c>
      <c r="AG430">
        <v>13</v>
      </c>
      <c r="AH430">
        <v>0</v>
      </c>
      <c r="AJ430">
        <v>0</v>
      </c>
      <c r="AK430" t="s">
        <v>99</v>
      </c>
      <c r="AM430" t="s">
        <v>98</v>
      </c>
      <c r="AN430" t="s">
        <v>98</v>
      </c>
      <c r="AO430" t="s">
        <v>99</v>
      </c>
      <c r="AP430" t="s">
        <v>100</v>
      </c>
      <c r="AQ430" t="s">
        <v>101</v>
      </c>
      <c r="AV430" t="s">
        <v>98</v>
      </c>
      <c r="AX430" t="s">
        <v>279</v>
      </c>
      <c r="AZ430" t="s">
        <v>392</v>
      </c>
      <c r="BB430" t="s">
        <v>200</v>
      </c>
      <c r="BC430" t="s">
        <v>1417</v>
      </c>
      <c r="BD430" t="s">
        <v>7528</v>
      </c>
      <c r="BF430" t="s">
        <v>1439</v>
      </c>
      <c r="BG430" t="s">
        <v>98</v>
      </c>
      <c r="BH430" t="s">
        <v>99</v>
      </c>
      <c r="BI430" t="s">
        <v>98</v>
      </c>
      <c r="BK430" t="s">
        <v>127</v>
      </c>
      <c r="BL430" t="s">
        <v>236</v>
      </c>
      <c r="BR430">
        <v>8.25</v>
      </c>
      <c r="BT430">
        <v>5.63</v>
      </c>
      <c r="CA430" t="s">
        <v>1440</v>
      </c>
      <c r="CB430" t="s">
        <v>279</v>
      </c>
      <c r="CL430" t="s">
        <v>98</v>
      </c>
      <c r="CM430" t="s">
        <v>98</v>
      </c>
      <c r="CN430" t="s">
        <v>1441</v>
      </c>
      <c r="CO430" s="1">
        <v>38688</v>
      </c>
      <c r="CP430" s="1">
        <v>43633</v>
      </c>
    </row>
    <row r="431" spans="1:94" x14ac:dyDescent="0.25">
      <c r="A431" t="s">
        <v>1454</v>
      </c>
      <c r="B431" t="str">
        <f xml:space="preserve"> "" &amp; 747396111131</f>
        <v>747396111131</v>
      </c>
      <c r="C431" t="s">
        <v>1310</v>
      </c>
      <c r="D431" t="s">
        <v>1455</v>
      </c>
      <c r="E431" t="s">
        <v>1456</v>
      </c>
      <c r="F431" t="s">
        <v>323</v>
      </c>
      <c r="G431">
        <v>1</v>
      </c>
      <c r="H431">
        <v>1</v>
      </c>
      <c r="I431" t="s">
        <v>97</v>
      </c>
      <c r="J431" s="10">
        <v>55</v>
      </c>
      <c r="K431" s="10">
        <v>165</v>
      </c>
      <c r="L431" s="10">
        <v>0</v>
      </c>
      <c r="N431" s="10">
        <v>0</v>
      </c>
      <c r="O431" t="s">
        <v>99</v>
      </c>
      <c r="P431" s="10">
        <v>114.95</v>
      </c>
      <c r="S431">
        <v>9</v>
      </c>
      <c r="U431">
        <v>6</v>
      </c>
      <c r="V431">
        <v>7.25</v>
      </c>
      <c r="W431">
        <v>1.76</v>
      </c>
      <c r="X431">
        <v>1</v>
      </c>
      <c r="Y431">
        <v>13.5</v>
      </c>
      <c r="Z431">
        <v>8.3800000000000008</v>
      </c>
      <c r="AA431">
        <v>8.3800000000000008</v>
      </c>
      <c r="AB431">
        <v>0.54900000000000004</v>
      </c>
      <c r="AC431">
        <v>3.31</v>
      </c>
      <c r="AE431">
        <v>1</v>
      </c>
      <c r="AF431" t="s">
        <v>1457</v>
      </c>
      <c r="AG431">
        <v>60</v>
      </c>
      <c r="AK431" t="s">
        <v>98</v>
      </c>
      <c r="AM431" t="s">
        <v>98</v>
      </c>
      <c r="AN431" t="s">
        <v>98</v>
      </c>
      <c r="AO431" t="s">
        <v>99</v>
      </c>
      <c r="AP431" t="s">
        <v>100</v>
      </c>
      <c r="AQ431" t="s">
        <v>101</v>
      </c>
      <c r="AV431" t="s">
        <v>98</v>
      </c>
      <c r="AX431" t="s">
        <v>279</v>
      </c>
      <c r="AZ431" t="s">
        <v>102</v>
      </c>
      <c r="BB431" t="s">
        <v>7528</v>
      </c>
      <c r="BC431" t="s">
        <v>1064</v>
      </c>
      <c r="BD431" t="s">
        <v>7528</v>
      </c>
      <c r="BF431" t="s">
        <v>1458</v>
      </c>
      <c r="BG431" t="s">
        <v>98</v>
      </c>
      <c r="BH431" t="s">
        <v>98</v>
      </c>
      <c r="BI431" t="s">
        <v>98</v>
      </c>
      <c r="BK431" t="s">
        <v>127</v>
      </c>
      <c r="BL431" t="s">
        <v>7528</v>
      </c>
      <c r="BR431">
        <v>1</v>
      </c>
      <c r="BT431">
        <v>5.25</v>
      </c>
      <c r="CA431">
        <v>3351</v>
      </c>
      <c r="CB431" t="s">
        <v>279</v>
      </c>
      <c r="CL431" t="s">
        <v>99</v>
      </c>
      <c r="CM431" t="s">
        <v>98</v>
      </c>
      <c r="CN431" t="s">
        <v>442</v>
      </c>
      <c r="CO431" s="1">
        <v>43530</v>
      </c>
      <c r="CP431" s="1">
        <v>43633</v>
      </c>
    </row>
    <row r="432" spans="1:94" x14ac:dyDescent="0.25">
      <c r="A432" t="s">
        <v>1459</v>
      </c>
      <c r="B432" t="str">
        <f xml:space="preserve"> "" &amp; 747396111148</f>
        <v>747396111148</v>
      </c>
      <c r="C432" t="s">
        <v>1460</v>
      </c>
      <c r="D432" t="s">
        <v>1461</v>
      </c>
      <c r="E432" t="s">
        <v>1456</v>
      </c>
      <c r="F432" t="s">
        <v>323</v>
      </c>
      <c r="G432">
        <v>1</v>
      </c>
      <c r="H432">
        <v>1</v>
      </c>
      <c r="I432" t="s">
        <v>97</v>
      </c>
      <c r="J432" s="10">
        <v>75</v>
      </c>
      <c r="K432" s="10">
        <v>225</v>
      </c>
      <c r="L432" s="10">
        <v>0</v>
      </c>
      <c r="N432" s="10">
        <v>0</v>
      </c>
      <c r="O432" t="s">
        <v>99</v>
      </c>
      <c r="P432" s="10">
        <v>159.94999999999999</v>
      </c>
      <c r="S432">
        <v>9</v>
      </c>
      <c r="U432">
        <v>15.75</v>
      </c>
      <c r="V432">
        <v>7.25</v>
      </c>
      <c r="W432">
        <v>3.31</v>
      </c>
      <c r="X432">
        <v>1</v>
      </c>
      <c r="Y432">
        <v>15.5</v>
      </c>
      <c r="Z432">
        <v>15.75</v>
      </c>
      <c r="AA432">
        <v>8.3800000000000008</v>
      </c>
      <c r="AB432">
        <v>1.1839999999999999</v>
      </c>
      <c r="AC432">
        <v>5.29</v>
      </c>
      <c r="AE432">
        <v>2</v>
      </c>
      <c r="AF432" t="s">
        <v>745</v>
      </c>
      <c r="AG432">
        <v>60</v>
      </c>
      <c r="AK432" t="s">
        <v>98</v>
      </c>
      <c r="AM432" t="s">
        <v>98</v>
      </c>
      <c r="AN432" t="s">
        <v>98</v>
      </c>
      <c r="AO432" t="s">
        <v>99</v>
      </c>
      <c r="AP432" t="s">
        <v>100</v>
      </c>
      <c r="AQ432" t="s">
        <v>101</v>
      </c>
      <c r="AV432" t="s">
        <v>98</v>
      </c>
      <c r="AX432" t="s">
        <v>279</v>
      </c>
      <c r="AZ432" t="s">
        <v>102</v>
      </c>
      <c r="BB432" t="s">
        <v>7528</v>
      </c>
      <c r="BC432" t="s">
        <v>1064</v>
      </c>
      <c r="BD432" t="s">
        <v>7528</v>
      </c>
      <c r="BF432" t="s">
        <v>1462</v>
      </c>
      <c r="BG432" t="s">
        <v>98</v>
      </c>
      <c r="BH432" t="s">
        <v>98</v>
      </c>
      <c r="BI432" t="s">
        <v>98</v>
      </c>
      <c r="BK432" t="s">
        <v>127</v>
      </c>
      <c r="BL432" t="s">
        <v>7528</v>
      </c>
      <c r="BR432">
        <v>1</v>
      </c>
      <c r="BT432">
        <v>5.25</v>
      </c>
      <c r="CA432">
        <v>3352</v>
      </c>
      <c r="CB432" t="s">
        <v>279</v>
      </c>
      <c r="CL432" t="s">
        <v>99</v>
      </c>
      <c r="CM432" t="s">
        <v>98</v>
      </c>
      <c r="CN432" t="s">
        <v>442</v>
      </c>
      <c r="CO432" s="1">
        <v>43530</v>
      </c>
      <c r="CP432" s="1">
        <v>43633</v>
      </c>
    </row>
    <row r="433" spans="1:94" x14ac:dyDescent="0.25">
      <c r="A433" t="s">
        <v>1463</v>
      </c>
      <c r="B433" t="str">
        <f xml:space="preserve"> "" &amp; 747396111155</f>
        <v>747396111155</v>
      </c>
      <c r="C433" t="s">
        <v>1464</v>
      </c>
      <c r="D433" t="s">
        <v>1465</v>
      </c>
      <c r="E433" t="s">
        <v>1456</v>
      </c>
      <c r="F433" t="s">
        <v>323</v>
      </c>
      <c r="G433">
        <v>1</v>
      </c>
      <c r="H433">
        <v>1</v>
      </c>
      <c r="I433" t="s">
        <v>97</v>
      </c>
      <c r="J433" s="10">
        <v>95</v>
      </c>
      <c r="K433" s="10">
        <v>285</v>
      </c>
      <c r="L433" s="10">
        <v>0</v>
      </c>
      <c r="N433" s="10">
        <v>0</v>
      </c>
      <c r="O433" t="s">
        <v>99</v>
      </c>
      <c r="P433" s="10">
        <v>199.95</v>
      </c>
      <c r="S433">
        <v>9</v>
      </c>
      <c r="U433">
        <v>25.25</v>
      </c>
      <c r="V433">
        <v>7.25</v>
      </c>
      <c r="W433">
        <v>5.07</v>
      </c>
      <c r="X433">
        <v>1</v>
      </c>
      <c r="Y433">
        <v>15.5</v>
      </c>
      <c r="Z433">
        <v>24.5</v>
      </c>
      <c r="AA433">
        <v>8.3800000000000008</v>
      </c>
      <c r="AB433">
        <v>1.8420000000000001</v>
      </c>
      <c r="AC433">
        <v>7.5</v>
      </c>
      <c r="AE433">
        <v>3</v>
      </c>
      <c r="AF433" t="s">
        <v>745</v>
      </c>
      <c r="AG433">
        <v>60</v>
      </c>
      <c r="AK433" t="s">
        <v>98</v>
      </c>
      <c r="AM433" t="s">
        <v>98</v>
      </c>
      <c r="AN433" t="s">
        <v>98</v>
      </c>
      <c r="AO433" t="s">
        <v>99</v>
      </c>
      <c r="AP433" t="s">
        <v>100</v>
      </c>
      <c r="AQ433" t="s">
        <v>101</v>
      </c>
      <c r="AV433" t="s">
        <v>98</v>
      </c>
      <c r="AX433" t="s">
        <v>279</v>
      </c>
      <c r="AZ433" t="s">
        <v>102</v>
      </c>
      <c r="BB433" t="s">
        <v>7528</v>
      </c>
      <c r="BC433" t="s">
        <v>1064</v>
      </c>
      <c r="BD433" t="s">
        <v>7528</v>
      </c>
      <c r="BF433" t="s">
        <v>1466</v>
      </c>
      <c r="BG433" t="s">
        <v>98</v>
      </c>
      <c r="BH433" t="s">
        <v>98</v>
      </c>
      <c r="BI433" t="s">
        <v>98</v>
      </c>
      <c r="BK433" t="s">
        <v>127</v>
      </c>
      <c r="BL433" t="s">
        <v>7528</v>
      </c>
      <c r="BR433">
        <v>1</v>
      </c>
      <c r="BT433">
        <v>5.25</v>
      </c>
      <c r="CA433">
        <v>3353</v>
      </c>
      <c r="CB433" t="s">
        <v>279</v>
      </c>
      <c r="CL433" t="s">
        <v>99</v>
      </c>
      <c r="CM433" t="s">
        <v>98</v>
      </c>
      <c r="CN433" t="s">
        <v>442</v>
      </c>
      <c r="CO433" s="1">
        <v>43530</v>
      </c>
      <c r="CP433" s="1">
        <v>43633</v>
      </c>
    </row>
    <row r="434" spans="1:94" x14ac:dyDescent="0.25">
      <c r="A434" t="s">
        <v>1467</v>
      </c>
      <c r="B434" t="str">
        <f xml:space="preserve"> "" &amp; 747396111162</f>
        <v>747396111162</v>
      </c>
      <c r="C434" t="s">
        <v>1468</v>
      </c>
      <c r="D434" t="s">
        <v>1469</v>
      </c>
      <c r="E434" t="s">
        <v>1456</v>
      </c>
      <c r="F434" t="s">
        <v>323</v>
      </c>
      <c r="G434">
        <v>1</v>
      </c>
      <c r="H434">
        <v>1</v>
      </c>
      <c r="I434" t="s">
        <v>97</v>
      </c>
      <c r="J434" s="10">
        <v>125</v>
      </c>
      <c r="K434" s="10">
        <v>375</v>
      </c>
      <c r="L434" s="10">
        <v>0</v>
      </c>
      <c r="N434" s="10">
        <v>0</v>
      </c>
      <c r="O434" t="s">
        <v>99</v>
      </c>
      <c r="P434" s="10">
        <v>259.95</v>
      </c>
      <c r="S434">
        <v>9</v>
      </c>
      <c r="U434">
        <v>35</v>
      </c>
      <c r="V434">
        <v>7.25</v>
      </c>
      <c r="W434">
        <v>6.61</v>
      </c>
      <c r="X434">
        <v>1</v>
      </c>
      <c r="Y434">
        <v>15.5</v>
      </c>
      <c r="Z434">
        <v>33.9</v>
      </c>
      <c r="AA434">
        <v>8.3000000000000007</v>
      </c>
      <c r="AB434">
        <v>2.524</v>
      </c>
      <c r="AC434">
        <v>8.82</v>
      </c>
      <c r="AE434">
        <v>4</v>
      </c>
      <c r="AF434" t="s">
        <v>745</v>
      </c>
      <c r="AG434">
        <v>60</v>
      </c>
      <c r="AK434" t="s">
        <v>98</v>
      </c>
      <c r="AM434" t="s">
        <v>98</v>
      </c>
      <c r="AN434" t="s">
        <v>98</v>
      </c>
      <c r="AO434" t="s">
        <v>99</v>
      </c>
      <c r="AP434" t="s">
        <v>100</v>
      </c>
      <c r="AQ434" t="s">
        <v>101</v>
      </c>
      <c r="AV434" t="s">
        <v>98</v>
      </c>
      <c r="AX434" t="s">
        <v>279</v>
      </c>
      <c r="AZ434" t="s">
        <v>102</v>
      </c>
      <c r="BB434" t="s">
        <v>7528</v>
      </c>
      <c r="BC434" t="s">
        <v>1064</v>
      </c>
      <c r="BD434" t="s">
        <v>7528</v>
      </c>
      <c r="BF434" t="s">
        <v>1470</v>
      </c>
      <c r="BG434" t="s">
        <v>98</v>
      </c>
      <c r="BH434" t="s">
        <v>98</v>
      </c>
      <c r="BI434" t="s">
        <v>98</v>
      </c>
      <c r="BK434" t="s">
        <v>127</v>
      </c>
      <c r="BL434" t="s">
        <v>7528</v>
      </c>
      <c r="BR434">
        <v>1</v>
      </c>
      <c r="BT434">
        <v>5.25</v>
      </c>
      <c r="CA434">
        <v>3354</v>
      </c>
      <c r="CB434" t="s">
        <v>279</v>
      </c>
      <c r="CL434" t="s">
        <v>99</v>
      </c>
      <c r="CM434" t="s">
        <v>98</v>
      </c>
      <c r="CN434" t="s">
        <v>442</v>
      </c>
      <c r="CO434" s="1">
        <v>43530</v>
      </c>
      <c r="CP434" s="1">
        <v>43633</v>
      </c>
    </row>
    <row r="435" spans="1:94" x14ac:dyDescent="0.25">
      <c r="A435" t="s">
        <v>1471</v>
      </c>
      <c r="B435" t="str">
        <f xml:space="preserve"> "" &amp; 747396111056</f>
        <v>747396111056</v>
      </c>
      <c r="C435" t="s">
        <v>751</v>
      </c>
      <c r="D435" t="s">
        <v>6601</v>
      </c>
      <c r="E435" t="s">
        <v>1472</v>
      </c>
      <c r="F435" t="s">
        <v>323</v>
      </c>
      <c r="G435">
        <v>1</v>
      </c>
      <c r="H435">
        <v>1</v>
      </c>
      <c r="I435" t="s">
        <v>97</v>
      </c>
      <c r="J435" s="10">
        <v>45</v>
      </c>
      <c r="K435" s="10">
        <v>135</v>
      </c>
      <c r="L435" s="10">
        <v>0</v>
      </c>
      <c r="N435" s="10">
        <v>0</v>
      </c>
      <c r="O435" t="s">
        <v>99</v>
      </c>
      <c r="P435" s="10">
        <v>94.95</v>
      </c>
      <c r="S435">
        <v>10.5</v>
      </c>
      <c r="U435">
        <v>6.5</v>
      </c>
      <c r="V435">
        <v>9.5</v>
      </c>
      <c r="W435">
        <v>2.29</v>
      </c>
      <c r="X435">
        <v>1</v>
      </c>
      <c r="Y435">
        <v>9</v>
      </c>
      <c r="Z435">
        <v>14.25</v>
      </c>
      <c r="AA435">
        <v>9.75</v>
      </c>
      <c r="AB435">
        <v>0.72399999999999998</v>
      </c>
      <c r="AC435">
        <v>3.33</v>
      </c>
      <c r="AE435">
        <v>1</v>
      </c>
      <c r="AF435" t="s">
        <v>1473</v>
      </c>
      <c r="AG435">
        <v>100</v>
      </c>
      <c r="AK435" t="s">
        <v>98</v>
      </c>
      <c r="AM435" t="s">
        <v>98</v>
      </c>
      <c r="AN435" t="s">
        <v>99</v>
      </c>
      <c r="AO435" t="s">
        <v>98</v>
      </c>
      <c r="AP435" t="s">
        <v>100</v>
      </c>
      <c r="AQ435" t="s">
        <v>101</v>
      </c>
      <c r="AV435" t="s">
        <v>98</v>
      </c>
      <c r="AX435" t="s">
        <v>1105</v>
      </c>
      <c r="AZ435" t="s">
        <v>102</v>
      </c>
      <c r="BB435" t="s">
        <v>7528</v>
      </c>
      <c r="BC435" t="s">
        <v>1446</v>
      </c>
      <c r="BD435" t="s">
        <v>7528</v>
      </c>
      <c r="BF435" t="s">
        <v>1474</v>
      </c>
      <c r="BG435" t="s">
        <v>98</v>
      </c>
      <c r="BH435" t="s">
        <v>98</v>
      </c>
      <c r="BI435" t="s">
        <v>98</v>
      </c>
      <c r="BK435" t="s">
        <v>127</v>
      </c>
      <c r="BL435" t="s">
        <v>756</v>
      </c>
      <c r="BM435">
        <v>5</v>
      </c>
      <c r="BN435">
        <v>1</v>
      </c>
      <c r="CA435">
        <v>3361</v>
      </c>
      <c r="CB435" t="s">
        <v>1105</v>
      </c>
      <c r="CL435" t="s">
        <v>99</v>
      </c>
      <c r="CM435" t="s">
        <v>98</v>
      </c>
      <c r="CN435" t="s">
        <v>237</v>
      </c>
      <c r="CO435" s="1">
        <v>43584</v>
      </c>
      <c r="CP435" s="1">
        <v>43616</v>
      </c>
    </row>
    <row r="436" spans="1:94" x14ac:dyDescent="0.25">
      <c r="A436" t="s">
        <v>1475</v>
      </c>
      <c r="B436" t="str">
        <f xml:space="preserve"> "" &amp; 747396111063</f>
        <v>747396111063</v>
      </c>
      <c r="C436" t="s">
        <v>758</v>
      </c>
      <c r="D436" t="s">
        <v>6602</v>
      </c>
      <c r="E436" t="s">
        <v>1472</v>
      </c>
      <c r="F436" t="s">
        <v>323</v>
      </c>
      <c r="G436">
        <v>1</v>
      </c>
      <c r="H436">
        <v>1</v>
      </c>
      <c r="I436" t="s">
        <v>97</v>
      </c>
      <c r="J436" s="10">
        <v>65</v>
      </c>
      <c r="K436" s="10">
        <v>195</v>
      </c>
      <c r="L436" s="10">
        <v>0</v>
      </c>
      <c r="N436" s="10">
        <v>0</v>
      </c>
      <c r="O436" t="s">
        <v>99</v>
      </c>
      <c r="P436" s="10">
        <v>139.94999999999999</v>
      </c>
      <c r="S436">
        <v>10.5</v>
      </c>
      <c r="U436">
        <v>16.25</v>
      </c>
      <c r="V436">
        <v>9.5</v>
      </c>
      <c r="W436">
        <v>4.08</v>
      </c>
      <c r="X436">
        <v>1</v>
      </c>
      <c r="Y436">
        <v>14.38</v>
      </c>
      <c r="Z436">
        <v>16.5</v>
      </c>
      <c r="AA436">
        <v>10.63</v>
      </c>
      <c r="AB436">
        <v>1.46</v>
      </c>
      <c r="AC436">
        <v>6.28</v>
      </c>
      <c r="AE436">
        <v>2</v>
      </c>
      <c r="AF436" t="s">
        <v>1473</v>
      </c>
      <c r="AG436">
        <v>100</v>
      </c>
      <c r="AK436" t="s">
        <v>98</v>
      </c>
      <c r="AM436" t="s">
        <v>98</v>
      </c>
      <c r="AN436" t="s">
        <v>99</v>
      </c>
      <c r="AO436" t="s">
        <v>98</v>
      </c>
      <c r="AP436" t="s">
        <v>100</v>
      </c>
      <c r="AQ436" t="s">
        <v>101</v>
      </c>
      <c r="AV436" t="s">
        <v>98</v>
      </c>
      <c r="AX436" t="s">
        <v>1105</v>
      </c>
      <c r="AZ436" t="s">
        <v>102</v>
      </c>
      <c r="BB436" t="s">
        <v>7528</v>
      </c>
      <c r="BC436" t="s">
        <v>1446</v>
      </c>
      <c r="BD436" t="s">
        <v>7528</v>
      </c>
      <c r="BF436" t="s">
        <v>1476</v>
      </c>
      <c r="BG436" t="s">
        <v>98</v>
      </c>
      <c r="BH436" t="s">
        <v>98</v>
      </c>
      <c r="BI436" t="s">
        <v>98</v>
      </c>
      <c r="BK436" t="s">
        <v>127</v>
      </c>
      <c r="BL436" t="s">
        <v>756</v>
      </c>
      <c r="BM436">
        <v>5</v>
      </c>
      <c r="BN436">
        <v>1</v>
      </c>
      <c r="CA436">
        <v>3362</v>
      </c>
      <c r="CB436" t="s">
        <v>1105</v>
      </c>
      <c r="CL436" t="s">
        <v>99</v>
      </c>
      <c r="CM436" t="s">
        <v>98</v>
      </c>
      <c r="CN436" t="s">
        <v>237</v>
      </c>
      <c r="CO436" s="1">
        <v>43584</v>
      </c>
      <c r="CP436" s="1">
        <v>43630</v>
      </c>
    </row>
    <row r="437" spans="1:94" x14ac:dyDescent="0.25">
      <c r="A437" t="s">
        <v>1477</v>
      </c>
      <c r="B437" t="str">
        <f xml:space="preserve"> "" &amp; 747396111070</f>
        <v>747396111070</v>
      </c>
      <c r="C437" t="s">
        <v>762</v>
      </c>
      <c r="D437" t="s">
        <v>6603</v>
      </c>
      <c r="E437" t="s">
        <v>1472</v>
      </c>
      <c r="F437" t="s">
        <v>323</v>
      </c>
      <c r="G437">
        <v>1</v>
      </c>
      <c r="H437">
        <v>1</v>
      </c>
      <c r="I437" t="s">
        <v>97</v>
      </c>
      <c r="J437" s="10">
        <v>105</v>
      </c>
      <c r="K437" s="10">
        <v>315</v>
      </c>
      <c r="L437" s="10">
        <v>0</v>
      </c>
      <c r="N437" s="10">
        <v>0</v>
      </c>
      <c r="O437" t="s">
        <v>99</v>
      </c>
      <c r="P437" s="10">
        <v>209.95</v>
      </c>
      <c r="S437">
        <v>10.5</v>
      </c>
      <c r="U437">
        <v>26</v>
      </c>
      <c r="V437">
        <v>9.5</v>
      </c>
      <c r="W437">
        <v>5.89</v>
      </c>
      <c r="X437">
        <v>1</v>
      </c>
      <c r="Y437">
        <v>14.38</v>
      </c>
      <c r="Z437">
        <v>26.25</v>
      </c>
      <c r="AA437">
        <v>10.63</v>
      </c>
      <c r="AB437">
        <v>2.3220000000000001</v>
      </c>
      <c r="AC437">
        <v>8.69</v>
      </c>
      <c r="AE437">
        <v>3</v>
      </c>
      <c r="AF437" t="s">
        <v>1473</v>
      </c>
      <c r="AG437">
        <v>100</v>
      </c>
      <c r="AK437" t="s">
        <v>98</v>
      </c>
      <c r="AM437" t="s">
        <v>98</v>
      </c>
      <c r="AN437" t="s">
        <v>99</v>
      </c>
      <c r="AO437" t="s">
        <v>98</v>
      </c>
      <c r="AP437" t="s">
        <v>100</v>
      </c>
      <c r="AQ437" t="s">
        <v>101</v>
      </c>
      <c r="AV437" t="s">
        <v>98</v>
      </c>
      <c r="AX437" t="s">
        <v>1105</v>
      </c>
      <c r="AZ437" t="s">
        <v>102</v>
      </c>
      <c r="BB437" t="s">
        <v>7528</v>
      </c>
      <c r="BC437" t="s">
        <v>1446</v>
      </c>
      <c r="BD437" t="s">
        <v>7528</v>
      </c>
      <c r="BF437" t="s">
        <v>1478</v>
      </c>
      <c r="BG437" t="s">
        <v>98</v>
      </c>
      <c r="BH437" t="s">
        <v>98</v>
      </c>
      <c r="BI437" t="s">
        <v>98</v>
      </c>
      <c r="BK437" t="s">
        <v>127</v>
      </c>
      <c r="BL437" t="s">
        <v>756</v>
      </c>
      <c r="BM437">
        <v>5</v>
      </c>
      <c r="BN437">
        <v>1</v>
      </c>
      <c r="CA437">
        <v>3363</v>
      </c>
      <c r="CB437" t="s">
        <v>1105</v>
      </c>
      <c r="CL437" t="s">
        <v>99</v>
      </c>
      <c r="CM437" t="s">
        <v>98</v>
      </c>
      <c r="CN437" t="s">
        <v>237</v>
      </c>
      <c r="CO437" s="1">
        <v>43584</v>
      </c>
      <c r="CP437" s="1">
        <v>43630</v>
      </c>
    </row>
    <row r="438" spans="1:94" x14ac:dyDescent="0.25">
      <c r="A438" t="s">
        <v>1479</v>
      </c>
      <c r="B438" t="str">
        <f xml:space="preserve"> "" &amp; 747396058078</f>
        <v>747396058078</v>
      </c>
      <c r="C438" t="s">
        <v>230</v>
      </c>
      <c r="D438" t="s">
        <v>230</v>
      </c>
      <c r="E438" t="s">
        <v>7528</v>
      </c>
      <c r="F438" t="s">
        <v>232</v>
      </c>
      <c r="G438">
        <v>1</v>
      </c>
      <c r="H438">
        <v>1</v>
      </c>
      <c r="I438" t="s">
        <v>97</v>
      </c>
      <c r="J438" s="10">
        <v>25</v>
      </c>
      <c r="K438" s="10">
        <v>75</v>
      </c>
      <c r="L438" s="10">
        <v>0</v>
      </c>
      <c r="N438" s="10">
        <v>0</v>
      </c>
      <c r="S438">
        <v>9</v>
      </c>
      <c r="T438">
        <v>10</v>
      </c>
      <c r="U438">
        <v>8</v>
      </c>
      <c r="V438">
        <v>4</v>
      </c>
      <c r="W438">
        <v>3.48</v>
      </c>
      <c r="X438">
        <v>1</v>
      </c>
      <c r="Y438">
        <v>12</v>
      </c>
      <c r="Z438">
        <v>10</v>
      </c>
      <c r="AA438">
        <v>6.5</v>
      </c>
      <c r="AB438">
        <v>0.45100000000000001</v>
      </c>
      <c r="AC438">
        <v>4.37</v>
      </c>
      <c r="AE438">
        <v>1</v>
      </c>
      <c r="AF438" t="s">
        <v>233</v>
      </c>
      <c r="AG438">
        <v>100</v>
      </c>
      <c r="AK438" t="s">
        <v>98</v>
      </c>
      <c r="AM438" t="s">
        <v>98</v>
      </c>
      <c r="AN438" t="s">
        <v>98</v>
      </c>
      <c r="AO438" t="s">
        <v>99</v>
      </c>
      <c r="AP438" t="s">
        <v>100</v>
      </c>
      <c r="AQ438" t="s">
        <v>101</v>
      </c>
      <c r="AV438" t="s">
        <v>98</v>
      </c>
      <c r="AX438" t="s">
        <v>7528</v>
      </c>
      <c r="AZ438" t="s">
        <v>392</v>
      </c>
      <c r="BB438" t="s">
        <v>235</v>
      </c>
      <c r="BC438" t="s">
        <v>1480</v>
      </c>
      <c r="BD438" t="s">
        <v>7528</v>
      </c>
      <c r="BF438" t="s">
        <v>1481</v>
      </c>
      <c r="BG438" t="s">
        <v>98</v>
      </c>
      <c r="BH438" t="s">
        <v>99</v>
      </c>
      <c r="BI438" t="s">
        <v>98</v>
      </c>
      <c r="BK438" t="s">
        <v>127</v>
      </c>
      <c r="BL438" t="s">
        <v>645</v>
      </c>
      <c r="BR438">
        <v>4.75</v>
      </c>
      <c r="BT438">
        <v>7.38</v>
      </c>
      <c r="CA438" t="s">
        <v>1479</v>
      </c>
      <c r="CB438" t="s">
        <v>7528</v>
      </c>
      <c r="CL438" t="s">
        <v>99</v>
      </c>
      <c r="CM438" t="s">
        <v>98</v>
      </c>
      <c r="CN438" t="s">
        <v>237</v>
      </c>
      <c r="CO438" s="1">
        <v>38304</v>
      </c>
      <c r="CP438" s="1">
        <v>43633</v>
      </c>
    </row>
    <row r="439" spans="1:94" x14ac:dyDescent="0.25">
      <c r="A439" t="s">
        <v>1482</v>
      </c>
      <c r="B439" t="str">
        <f xml:space="preserve"> "" &amp; 747396098258</f>
        <v>747396098258</v>
      </c>
      <c r="C439" t="s">
        <v>751</v>
      </c>
      <c r="D439" t="s">
        <v>1483</v>
      </c>
      <c r="E439" t="s">
        <v>1484</v>
      </c>
      <c r="F439" t="s">
        <v>323</v>
      </c>
      <c r="G439">
        <v>1</v>
      </c>
      <c r="H439">
        <v>1</v>
      </c>
      <c r="I439" t="s">
        <v>97</v>
      </c>
      <c r="J439" s="10">
        <v>54.95</v>
      </c>
      <c r="K439" s="10">
        <v>164.85</v>
      </c>
      <c r="L439" s="10">
        <v>0</v>
      </c>
      <c r="N439" s="10">
        <v>0</v>
      </c>
      <c r="O439" t="s">
        <v>99</v>
      </c>
      <c r="P439" s="10">
        <v>114.95</v>
      </c>
      <c r="S439">
        <v>8.5</v>
      </c>
      <c r="T439">
        <v>12.25</v>
      </c>
      <c r="U439">
        <v>5.25</v>
      </c>
      <c r="V439">
        <v>7.75</v>
      </c>
      <c r="W439">
        <v>3.42</v>
      </c>
      <c r="Y439">
        <v>7.5</v>
      </c>
      <c r="Z439">
        <v>12.25</v>
      </c>
      <c r="AA439">
        <v>9.75</v>
      </c>
      <c r="AB439">
        <v>0.51800000000000002</v>
      </c>
      <c r="AC439">
        <v>4.37</v>
      </c>
      <c r="AE439">
        <v>1</v>
      </c>
      <c r="AF439" t="s">
        <v>347</v>
      </c>
      <c r="AG439">
        <v>100</v>
      </c>
      <c r="AK439" t="s">
        <v>98</v>
      </c>
      <c r="AL439">
        <v>1</v>
      </c>
      <c r="AM439" t="s">
        <v>98</v>
      </c>
      <c r="AN439" t="s">
        <v>99</v>
      </c>
      <c r="AO439" t="s">
        <v>98</v>
      </c>
      <c r="AP439" t="s">
        <v>100</v>
      </c>
      <c r="AQ439" t="s">
        <v>101</v>
      </c>
      <c r="AV439" t="s">
        <v>98</v>
      </c>
      <c r="AX439" t="s">
        <v>399</v>
      </c>
      <c r="AZ439" t="s">
        <v>102</v>
      </c>
      <c r="BB439" t="s">
        <v>235</v>
      </c>
      <c r="BC439" t="s">
        <v>746</v>
      </c>
      <c r="BD439" t="s">
        <v>7528</v>
      </c>
      <c r="BF439" t="s">
        <v>1485</v>
      </c>
      <c r="BG439" t="s">
        <v>98</v>
      </c>
      <c r="BH439" t="s">
        <v>98</v>
      </c>
      <c r="BI439" t="s">
        <v>98</v>
      </c>
      <c r="BK439" t="s">
        <v>127</v>
      </c>
      <c r="BL439" t="s">
        <v>756</v>
      </c>
      <c r="BM439">
        <v>4.75</v>
      </c>
      <c r="BN439">
        <v>8.5</v>
      </c>
      <c r="CA439">
        <v>3381</v>
      </c>
      <c r="CB439" t="s">
        <v>399</v>
      </c>
      <c r="CL439" t="s">
        <v>99</v>
      </c>
      <c r="CM439" t="s">
        <v>98</v>
      </c>
      <c r="CN439" t="s">
        <v>442</v>
      </c>
      <c r="CO439" s="1">
        <v>42324</v>
      </c>
      <c r="CP439" s="1">
        <v>43633</v>
      </c>
    </row>
    <row r="440" spans="1:94" x14ac:dyDescent="0.25">
      <c r="A440" t="s">
        <v>1486</v>
      </c>
      <c r="B440" t="str">
        <f xml:space="preserve"> "" &amp; 747396098265</f>
        <v>747396098265</v>
      </c>
      <c r="C440" t="s">
        <v>758</v>
      </c>
      <c r="D440" t="s">
        <v>1487</v>
      </c>
      <c r="E440" t="s">
        <v>1484</v>
      </c>
      <c r="F440" t="s">
        <v>323</v>
      </c>
      <c r="G440">
        <v>1</v>
      </c>
      <c r="H440">
        <v>1</v>
      </c>
      <c r="I440" t="s">
        <v>97</v>
      </c>
      <c r="J440" s="10">
        <v>89</v>
      </c>
      <c r="K440" s="10">
        <v>267</v>
      </c>
      <c r="L440" s="10">
        <v>0</v>
      </c>
      <c r="N440" s="10">
        <v>0</v>
      </c>
      <c r="O440" t="s">
        <v>99</v>
      </c>
      <c r="P440" s="10">
        <v>189.95</v>
      </c>
      <c r="S440">
        <v>7.75</v>
      </c>
      <c r="U440">
        <v>15</v>
      </c>
      <c r="V440">
        <v>7.75</v>
      </c>
      <c r="W440">
        <v>6.92</v>
      </c>
      <c r="Y440">
        <v>12</v>
      </c>
      <c r="Z440">
        <v>17.25</v>
      </c>
      <c r="AA440">
        <v>10.25</v>
      </c>
      <c r="AB440">
        <v>1.228</v>
      </c>
      <c r="AC440">
        <v>9.2200000000000006</v>
      </c>
      <c r="AE440">
        <v>2</v>
      </c>
      <c r="AF440" t="s">
        <v>347</v>
      </c>
      <c r="AG440">
        <v>100</v>
      </c>
      <c r="AK440" t="s">
        <v>98</v>
      </c>
      <c r="AL440">
        <v>2</v>
      </c>
      <c r="AM440" t="s">
        <v>98</v>
      </c>
      <c r="AN440" t="s">
        <v>99</v>
      </c>
      <c r="AO440" t="s">
        <v>98</v>
      </c>
      <c r="AP440" t="s">
        <v>100</v>
      </c>
      <c r="AQ440" t="s">
        <v>101</v>
      </c>
      <c r="AV440" t="s">
        <v>98</v>
      </c>
      <c r="AX440" t="s">
        <v>399</v>
      </c>
      <c r="AZ440" t="s">
        <v>102</v>
      </c>
      <c r="BB440" t="s">
        <v>235</v>
      </c>
      <c r="BC440" t="s">
        <v>746</v>
      </c>
      <c r="BD440" t="s">
        <v>7528</v>
      </c>
      <c r="BF440" t="s">
        <v>1488</v>
      </c>
      <c r="BG440" t="s">
        <v>98</v>
      </c>
      <c r="BH440" t="s">
        <v>98</v>
      </c>
      <c r="BI440" t="s">
        <v>98</v>
      </c>
      <c r="BK440" t="s">
        <v>127</v>
      </c>
      <c r="BL440" t="s">
        <v>756</v>
      </c>
      <c r="BR440">
        <v>4.75</v>
      </c>
      <c r="BT440">
        <v>8.5</v>
      </c>
      <c r="CA440">
        <v>3382</v>
      </c>
      <c r="CB440" t="s">
        <v>399</v>
      </c>
      <c r="CL440" t="s">
        <v>99</v>
      </c>
      <c r="CM440" t="s">
        <v>98</v>
      </c>
      <c r="CN440" t="s">
        <v>442</v>
      </c>
      <c r="CO440" s="1">
        <v>42324</v>
      </c>
      <c r="CP440" s="1">
        <v>43633</v>
      </c>
    </row>
    <row r="441" spans="1:94" x14ac:dyDescent="0.25">
      <c r="A441" t="s">
        <v>1489</v>
      </c>
      <c r="B441" t="str">
        <f xml:space="preserve"> "" &amp; 747396098272</f>
        <v>747396098272</v>
      </c>
      <c r="C441" t="s">
        <v>762</v>
      </c>
      <c r="D441" t="s">
        <v>1490</v>
      </c>
      <c r="E441" t="s">
        <v>1484</v>
      </c>
      <c r="F441" t="s">
        <v>323</v>
      </c>
      <c r="G441">
        <v>1</v>
      </c>
      <c r="H441">
        <v>1</v>
      </c>
      <c r="I441" t="s">
        <v>97</v>
      </c>
      <c r="J441" s="10">
        <v>119</v>
      </c>
      <c r="K441" s="10">
        <v>357</v>
      </c>
      <c r="L441" s="10">
        <v>0</v>
      </c>
      <c r="N441" s="10">
        <v>0</v>
      </c>
      <c r="O441" t="s">
        <v>99</v>
      </c>
      <c r="P441" s="10">
        <v>249.95</v>
      </c>
      <c r="S441">
        <v>7.75</v>
      </c>
      <c r="U441">
        <v>23.13</v>
      </c>
      <c r="V441">
        <v>7.75</v>
      </c>
      <c r="W441">
        <v>9.59</v>
      </c>
      <c r="Y441">
        <v>12</v>
      </c>
      <c r="Z441">
        <v>25.63</v>
      </c>
      <c r="AA441">
        <v>10.25</v>
      </c>
      <c r="AB441">
        <v>1.8240000000000001</v>
      </c>
      <c r="AC441">
        <v>12.76</v>
      </c>
      <c r="AE441">
        <v>3</v>
      </c>
      <c r="AF441" t="s">
        <v>347</v>
      </c>
      <c r="AG441">
        <v>100</v>
      </c>
      <c r="AK441" t="s">
        <v>98</v>
      </c>
      <c r="AL441">
        <v>3</v>
      </c>
      <c r="AM441" t="s">
        <v>98</v>
      </c>
      <c r="AN441" t="s">
        <v>99</v>
      </c>
      <c r="AO441" t="s">
        <v>98</v>
      </c>
      <c r="AP441" t="s">
        <v>100</v>
      </c>
      <c r="AQ441" t="s">
        <v>101</v>
      </c>
      <c r="AV441" t="s">
        <v>98</v>
      </c>
      <c r="AX441" t="s">
        <v>399</v>
      </c>
      <c r="AZ441" t="s">
        <v>102</v>
      </c>
      <c r="BB441" t="s">
        <v>235</v>
      </c>
      <c r="BC441" t="s">
        <v>746</v>
      </c>
      <c r="BD441" t="s">
        <v>7528</v>
      </c>
      <c r="BF441" t="s">
        <v>1491</v>
      </c>
      <c r="BG441" t="s">
        <v>98</v>
      </c>
      <c r="BH441" t="s">
        <v>98</v>
      </c>
      <c r="BI441" t="s">
        <v>98</v>
      </c>
      <c r="BK441" t="s">
        <v>127</v>
      </c>
      <c r="BL441" t="s">
        <v>756</v>
      </c>
      <c r="BR441">
        <v>4.75</v>
      </c>
      <c r="BT441">
        <v>8.5</v>
      </c>
      <c r="CA441">
        <v>3383</v>
      </c>
      <c r="CB441" t="s">
        <v>399</v>
      </c>
      <c r="CL441" t="s">
        <v>99</v>
      </c>
      <c r="CM441" t="s">
        <v>98</v>
      </c>
      <c r="CN441" t="s">
        <v>1492</v>
      </c>
      <c r="CO441" s="1">
        <v>42324</v>
      </c>
      <c r="CP441" s="1">
        <v>43633</v>
      </c>
    </row>
    <row r="442" spans="1:94" x14ac:dyDescent="0.25">
      <c r="A442" t="s">
        <v>1493</v>
      </c>
      <c r="B442" t="str">
        <f xml:space="preserve"> "" &amp; 747396098289</f>
        <v>747396098289</v>
      </c>
      <c r="C442" t="s">
        <v>766</v>
      </c>
      <c r="D442" t="s">
        <v>1494</v>
      </c>
      <c r="E442" t="s">
        <v>1484</v>
      </c>
      <c r="F442" t="s">
        <v>323</v>
      </c>
      <c r="G442">
        <v>1</v>
      </c>
      <c r="H442">
        <v>1</v>
      </c>
      <c r="I442" t="s">
        <v>97</v>
      </c>
      <c r="J442" s="10">
        <v>149</v>
      </c>
      <c r="K442" s="10">
        <v>447</v>
      </c>
      <c r="L442" s="10">
        <v>0</v>
      </c>
      <c r="N442" s="10">
        <v>0</v>
      </c>
      <c r="O442" t="s">
        <v>99</v>
      </c>
      <c r="P442" s="10">
        <v>314.95</v>
      </c>
      <c r="S442">
        <v>7.75</v>
      </c>
      <c r="U442">
        <v>33</v>
      </c>
      <c r="V442">
        <v>7.75</v>
      </c>
      <c r="W442">
        <v>12.21</v>
      </c>
      <c r="Y442">
        <v>12</v>
      </c>
      <c r="Z442">
        <v>35.380000000000003</v>
      </c>
      <c r="AA442">
        <v>10.25</v>
      </c>
      <c r="AB442">
        <v>2.5179999999999998</v>
      </c>
      <c r="AC442">
        <v>16.45</v>
      </c>
      <c r="AE442">
        <v>4</v>
      </c>
      <c r="AF442" t="s">
        <v>347</v>
      </c>
      <c r="AG442">
        <v>100</v>
      </c>
      <c r="AK442" t="s">
        <v>98</v>
      </c>
      <c r="AL442">
        <v>4</v>
      </c>
      <c r="AM442" t="s">
        <v>98</v>
      </c>
      <c r="AN442" t="s">
        <v>99</v>
      </c>
      <c r="AO442" t="s">
        <v>98</v>
      </c>
      <c r="AP442" t="s">
        <v>100</v>
      </c>
      <c r="AQ442" t="s">
        <v>101</v>
      </c>
      <c r="AV442" t="s">
        <v>98</v>
      </c>
      <c r="AX442" t="s">
        <v>399</v>
      </c>
      <c r="AZ442" t="s">
        <v>102</v>
      </c>
      <c r="BB442" t="s">
        <v>235</v>
      </c>
      <c r="BC442" t="s">
        <v>746</v>
      </c>
      <c r="BD442" t="s">
        <v>7528</v>
      </c>
      <c r="BF442" t="s">
        <v>1495</v>
      </c>
      <c r="BG442" t="s">
        <v>98</v>
      </c>
      <c r="BH442" t="s">
        <v>98</v>
      </c>
      <c r="BI442" t="s">
        <v>98</v>
      </c>
      <c r="BK442" t="s">
        <v>127</v>
      </c>
      <c r="BL442" t="s">
        <v>756</v>
      </c>
      <c r="BR442">
        <v>4.75</v>
      </c>
      <c r="BT442">
        <v>8.5</v>
      </c>
      <c r="CA442">
        <v>3384</v>
      </c>
      <c r="CB442" t="s">
        <v>399</v>
      </c>
      <c r="CL442" t="s">
        <v>99</v>
      </c>
      <c r="CM442" t="s">
        <v>98</v>
      </c>
      <c r="CN442" t="s">
        <v>442</v>
      </c>
      <c r="CO442" s="1">
        <v>42324</v>
      </c>
      <c r="CP442" s="1">
        <v>43633</v>
      </c>
    </row>
    <row r="443" spans="1:94" x14ac:dyDescent="0.25">
      <c r="A443" t="s">
        <v>1496</v>
      </c>
      <c r="B443" t="str">
        <f xml:space="preserve"> "" &amp; 747396097428</f>
        <v>747396097428</v>
      </c>
      <c r="C443" t="s">
        <v>543</v>
      </c>
      <c r="D443" t="s">
        <v>1497</v>
      </c>
      <c r="E443" t="s">
        <v>1354</v>
      </c>
      <c r="F443" t="s">
        <v>249</v>
      </c>
      <c r="G443">
        <v>1</v>
      </c>
      <c r="H443">
        <v>1</v>
      </c>
      <c r="I443" t="s">
        <v>97</v>
      </c>
      <c r="J443" s="10">
        <v>122</v>
      </c>
      <c r="K443" s="10">
        <v>366</v>
      </c>
      <c r="L443" s="10">
        <v>0</v>
      </c>
      <c r="N443" s="10">
        <v>0</v>
      </c>
      <c r="O443" t="s">
        <v>99</v>
      </c>
      <c r="P443" s="10">
        <v>254.95</v>
      </c>
      <c r="S443">
        <v>19.75</v>
      </c>
      <c r="T443">
        <v>20</v>
      </c>
      <c r="U443">
        <v>20</v>
      </c>
      <c r="W443">
        <v>8.36</v>
      </c>
      <c r="Y443">
        <v>20.25</v>
      </c>
      <c r="Z443">
        <v>18.5</v>
      </c>
      <c r="AA443">
        <v>13.75</v>
      </c>
      <c r="AB443">
        <v>2.9809999999999999</v>
      </c>
      <c r="AC443">
        <v>12.72</v>
      </c>
      <c r="AE443">
        <v>3</v>
      </c>
      <c r="AF443" t="s">
        <v>282</v>
      </c>
      <c r="AG443">
        <v>100</v>
      </c>
      <c r="AK443" t="s">
        <v>98</v>
      </c>
      <c r="AL443">
        <v>3</v>
      </c>
      <c r="AM443" t="s">
        <v>98</v>
      </c>
      <c r="AN443" t="s">
        <v>99</v>
      </c>
      <c r="AO443" t="s">
        <v>98</v>
      </c>
      <c r="AP443" t="s">
        <v>100</v>
      </c>
      <c r="AQ443" t="s">
        <v>101</v>
      </c>
      <c r="AV443" t="s">
        <v>98</v>
      </c>
      <c r="AX443" t="s">
        <v>484</v>
      </c>
      <c r="AZ443" t="s">
        <v>124</v>
      </c>
      <c r="BB443" t="s">
        <v>235</v>
      </c>
      <c r="BC443" t="s">
        <v>460</v>
      </c>
      <c r="BD443" t="s">
        <v>7528</v>
      </c>
      <c r="BF443" t="s">
        <v>1498</v>
      </c>
      <c r="BG443" t="s">
        <v>98</v>
      </c>
      <c r="BH443" t="s">
        <v>98</v>
      </c>
      <c r="BI443" t="s">
        <v>98</v>
      </c>
      <c r="BK443" t="s">
        <v>110</v>
      </c>
      <c r="BL443" t="s">
        <v>7528</v>
      </c>
      <c r="BQ443">
        <v>5.13</v>
      </c>
      <c r="BR443">
        <v>1</v>
      </c>
      <c r="BS443">
        <v>5.13</v>
      </c>
      <c r="BT443">
        <v>5.13</v>
      </c>
      <c r="CA443">
        <v>3403</v>
      </c>
      <c r="CB443" t="s">
        <v>484</v>
      </c>
      <c r="CL443" t="s">
        <v>99</v>
      </c>
      <c r="CM443" t="s">
        <v>99</v>
      </c>
      <c r="CN443" t="s">
        <v>442</v>
      </c>
      <c r="CO443" s="1">
        <v>42325</v>
      </c>
      <c r="CP443" s="1">
        <v>43633</v>
      </c>
    </row>
    <row r="444" spans="1:94" x14ac:dyDescent="0.25">
      <c r="A444" t="s">
        <v>1499</v>
      </c>
      <c r="B444" t="str">
        <f xml:space="preserve"> "" &amp; 747396098159</f>
        <v>747396098159</v>
      </c>
      <c r="C444" t="s">
        <v>1281</v>
      </c>
      <c r="D444" t="s">
        <v>1500</v>
      </c>
      <c r="E444" t="s">
        <v>1354</v>
      </c>
      <c r="F444" t="s">
        <v>249</v>
      </c>
      <c r="G444">
        <v>1</v>
      </c>
      <c r="H444">
        <v>1</v>
      </c>
      <c r="I444" t="s">
        <v>97</v>
      </c>
      <c r="J444" s="10">
        <v>159</v>
      </c>
      <c r="K444" s="10">
        <v>477</v>
      </c>
      <c r="L444" s="10">
        <v>0</v>
      </c>
      <c r="N444" s="10">
        <v>0</v>
      </c>
      <c r="O444" t="s">
        <v>99</v>
      </c>
      <c r="P444" s="10">
        <v>334.95</v>
      </c>
      <c r="S444">
        <v>20.5</v>
      </c>
      <c r="T444">
        <v>38.25</v>
      </c>
      <c r="U444">
        <v>5.25</v>
      </c>
      <c r="W444">
        <v>12.68</v>
      </c>
      <c r="Y444">
        <v>7.75</v>
      </c>
      <c r="Z444">
        <v>38</v>
      </c>
      <c r="AA444">
        <v>18.5</v>
      </c>
      <c r="AB444">
        <v>3.153</v>
      </c>
      <c r="AC444">
        <v>8.82</v>
      </c>
      <c r="AE444">
        <v>4</v>
      </c>
      <c r="AF444" t="s">
        <v>347</v>
      </c>
      <c r="AG444">
        <v>100</v>
      </c>
      <c r="AK444" t="s">
        <v>98</v>
      </c>
      <c r="AM444" t="s">
        <v>98</v>
      </c>
      <c r="AN444" t="s">
        <v>99</v>
      </c>
      <c r="AO444" t="s">
        <v>98</v>
      </c>
      <c r="AP444" t="s">
        <v>100</v>
      </c>
      <c r="AQ444" t="s">
        <v>101</v>
      </c>
      <c r="AV444" t="s">
        <v>98</v>
      </c>
      <c r="AX444" t="s">
        <v>484</v>
      </c>
      <c r="AZ444" t="s">
        <v>124</v>
      </c>
      <c r="BB444" t="s">
        <v>235</v>
      </c>
      <c r="BC444" t="s">
        <v>1501</v>
      </c>
      <c r="BD444" t="s">
        <v>7528</v>
      </c>
      <c r="BF444" t="s">
        <v>1502</v>
      </c>
      <c r="BG444" t="s">
        <v>98</v>
      </c>
      <c r="BH444" t="s">
        <v>98</v>
      </c>
      <c r="BI444" t="s">
        <v>98</v>
      </c>
      <c r="BK444" t="s">
        <v>110</v>
      </c>
      <c r="BL444" t="s">
        <v>7528</v>
      </c>
      <c r="BR444">
        <v>0.75</v>
      </c>
      <c r="BT444">
        <v>11.75</v>
      </c>
      <c r="CA444">
        <v>3404</v>
      </c>
      <c r="CB444" t="s">
        <v>484</v>
      </c>
      <c r="CL444" t="s">
        <v>99</v>
      </c>
      <c r="CM444" t="s">
        <v>99</v>
      </c>
      <c r="CN444" t="s">
        <v>442</v>
      </c>
      <c r="CO444" s="1">
        <v>42325</v>
      </c>
      <c r="CP444" s="1">
        <v>43633</v>
      </c>
    </row>
    <row r="445" spans="1:94" x14ac:dyDescent="0.25">
      <c r="A445" t="s">
        <v>1503</v>
      </c>
      <c r="B445" t="str">
        <f xml:space="preserve"> "" &amp; 747396082219</f>
        <v>747396082219</v>
      </c>
      <c r="C445" t="s">
        <v>322</v>
      </c>
      <c r="D445" t="s">
        <v>1504</v>
      </c>
      <c r="E445" t="s">
        <v>7523</v>
      </c>
      <c r="F445" t="s">
        <v>232</v>
      </c>
      <c r="G445">
        <v>1</v>
      </c>
      <c r="H445">
        <v>1</v>
      </c>
      <c r="I445" t="s">
        <v>97</v>
      </c>
      <c r="J445" s="10">
        <v>74</v>
      </c>
      <c r="K445" s="10">
        <v>222</v>
      </c>
      <c r="L445" s="10">
        <v>0</v>
      </c>
      <c r="N445" s="10">
        <v>0</v>
      </c>
      <c r="S445">
        <v>17.25</v>
      </c>
      <c r="T445">
        <v>18.75</v>
      </c>
      <c r="U445">
        <v>6.5</v>
      </c>
      <c r="V445">
        <v>4</v>
      </c>
      <c r="W445">
        <v>5.4</v>
      </c>
      <c r="Y445">
        <v>7.75</v>
      </c>
      <c r="Z445">
        <v>18.75</v>
      </c>
      <c r="AA445">
        <v>9.25</v>
      </c>
      <c r="AB445">
        <v>0.77800000000000002</v>
      </c>
      <c r="AC445">
        <v>7.39</v>
      </c>
      <c r="AE445">
        <v>2</v>
      </c>
      <c r="AF445" t="s">
        <v>282</v>
      </c>
      <c r="AG445">
        <v>100</v>
      </c>
      <c r="AK445" t="s">
        <v>98</v>
      </c>
      <c r="AM445" t="s">
        <v>98</v>
      </c>
      <c r="AN445" t="s">
        <v>99</v>
      </c>
      <c r="AO445" t="s">
        <v>98</v>
      </c>
      <c r="AP445" t="s">
        <v>100</v>
      </c>
      <c r="AQ445" t="s">
        <v>101</v>
      </c>
      <c r="AV445" t="s">
        <v>98</v>
      </c>
      <c r="AX445" t="s">
        <v>276</v>
      </c>
      <c r="AZ445" t="s">
        <v>102</v>
      </c>
      <c r="BB445" t="s">
        <v>235</v>
      </c>
      <c r="BC445" t="s">
        <v>808</v>
      </c>
      <c r="BD445" t="s">
        <v>7528</v>
      </c>
      <c r="BF445" t="s">
        <v>1505</v>
      </c>
      <c r="BG445" t="s">
        <v>98</v>
      </c>
      <c r="BH445" t="s">
        <v>99</v>
      </c>
      <c r="BI445" t="s">
        <v>98</v>
      </c>
      <c r="BK445" t="s">
        <v>127</v>
      </c>
      <c r="BL445" t="s">
        <v>645</v>
      </c>
      <c r="BM445">
        <v>4.75</v>
      </c>
      <c r="BN445">
        <v>9</v>
      </c>
      <c r="CA445">
        <v>341</v>
      </c>
      <c r="CB445" t="s">
        <v>276</v>
      </c>
      <c r="CL445" t="s">
        <v>99</v>
      </c>
      <c r="CM445" t="s">
        <v>98</v>
      </c>
      <c r="CN445" t="s">
        <v>394</v>
      </c>
      <c r="CO445" s="1">
        <v>40911</v>
      </c>
      <c r="CP445" s="1">
        <v>43633</v>
      </c>
    </row>
    <row r="446" spans="1:94" x14ac:dyDescent="0.25">
      <c r="A446" t="s">
        <v>1513</v>
      </c>
      <c r="B446" t="str">
        <f xml:space="preserve"> "" &amp; 747396098203</f>
        <v>747396098203</v>
      </c>
      <c r="C446" t="s">
        <v>751</v>
      </c>
      <c r="D446" t="s">
        <v>751</v>
      </c>
      <c r="E446" t="s">
        <v>7528</v>
      </c>
      <c r="F446" t="s">
        <v>323</v>
      </c>
      <c r="G446">
        <v>1</v>
      </c>
      <c r="H446">
        <v>1</v>
      </c>
      <c r="I446" t="s">
        <v>97</v>
      </c>
      <c r="J446" s="10">
        <v>55</v>
      </c>
      <c r="K446" s="10">
        <v>165</v>
      </c>
      <c r="L446" s="10">
        <v>0</v>
      </c>
      <c r="N446" s="10">
        <v>0</v>
      </c>
      <c r="O446" t="s">
        <v>99</v>
      </c>
      <c r="P446" s="10">
        <v>114.95</v>
      </c>
      <c r="S446">
        <v>8.5</v>
      </c>
      <c r="T446">
        <v>10.5</v>
      </c>
      <c r="U446">
        <v>5.88</v>
      </c>
      <c r="V446">
        <v>7.25</v>
      </c>
      <c r="W446">
        <v>2.27</v>
      </c>
      <c r="Y446">
        <v>8.1300000000000008</v>
      </c>
      <c r="Z446">
        <v>10.5</v>
      </c>
      <c r="AA446">
        <v>10</v>
      </c>
      <c r="AB446">
        <v>0.49399999999999999</v>
      </c>
      <c r="AC446">
        <v>3.15</v>
      </c>
      <c r="AE446">
        <v>1</v>
      </c>
      <c r="AF446" t="s">
        <v>347</v>
      </c>
      <c r="AG446">
        <v>100</v>
      </c>
      <c r="AK446" t="s">
        <v>98</v>
      </c>
      <c r="AM446" t="s">
        <v>98</v>
      </c>
      <c r="AN446" t="s">
        <v>99</v>
      </c>
      <c r="AO446" t="s">
        <v>98</v>
      </c>
      <c r="AP446" t="s">
        <v>100</v>
      </c>
      <c r="AQ446" t="s">
        <v>101</v>
      </c>
      <c r="AV446" t="s">
        <v>98</v>
      </c>
      <c r="AX446" t="s">
        <v>279</v>
      </c>
      <c r="AZ446" t="s">
        <v>102</v>
      </c>
      <c r="BB446" t="s">
        <v>235</v>
      </c>
      <c r="BC446" t="s">
        <v>1446</v>
      </c>
      <c r="BD446" t="s">
        <v>7528</v>
      </c>
      <c r="BF446" t="s">
        <v>1514</v>
      </c>
      <c r="BG446" t="s">
        <v>98</v>
      </c>
      <c r="BH446" t="s">
        <v>98</v>
      </c>
      <c r="BI446" t="s">
        <v>98</v>
      </c>
      <c r="BK446" t="s">
        <v>127</v>
      </c>
      <c r="BL446" t="s">
        <v>756</v>
      </c>
      <c r="BR446">
        <v>8</v>
      </c>
      <c r="BT446">
        <v>5</v>
      </c>
      <c r="CA446">
        <v>3411</v>
      </c>
      <c r="CB446" t="s">
        <v>279</v>
      </c>
      <c r="CL446" t="s">
        <v>99</v>
      </c>
      <c r="CM446" t="s">
        <v>98</v>
      </c>
      <c r="CN446" t="s">
        <v>592</v>
      </c>
      <c r="CO446" s="1">
        <v>42324</v>
      </c>
      <c r="CP446" s="1">
        <v>43633</v>
      </c>
    </row>
    <row r="447" spans="1:94" x14ac:dyDescent="0.25">
      <c r="A447" t="s">
        <v>1506</v>
      </c>
      <c r="B447" t="str">
        <f xml:space="preserve"> "" &amp; 747396082523</f>
        <v>747396082523</v>
      </c>
      <c r="C447" t="s">
        <v>322</v>
      </c>
      <c r="D447" t="s">
        <v>322</v>
      </c>
      <c r="E447" t="s">
        <v>7528</v>
      </c>
      <c r="F447" t="s">
        <v>232</v>
      </c>
      <c r="G447">
        <v>1</v>
      </c>
      <c r="H447">
        <v>1</v>
      </c>
      <c r="I447" t="s">
        <v>97</v>
      </c>
      <c r="J447" s="10">
        <v>74</v>
      </c>
      <c r="K447" s="10">
        <v>222</v>
      </c>
      <c r="L447" s="10">
        <v>0</v>
      </c>
      <c r="N447" s="10">
        <v>0</v>
      </c>
      <c r="O447" t="s">
        <v>99</v>
      </c>
      <c r="P447" s="10">
        <v>119.95</v>
      </c>
      <c r="S447">
        <v>17.25</v>
      </c>
      <c r="T447">
        <v>18.75</v>
      </c>
      <c r="U447">
        <v>6.5</v>
      </c>
      <c r="V447">
        <v>4</v>
      </c>
      <c r="W447">
        <v>5.4</v>
      </c>
      <c r="Y447">
        <v>7.75</v>
      </c>
      <c r="Z447">
        <v>18.75</v>
      </c>
      <c r="AA447">
        <v>9.25</v>
      </c>
      <c r="AB447">
        <v>0.77800000000000002</v>
      </c>
      <c r="AC447">
        <v>7.39</v>
      </c>
      <c r="AE447">
        <v>2</v>
      </c>
      <c r="AF447" t="s">
        <v>282</v>
      </c>
      <c r="AG447">
        <v>100</v>
      </c>
      <c r="AK447" t="s">
        <v>98</v>
      </c>
      <c r="AM447" t="s">
        <v>98</v>
      </c>
      <c r="AN447" t="s">
        <v>99</v>
      </c>
      <c r="AO447" t="s">
        <v>98</v>
      </c>
      <c r="AP447" t="s">
        <v>100</v>
      </c>
      <c r="AQ447" t="s">
        <v>101</v>
      </c>
      <c r="AV447" t="s">
        <v>98</v>
      </c>
      <c r="AX447" t="s">
        <v>1507</v>
      </c>
      <c r="AZ447" t="s">
        <v>392</v>
      </c>
      <c r="BB447" t="s">
        <v>235</v>
      </c>
      <c r="BC447" t="s">
        <v>808</v>
      </c>
      <c r="BD447" t="s">
        <v>7528</v>
      </c>
      <c r="BF447" t="s">
        <v>1508</v>
      </c>
      <c r="BG447" t="s">
        <v>98</v>
      </c>
      <c r="BH447" t="s">
        <v>99</v>
      </c>
      <c r="BI447" t="s">
        <v>98</v>
      </c>
      <c r="BK447" t="s">
        <v>127</v>
      </c>
      <c r="BL447" t="s">
        <v>645</v>
      </c>
      <c r="BM447">
        <v>4.75</v>
      </c>
      <c r="BN447">
        <v>9</v>
      </c>
      <c r="CA447">
        <v>341</v>
      </c>
      <c r="CB447" t="s">
        <v>1507</v>
      </c>
      <c r="CL447" t="s">
        <v>99</v>
      </c>
      <c r="CM447" t="s">
        <v>98</v>
      </c>
      <c r="CN447" t="s">
        <v>394</v>
      </c>
      <c r="CO447" s="1">
        <v>40807</v>
      </c>
      <c r="CP447" s="1">
        <v>43633</v>
      </c>
    </row>
    <row r="448" spans="1:94" x14ac:dyDescent="0.25">
      <c r="A448" t="s">
        <v>1515</v>
      </c>
      <c r="B448" t="str">
        <f xml:space="preserve"> "" &amp; 747396098210</f>
        <v>747396098210</v>
      </c>
      <c r="C448" t="s">
        <v>758</v>
      </c>
      <c r="D448" t="s">
        <v>758</v>
      </c>
      <c r="E448" t="s">
        <v>7528</v>
      </c>
      <c r="F448" t="s">
        <v>323</v>
      </c>
      <c r="G448">
        <v>1</v>
      </c>
      <c r="H448">
        <v>1</v>
      </c>
      <c r="I448" t="s">
        <v>97</v>
      </c>
      <c r="J448" s="10">
        <v>92</v>
      </c>
      <c r="K448" s="10">
        <v>276</v>
      </c>
      <c r="L448" s="10">
        <v>0</v>
      </c>
      <c r="N448" s="10">
        <v>0</v>
      </c>
      <c r="O448" t="s">
        <v>99</v>
      </c>
      <c r="P448" s="10">
        <v>194.95</v>
      </c>
      <c r="S448">
        <v>8.5</v>
      </c>
      <c r="U448">
        <v>16</v>
      </c>
      <c r="V448">
        <v>7.25</v>
      </c>
      <c r="W448">
        <v>5.16</v>
      </c>
      <c r="Y448">
        <v>11.5</v>
      </c>
      <c r="Z448">
        <v>18.5</v>
      </c>
      <c r="AA448">
        <v>10.63</v>
      </c>
      <c r="AB448">
        <v>1.3089999999999999</v>
      </c>
      <c r="AC448">
        <v>7.74</v>
      </c>
      <c r="AE448">
        <v>2</v>
      </c>
      <c r="AF448" t="s">
        <v>282</v>
      </c>
      <c r="AG448">
        <v>100</v>
      </c>
      <c r="AK448" t="s">
        <v>98</v>
      </c>
      <c r="AM448" t="s">
        <v>98</v>
      </c>
      <c r="AN448" t="s">
        <v>99</v>
      </c>
      <c r="AO448" t="s">
        <v>98</v>
      </c>
      <c r="AP448" t="s">
        <v>100</v>
      </c>
      <c r="AQ448" t="s">
        <v>101</v>
      </c>
      <c r="AV448" t="s">
        <v>98</v>
      </c>
      <c r="AX448" t="s">
        <v>279</v>
      </c>
      <c r="AZ448" t="s">
        <v>102</v>
      </c>
      <c r="BB448" t="s">
        <v>235</v>
      </c>
      <c r="BC448" t="s">
        <v>1446</v>
      </c>
      <c r="BD448" t="s">
        <v>7528</v>
      </c>
      <c r="BF448" t="s">
        <v>1516</v>
      </c>
      <c r="BG448" t="s">
        <v>98</v>
      </c>
      <c r="BH448" t="s">
        <v>98</v>
      </c>
      <c r="BI448" t="s">
        <v>98</v>
      </c>
      <c r="BK448" t="s">
        <v>127</v>
      </c>
      <c r="BL448" t="s">
        <v>756</v>
      </c>
      <c r="BR448">
        <v>5</v>
      </c>
      <c r="BT448">
        <v>16</v>
      </c>
      <c r="CA448">
        <v>3412</v>
      </c>
      <c r="CB448" t="s">
        <v>279</v>
      </c>
      <c r="CL448" t="s">
        <v>99</v>
      </c>
      <c r="CM448" t="s">
        <v>98</v>
      </c>
      <c r="CN448" t="s">
        <v>1517</v>
      </c>
      <c r="CO448" s="1">
        <v>42324</v>
      </c>
      <c r="CP448" s="1">
        <v>43633</v>
      </c>
    </row>
    <row r="449" spans="1:94" x14ac:dyDescent="0.25">
      <c r="A449" t="s">
        <v>1509</v>
      </c>
      <c r="B449" t="str">
        <f xml:space="preserve"> "" &amp; 747396016887</f>
        <v>747396016887</v>
      </c>
      <c r="C449" t="s">
        <v>322</v>
      </c>
      <c r="D449" t="s">
        <v>322</v>
      </c>
      <c r="E449" t="s">
        <v>7528</v>
      </c>
      <c r="F449" t="s">
        <v>232</v>
      </c>
      <c r="G449">
        <v>1</v>
      </c>
      <c r="H449">
        <v>1</v>
      </c>
      <c r="I449" t="s">
        <v>97</v>
      </c>
      <c r="J449" s="10">
        <v>74</v>
      </c>
      <c r="K449" s="10">
        <v>222</v>
      </c>
      <c r="L449" s="10">
        <v>0</v>
      </c>
      <c r="N449" s="10">
        <v>0</v>
      </c>
      <c r="O449" t="s">
        <v>99</v>
      </c>
      <c r="P449" s="10">
        <v>119.95</v>
      </c>
      <c r="S449">
        <v>17.25</v>
      </c>
      <c r="T449">
        <v>18.75</v>
      </c>
      <c r="U449">
        <v>6.5</v>
      </c>
      <c r="V449">
        <v>4</v>
      </c>
      <c r="W449">
        <v>5.4</v>
      </c>
      <c r="X449">
        <v>1</v>
      </c>
      <c r="Y449">
        <v>7.75</v>
      </c>
      <c r="Z449">
        <v>18.75</v>
      </c>
      <c r="AA449">
        <v>9.25</v>
      </c>
      <c r="AB449">
        <v>0.77800000000000002</v>
      </c>
      <c r="AC449">
        <v>7.39</v>
      </c>
      <c r="AE449">
        <v>2</v>
      </c>
      <c r="AF449" t="s">
        <v>233</v>
      </c>
      <c r="AG449">
        <v>100</v>
      </c>
      <c r="AK449" t="s">
        <v>98</v>
      </c>
      <c r="AM449" t="s">
        <v>98</v>
      </c>
      <c r="AN449" t="s">
        <v>99</v>
      </c>
      <c r="AO449" t="s">
        <v>98</v>
      </c>
      <c r="AP449" t="s">
        <v>100</v>
      </c>
      <c r="AQ449" t="s">
        <v>101</v>
      </c>
      <c r="AV449" t="s">
        <v>98</v>
      </c>
      <c r="AX449" t="s">
        <v>234</v>
      </c>
      <c r="AZ449" t="s">
        <v>392</v>
      </c>
      <c r="BB449" t="s">
        <v>235</v>
      </c>
      <c r="BC449" t="s">
        <v>808</v>
      </c>
      <c r="BD449" t="s">
        <v>7528</v>
      </c>
      <c r="BF449" t="s">
        <v>1510</v>
      </c>
      <c r="BG449" t="s">
        <v>98</v>
      </c>
      <c r="BH449" t="s">
        <v>99</v>
      </c>
      <c r="BI449" t="s">
        <v>98</v>
      </c>
      <c r="BK449" t="s">
        <v>127</v>
      </c>
      <c r="BL449" t="s">
        <v>645</v>
      </c>
      <c r="BM449">
        <v>4.75</v>
      </c>
      <c r="BN449">
        <v>9</v>
      </c>
      <c r="CA449">
        <v>341</v>
      </c>
      <c r="CB449" t="s">
        <v>234</v>
      </c>
      <c r="CL449" t="s">
        <v>99</v>
      </c>
      <c r="CM449" t="s">
        <v>98</v>
      </c>
      <c r="CN449" t="s">
        <v>237</v>
      </c>
      <c r="CO449" s="1">
        <v>39304</v>
      </c>
      <c r="CP449" s="1">
        <v>43633</v>
      </c>
    </row>
    <row r="450" spans="1:94" x14ac:dyDescent="0.25">
      <c r="A450" t="s">
        <v>1518</v>
      </c>
      <c r="B450" t="str">
        <f xml:space="preserve"> "" &amp; 747396098227</f>
        <v>747396098227</v>
      </c>
      <c r="C450" t="s">
        <v>762</v>
      </c>
      <c r="D450" t="s">
        <v>762</v>
      </c>
      <c r="E450" t="s">
        <v>7528</v>
      </c>
      <c r="F450" t="s">
        <v>323</v>
      </c>
      <c r="G450">
        <v>1</v>
      </c>
      <c r="H450">
        <v>1</v>
      </c>
      <c r="I450" t="s">
        <v>97</v>
      </c>
      <c r="J450" s="10">
        <v>122</v>
      </c>
      <c r="K450" s="10">
        <v>366</v>
      </c>
      <c r="L450" s="10">
        <v>0</v>
      </c>
      <c r="N450" s="10">
        <v>0</v>
      </c>
      <c r="O450" t="s">
        <v>99</v>
      </c>
      <c r="P450" s="10">
        <v>254.95</v>
      </c>
      <c r="S450">
        <v>8.5</v>
      </c>
      <c r="U450">
        <v>24</v>
      </c>
      <c r="V450">
        <v>7.25</v>
      </c>
      <c r="W450">
        <v>7.65</v>
      </c>
      <c r="Y450">
        <v>11.5</v>
      </c>
      <c r="Z450">
        <v>26.5</v>
      </c>
      <c r="AA450">
        <v>10.63</v>
      </c>
      <c r="AB450">
        <v>1.875</v>
      </c>
      <c r="AC450">
        <v>10.58</v>
      </c>
      <c r="AE450">
        <v>3</v>
      </c>
      <c r="AF450" t="s">
        <v>282</v>
      </c>
      <c r="AG450">
        <v>100</v>
      </c>
      <c r="AK450" t="s">
        <v>98</v>
      </c>
      <c r="AM450" t="s">
        <v>98</v>
      </c>
      <c r="AN450" t="s">
        <v>99</v>
      </c>
      <c r="AO450" t="s">
        <v>98</v>
      </c>
      <c r="AP450" t="s">
        <v>100</v>
      </c>
      <c r="AQ450" t="s">
        <v>101</v>
      </c>
      <c r="AV450" t="s">
        <v>98</v>
      </c>
      <c r="AX450" t="s">
        <v>279</v>
      </c>
      <c r="AZ450" t="s">
        <v>102</v>
      </c>
      <c r="BB450" t="s">
        <v>235</v>
      </c>
      <c r="BC450" t="s">
        <v>1446</v>
      </c>
      <c r="BD450" t="s">
        <v>7528</v>
      </c>
      <c r="BF450" t="s">
        <v>1519</v>
      </c>
      <c r="BG450" t="s">
        <v>98</v>
      </c>
      <c r="BH450" t="s">
        <v>98</v>
      </c>
      <c r="BI450" t="s">
        <v>98</v>
      </c>
      <c r="BK450" t="s">
        <v>127</v>
      </c>
      <c r="BL450" t="s">
        <v>756</v>
      </c>
      <c r="BR450">
        <v>5</v>
      </c>
      <c r="BT450">
        <v>24</v>
      </c>
      <c r="CA450">
        <v>3413</v>
      </c>
      <c r="CB450" t="s">
        <v>279</v>
      </c>
      <c r="CL450" t="s">
        <v>99</v>
      </c>
      <c r="CM450" t="s">
        <v>98</v>
      </c>
      <c r="CN450" t="s">
        <v>592</v>
      </c>
      <c r="CO450" s="1">
        <v>42324</v>
      </c>
      <c r="CP450" s="1">
        <v>43633</v>
      </c>
    </row>
    <row r="451" spans="1:94" x14ac:dyDescent="0.25">
      <c r="A451" t="s">
        <v>1520</v>
      </c>
      <c r="B451" t="str">
        <f xml:space="preserve"> "" &amp; 747396098234</f>
        <v>747396098234</v>
      </c>
      <c r="C451" t="s">
        <v>766</v>
      </c>
      <c r="D451" t="s">
        <v>766</v>
      </c>
      <c r="E451" t="s">
        <v>7528</v>
      </c>
      <c r="F451" t="s">
        <v>323</v>
      </c>
      <c r="G451">
        <v>1</v>
      </c>
      <c r="H451">
        <v>1</v>
      </c>
      <c r="I451" t="s">
        <v>97</v>
      </c>
      <c r="J451" s="10">
        <v>152</v>
      </c>
      <c r="K451" s="10">
        <v>456</v>
      </c>
      <c r="L451" s="10">
        <v>0</v>
      </c>
      <c r="N451" s="10">
        <v>0</v>
      </c>
      <c r="O451" t="s">
        <v>99</v>
      </c>
      <c r="P451" s="10">
        <v>319.95</v>
      </c>
      <c r="S451">
        <v>8.5</v>
      </c>
      <c r="U451">
        <v>31.5</v>
      </c>
      <c r="V451">
        <v>7.25</v>
      </c>
      <c r="W451">
        <v>10.36</v>
      </c>
      <c r="Y451">
        <v>11.5</v>
      </c>
      <c r="Z451">
        <v>32.5</v>
      </c>
      <c r="AA451">
        <v>10.63</v>
      </c>
      <c r="AB451">
        <v>2.2989999999999999</v>
      </c>
      <c r="AC451">
        <v>13.67</v>
      </c>
      <c r="AE451">
        <v>4</v>
      </c>
      <c r="AF451" t="s">
        <v>282</v>
      </c>
      <c r="AG451">
        <v>100</v>
      </c>
      <c r="AK451" t="s">
        <v>98</v>
      </c>
      <c r="AM451" t="s">
        <v>98</v>
      </c>
      <c r="AN451" t="s">
        <v>99</v>
      </c>
      <c r="AO451" t="s">
        <v>98</v>
      </c>
      <c r="AP451" t="s">
        <v>100</v>
      </c>
      <c r="AQ451" t="s">
        <v>101</v>
      </c>
      <c r="AV451" t="s">
        <v>98</v>
      </c>
      <c r="AX451" t="s">
        <v>279</v>
      </c>
      <c r="AZ451" t="s">
        <v>102</v>
      </c>
      <c r="BB451" t="s">
        <v>235</v>
      </c>
      <c r="BC451" t="s">
        <v>1446</v>
      </c>
      <c r="BD451" t="s">
        <v>7528</v>
      </c>
      <c r="BF451" t="s">
        <v>1521</v>
      </c>
      <c r="BG451" t="s">
        <v>98</v>
      </c>
      <c r="BH451" t="s">
        <v>98</v>
      </c>
      <c r="BI451" t="s">
        <v>98</v>
      </c>
      <c r="BK451" t="s">
        <v>127</v>
      </c>
      <c r="BL451" t="s">
        <v>756</v>
      </c>
      <c r="BR451">
        <v>5</v>
      </c>
      <c r="BT451">
        <v>30</v>
      </c>
      <c r="CA451">
        <v>3414</v>
      </c>
      <c r="CB451" t="s">
        <v>279</v>
      </c>
      <c r="CL451" t="s">
        <v>99</v>
      </c>
      <c r="CM451" t="s">
        <v>98</v>
      </c>
      <c r="CN451" t="s">
        <v>442</v>
      </c>
      <c r="CO451" s="1">
        <v>42324</v>
      </c>
      <c r="CP451" s="1">
        <v>43633</v>
      </c>
    </row>
    <row r="452" spans="1:94" x14ac:dyDescent="0.25">
      <c r="A452" t="s">
        <v>1511</v>
      </c>
      <c r="B452" t="str">
        <f xml:space="preserve"> "" &amp; 747396045962</f>
        <v>747396045962</v>
      </c>
      <c r="C452" t="s">
        <v>322</v>
      </c>
      <c r="D452" t="s">
        <v>322</v>
      </c>
      <c r="E452" t="s">
        <v>7528</v>
      </c>
      <c r="F452" t="s">
        <v>232</v>
      </c>
      <c r="G452">
        <v>1</v>
      </c>
      <c r="H452">
        <v>1</v>
      </c>
      <c r="I452" t="s">
        <v>97</v>
      </c>
      <c r="J452" s="10">
        <v>74</v>
      </c>
      <c r="K452" s="10">
        <v>222</v>
      </c>
      <c r="L452" s="10">
        <v>0</v>
      </c>
      <c r="N452" s="10">
        <v>0</v>
      </c>
      <c r="O452" t="s">
        <v>99</v>
      </c>
      <c r="P452" s="10">
        <v>119.95</v>
      </c>
      <c r="S452">
        <v>17.25</v>
      </c>
      <c r="T452">
        <v>18.75</v>
      </c>
      <c r="U452">
        <v>6.75</v>
      </c>
      <c r="V452">
        <v>4</v>
      </c>
      <c r="W452">
        <v>5.4</v>
      </c>
      <c r="X452">
        <v>1</v>
      </c>
      <c r="Y452">
        <v>7.75</v>
      </c>
      <c r="Z452">
        <v>18.75</v>
      </c>
      <c r="AA452">
        <v>9.25</v>
      </c>
      <c r="AB452">
        <v>0.77800000000000002</v>
      </c>
      <c r="AC452">
        <v>7.39</v>
      </c>
      <c r="AE452">
        <v>2</v>
      </c>
      <c r="AF452" t="s">
        <v>233</v>
      </c>
      <c r="AG452">
        <v>100</v>
      </c>
      <c r="AK452" t="s">
        <v>98</v>
      </c>
      <c r="AM452" t="s">
        <v>98</v>
      </c>
      <c r="AN452" t="s">
        <v>99</v>
      </c>
      <c r="AO452" t="s">
        <v>98</v>
      </c>
      <c r="AP452" t="s">
        <v>100</v>
      </c>
      <c r="AQ452" t="s">
        <v>101</v>
      </c>
      <c r="AV452" t="s">
        <v>98</v>
      </c>
      <c r="AX452" t="s">
        <v>279</v>
      </c>
      <c r="AZ452" t="s">
        <v>392</v>
      </c>
      <c r="BB452" t="s">
        <v>235</v>
      </c>
      <c r="BC452" t="s">
        <v>808</v>
      </c>
      <c r="BD452" t="s">
        <v>7528</v>
      </c>
      <c r="BF452" t="s">
        <v>1512</v>
      </c>
      <c r="BG452" t="s">
        <v>98</v>
      </c>
      <c r="BH452" t="s">
        <v>99</v>
      </c>
      <c r="BI452" t="s">
        <v>98</v>
      </c>
      <c r="BK452" t="s">
        <v>127</v>
      </c>
      <c r="BL452" t="s">
        <v>645</v>
      </c>
      <c r="BR452">
        <v>9</v>
      </c>
      <c r="BT452">
        <v>4.75</v>
      </c>
      <c r="CA452">
        <v>341</v>
      </c>
      <c r="CB452" t="s">
        <v>279</v>
      </c>
      <c r="CL452" t="s">
        <v>99</v>
      </c>
      <c r="CM452" t="s">
        <v>98</v>
      </c>
      <c r="CN452" t="s">
        <v>237</v>
      </c>
      <c r="CO452" s="1">
        <v>39319</v>
      </c>
      <c r="CP452" s="1">
        <v>43633</v>
      </c>
    </row>
    <row r="453" spans="1:94" x14ac:dyDescent="0.25">
      <c r="A453" t="s">
        <v>1535</v>
      </c>
      <c r="B453" t="str">
        <f xml:space="preserve"> "" &amp; 747396098296</f>
        <v>747396098296</v>
      </c>
      <c r="C453" t="s">
        <v>845</v>
      </c>
      <c r="D453" t="s">
        <v>1536</v>
      </c>
      <c r="E453" t="s">
        <v>1537</v>
      </c>
      <c r="F453" t="s">
        <v>240</v>
      </c>
      <c r="G453">
        <v>1</v>
      </c>
      <c r="H453">
        <v>1</v>
      </c>
      <c r="I453" t="s">
        <v>97</v>
      </c>
      <c r="J453" s="10">
        <v>29.95</v>
      </c>
      <c r="K453" s="10">
        <v>89.85</v>
      </c>
      <c r="L453" s="10">
        <v>0</v>
      </c>
      <c r="N453" s="10">
        <v>0</v>
      </c>
      <c r="S453">
        <v>6.75</v>
      </c>
      <c r="T453">
        <v>5</v>
      </c>
      <c r="U453">
        <v>5</v>
      </c>
      <c r="W453">
        <v>5.93</v>
      </c>
      <c r="Y453">
        <v>7.75</v>
      </c>
      <c r="Z453">
        <v>13.5</v>
      </c>
      <c r="AA453">
        <v>7</v>
      </c>
      <c r="AB453">
        <v>0.42399999999999999</v>
      </c>
      <c r="AC453">
        <v>6.7</v>
      </c>
      <c r="AE453">
        <v>1</v>
      </c>
      <c r="AF453" t="s">
        <v>347</v>
      </c>
      <c r="AG453">
        <v>100</v>
      </c>
      <c r="AK453" t="s">
        <v>98</v>
      </c>
      <c r="AM453" t="s">
        <v>98</v>
      </c>
      <c r="AN453" t="s">
        <v>99</v>
      </c>
      <c r="AO453" t="s">
        <v>98</v>
      </c>
      <c r="AP453" t="s">
        <v>100</v>
      </c>
      <c r="AQ453" t="s">
        <v>101</v>
      </c>
      <c r="AV453" t="s">
        <v>98</v>
      </c>
      <c r="AX453" t="s">
        <v>399</v>
      </c>
      <c r="AZ453" t="s">
        <v>102</v>
      </c>
      <c r="BB453" t="s">
        <v>235</v>
      </c>
      <c r="BC453" t="s">
        <v>746</v>
      </c>
      <c r="BD453" t="s">
        <v>7528</v>
      </c>
      <c r="BF453" t="s">
        <v>1538</v>
      </c>
      <c r="BG453" t="s">
        <v>98</v>
      </c>
      <c r="BH453" t="s">
        <v>98</v>
      </c>
      <c r="BI453" t="s">
        <v>98</v>
      </c>
      <c r="BK453" t="s">
        <v>110</v>
      </c>
      <c r="BL453" t="s">
        <v>7528</v>
      </c>
      <c r="BQ453">
        <v>5</v>
      </c>
      <c r="BR453">
        <v>1</v>
      </c>
      <c r="BS453">
        <v>5</v>
      </c>
      <c r="BT453">
        <v>5</v>
      </c>
      <c r="CA453">
        <v>3420</v>
      </c>
      <c r="CB453" t="s">
        <v>399</v>
      </c>
      <c r="CL453" t="s">
        <v>99</v>
      </c>
      <c r="CM453" t="s">
        <v>99</v>
      </c>
      <c r="CN453" t="s">
        <v>442</v>
      </c>
      <c r="CO453" s="1">
        <v>42401</v>
      </c>
      <c r="CP453" s="1">
        <v>43633</v>
      </c>
    </row>
    <row r="454" spans="1:94" x14ac:dyDescent="0.25">
      <c r="A454" t="s">
        <v>1522</v>
      </c>
      <c r="B454" t="str">
        <f xml:space="preserve"> "" &amp; 747396082226</f>
        <v>747396082226</v>
      </c>
      <c r="C454" t="s">
        <v>230</v>
      </c>
      <c r="D454" t="s">
        <v>1523</v>
      </c>
      <c r="E454" t="s">
        <v>7523</v>
      </c>
      <c r="F454" t="s">
        <v>232</v>
      </c>
      <c r="G454">
        <v>1</v>
      </c>
      <c r="H454">
        <v>1</v>
      </c>
      <c r="I454" t="s">
        <v>97</v>
      </c>
      <c r="J454" s="10">
        <v>50</v>
      </c>
      <c r="K454" s="10">
        <v>150</v>
      </c>
      <c r="L454" s="10">
        <v>0</v>
      </c>
      <c r="N454" s="10">
        <v>0</v>
      </c>
      <c r="O454" t="s">
        <v>99</v>
      </c>
      <c r="P454" s="10">
        <v>99.95</v>
      </c>
      <c r="S454">
        <v>10</v>
      </c>
      <c r="T454">
        <v>13.25</v>
      </c>
      <c r="U454">
        <v>6.5</v>
      </c>
      <c r="V454">
        <v>4</v>
      </c>
      <c r="W454">
        <v>3.31</v>
      </c>
      <c r="Y454">
        <v>5.5</v>
      </c>
      <c r="Z454">
        <v>13.25</v>
      </c>
      <c r="AA454">
        <v>7.5</v>
      </c>
      <c r="AB454">
        <v>0.316</v>
      </c>
      <c r="AC454">
        <v>4.37</v>
      </c>
      <c r="AE454">
        <v>1</v>
      </c>
      <c r="AF454" t="s">
        <v>282</v>
      </c>
      <c r="AG454">
        <v>100</v>
      </c>
      <c r="AK454" t="s">
        <v>98</v>
      </c>
      <c r="AM454" t="s">
        <v>98</v>
      </c>
      <c r="AN454" t="s">
        <v>99</v>
      </c>
      <c r="AO454" t="s">
        <v>98</v>
      </c>
      <c r="AP454" t="s">
        <v>100</v>
      </c>
      <c r="AQ454" t="s">
        <v>101</v>
      </c>
      <c r="AV454" t="s">
        <v>98</v>
      </c>
      <c r="AX454" t="s">
        <v>276</v>
      </c>
      <c r="AZ454" t="s">
        <v>102</v>
      </c>
      <c r="BB454" t="s">
        <v>235</v>
      </c>
      <c r="BC454" t="s">
        <v>808</v>
      </c>
      <c r="BD454" t="s">
        <v>7528</v>
      </c>
      <c r="BF454" t="s">
        <v>1524</v>
      </c>
      <c r="BG454" t="s">
        <v>98</v>
      </c>
      <c r="BH454" t="s">
        <v>99</v>
      </c>
      <c r="BI454" t="s">
        <v>98</v>
      </c>
      <c r="BK454" t="s">
        <v>127</v>
      </c>
      <c r="BL454" t="s">
        <v>645</v>
      </c>
      <c r="BM454">
        <v>6.63</v>
      </c>
      <c r="BN454">
        <v>10</v>
      </c>
      <c r="CA454">
        <v>342</v>
      </c>
      <c r="CB454" t="s">
        <v>276</v>
      </c>
      <c r="CL454" t="s">
        <v>99</v>
      </c>
      <c r="CM454" t="s">
        <v>98</v>
      </c>
      <c r="CN454" t="s">
        <v>394</v>
      </c>
      <c r="CO454" s="1">
        <v>40911</v>
      </c>
      <c r="CP454" s="1">
        <v>43633</v>
      </c>
    </row>
    <row r="455" spans="1:94" x14ac:dyDescent="0.25">
      <c r="A455" t="s">
        <v>1539</v>
      </c>
      <c r="B455" t="str">
        <f xml:space="preserve"> "" &amp; 747396097633</f>
        <v>747396097633</v>
      </c>
      <c r="C455" t="s">
        <v>751</v>
      </c>
      <c r="D455" t="s">
        <v>1540</v>
      </c>
      <c r="E455" t="s">
        <v>1537</v>
      </c>
      <c r="F455" t="s">
        <v>323</v>
      </c>
      <c r="G455">
        <v>1</v>
      </c>
      <c r="H455">
        <v>1</v>
      </c>
      <c r="I455" t="s">
        <v>97</v>
      </c>
      <c r="J455" s="10">
        <v>19</v>
      </c>
      <c r="K455" s="10">
        <v>57</v>
      </c>
      <c r="L455" s="10">
        <v>0</v>
      </c>
      <c r="N455" s="10">
        <v>0</v>
      </c>
      <c r="S455">
        <v>7.5</v>
      </c>
      <c r="T455">
        <v>11</v>
      </c>
      <c r="U455">
        <v>5.25</v>
      </c>
      <c r="V455">
        <v>7.5</v>
      </c>
      <c r="W455">
        <v>5.05</v>
      </c>
      <c r="Y455">
        <v>7.25</v>
      </c>
      <c r="Z455">
        <v>11</v>
      </c>
      <c r="AA455">
        <v>9.25</v>
      </c>
      <c r="AB455">
        <v>0.42699999999999999</v>
      </c>
      <c r="AC455">
        <v>5.84</v>
      </c>
      <c r="AE455">
        <v>1</v>
      </c>
      <c r="AF455" t="s">
        <v>347</v>
      </c>
      <c r="AG455">
        <v>100</v>
      </c>
      <c r="AK455" t="s">
        <v>98</v>
      </c>
      <c r="AL455">
        <v>1</v>
      </c>
      <c r="AM455" t="s">
        <v>98</v>
      </c>
      <c r="AN455" t="s">
        <v>99</v>
      </c>
      <c r="AO455" t="s">
        <v>98</v>
      </c>
      <c r="AP455" t="s">
        <v>100</v>
      </c>
      <c r="AQ455" t="s">
        <v>101</v>
      </c>
      <c r="AV455" t="s">
        <v>98</v>
      </c>
      <c r="AX455" t="s">
        <v>399</v>
      </c>
      <c r="AZ455" t="s">
        <v>102</v>
      </c>
      <c r="BB455" t="s">
        <v>235</v>
      </c>
      <c r="BC455" t="s">
        <v>746</v>
      </c>
      <c r="BD455" t="s">
        <v>7528</v>
      </c>
      <c r="BF455" t="s">
        <v>1541</v>
      </c>
      <c r="BG455" t="s">
        <v>98</v>
      </c>
      <c r="BH455" t="s">
        <v>98</v>
      </c>
      <c r="BI455" t="s">
        <v>98</v>
      </c>
      <c r="BK455" t="s">
        <v>127</v>
      </c>
      <c r="BL455" t="s">
        <v>756</v>
      </c>
      <c r="BR455">
        <v>7</v>
      </c>
      <c r="BT455">
        <v>4.5</v>
      </c>
      <c r="CA455">
        <v>3421</v>
      </c>
      <c r="CB455" t="s">
        <v>399</v>
      </c>
      <c r="CL455" t="s">
        <v>99</v>
      </c>
      <c r="CM455" t="s">
        <v>98</v>
      </c>
      <c r="CN455" t="s">
        <v>442</v>
      </c>
      <c r="CO455" s="1">
        <v>42324</v>
      </c>
      <c r="CP455" s="1">
        <v>43633</v>
      </c>
    </row>
    <row r="456" spans="1:94" x14ac:dyDescent="0.25">
      <c r="A456" t="s">
        <v>1525</v>
      </c>
      <c r="B456" t="str">
        <f xml:space="preserve"> "" &amp; 747396082516</f>
        <v>747396082516</v>
      </c>
      <c r="C456" t="s">
        <v>230</v>
      </c>
      <c r="D456" t="s">
        <v>230</v>
      </c>
      <c r="E456" t="s">
        <v>7528</v>
      </c>
      <c r="F456" t="s">
        <v>232</v>
      </c>
      <c r="G456">
        <v>1</v>
      </c>
      <c r="H456">
        <v>1</v>
      </c>
      <c r="I456" t="s">
        <v>97</v>
      </c>
      <c r="J456" s="10">
        <v>50</v>
      </c>
      <c r="K456" s="10">
        <v>150</v>
      </c>
      <c r="L456" s="10">
        <v>0</v>
      </c>
      <c r="N456" s="10">
        <v>0</v>
      </c>
      <c r="O456" t="s">
        <v>99</v>
      </c>
      <c r="P456" s="10">
        <v>99.95</v>
      </c>
      <c r="S456">
        <v>10</v>
      </c>
      <c r="T456">
        <v>13.25</v>
      </c>
      <c r="U456">
        <v>6.5</v>
      </c>
      <c r="V456">
        <v>4</v>
      </c>
      <c r="W456">
        <v>3.31</v>
      </c>
      <c r="Y456">
        <v>5.5</v>
      </c>
      <c r="Z456">
        <v>13.25</v>
      </c>
      <c r="AA456">
        <v>7.5</v>
      </c>
      <c r="AB456">
        <v>0.316</v>
      </c>
      <c r="AC456">
        <v>4.37</v>
      </c>
      <c r="AE456">
        <v>1</v>
      </c>
      <c r="AF456" t="s">
        <v>282</v>
      </c>
      <c r="AG456">
        <v>100</v>
      </c>
      <c r="AK456" t="s">
        <v>98</v>
      </c>
      <c r="AM456" t="s">
        <v>98</v>
      </c>
      <c r="AN456" t="s">
        <v>99</v>
      </c>
      <c r="AO456" t="s">
        <v>98</v>
      </c>
      <c r="AP456" t="s">
        <v>100</v>
      </c>
      <c r="AQ456" t="s">
        <v>101</v>
      </c>
      <c r="AV456" t="s">
        <v>98</v>
      </c>
      <c r="AX456" t="s">
        <v>1507</v>
      </c>
      <c r="AZ456" t="s">
        <v>392</v>
      </c>
      <c r="BB456" t="s">
        <v>235</v>
      </c>
      <c r="BC456" t="s">
        <v>808</v>
      </c>
      <c r="BD456" t="s">
        <v>7528</v>
      </c>
      <c r="BF456" t="s">
        <v>1526</v>
      </c>
      <c r="BG456" t="s">
        <v>98</v>
      </c>
      <c r="BH456" t="s">
        <v>99</v>
      </c>
      <c r="BI456" t="s">
        <v>98</v>
      </c>
      <c r="BK456" t="s">
        <v>127</v>
      </c>
      <c r="BL456" t="s">
        <v>645</v>
      </c>
      <c r="BM456">
        <v>6.63</v>
      </c>
      <c r="BN456">
        <v>10</v>
      </c>
      <c r="CA456">
        <v>342</v>
      </c>
      <c r="CB456" t="s">
        <v>1507</v>
      </c>
      <c r="CL456" t="s">
        <v>99</v>
      </c>
      <c r="CM456" t="s">
        <v>98</v>
      </c>
      <c r="CN456" t="s">
        <v>394</v>
      </c>
      <c r="CO456" s="1">
        <v>40807</v>
      </c>
      <c r="CP456" s="1">
        <v>43633</v>
      </c>
    </row>
    <row r="457" spans="1:94" x14ac:dyDescent="0.25">
      <c r="A457" t="s">
        <v>1527</v>
      </c>
      <c r="B457" t="str">
        <f xml:space="preserve"> "" &amp; 747396016894</f>
        <v>747396016894</v>
      </c>
      <c r="C457" t="s">
        <v>230</v>
      </c>
      <c r="D457" t="s">
        <v>230</v>
      </c>
      <c r="E457" t="s">
        <v>7528</v>
      </c>
      <c r="F457" t="s">
        <v>232</v>
      </c>
      <c r="G457">
        <v>1</v>
      </c>
      <c r="H457">
        <v>1</v>
      </c>
      <c r="I457" t="s">
        <v>97</v>
      </c>
      <c r="J457" s="10">
        <v>50</v>
      </c>
      <c r="K457" s="10">
        <v>150</v>
      </c>
      <c r="L457" s="10">
        <v>0</v>
      </c>
      <c r="N457" s="10">
        <v>0</v>
      </c>
      <c r="O457" t="s">
        <v>99</v>
      </c>
      <c r="P457" s="10">
        <v>99.95</v>
      </c>
      <c r="S457">
        <v>10</v>
      </c>
      <c r="T457">
        <v>13.25</v>
      </c>
      <c r="U457">
        <v>6.75</v>
      </c>
      <c r="V457">
        <v>4</v>
      </c>
      <c r="W457">
        <v>3.31</v>
      </c>
      <c r="X457">
        <v>1</v>
      </c>
      <c r="Y457">
        <v>5.5</v>
      </c>
      <c r="Z457">
        <v>13.25</v>
      </c>
      <c r="AA457">
        <v>7.5</v>
      </c>
      <c r="AB457">
        <v>0.316</v>
      </c>
      <c r="AC457">
        <v>4.37</v>
      </c>
      <c r="AE457">
        <v>1</v>
      </c>
      <c r="AF457" t="s">
        <v>233</v>
      </c>
      <c r="AG457">
        <v>100</v>
      </c>
      <c r="AK457" t="s">
        <v>98</v>
      </c>
      <c r="AM457" t="s">
        <v>98</v>
      </c>
      <c r="AN457" t="s">
        <v>99</v>
      </c>
      <c r="AO457" t="s">
        <v>99</v>
      </c>
      <c r="AP457" t="s">
        <v>100</v>
      </c>
      <c r="AQ457" t="s">
        <v>101</v>
      </c>
      <c r="AV457" t="s">
        <v>98</v>
      </c>
      <c r="AX457" t="s">
        <v>234</v>
      </c>
      <c r="AZ457" t="s">
        <v>392</v>
      </c>
      <c r="BB457" t="s">
        <v>235</v>
      </c>
      <c r="BC457" t="s">
        <v>808</v>
      </c>
      <c r="BD457" t="s">
        <v>7528</v>
      </c>
      <c r="BF457" t="s">
        <v>1528</v>
      </c>
      <c r="BG457" t="s">
        <v>98</v>
      </c>
      <c r="BH457" t="s">
        <v>99</v>
      </c>
      <c r="BI457" t="s">
        <v>98</v>
      </c>
      <c r="BK457" t="s">
        <v>127</v>
      </c>
      <c r="BL457" t="s">
        <v>645</v>
      </c>
      <c r="BM457">
        <v>6.63</v>
      </c>
      <c r="BN457">
        <v>10</v>
      </c>
      <c r="CA457">
        <v>342</v>
      </c>
      <c r="CB457" t="s">
        <v>234</v>
      </c>
      <c r="CL457" t="s">
        <v>99</v>
      </c>
      <c r="CM457" t="s">
        <v>98</v>
      </c>
      <c r="CN457" t="s">
        <v>237</v>
      </c>
      <c r="CO457" s="1">
        <v>37542</v>
      </c>
      <c r="CP457" s="1">
        <v>43633</v>
      </c>
    </row>
    <row r="458" spans="1:94" x14ac:dyDescent="0.25">
      <c r="A458" t="s">
        <v>1529</v>
      </c>
      <c r="B458" t="str">
        <f xml:space="preserve"> "" &amp; 747396053370</f>
        <v>747396053370</v>
      </c>
      <c r="C458" t="s">
        <v>230</v>
      </c>
      <c r="D458" t="s">
        <v>322</v>
      </c>
      <c r="E458" t="s">
        <v>7528</v>
      </c>
      <c r="F458" t="s">
        <v>122</v>
      </c>
      <c r="G458">
        <v>1</v>
      </c>
      <c r="H458">
        <v>1</v>
      </c>
      <c r="I458" t="s">
        <v>97</v>
      </c>
      <c r="J458" s="10">
        <v>49</v>
      </c>
      <c r="K458" s="10">
        <v>147</v>
      </c>
      <c r="L458" s="10">
        <v>0</v>
      </c>
      <c r="N458" s="10">
        <v>0</v>
      </c>
      <c r="S458">
        <v>10</v>
      </c>
      <c r="T458">
        <v>13.25</v>
      </c>
      <c r="U458">
        <v>6.75</v>
      </c>
      <c r="V458">
        <v>4</v>
      </c>
      <c r="W458">
        <v>3.64</v>
      </c>
      <c r="X458">
        <v>1</v>
      </c>
      <c r="Y458">
        <v>5.5</v>
      </c>
      <c r="Z458">
        <v>13.25</v>
      </c>
      <c r="AA458">
        <v>7.5</v>
      </c>
      <c r="AB458">
        <v>0.316</v>
      </c>
      <c r="AC458">
        <v>4.63</v>
      </c>
      <c r="AE458">
        <v>1</v>
      </c>
      <c r="AF458" t="s">
        <v>1530</v>
      </c>
      <c r="AG458">
        <v>13</v>
      </c>
      <c r="AH458">
        <v>0</v>
      </c>
      <c r="AJ458">
        <v>0</v>
      </c>
      <c r="AK458" t="s">
        <v>99</v>
      </c>
      <c r="AM458" t="s">
        <v>98</v>
      </c>
      <c r="AN458" t="s">
        <v>99</v>
      </c>
      <c r="AO458" t="s">
        <v>98</v>
      </c>
      <c r="AP458" t="s">
        <v>100</v>
      </c>
      <c r="AQ458" t="s">
        <v>101</v>
      </c>
      <c r="AV458" t="s">
        <v>99</v>
      </c>
      <c r="AX458" t="s">
        <v>234</v>
      </c>
      <c r="AZ458" t="s">
        <v>392</v>
      </c>
      <c r="BB458" t="s">
        <v>235</v>
      </c>
      <c r="BC458" t="s">
        <v>1501</v>
      </c>
      <c r="BD458" t="s">
        <v>7528</v>
      </c>
      <c r="BF458" t="s">
        <v>1531</v>
      </c>
      <c r="BG458" t="s">
        <v>98</v>
      </c>
      <c r="BH458" t="s">
        <v>99</v>
      </c>
      <c r="BI458" t="s">
        <v>98</v>
      </c>
      <c r="BK458" t="s">
        <v>127</v>
      </c>
      <c r="BL458" t="s">
        <v>645</v>
      </c>
      <c r="BR458">
        <v>10</v>
      </c>
      <c r="BT458">
        <v>6.63</v>
      </c>
      <c r="CA458" t="s">
        <v>1532</v>
      </c>
      <c r="CB458" t="s">
        <v>234</v>
      </c>
      <c r="CG458">
        <v>2700</v>
      </c>
      <c r="CL458" t="s">
        <v>98</v>
      </c>
      <c r="CM458" t="s">
        <v>98</v>
      </c>
      <c r="CN458" t="s">
        <v>442</v>
      </c>
      <c r="CO458" s="1">
        <v>38484</v>
      </c>
      <c r="CP458" s="1">
        <v>43633</v>
      </c>
    </row>
    <row r="459" spans="1:94" x14ac:dyDescent="0.25">
      <c r="A459" t="s">
        <v>1533</v>
      </c>
      <c r="B459" t="str">
        <f xml:space="preserve"> "" &amp; 747396045979</f>
        <v>747396045979</v>
      </c>
      <c r="C459" t="s">
        <v>230</v>
      </c>
      <c r="D459" t="s">
        <v>230</v>
      </c>
      <c r="E459" t="s">
        <v>7528</v>
      </c>
      <c r="F459" t="s">
        <v>232</v>
      </c>
      <c r="G459">
        <v>1</v>
      </c>
      <c r="H459">
        <v>1</v>
      </c>
      <c r="I459" t="s">
        <v>97</v>
      </c>
      <c r="J459" s="10">
        <v>50</v>
      </c>
      <c r="K459" s="10">
        <v>150</v>
      </c>
      <c r="L459" s="10">
        <v>0</v>
      </c>
      <c r="N459" s="10">
        <v>0</v>
      </c>
      <c r="O459" t="s">
        <v>99</v>
      </c>
      <c r="P459" s="10">
        <v>99.95</v>
      </c>
      <c r="S459">
        <v>10</v>
      </c>
      <c r="T459">
        <v>13.25</v>
      </c>
      <c r="U459">
        <v>6.75</v>
      </c>
      <c r="V459">
        <v>4</v>
      </c>
      <c r="W459">
        <v>3.42</v>
      </c>
      <c r="X459">
        <v>1</v>
      </c>
      <c r="Y459">
        <v>5.5</v>
      </c>
      <c r="Z459">
        <v>13.25</v>
      </c>
      <c r="AA459">
        <v>7.5</v>
      </c>
      <c r="AB459">
        <v>0.316</v>
      </c>
      <c r="AC459">
        <v>4.37</v>
      </c>
      <c r="AE459">
        <v>1</v>
      </c>
      <c r="AF459" t="s">
        <v>233</v>
      </c>
      <c r="AG459">
        <v>100</v>
      </c>
      <c r="AK459" t="s">
        <v>98</v>
      </c>
      <c r="AM459" t="s">
        <v>98</v>
      </c>
      <c r="AN459" t="s">
        <v>98</v>
      </c>
      <c r="AO459" t="s">
        <v>99</v>
      </c>
      <c r="AP459" t="s">
        <v>100</v>
      </c>
      <c r="AQ459" t="s">
        <v>101</v>
      </c>
      <c r="AV459" t="s">
        <v>98</v>
      </c>
      <c r="AX459" t="s">
        <v>279</v>
      </c>
      <c r="AZ459" t="s">
        <v>392</v>
      </c>
      <c r="BB459" t="s">
        <v>235</v>
      </c>
      <c r="BC459" t="s">
        <v>808</v>
      </c>
      <c r="BD459" t="s">
        <v>7528</v>
      </c>
      <c r="BF459" t="s">
        <v>1534</v>
      </c>
      <c r="BG459" t="s">
        <v>98</v>
      </c>
      <c r="BH459" t="s">
        <v>99</v>
      </c>
      <c r="BI459" t="s">
        <v>98</v>
      </c>
      <c r="BK459" t="s">
        <v>127</v>
      </c>
      <c r="BL459" t="s">
        <v>645</v>
      </c>
      <c r="BM459">
        <v>6.63</v>
      </c>
      <c r="BN459">
        <v>10</v>
      </c>
      <c r="CA459">
        <v>342</v>
      </c>
      <c r="CB459" t="s">
        <v>279</v>
      </c>
      <c r="CL459" t="s">
        <v>99</v>
      </c>
      <c r="CM459" t="s">
        <v>98</v>
      </c>
      <c r="CN459" t="s">
        <v>237</v>
      </c>
      <c r="CO459" s="1">
        <v>37542</v>
      </c>
      <c r="CP459" s="1">
        <v>43633</v>
      </c>
    </row>
    <row r="460" spans="1:94" x14ac:dyDescent="0.25">
      <c r="A460" t="s">
        <v>1542</v>
      </c>
      <c r="B460" t="str">
        <f xml:space="preserve"> "" &amp; 747396097275</f>
        <v>747396097275</v>
      </c>
      <c r="C460" t="s">
        <v>758</v>
      </c>
      <c r="D460" t="s">
        <v>1543</v>
      </c>
      <c r="E460" t="s">
        <v>1544</v>
      </c>
      <c r="F460" t="s">
        <v>323</v>
      </c>
      <c r="G460">
        <v>1</v>
      </c>
      <c r="H460">
        <v>1</v>
      </c>
      <c r="I460" t="s">
        <v>97</v>
      </c>
      <c r="J460" s="10">
        <v>37.5</v>
      </c>
      <c r="K460" s="10">
        <v>112.5</v>
      </c>
      <c r="L460" s="10">
        <v>0</v>
      </c>
      <c r="N460" s="10">
        <v>0</v>
      </c>
      <c r="S460">
        <v>7</v>
      </c>
      <c r="U460">
        <v>12.25</v>
      </c>
      <c r="V460">
        <v>5.5</v>
      </c>
      <c r="W460">
        <v>3.53</v>
      </c>
      <c r="Y460">
        <v>9.25</v>
      </c>
      <c r="Z460">
        <v>14.25</v>
      </c>
      <c r="AA460">
        <v>7.75</v>
      </c>
      <c r="AB460">
        <v>0.59099999999999997</v>
      </c>
      <c r="AC460">
        <v>4.63</v>
      </c>
      <c r="AE460">
        <v>2</v>
      </c>
      <c r="AF460" t="s">
        <v>1545</v>
      </c>
      <c r="AG460">
        <v>60</v>
      </c>
      <c r="AK460" t="s">
        <v>98</v>
      </c>
      <c r="AM460" t="s">
        <v>98</v>
      </c>
      <c r="AN460" t="s">
        <v>99</v>
      </c>
      <c r="AO460" t="s">
        <v>98</v>
      </c>
      <c r="AP460" t="s">
        <v>100</v>
      </c>
      <c r="AQ460" t="s">
        <v>101</v>
      </c>
      <c r="AV460" t="s">
        <v>98</v>
      </c>
      <c r="AX460" t="s">
        <v>440</v>
      </c>
      <c r="AZ460" t="s">
        <v>102</v>
      </c>
      <c r="BB460" t="s">
        <v>1546</v>
      </c>
      <c r="BC460" t="s">
        <v>2067</v>
      </c>
      <c r="BD460" t="s">
        <v>7528</v>
      </c>
      <c r="BF460" t="s">
        <v>1547</v>
      </c>
      <c r="BG460" t="s">
        <v>98</v>
      </c>
      <c r="BH460" t="s">
        <v>98</v>
      </c>
      <c r="BI460" t="s">
        <v>98</v>
      </c>
      <c r="BK460" t="s">
        <v>127</v>
      </c>
      <c r="BL460" t="s">
        <v>993</v>
      </c>
      <c r="BR460">
        <v>6.13</v>
      </c>
      <c r="BT460">
        <v>9.3800000000000008</v>
      </c>
      <c r="CA460">
        <v>3432</v>
      </c>
      <c r="CB460" t="s">
        <v>440</v>
      </c>
      <c r="CL460" t="s">
        <v>99</v>
      </c>
      <c r="CM460" t="s">
        <v>98</v>
      </c>
      <c r="CN460" t="s">
        <v>1548</v>
      </c>
      <c r="CO460" s="1">
        <v>42363</v>
      </c>
      <c r="CP460" s="1">
        <v>43633</v>
      </c>
    </row>
    <row r="461" spans="1:94" x14ac:dyDescent="0.25">
      <c r="A461" t="s">
        <v>1549</v>
      </c>
      <c r="B461" t="str">
        <f xml:space="preserve"> "" &amp; 747396017266</f>
        <v>747396017266</v>
      </c>
      <c r="C461" t="s">
        <v>1550</v>
      </c>
      <c r="D461" t="s">
        <v>322</v>
      </c>
      <c r="E461" t="s">
        <v>7528</v>
      </c>
      <c r="F461" t="s">
        <v>232</v>
      </c>
      <c r="G461">
        <v>1</v>
      </c>
      <c r="H461">
        <v>1</v>
      </c>
      <c r="I461" t="s">
        <v>97</v>
      </c>
      <c r="J461" s="10">
        <v>48</v>
      </c>
      <c r="K461" s="10">
        <v>144</v>
      </c>
      <c r="L461" s="10">
        <v>0</v>
      </c>
      <c r="N461" s="10">
        <v>0</v>
      </c>
      <c r="O461" t="s">
        <v>99</v>
      </c>
      <c r="P461" s="10">
        <v>94.95</v>
      </c>
      <c r="S461">
        <v>13.5</v>
      </c>
      <c r="U461">
        <v>7.25</v>
      </c>
      <c r="V461">
        <v>4</v>
      </c>
      <c r="W461">
        <v>2.69</v>
      </c>
      <c r="X461">
        <v>1</v>
      </c>
      <c r="Y461">
        <v>8.75</v>
      </c>
      <c r="Z461">
        <v>15.5</v>
      </c>
      <c r="AA461">
        <v>9.25</v>
      </c>
      <c r="AB461">
        <v>0.72599999999999998</v>
      </c>
      <c r="AC461">
        <v>3.81</v>
      </c>
      <c r="AE461">
        <v>2</v>
      </c>
      <c r="AF461" t="s">
        <v>233</v>
      </c>
      <c r="AG461">
        <v>60</v>
      </c>
      <c r="AK461" t="s">
        <v>98</v>
      </c>
      <c r="AM461" t="s">
        <v>98</v>
      </c>
      <c r="AN461" t="s">
        <v>99</v>
      </c>
      <c r="AO461" t="s">
        <v>98</v>
      </c>
      <c r="AP461" t="s">
        <v>100</v>
      </c>
      <c r="AQ461" t="s">
        <v>101</v>
      </c>
      <c r="AV461" t="s">
        <v>98</v>
      </c>
      <c r="AX461" t="s">
        <v>279</v>
      </c>
      <c r="AZ461" t="s">
        <v>392</v>
      </c>
      <c r="BB461" t="s">
        <v>235</v>
      </c>
      <c r="BC461" t="s">
        <v>460</v>
      </c>
      <c r="BD461" t="s">
        <v>7528</v>
      </c>
      <c r="BF461" t="s">
        <v>1551</v>
      </c>
      <c r="BG461" t="s">
        <v>98</v>
      </c>
      <c r="BH461" t="s">
        <v>99</v>
      </c>
      <c r="BI461" t="s">
        <v>98</v>
      </c>
      <c r="BK461" t="s">
        <v>127</v>
      </c>
      <c r="BL461" t="s">
        <v>645</v>
      </c>
      <c r="BM461">
        <v>7</v>
      </c>
      <c r="BN461">
        <v>13.5</v>
      </c>
      <c r="CA461">
        <v>344</v>
      </c>
      <c r="CB461" t="s">
        <v>279</v>
      </c>
      <c r="CL461" t="s">
        <v>99</v>
      </c>
      <c r="CM461" t="s">
        <v>98</v>
      </c>
      <c r="CN461" t="s">
        <v>237</v>
      </c>
      <c r="CO461" s="1">
        <v>42558</v>
      </c>
      <c r="CP461" s="1">
        <v>43633</v>
      </c>
    </row>
    <row r="462" spans="1:94" x14ac:dyDescent="0.25">
      <c r="A462" t="s">
        <v>1559</v>
      </c>
      <c r="B462" t="str">
        <f xml:space="preserve"> "" &amp; 747396098357</f>
        <v>747396098357</v>
      </c>
      <c r="C462" t="s">
        <v>751</v>
      </c>
      <c r="D462" t="s">
        <v>1560</v>
      </c>
      <c r="E462" t="s">
        <v>1561</v>
      </c>
      <c r="F462" t="s">
        <v>323</v>
      </c>
      <c r="G462">
        <v>1</v>
      </c>
      <c r="H462">
        <v>1</v>
      </c>
      <c r="I462" t="s">
        <v>97</v>
      </c>
      <c r="J462" s="10">
        <v>48</v>
      </c>
      <c r="K462" s="10">
        <v>144</v>
      </c>
      <c r="L462" s="10">
        <v>0</v>
      </c>
      <c r="N462" s="10">
        <v>0</v>
      </c>
      <c r="O462" t="s">
        <v>99</v>
      </c>
      <c r="P462" s="10">
        <v>99.95</v>
      </c>
      <c r="S462">
        <v>10.75</v>
      </c>
      <c r="T462">
        <v>13.25</v>
      </c>
      <c r="U462">
        <v>5</v>
      </c>
      <c r="V462">
        <v>5.75</v>
      </c>
      <c r="W462">
        <v>1.68</v>
      </c>
      <c r="Y462">
        <v>6.75</v>
      </c>
      <c r="Z462">
        <v>13.25</v>
      </c>
      <c r="AA462">
        <v>7.75</v>
      </c>
      <c r="AB462">
        <v>0.40100000000000002</v>
      </c>
      <c r="AC462">
        <v>2.73</v>
      </c>
      <c r="AE462">
        <v>1</v>
      </c>
      <c r="AF462" t="s">
        <v>702</v>
      </c>
      <c r="AG462">
        <v>40</v>
      </c>
      <c r="AK462" t="s">
        <v>98</v>
      </c>
      <c r="AL462">
        <v>1</v>
      </c>
      <c r="AM462" t="s">
        <v>98</v>
      </c>
      <c r="AN462" t="s">
        <v>99</v>
      </c>
      <c r="AO462" t="s">
        <v>98</v>
      </c>
      <c r="AP462" t="s">
        <v>100</v>
      </c>
      <c r="AQ462" t="s">
        <v>101</v>
      </c>
      <c r="AV462" t="s">
        <v>98</v>
      </c>
      <c r="AX462" t="s">
        <v>1562</v>
      </c>
      <c r="AZ462" t="s">
        <v>102</v>
      </c>
      <c r="BB462" t="s">
        <v>7528</v>
      </c>
      <c r="BC462" t="s">
        <v>7528</v>
      </c>
      <c r="BD462" t="s">
        <v>7528</v>
      </c>
      <c r="BF462" t="s">
        <v>1563</v>
      </c>
      <c r="BG462" t="s">
        <v>98</v>
      </c>
      <c r="BH462" t="s">
        <v>98</v>
      </c>
      <c r="BI462" t="s">
        <v>98</v>
      </c>
      <c r="BK462" t="s">
        <v>127</v>
      </c>
      <c r="BL462" t="s">
        <v>756</v>
      </c>
      <c r="BM462">
        <v>5</v>
      </c>
      <c r="BN462">
        <v>10</v>
      </c>
      <c r="CA462">
        <v>3451</v>
      </c>
      <c r="CB462" t="s">
        <v>1562</v>
      </c>
      <c r="CJ462">
        <v>184</v>
      </c>
      <c r="CL462" t="s">
        <v>99</v>
      </c>
      <c r="CM462" t="s">
        <v>98</v>
      </c>
      <c r="CN462" t="s">
        <v>692</v>
      </c>
      <c r="CO462" s="1">
        <v>42363</v>
      </c>
      <c r="CP462" s="1">
        <v>43633</v>
      </c>
    </row>
    <row r="463" spans="1:94" x14ac:dyDescent="0.25">
      <c r="A463" t="s">
        <v>1564</v>
      </c>
      <c r="B463" t="str">
        <f xml:space="preserve"> "" &amp; 747396098364</f>
        <v>747396098364</v>
      </c>
      <c r="C463" t="s">
        <v>758</v>
      </c>
      <c r="D463" t="s">
        <v>1565</v>
      </c>
      <c r="E463" t="s">
        <v>1561</v>
      </c>
      <c r="F463" t="s">
        <v>323</v>
      </c>
      <c r="G463">
        <v>1</v>
      </c>
      <c r="H463">
        <v>1</v>
      </c>
      <c r="I463" t="s">
        <v>97</v>
      </c>
      <c r="J463" s="10">
        <v>69</v>
      </c>
      <c r="K463" s="10">
        <v>207</v>
      </c>
      <c r="L463" s="10">
        <v>0</v>
      </c>
      <c r="N463" s="10">
        <v>0</v>
      </c>
      <c r="O463" t="s">
        <v>99</v>
      </c>
      <c r="P463" s="10">
        <v>144.94999999999999</v>
      </c>
      <c r="S463">
        <v>8.25</v>
      </c>
      <c r="U463">
        <v>12.5</v>
      </c>
      <c r="V463">
        <v>5.75</v>
      </c>
      <c r="W463">
        <v>2.71</v>
      </c>
      <c r="Y463">
        <v>10.5</v>
      </c>
      <c r="Z463">
        <v>14.38</v>
      </c>
      <c r="AA463">
        <v>8</v>
      </c>
      <c r="AB463">
        <v>0.69899999999999995</v>
      </c>
      <c r="AC463">
        <v>4.37</v>
      </c>
      <c r="AE463">
        <v>0</v>
      </c>
      <c r="AF463" t="s">
        <v>702</v>
      </c>
      <c r="AG463">
        <v>40</v>
      </c>
      <c r="AK463" t="s">
        <v>98</v>
      </c>
      <c r="AL463">
        <v>2</v>
      </c>
      <c r="AM463" t="s">
        <v>98</v>
      </c>
      <c r="AN463" t="s">
        <v>99</v>
      </c>
      <c r="AO463" t="s">
        <v>98</v>
      </c>
      <c r="AP463" t="s">
        <v>100</v>
      </c>
      <c r="AQ463" t="s">
        <v>101</v>
      </c>
      <c r="AV463" t="s">
        <v>98</v>
      </c>
      <c r="AX463" t="s">
        <v>1562</v>
      </c>
      <c r="AZ463" t="s">
        <v>102</v>
      </c>
      <c r="BB463" t="s">
        <v>7528</v>
      </c>
      <c r="BC463" t="s">
        <v>7528</v>
      </c>
      <c r="BD463" t="s">
        <v>7528</v>
      </c>
      <c r="BF463" t="s">
        <v>1566</v>
      </c>
      <c r="BG463" t="s">
        <v>98</v>
      </c>
      <c r="BH463" t="s">
        <v>98</v>
      </c>
      <c r="BI463" t="s">
        <v>98</v>
      </c>
      <c r="BK463" t="s">
        <v>127</v>
      </c>
      <c r="BL463" t="s">
        <v>756</v>
      </c>
      <c r="BM463">
        <v>10</v>
      </c>
      <c r="BN463">
        <v>5</v>
      </c>
      <c r="CA463">
        <v>3452</v>
      </c>
      <c r="CB463" t="s">
        <v>1562</v>
      </c>
      <c r="CJ463">
        <v>427</v>
      </c>
      <c r="CL463" t="s">
        <v>99</v>
      </c>
      <c r="CM463" t="s">
        <v>98</v>
      </c>
      <c r="CN463" t="s">
        <v>692</v>
      </c>
      <c r="CO463" s="1">
        <v>42363</v>
      </c>
      <c r="CP463" s="1">
        <v>43635</v>
      </c>
    </row>
    <row r="464" spans="1:94" x14ac:dyDescent="0.25">
      <c r="A464" t="s">
        <v>1552</v>
      </c>
      <c r="B464" t="str">
        <f xml:space="preserve"> "" &amp; 747396020457</f>
        <v>747396020457</v>
      </c>
      <c r="C464" t="s">
        <v>322</v>
      </c>
      <c r="D464" t="s">
        <v>322</v>
      </c>
      <c r="E464" t="s">
        <v>7528</v>
      </c>
      <c r="F464" t="s">
        <v>232</v>
      </c>
      <c r="G464">
        <v>1</v>
      </c>
      <c r="H464">
        <v>1</v>
      </c>
      <c r="I464" t="s">
        <v>97</v>
      </c>
      <c r="J464" s="10">
        <v>50</v>
      </c>
      <c r="K464" s="10">
        <v>150</v>
      </c>
      <c r="L464" s="10">
        <v>0</v>
      </c>
      <c r="N464" s="10">
        <v>0</v>
      </c>
      <c r="O464" t="s">
        <v>99</v>
      </c>
      <c r="P464" s="10">
        <v>99.95</v>
      </c>
      <c r="S464">
        <v>12</v>
      </c>
      <c r="U464">
        <v>8</v>
      </c>
      <c r="V464">
        <v>4</v>
      </c>
      <c r="W464">
        <v>4.03</v>
      </c>
      <c r="X464">
        <v>1</v>
      </c>
      <c r="Y464">
        <v>9.25</v>
      </c>
      <c r="Z464">
        <v>14.25</v>
      </c>
      <c r="AA464">
        <v>10.25</v>
      </c>
      <c r="AB464">
        <v>0.78200000000000003</v>
      </c>
      <c r="AC464">
        <v>5.2</v>
      </c>
      <c r="AE464">
        <v>2</v>
      </c>
      <c r="AF464" t="s">
        <v>233</v>
      </c>
      <c r="AG464">
        <v>60</v>
      </c>
      <c r="AK464" t="s">
        <v>98</v>
      </c>
      <c r="AM464" t="s">
        <v>98</v>
      </c>
      <c r="AN464" t="s">
        <v>99</v>
      </c>
      <c r="AO464" t="s">
        <v>98</v>
      </c>
      <c r="AP464" t="s">
        <v>100</v>
      </c>
      <c r="AQ464" t="s">
        <v>101</v>
      </c>
      <c r="AV464" t="s">
        <v>98</v>
      </c>
      <c r="AX464" t="s">
        <v>959</v>
      </c>
      <c r="AZ464" t="s">
        <v>392</v>
      </c>
      <c r="BB464" t="s">
        <v>235</v>
      </c>
      <c r="BC464" t="s">
        <v>1553</v>
      </c>
      <c r="BD464" t="s">
        <v>7528</v>
      </c>
      <c r="BF464" t="s">
        <v>1554</v>
      </c>
      <c r="BG464" t="s">
        <v>98</v>
      </c>
      <c r="BH464" t="s">
        <v>99</v>
      </c>
      <c r="BI464" t="s">
        <v>98</v>
      </c>
      <c r="BK464" t="s">
        <v>127</v>
      </c>
      <c r="BL464" t="s">
        <v>645</v>
      </c>
      <c r="BM464">
        <v>8</v>
      </c>
      <c r="BN464">
        <v>12</v>
      </c>
      <c r="CA464">
        <v>345</v>
      </c>
      <c r="CB464" t="s">
        <v>959</v>
      </c>
      <c r="CL464" t="s">
        <v>99</v>
      </c>
      <c r="CM464" t="s">
        <v>98</v>
      </c>
      <c r="CN464" t="s">
        <v>237</v>
      </c>
      <c r="CO464" s="1">
        <v>42466</v>
      </c>
      <c r="CP464" s="1">
        <v>43651</v>
      </c>
    </row>
    <row r="465" spans="1:94" x14ac:dyDescent="0.25">
      <c r="A465" t="s">
        <v>1555</v>
      </c>
      <c r="B465" t="str">
        <f xml:space="preserve"> "" &amp; 747396053325</f>
        <v>747396053325</v>
      </c>
      <c r="C465" t="s">
        <v>322</v>
      </c>
      <c r="D465" t="s">
        <v>322</v>
      </c>
      <c r="E465" t="s">
        <v>7528</v>
      </c>
      <c r="F465" t="s">
        <v>122</v>
      </c>
      <c r="G465">
        <v>1</v>
      </c>
      <c r="H465">
        <v>1</v>
      </c>
      <c r="I465" t="s">
        <v>97</v>
      </c>
      <c r="J465" s="10">
        <v>52.5</v>
      </c>
      <c r="K465" s="10">
        <v>157.5</v>
      </c>
      <c r="L465" s="10">
        <v>0</v>
      </c>
      <c r="N465" s="10">
        <v>0</v>
      </c>
      <c r="O465" t="s">
        <v>99</v>
      </c>
      <c r="P465" s="10">
        <v>105</v>
      </c>
      <c r="S465">
        <v>12</v>
      </c>
      <c r="U465">
        <v>7.75</v>
      </c>
      <c r="V465">
        <v>3.75</v>
      </c>
      <c r="W465">
        <v>3.97</v>
      </c>
      <c r="X465">
        <v>1</v>
      </c>
      <c r="Y465">
        <v>9.25</v>
      </c>
      <c r="Z465">
        <v>14.25</v>
      </c>
      <c r="AA465">
        <v>10.25</v>
      </c>
      <c r="AB465">
        <v>0.78200000000000003</v>
      </c>
      <c r="AC465">
        <v>5.27</v>
      </c>
      <c r="AE465">
        <v>2</v>
      </c>
      <c r="AF465" t="s">
        <v>1556</v>
      </c>
      <c r="AG465">
        <v>13</v>
      </c>
      <c r="AH465">
        <v>0</v>
      </c>
      <c r="AJ465">
        <v>0</v>
      </c>
      <c r="AK465" t="s">
        <v>99</v>
      </c>
      <c r="AM465" t="s">
        <v>98</v>
      </c>
      <c r="AN465" t="s">
        <v>99</v>
      </c>
      <c r="AO465" t="s">
        <v>98</v>
      </c>
      <c r="AP465" t="s">
        <v>100</v>
      </c>
      <c r="AQ465" t="s">
        <v>101</v>
      </c>
      <c r="AV465" t="s">
        <v>98</v>
      </c>
      <c r="AX465" t="s">
        <v>959</v>
      </c>
      <c r="AZ465" t="s">
        <v>392</v>
      </c>
      <c r="BB465" t="s">
        <v>235</v>
      </c>
      <c r="BC465" t="s">
        <v>1553</v>
      </c>
      <c r="BD465" t="s">
        <v>7528</v>
      </c>
      <c r="BF465" t="s">
        <v>1557</v>
      </c>
      <c r="BG465" t="s">
        <v>98</v>
      </c>
      <c r="BH465" t="s">
        <v>99</v>
      </c>
      <c r="BI465" t="s">
        <v>98</v>
      </c>
      <c r="BK465" t="s">
        <v>127</v>
      </c>
      <c r="BL465" t="s">
        <v>645</v>
      </c>
      <c r="BR465">
        <v>12</v>
      </c>
      <c r="BT465">
        <v>8</v>
      </c>
      <c r="CA465" t="s">
        <v>1558</v>
      </c>
      <c r="CB465" t="s">
        <v>959</v>
      </c>
      <c r="CL465" t="s">
        <v>98</v>
      </c>
      <c r="CM465" t="s">
        <v>98</v>
      </c>
      <c r="CN465" t="s">
        <v>442</v>
      </c>
      <c r="CO465" s="1">
        <v>38803</v>
      </c>
      <c r="CP465" s="1">
        <v>43633</v>
      </c>
    </row>
    <row r="466" spans="1:94" x14ac:dyDescent="0.25">
      <c r="A466" t="s">
        <v>1567</v>
      </c>
      <c r="B466" t="str">
        <f xml:space="preserve"> "" &amp; 747396098371</f>
        <v>747396098371</v>
      </c>
      <c r="C466" t="s">
        <v>762</v>
      </c>
      <c r="D466" t="s">
        <v>1568</v>
      </c>
      <c r="E466" t="s">
        <v>1561</v>
      </c>
      <c r="F466" t="s">
        <v>323</v>
      </c>
      <c r="G466">
        <v>1</v>
      </c>
      <c r="H466">
        <v>1</v>
      </c>
      <c r="I466" t="s">
        <v>97</v>
      </c>
      <c r="J466" s="10">
        <v>89</v>
      </c>
      <c r="K466" s="10">
        <v>267</v>
      </c>
      <c r="L466" s="10">
        <v>0</v>
      </c>
      <c r="N466" s="10">
        <v>0</v>
      </c>
      <c r="O466" t="s">
        <v>99</v>
      </c>
      <c r="P466" s="10">
        <v>184.95</v>
      </c>
      <c r="S466">
        <v>10</v>
      </c>
      <c r="U466">
        <v>20.25</v>
      </c>
      <c r="V466">
        <v>5.75</v>
      </c>
      <c r="W466">
        <v>4.8899999999999997</v>
      </c>
      <c r="Y466">
        <v>10.5</v>
      </c>
      <c r="Z466">
        <v>22.75</v>
      </c>
      <c r="AA466">
        <v>8</v>
      </c>
      <c r="AB466">
        <v>1.1060000000000001</v>
      </c>
      <c r="AC466">
        <v>7.25</v>
      </c>
      <c r="AE466">
        <v>3</v>
      </c>
      <c r="AF466" t="s">
        <v>745</v>
      </c>
      <c r="AG466">
        <v>40</v>
      </c>
      <c r="AK466" t="s">
        <v>98</v>
      </c>
      <c r="AL466">
        <v>3</v>
      </c>
      <c r="AM466" t="s">
        <v>98</v>
      </c>
      <c r="AN466" t="s">
        <v>99</v>
      </c>
      <c r="AO466" t="s">
        <v>98</v>
      </c>
      <c r="AP466" t="s">
        <v>100</v>
      </c>
      <c r="AQ466" t="s">
        <v>101</v>
      </c>
      <c r="AV466" t="s">
        <v>98</v>
      </c>
      <c r="AX466" t="s">
        <v>1562</v>
      </c>
      <c r="AZ466" t="s">
        <v>102</v>
      </c>
      <c r="BB466" t="s">
        <v>7528</v>
      </c>
      <c r="BC466" t="s">
        <v>7528</v>
      </c>
      <c r="BD466" t="s">
        <v>7528</v>
      </c>
      <c r="BF466" t="s">
        <v>1569</v>
      </c>
      <c r="BG466" t="s">
        <v>98</v>
      </c>
      <c r="BH466" t="s">
        <v>98</v>
      </c>
      <c r="BI466" t="s">
        <v>98</v>
      </c>
      <c r="BK466" t="s">
        <v>127</v>
      </c>
      <c r="BL466" t="s">
        <v>756</v>
      </c>
      <c r="BM466">
        <v>16</v>
      </c>
      <c r="BN466">
        <v>5</v>
      </c>
      <c r="CA466">
        <v>3453</v>
      </c>
      <c r="CB466" t="s">
        <v>1562</v>
      </c>
      <c r="CJ466">
        <v>683</v>
      </c>
      <c r="CL466" t="s">
        <v>99</v>
      </c>
      <c r="CM466" t="s">
        <v>98</v>
      </c>
      <c r="CN466" t="s">
        <v>692</v>
      </c>
      <c r="CO466" s="1">
        <v>42363</v>
      </c>
      <c r="CP466" s="1">
        <v>43633</v>
      </c>
    </row>
    <row r="467" spans="1:94" x14ac:dyDescent="0.25">
      <c r="A467" t="s">
        <v>1570</v>
      </c>
      <c r="B467" t="str">
        <f xml:space="preserve"> "" &amp; 747396098388</f>
        <v>747396098388</v>
      </c>
      <c r="C467" t="s">
        <v>766</v>
      </c>
      <c r="D467" t="s">
        <v>1571</v>
      </c>
      <c r="E467" t="s">
        <v>1561</v>
      </c>
      <c r="F467" t="s">
        <v>323</v>
      </c>
      <c r="G467">
        <v>1</v>
      </c>
      <c r="H467">
        <v>1</v>
      </c>
      <c r="I467" t="s">
        <v>97</v>
      </c>
      <c r="J467" s="10">
        <v>119</v>
      </c>
      <c r="K467" s="10">
        <v>357</v>
      </c>
      <c r="L467" s="10">
        <v>0</v>
      </c>
      <c r="N467" s="10">
        <v>0</v>
      </c>
      <c r="O467" t="s">
        <v>99</v>
      </c>
      <c r="P467" s="10">
        <v>249.95</v>
      </c>
      <c r="S467">
        <v>10</v>
      </c>
      <c r="U467">
        <v>29.25</v>
      </c>
      <c r="V467">
        <v>5.75</v>
      </c>
      <c r="W467">
        <v>7.41</v>
      </c>
      <c r="Y467">
        <v>10.5</v>
      </c>
      <c r="Z467">
        <v>31.75</v>
      </c>
      <c r="AA467">
        <v>8</v>
      </c>
      <c r="AB467">
        <v>1.5429999999999999</v>
      </c>
      <c r="AC467">
        <v>10.45</v>
      </c>
      <c r="AE467">
        <v>4</v>
      </c>
      <c r="AF467" t="s">
        <v>745</v>
      </c>
      <c r="AG467">
        <v>40</v>
      </c>
      <c r="AK467" t="s">
        <v>98</v>
      </c>
      <c r="AL467">
        <v>4</v>
      </c>
      <c r="AM467" t="s">
        <v>98</v>
      </c>
      <c r="AN467" t="s">
        <v>99</v>
      </c>
      <c r="AO467" t="s">
        <v>98</v>
      </c>
      <c r="AP467" t="s">
        <v>100</v>
      </c>
      <c r="AQ467" t="s">
        <v>101</v>
      </c>
      <c r="AV467" t="s">
        <v>98</v>
      </c>
      <c r="AX467" t="s">
        <v>1562</v>
      </c>
      <c r="AZ467" t="s">
        <v>102</v>
      </c>
      <c r="BB467" t="s">
        <v>7528</v>
      </c>
      <c r="BC467" t="s">
        <v>7528</v>
      </c>
      <c r="BD467" t="s">
        <v>7528</v>
      </c>
      <c r="BF467" t="s">
        <v>1572</v>
      </c>
      <c r="BG467" t="s">
        <v>98</v>
      </c>
      <c r="BH467" t="s">
        <v>98</v>
      </c>
      <c r="BI467" t="s">
        <v>98</v>
      </c>
      <c r="BK467" t="s">
        <v>127</v>
      </c>
      <c r="BL467" t="s">
        <v>756</v>
      </c>
      <c r="BM467">
        <v>24</v>
      </c>
      <c r="BN467">
        <v>5</v>
      </c>
      <c r="CA467">
        <v>3454</v>
      </c>
      <c r="CB467" t="s">
        <v>1562</v>
      </c>
      <c r="CJ467">
        <v>779</v>
      </c>
      <c r="CL467" t="s">
        <v>99</v>
      </c>
      <c r="CM467" t="s">
        <v>98</v>
      </c>
      <c r="CN467" t="s">
        <v>692</v>
      </c>
      <c r="CO467" s="1">
        <v>42363</v>
      </c>
      <c r="CP467" s="1">
        <v>43633</v>
      </c>
    </row>
    <row r="468" spans="1:94" x14ac:dyDescent="0.25">
      <c r="A468" t="s">
        <v>1573</v>
      </c>
      <c r="B468" t="str">
        <f xml:space="preserve"> "" &amp; 747396017242</f>
        <v>747396017242</v>
      </c>
      <c r="C468" t="s">
        <v>322</v>
      </c>
      <c r="D468" t="s">
        <v>322</v>
      </c>
      <c r="E468" t="s">
        <v>7528</v>
      </c>
      <c r="F468" t="s">
        <v>232</v>
      </c>
      <c r="G468">
        <v>1</v>
      </c>
      <c r="H468">
        <v>1</v>
      </c>
      <c r="I468" t="s">
        <v>97</v>
      </c>
      <c r="J468" s="10">
        <v>56</v>
      </c>
      <c r="K468" s="10">
        <v>168</v>
      </c>
      <c r="L468" s="10">
        <v>0</v>
      </c>
      <c r="N468" s="10">
        <v>0</v>
      </c>
      <c r="O468" t="s">
        <v>99</v>
      </c>
      <c r="P468" s="10">
        <v>109.95</v>
      </c>
      <c r="S468">
        <v>11</v>
      </c>
      <c r="T468">
        <v>0</v>
      </c>
      <c r="U468">
        <v>7.75</v>
      </c>
      <c r="V468">
        <v>3.75</v>
      </c>
      <c r="W468">
        <v>3.7</v>
      </c>
      <c r="X468">
        <v>1</v>
      </c>
      <c r="Y468">
        <v>0</v>
      </c>
      <c r="Z468">
        <v>0</v>
      </c>
      <c r="AA468">
        <v>0</v>
      </c>
      <c r="AB468">
        <v>0</v>
      </c>
      <c r="AC468">
        <v>4.76</v>
      </c>
      <c r="AE468">
        <v>2</v>
      </c>
      <c r="AF468" t="s">
        <v>233</v>
      </c>
      <c r="AG468">
        <v>60</v>
      </c>
      <c r="AK468" t="s">
        <v>98</v>
      </c>
      <c r="AM468" t="s">
        <v>98</v>
      </c>
      <c r="AN468" t="s">
        <v>99</v>
      </c>
      <c r="AO468" t="s">
        <v>98</v>
      </c>
      <c r="AP468" t="s">
        <v>100</v>
      </c>
      <c r="AQ468" t="s">
        <v>101</v>
      </c>
      <c r="AV468" t="s">
        <v>98</v>
      </c>
      <c r="AX468" t="s">
        <v>474</v>
      </c>
      <c r="AZ468" t="s">
        <v>392</v>
      </c>
      <c r="BB468" t="s">
        <v>235</v>
      </c>
      <c r="BC468" t="s">
        <v>1574</v>
      </c>
      <c r="BD468" t="s">
        <v>7528</v>
      </c>
      <c r="BF468" t="s">
        <v>1575</v>
      </c>
      <c r="BG468" t="s">
        <v>98</v>
      </c>
      <c r="BH468" t="s">
        <v>99</v>
      </c>
      <c r="BI468" t="s">
        <v>98</v>
      </c>
      <c r="BK468" t="s">
        <v>127</v>
      </c>
      <c r="BL468" t="s">
        <v>645</v>
      </c>
      <c r="BM468">
        <v>7.75</v>
      </c>
      <c r="BN468">
        <v>11</v>
      </c>
      <c r="CA468">
        <v>346</v>
      </c>
      <c r="CB468" t="s">
        <v>474</v>
      </c>
      <c r="CL468" t="s">
        <v>99</v>
      </c>
      <c r="CM468" t="s">
        <v>98</v>
      </c>
      <c r="CN468" t="s">
        <v>237</v>
      </c>
      <c r="CO468" s="1">
        <v>42466</v>
      </c>
      <c r="CP468" s="1">
        <v>43651</v>
      </c>
    </row>
    <row r="469" spans="1:94" x14ac:dyDescent="0.25">
      <c r="A469" t="s">
        <v>1576</v>
      </c>
      <c r="B469" t="str">
        <f xml:space="preserve"> "" &amp; 747396046006</f>
        <v>747396046006</v>
      </c>
      <c r="C469" t="s">
        <v>230</v>
      </c>
      <c r="D469" t="s">
        <v>230</v>
      </c>
      <c r="E469" t="s">
        <v>7528</v>
      </c>
      <c r="F469" t="s">
        <v>232</v>
      </c>
      <c r="G469">
        <v>1</v>
      </c>
      <c r="H469">
        <v>1</v>
      </c>
      <c r="I469" t="s">
        <v>97</v>
      </c>
      <c r="J469" s="10">
        <v>40</v>
      </c>
      <c r="K469" s="10">
        <v>120</v>
      </c>
      <c r="L469" s="10">
        <v>0</v>
      </c>
      <c r="N469" s="10">
        <v>0</v>
      </c>
      <c r="O469" t="s">
        <v>99</v>
      </c>
      <c r="P469" s="10">
        <v>79.95</v>
      </c>
      <c r="S469">
        <v>9.5</v>
      </c>
      <c r="U469">
        <v>7.25</v>
      </c>
      <c r="V469">
        <v>4</v>
      </c>
      <c r="W469">
        <v>2.93</v>
      </c>
      <c r="X469">
        <v>1</v>
      </c>
      <c r="Y469">
        <v>8.25</v>
      </c>
      <c r="Z469">
        <v>11.75</v>
      </c>
      <c r="AA469">
        <v>8.75</v>
      </c>
      <c r="AB469">
        <v>0.49099999999999999</v>
      </c>
      <c r="AC469">
        <v>3.81</v>
      </c>
      <c r="AE469">
        <v>1</v>
      </c>
      <c r="AF469" t="s">
        <v>233</v>
      </c>
      <c r="AG469">
        <v>60</v>
      </c>
      <c r="AK469" t="s">
        <v>98</v>
      </c>
      <c r="AM469" t="s">
        <v>98</v>
      </c>
      <c r="AN469" t="s">
        <v>99</v>
      </c>
      <c r="AO469" t="s">
        <v>98</v>
      </c>
      <c r="AP469" t="s">
        <v>100</v>
      </c>
      <c r="AQ469" t="s">
        <v>101</v>
      </c>
      <c r="AV469" t="s">
        <v>98</v>
      </c>
      <c r="AX469" t="s">
        <v>959</v>
      </c>
      <c r="AZ469" t="s">
        <v>392</v>
      </c>
      <c r="BB469" t="s">
        <v>235</v>
      </c>
      <c r="BC469" t="s">
        <v>1553</v>
      </c>
      <c r="BD469" t="s">
        <v>7528</v>
      </c>
      <c r="BF469" t="s">
        <v>1578</v>
      </c>
      <c r="BG469" t="s">
        <v>98</v>
      </c>
      <c r="BH469" t="s">
        <v>99</v>
      </c>
      <c r="BI469" t="s">
        <v>98</v>
      </c>
      <c r="BK469" t="s">
        <v>127</v>
      </c>
      <c r="BL469" t="s">
        <v>645</v>
      </c>
      <c r="BM469">
        <v>7.13</v>
      </c>
      <c r="BN469">
        <v>9.5</v>
      </c>
      <c r="CA469">
        <v>348</v>
      </c>
      <c r="CB469" t="s">
        <v>959</v>
      </c>
      <c r="CL469" t="s">
        <v>99</v>
      </c>
      <c r="CM469" t="s">
        <v>98</v>
      </c>
      <c r="CN469" t="s">
        <v>442</v>
      </c>
      <c r="CO469" s="1">
        <v>42466</v>
      </c>
      <c r="CP469" s="1">
        <v>43651</v>
      </c>
    </row>
    <row r="470" spans="1:94" x14ac:dyDescent="0.25">
      <c r="A470" t="s">
        <v>1583</v>
      </c>
      <c r="B470" t="str">
        <f xml:space="preserve"> "" &amp; 747396099569</f>
        <v>747396099569</v>
      </c>
      <c r="C470" t="s">
        <v>751</v>
      </c>
      <c r="D470" t="s">
        <v>1584</v>
      </c>
      <c r="E470" t="s">
        <v>1585</v>
      </c>
      <c r="F470" t="s">
        <v>323</v>
      </c>
      <c r="G470">
        <v>1</v>
      </c>
      <c r="H470">
        <v>1</v>
      </c>
      <c r="I470" t="s">
        <v>97</v>
      </c>
      <c r="J470" s="10">
        <v>48</v>
      </c>
      <c r="K470" s="10">
        <v>144</v>
      </c>
      <c r="L470" s="10">
        <v>0</v>
      </c>
      <c r="N470" s="10">
        <v>0</v>
      </c>
      <c r="O470" t="s">
        <v>99</v>
      </c>
      <c r="P470" s="10">
        <v>99.95</v>
      </c>
      <c r="S470">
        <v>10</v>
      </c>
      <c r="T470">
        <v>14.5</v>
      </c>
      <c r="U470">
        <v>5</v>
      </c>
      <c r="V470">
        <v>6.5</v>
      </c>
      <c r="W470">
        <v>2.25</v>
      </c>
      <c r="X470">
        <v>1</v>
      </c>
      <c r="Y470">
        <v>8.5</v>
      </c>
      <c r="Z470">
        <v>14.5</v>
      </c>
      <c r="AA470">
        <v>9.1300000000000008</v>
      </c>
      <c r="AB470">
        <v>0.65100000000000002</v>
      </c>
      <c r="AC470">
        <v>3.13</v>
      </c>
      <c r="AE470">
        <v>1</v>
      </c>
      <c r="AF470" t="s">
        <v>1586</v>
      </c>
      <c r="AG470">
        <v>60</v>
      </c>
      <c r="AK470" t="s">
        <v>98</v>
      </c>
      <c r="AM470" t="s">
        <v>98</v>
      </c>
      <c r="AN470" t="s">
        <v>99</v>
      </c>
      <c r="AO470" t="s">
        <v>98</v>
      </c>
      <c r="AP470" t="s">
        <v>100</v>
      </c>
      <c r="AQ470" t="s">
        <v>101</v>
      </c>
      <c r="AV470" t="s">
        <v>98</v>
      </c>
      <c r="AX470" t="s">
        <v>1587</v>
      </c>
      <c r="AZ470" t="s">
        <v>124</v>
      </c>
      <c r="BB470" t="s">
        <v>235</v>
      </c>
      <c r="BC470" t="s">
        <v>746</v>
      </c>
      <c r="BD470" t="s">
        <v>7528</v>
      </c>
      <c r="BF470" t="s">
        <v>1588</v>
      </c>
      <c r="BG470" t="s">
        <v>98</v>
      </c>
      <c r="BH470" t="s">
        <v>98</v>
      </c>
      <c r="BI470" t="s">
        <v>98</v>
      </c>
      <c r="BK470" t="s">
        <v>127</v>
      </c>
      <c r="BL470" t="s">
        <v>756</v>
      </c>
      <c r="BM470">
        <v>5</v>
      </c>
      <c r="BN470">
        <v>8.8800000000000008</v>
      </c>
      <c r="CA470">
        <v>3551</v>
      </c>
      <c r="CB470" t="s">
        <v>1587</v>
      </c>
      <c r="CL470" t="s">
        <v>98</v>
      </c>
      <c r="CM470" t="s">
        <v>98</v>
      </c>
      <c r="CN470" t="s">
        <v>442</v>
      </c>
      <c r="CO470" s="1">
        <v>42570</v>
      </c>
      <c r="CP470" s="1">
        <v>43633</v>
      </c>
    </row>
    <row r="471" spans="1:94" x14ac:dyDescent="0.25">
      <c r="A471" t="s">
        <v>1589</v>
      </c>
      <c r="B471" t="str">
        <f xml:space="preserve"> "" &amp; 747396099576</f>
        <v>747396099576</v>
      </c>
      <c r="C471" t="s">
        <v>758</v>
      </c>
      <c r="D471" t="s">
        <v>1590</v>
      </c>
      <c r="E471" t="s">
        <v>1585</v>
      </c>
      <c r="F471" t="s">
        <v>323</v>
      </c>
      <c r="G471">
        <v>1</v>
      </c>
      <c r="H471">
        <v>1</v>
      </c>
      <c r="I471" t="s">
        <v>97</v>
      </c>
      <c r="J471" s="10">
        <v>69</v>
      </c>
      <c r="K471" s="10">
        <v>207</v>
      </c>
      <c r="L471" s="10">
        <v>0</v>
      </c>
      <c r="N471" s="10">
        <v>0</v>
      </c>
      <c r="O471" t="s">
        <v>99</v>
      </c>
      <c r="P471" s="10">
        <v>144.94999999999999</v>
      </c>
      <c r="S471">
        <v>9.25</v>
      </c>
      <c r="T471">
        <v>19.25</v>
      </c>
      <c r="U471">
        <v>14.25</v>
      </c>
      <c r="V471">
        <v>6.5</v>
      </c>
      <c r="W471">
        <v>3.9</v>
      </c>
      <c r="X471">
        <v>1</v>
      </c>
      <c r="Y471">
        <v>12.63</v>
      </c>
      <c r="Z471">
        <v>19.25</v>
      </c>
      <c r="AA471">
        <v>7.88</v>
      </c>
      <c r="AB471">
        <v>1.109</v>
      </c>
      <c r="AC471">
        <v>6.04</v>
      </c>
      <c r="AE471">
        <v>2</v>
      </c>
      <c r="AF471" t="s">
        <v>696</v>
      </c>
      <c r="AG471">
        <v>60</v>
      </c>
      <c r="AK471" t="s">
        <v>98</v>
      </c>
      <c r="AM471" t="s">
        <v>98</v>
      </c>
      <c r="AN471" t="s">
        <v>99</v>
      </c>
      <c r="AO471" t="s">
        <v>98</v>
      </c>
      <c r="AP471" t="s">
        <v>100</v>
      </c>
      <c r="AQ471" t="s">
        <v>101</v>
      </c>
      <c r="AV471" t="s">
        <v>98</v>
      </c>
      <c r="AX471" t="s">
        <v>1587</v>
      </c>
      <c r="AZ471" t="s">
        <v>124</v>
      </c>
      <c r="BB471" t="s">
        <v>235</v>
      </c>
      <c r="BC471" t="s">
        <v>746</v>
      </c>
      <c r="BD471" t="s">
        <v>7528</v>
      </c>
      <c r="BF471" t="s">
        <v>1591</v>
      </c>
      <c r="BG471" t="s">
        <v>98</v>
      </c>
      <c r="BH471" t="s">
        <v>98</v>
      </c>
      <c r="BI471" t="s">
        <v>98</v>
      </c>
      <c r="BK471" t="s">
        <v>127</v>
      </c>
      <c r="BL471" t="s">
        <v>756</v>
      </c>
      <c r="BM471">
        <v>8.8800000000000008</v>
      </c>
      <c r="BN471">
        <v>5</v>
      </c>
      <c r="CA471">
        <v>3552</v>
      </c>
      <c r="CB471" t="s">
        <v>1587</v>
      </c>
      <c r="CL471" t="s">
        <v>99</v>
      </c>
      <c r="CM471" t="s">
        <v>98</v>
      </c>
      <c r="CN471" t="s">
        <v>442</v>
      </c>
      <c r="CO471" s="1">
        <v>42570</v>
      </c>
      <c r="CP471" s="1">
        <v>43633</v>
      </c>
    </row>
    <row r="472" spans="1:94" x14ac:dyDescent="0.25">
      <c r="A472" t="s">
        <v>1592</v>
      </c>
      <c r="B472" t="str">
        <f xml:space="preserve"> "" &amp; 747396099583</f>
        <v>747396099583</v>
      </c>
      <c r="C472" t="s">
        <v>762</v>
      </c>
      <c r="D472" t="s">
        <v>1593</v>
      </c>
      <c r="E472" t="s">
        <v>1585</v>
      </c>
      <c r="F472" t="s">
        <v>323</v>
      </c>
      <c r="G472">
        <v>1</v>
      </c>
      <c r="H472">
        <v>1</v>
      </c>
      <c r="I472" t="s">
        <v>97</v>
      </c>
      <c r="J472" s="10">
        <v>89</v>
      </c>
      <c r="K472" s="10">
        <v>267</v>
      </c>
      <c r="L472" s="10">
        <v>0</v>
      </c>
      <c r="N472" s="10">
        <v>0</v>
      </c>
      <c r="O472" t="s">
        <v>99</v>
      </c>
      <c r="P472" s="10">
        <v>189.95</v>
      </c>
      <c r="S472">
        <v>9.25</v>
      </c>
      <c r="T472">
        <v>28</v>
      </c>
      <c r="U472">
        <v>22</v>
      </c>
      <c r="V472">
        <v>6.5</v>
      </c>
      <c r="W472">
        <v>4.9400000000000004</v>
      </c>
      <c r="X472">
        <v>1</v>
      </c>
      <c r="Y472">
        <v>12.63</v>
      </c>
      <c r="Z472">
        <v>28</v>
      </c>
      <c r="AA472">
        <v>7.88</v>
      </c>
      <c r="AB472">
        <v>1.613</v>
      </c>
      <c r="AC472">
        <v>8.36</v>
      </c>
      <c r="AE472">
        <v>3</v>
      </c>
      <c r="AF472" t="s">
        <v>1594</v>
      </c>
      <c r="AG472">
        <v>60</v>
      </c>
      <c r="AK472" t="s">
        <v>98</v>
      </c>
      <c r="AM472" t="s">
        <v>98</v>
      </c>
      <c r="AN472" t="s">
        <v>99</v>
      </c>
      <c r="AO472" t="s">
        <v>98</v>
      </c>
      <c r="AP472" t="s">
        <v>100</v>
      </c>
      <c r="AQ472" t="s">
        <v>101</v>
      </c>
      <c r="AV472" t="s">
        <v>98</v>
      </c>
      <c r="AX472" t="s">
        <v>1587</v>
      </c>
      <c r="AZ472" t="s">
        <v>124</v>
      </c>
      <c r="BB472" t="s">
        <v>235</v>
      </c>
      <c r="BC472" t="s">
        <v>746</v>
      </c>
      <c r="BD472" t="s">
        <v>7528</v>
      </c>
      <c r="BF472" t="s">
        <v>1595</v>
      </c>
      <c r="BG472" t="s">
        <v>98</v>
      </c>
      <c r="BH472" t="s">
        <v>98</v>
      </c>
      <c r="BI472" t="s">
        <v>98</v>
      </c>
      <c r="BK472" t="s">
        <v>127</v>
      </c>
      <c r="BL472" t="s">
        <v>756</v>
      </c>
      <c r="BM472">
        <v>8.8800000000000008</v>
      </c>
      <c r="BN472">
        <v>5</v>
      </c>
      <c r="CA472">
        <v>3553</v>
      </c>
      <c r="CB472" t="s">
        <v>1587</v>
      </c>
      <c r="CL472" t="s">
        <v>99</v>
      </c>
      <c r="CM472" t="s">
        <v>98</v>
      </c>
      <c r="CN472" t="s">
        <v>442</v>
      </c>
      <c r="CO472" s="1">
        <v>42570</v>
      </c>
      <c r="CP472" s="1">
        <v>43633</v>
      </c>
    </row>
    <row r="473" spans="1:94" x14ac:dyDescent="0.25">
      <c r="A473" t="s">
        <v>1596</v>
      </c>
      <c r="B473" t="str">
        <f xml:space="preserve"> "" &amp; 747396099590</f>
        <v>747396099590</v>
      </c>
      <c r="C473" t="s">
        <v>766</v>
      </c>
      <c r="D473" t="s">
        <v>1597</v>
      </c>
      <c r="E473" t="s">
        <v>1585</v>
      </c>
      <c r="F473" t="s">
        <v>323</v>
      </c>
      <c r="G473">
        <v>1</v>
      </c>
      <c r="H473">
        <v>1</v>
      </c>
      <c r="I473" t="s">
        <v>97</v>
      </c>
      <c r="J473" s="10">
        <v>109</v>
      </c>
      <c r="K473" s="10">
        <v>327</v>
      </c>
      <c r="L473" s="10">
        <v>0</v>
      </c>
      <c r="N473" s="10">
        <v>0</v>
      </c>
      <c r="O473" t="s">
        <v>99</v>
      </c>
      <c r="P473" s="10">
        <v>229.95</v>
      </c>
      <c r="S473">
        <v>9.25</v>
      </c>
      <c r="T473">
        <v>36.625</v>
      </c>
      <c r="U473">
        <v>30.25</v>
      </c>
      <c r="V473">
        <v>6.5</v>
      </c>
      <c r="W473">
        <v>6.46</v>
      </c>
      <c r="X473">
        <v>1</v>
      </c>
      <c r="Y473">
        <v>12.63</v>
      </c>
      <c r="Z473">
        <v>36.630000000000003</v>
      </c>
      <c r="AA473">
        <v>7.88</v>
      </c>
      <c r="AB473">
        <v>2.11</v>
      </c>
      <c r="AC473">
        <v>10.82</v>
      </c>
      <c r="AE473">
        <v>4</v>
      </c>
      <c r="AF473" t="s">
        <v>1594</v>
      </c>
      <c r="AG473">
        <v>60</v>
      </c>
      <c r="AK473" t="s">
        <v>98</v>
      </c>
      <c r="AM473" t="s">
        <v>98</v>
      </c>
      <c r="AN473" t="s">
        <v>99</v>
      </c>
      <c r="AO473" t="s">
        <v>98</v>
      </c>
      <c r="AP473" t="s">
        <v>100</v>
      </c>
      <c r="AQ473" t="s">
        <v>101</v>
      </c>
      <c r="AV473" t="s">
        <v>98</v>
      </c>
      <c r="AX473" t="s">
        <v>1587</v>
      </c>
      <c r="AZ473" t="s">
        <v>124</v>
      </c>
      <c r="BB473" t="s">
        <v>235</v>
      </c>
      <c r="BC473" t="s">
        <v>746</v>
      </c>
      <c r="BD473" t="s">
        <v>7528</v>
      </c>
      <c r="BF473" t="s">
        <v>1598</v>
      </c>
      <c r="BG473" t="s">
        <v>98</v>
      </c>
      <c r="BH473" t="s">
        <v>98</v>
      </c>
      <c r="BI473" t="s">
        <v>98</v>
      </c>
      <c r="BK473" t="s">
        <v>127</v>
      </c>
      <c r="BL473" t="s">
        <v>756</v>
      </c>
      <c r="BM473">
        <v>8.8800000000000008</v>
      </c>
      <c r="BN473">
        <v>5</v>
      </c>
      <c r="CA473">
        <v>3554</v>
      </c>
      <c r="CB473" t="s">
        <v>1587</v>
      </c>
      <c r="CL473" t="s">
        <v>99</v>
      </c>
      <c r="CM473" t="s">
        <v>98</v>
      </c>
      <c r="CN473" t="s">
        <v>442</v>
      </c>
      <c r="CO473" s="1">
        <v>42570</v>
      </c>
      <c r="CP473" s="1">
        <v>43633</v>
      </c>
    </row>
    <row r="474" spans="1:94" x14ac:dyDescent="0.25">
      <c r="A474" t="s">
        <v>1599</v>
      </c>
      <c r="B474" t="str">
        <f xml:space="preserve"> "" &amp; 747396106656</f>
        <v>747396106656</v>
      </c>
      <c r="C474" t="s">
        <v>230</v>
      </c>
      <c r="D474" t="s">
        <v>6604</v>
      </c>
      <c r="E474" t="s">
        <v>1600</v>
      </c>
      <c r="F474" t="s">
        <v>232</v>
      </c>
      <c r="G474">
        <v>1</v>
      </c>
      <c r="H474">
        <v>1</v>
      </c>
      <c r="I474" t="s">
        <v>97</v>
      </c>
      <c r="J474" s="10">
        <v>48</v>
      </c>
      <c r="K474" s="10">
        <v>144</v>
      </c>
      <c r="L474" s="10">
        <v>0</v>
      </c>
      <c r="N474" s="10">
        <v>0</v>
      </c>
      <c r="O474" t="s">
        <v>99</v>
      </c>
      <c r="P474" s="10">
        <v>99.95</v>
      </c>
      <c r="S474">
        <v>7</v>
      </c>
      <c r="U474">
        <v>5.5</v>
      </c>
      <c r="V474">
        <v>4.75</v>
      </c>
      <c r="W474">
        <v>3.13</v>
      </c>
      <c r="X474">
        <v>1</v>
      </c>
      <c r="Y474">
        <v>20</v>
      </c>
      <c r="Z474">
        <v>16.75</v>
      </c>
      <c r="AA474">
        <v>11.5</v>
      </c>
      <c r="AB474">
        <v>2.2290000000000001</v>
      </c>
      <c r="AC474">
        <v>3.88</v>
      </c>
      <c r="AE474">
        <v>1</v>
      </c>
      <c r="AF474" t="s">
        <v>519</v>
      </c>
      <c r="AG474">
        <v>60</v>
      </c>
      <c r="AK474" t="s">
        <v>98</v>
      </c>
      <c r="AM474" t="s">
        <v>98</v>
      </c>
      <c r="AN474" t="s">
        <v>99</v>
      </c>
      <c r="AO474" t="s">
        <v>98</v>
      </c>
      <c r="AP474" t="s">
        <v>100</v>
      </c>
      <c r="AQ474" t="s">
        <v>101</v>
      </c>
      <c r="AV474" t="s">
        <v>98</v>
      </c>
      <c r="AX474" t="s">
        <v>1445</v>
      </c>
      <c r="AZ474" t="s">
        <v>102</v>
      </c>
      <c r="BB474" t="s">
        <v>235</v>
      </c>
      <c r="BC474" t="s">
        <v>1601</v>
      </c>
      <c r="BD474" t="s">
        <v>7528</v>
      </c>
      <c r="BF474" t="s">
        <v>1602</v>
      </c>
      <c r="BG474" t="s">
        <v>98</v>
      </c>
      <c r="BH474" t="s">
        <v>98</v>
      </c>
      <c r="BI474" t="s">
        <v>98</v>
      </c>
      <c r="BK474" t="s">
        <v>127</v>
      </c>
      <c r="BL474" t="s">
        <v>7528</v>
      </c>
      <c r="BM474">
        <v>5.5</v>
      </c>
      <c r="BN474">
        <v>7</v>
      </c>
      <c r="CA474">
        <v>3561</v>
      </c>
      <c r="CB474" t="s">
        <v>1445</v>
      </c>
      <c r="CL474" t="s">
        <v>99</v>
      </c>
      <c r="CM474" t="s">
        <v>98</v>
      </c>
      <c r="CN474" t="s">
        <v>442</v>
      </c>
      <c r="CO474" s="1">
        <v>43032</v>
      </c>
      <c r="CP474" s="1">
        <v>43633</v>
      </c>
    </row>
    <row r="475" spans="1:94" x14ac:dyDescent="0.25">
      <c r="A475" t="s">
        <v>1603</v>
      </c>
      <c r="B475" t="str">
        <f xml:space="preserve"> "" &amp; 747396106663</f>
        <v>747396106663</v>
      </c>
      <c r="C475" t="s">
        <v>1604</v>
      </c>
      <c r="D475" t="s">
        <v>2198</v>
      </c>
      <c r="E475" t="s">
        <v>1600</v>
      </c>
      <c r="F475" t="s">
        <v>232</v>
      </c>
      <c r="G475">
        <v>1</v>
      </c>
      <c r="H475">
        <v>1</v>
      </c>
      <c r="I475" t="s">
        <v>97</v>
      </c>
      <c r="J475" s="10">
        <v>68</v>
      </c>
      <c r="K475" s="10">
        <v>204</v>
      </c>
      <c r="L475" s="10">
        <v>0</v>
      </c>
      <c r="N475" s="10">
        <v>0</v>
      </c>
      <c r="O475" t="s">
        <v>99</v>
      </c>
      <c r="P475" s="10">
        <v>139.94999999999999</v>
      </c>
      <c r="S475">
        <v>12</v>
      </c>
      <c r="U475">
        <v>7</v>
      </c>
      <c r="V475">
        <v>4.75</v>
      </c>
      <c r="W475">
        <v>5.78</v>
      </c>
      <c r="X475">
        <v>1</v>
      </c>
      <c r="Y475">
        <v>14.5</v>
      </c>
      <c r="Z475">
        <v>11</v>
      </c>
      <c r="AA475">
        <v>9.5</v>
      </c>
      <c r="AB475">
        <v>0.877</v>
      </c>
      <c r="AC475">
        <v>6.97</v>
      </c>
      <c r="AE475">
        <v>3</v>
      </c>
      <c r="AF475" t="s">
        <v>772</v>
      </c>
      <c r="AG475">
        <v>60</v>
      </c>
      <c r="AK475" t="s">
        <v>98</v>
      </c>
      <c r="AM475" t="s">
        <v>98</v>
      </c>
      <c r="AN475" t="s">
        <v>99</v>
      </c>
      <c r="AO475" t="s">
        <v>98</v>
      </c>
      <c r="AP475" t="s">
        <v>100</v>
      </c>
      <c r="AQ475" t="s">
        <v>101</v>
      </c>
      <c r="AV475" t="s">
        <v>98</v>
      </c>
      <c r="AX475" t="s">
        <v>1445</v>
      </c>
      <c r="AZ475" t="s">
        <v>102</v>
      </c>
      <c r="BB475" t="s">
        <v>235</v>
      </c>
      <c r="BC475" t="s">
        <v>1601</v>
      </c>
      <c r="BD475" t="s">
        <v>7528</v>
      </c>
      <c r="BF475" t="s">
        <v>1605</v>
      </c>
      <c r="BG475" t="s">
        <v>98</v>
      </c>
      <c r="BH475" t="s">
        <v>98</v>
      </c>
      <c r="BI475" t="s">
        <v>98</v>
      </c>
      <c r="BK475" t="s">
        <v>127</v>
      </c>
      <c r="BL475" t="s">
        <v>7528</v>
      </c>
      <c r="BM475">
        <v>7</v>
      </c>
      <c r="BN475">
        <v>12</v>
      </c>
      <c r="CA475">
        <v>3563</v>
      </c>
      <c r="CB475" t="s">
        <v>1445</v>
      </c>
      <c r="CL475" t="s">
        <v>99</v>
      </c>
      <c r="CM475" t="s">
        <v>98</v>
      </c>
      <c r="CN475" t="s">
        <v>442</v>
      </c>
      <c r="CO475" s="1">
        <v>43032</v>
      </c>
      <c r="CP475" s="1">
        <v>43633</v>
      </c>
    </row>
    <row r="476" spans="1:94" x14ac:dyDescent="0.25">
      <c r="A476" t="s">
        <v>1606</v>
      </c>
      <c r="B476" t="str">
        <f xml:space="preserve"> "" &amp; 747396106670</f>
        <v>747396106670</v>
      </c>
      <c r="C476" t="s">
        <v>1607</v>
      </c>
      <c r="D476" t="s">
        <v>6605</v>
      </c>
      <c r="E476" t="s">
        <v>1600</v>
      </c>
      <c r="F476" t="s">
        <v>240</v>
      </c>
      <c r="G476">
        <v>1</v>
      </c>
      <c r="H476">
        <v>1</v>
      </c>
      <c r="I476" t="s">
        <v>97</v>
      </c>
      <c r="J476" s="10">
        <v>379</v>
      </c>
      <c r="K476" s="10">
        <v>1137</v>
      </c>
      <c r="L476" s="10">
        <v>0</v>
      </c>
      <c r="N476" s="10">
        <v>0</v>
      </c>
      <c r="O476" t="s">
        <v>99</v>
      </c>
      <c r="P476" s="10">
        <v>799.95</v>
      </c>
      <c r="S476">
        <v>12</v>
      </c>
      <c r="T476">
        <v>30</v>
      </c>
      <c r="U476">
        <v>30</v>
      </c>
      <c r="W476">
        <v>26.01</v>
      </c>
      <c r="X476">
        <v>1</v>
      </c>
      <c r="Y476">
        <v>15.13</v>
      </c>
      <c r="Z476">
        <v>39.75</v>
      </c>
      <c r="AA476">
        <v>32.5</v>
      </c>
      <c r="AB476">
        <v>11.311</v>
      </c>
      <c r="AC476">
        <v>36.770000000000003</v>
      </c>
      <c r="AE476">
        <v>10</v>
      </c>
      <c r="AF476" t="s">
        <v>772</v>
      </c>
      <c r="AG476">
        <v>60</v>
      </c>
      <c r="AK476" t="s">
        <v>98</v>
      </c>
      <c r="AM476" t="s">
        <v>98</v>
      </c>
      <c r="AN476" t="s">
        <v>99</v>
      </c>
      <c r="AO476" t="s">
        <v>98</v>
      </c>
      <c r="AP476" t="s">
        <v>100</v>
      </c>
      <c r="AQ476" t="s">
        <v>101</v>
      </c>
      <c r="AV476" t="s">
        <v>98</v>
      </c>
      <c r="AX476" t="s">
        <v>1445</v>
      </c>
      <c r="AZ476" t="s">
        <v>102</v>
      </c>
      <c r="BB476" t="s">
        <v>235</v>
      </c>
      <c r="BC476" t="s">
        <v>1601</v>
      </c>
      <c r="BD476" t="s">
        <v>7528</v>
      </c>
      <c r="BF476" t="s">
        <v>1608</v>
      </c>
      <c r="BG476" t="s">
        <v>98</v>
      </c>
      <c r="BH476" t="s">
        <v>98</v>
      </c>
      <c r="BI476" t="s">
        <v>98</v>
      </c>
      <c r="BK476" t="s">
        <v>110</v>
      </c>
      <c r="BL476" t="s">
        <v>7528</v>
      </c>
      <c r="BR476">
        <v>1</v>
      </c>
      <c r="BS476">
        <v>5</v>
      </c>
      <c r="BT476">
        <v>5</v>
      </c>
      <c r="CA476">
        <v>3568</v>
      </c>
      <c r="CB476" t="s">
        <v>1445</v>
      </c>
      <c r="CL476" t="s">
        <v>99</v>
      </c>
      <c r="CM476" t="s">
        <v>98</v>
      </c>
      <c r="CN476" t="s">
        <v>442</v>
      </c>
      <c r="CO476" s="1">
        <v>43032</v>
      </c>
      <c r="CP476" s="1">
        <v>43633</v>
      </c>
    </row>
    <row r="477" spans="1:94" x14ac:dyDescent="0.25">
      <c r="A477" t="s">
        <v>1609</v>
      </c>
      <c r="B477" t="str">
        <f xml:space="preserve"> "" &amp; 747396106687</f>
        <v>747396106687</v>
      </c>
      <c r="C477" t="s">
        <v>464</v>
      </c>
      <c r="D477" t="s">
        <v>1610</v>
      </c>
      <c r="E477" t="s">
        <v>1600</v>
      </c>
      <c r="F477" t="s">
        <v>240</v>
      </c>
      <c r="G477">
        <v>1</v>
      </c>
      <c r="H477">
        <v>1</v>
      </c>
      <c r="I477" t="s">
        <v>97</v>
      </c>
      <c r="J477" s="10">
        <v>429</v>
      </c>
      <c r="K477" s="10">
        <v>1287</v>
      </c>
      <c r="L477" s="10">
        <v>0</v>
      </c>
      <c r="N477" s="10">
        <v>0</v>
      </c>
      <c r="O477" t="s">
        <v>99</v>
      </c>
      <c r="P477" s="10">
        <v>904.95</v>
      </c>
      <c r="S477">
        <v>30</v>
      </c>
      <c r="T477">
        <v>20</v>
      </c>
      <c r="U477">
        <v>20</v>
      </c>
      <c r="W477">
        <v>38.909999999999997</v>
      </c>
      <c r="X477">
        <v>1</v>
      </c>
      <c r="Y477">
        <v>32.880000000000003</v>
      </c>
      <c r="Z477">
        <v>29.25</v>
      </c>
      <c r="AA477">
        <v>22.5</v>
      </c>
      <c r="AB477">
        <v>12.523</v>
      </c>
      <c r="AC477">
        <v>48.81</v>
      </c>
      <c r="AE477">
        <v>12</v>
      </c>
      <c r="AF477" t="s">
        <v>1611</v>
      </c>
      <c r="AG477">
        <v>60</v>
      </c>
      <c r="AK477" t="s">
        <v>98</v>
      </c>
      <c r="AM477" t="s">
        <v>98</v>
      </c>
      <c r="AN477" t="s">
        <v>99</v>
      </c>
      <c r="AO477" t="s">
        <v>98</v>
      </c>
      <c r="AP477" t="s">
        <v>100</v>
      </c>
      <c r="AQ477" t="s">
        <v>101</v>
      </c>
      <c r="AV477" t="s">
        <v>98</v>
      </c>
      <c r="AX477" t="s">
        <v>1445</v>
      </c>
      <c r="AZ477" t="s">
        <v>102</v>
      </c>
      <c r="BB477" t="s">
        <v>235</v>
      </c>
      <c r="BC477" t="s">
        <v>1601</v>
      </c>
      <c r="BD477" t="s">
        <v>7528</v>
      </c>
      <c r="BF477" t="s">
        <v>1612</v>
      </c>
      <c r="BG477" t="s">
        <v>98</v>
      </c>
      <c r="BH477" t="s">
        <v>98</v>
      </c>
      <c r="BI477" t="s">
        <v>98</v>
      </c>
      <c r="BK477" t="s">
        <v>110</v>
      </c>
      <c r="BL477" t="s">
        <v>7528</v>
      </c>
      <c r="BQ477">
        <v>5</v>
      </c>
      <c r="BR477">
        <v>1</v>
      </c>
      <c r="BS477">
        <v>5</v>
      </c>
      <c r="BT477">
        <v>5</v>
      </c>
      <c r="CA477">
        <v>3569</v>
      </c>
      <c r="CB477" t="s">
        <v>1445</v>
      </c>
      <c r="CL477" t="s">
        <v>99</v>
      </c>
      <c r="CM477" t="s">
        <v>98</v>
      </c>
      <c r="CN477" t="s">
        <v>442</v>
      </c>
      <c r="CO477" s="1">
        <v>43032</v>
      </c>
      <c r="CP477" s="1">
        <v>43633</v>
      </c>
    </row>
    <row r="478" spans="1:94" x14ac:dyDescent="0.25">
      <c r="A478" t="s">
        <v>1613</v>
      </c>
      <c r="B478" t="str">
        <f xml:space="preserve"> "" &amp; 747396105277</f>
        <v>747396105277</v>
      </c>
      <c r="C478" t="s">
        <v>845</v>
      </c>
      <c r="D478" t="s">
        <v>1614</v>
      </c>
      <c r="E478" t="s">
        <v>1615</v>
      </c>
      <c r="F478" t="s">
        <v>240</v>
      </c>
      <c r="G478">
        <v>1</v>
      </c>
      <c r="H478">
        <v>1</v>
      </c>
      <c r="I478" t="s">
        <v>97</v>
      </c>
      <c r="J478" s="10">
        <v>109</v>
      </c>
      <c r="K478" s="10">
        <v>327</v>
      </c>
      <c r="L478" s="10">
        <v>0</v>
      </c>
      <c r="N478" s="10">
        <v>0</v>
      </c>
      <c r="O478" t="s">
        <v>99</v>
      </c>
      <c r="P478" s="10">
        <v>229.95</v>
      </c>
      <c r="S478">
        <v>13</v>
      </c>
      <c r="T478">
        <v>9</v>
      </c>
      <c r="U478">
        <v>9</v>
      </c>
      <c r="W478">
        <v>9.68</v>
      </c>
      <c r="X478">
        <v>1</v>
      </c>
      <c r="Y478">
        <v>17.75</v>
      </c>
      <c r="Z478">
        <v>11.38</v>
      </c>
      <c r="AA478">
        <v>11.38</v>
      </c>
      <c r="AB478">
        <v>1.33</v>
      </c>
      <c r="AC478">
        <v>12.79</v>
      </c>
      <c r="AE478">
        <v>3</v>
      </c>
      <c r="AF478" t="s">
        <v>1611</v>
      </c>
      <c r="AG478">
        <v>60</v>
      </c>
      <c r="AK478" t="s">
        <v>98</v>
      </c>
      <c r="AM478" t="s">
        <v>98</v>
      </c>
      <c r="AN478" t="s">
        <v>98</v>
      </c>
      <c r="AO478" t="s">
        <v>99</v>
      </c>
      <c r="AP478" t="s">
        <v>100</v>
      </c>
      <c r="AQ478" t="s">
        <v>101</v>
      </c>
      <c r="AV478" t="s">
        <v>98</v>
      </c>
      <c r="AX478" t="s">
        <v>1616</v>
      </c>
      <c r="AZ478" t="s">
        <v>102</v>
      </c>
      <c r="BB478" t="s">
        <v>235</v>
      </c>
      <c r="BC478" t="s">
        <v>1617</v>
      </c>
      <c r="BD478" t="s">
        <v>7528</v>
      </c>
      <c r="BF478" t="s">
        <v>1618</v>
      </c>
      <c r="BG478" t="s">
        <v>98</v>
      </c>
      <c r="BH478" t="s">
        <v>98</v>
      </c>
      <c r="BI478" t="s">
        <v>98</v>
      </c>
      <c r="BK478" t="s">
        <v>110</v>
      </c>
      <c r="BL478" t="s">
        <v>7528</v>
      </c>
      <c r="BR478">
        <v>0.79</v>
      </c>
      <c r="BS478">
        <v>4.72</v>
      </c>
      <c r="BT478">
        <v>4.72</v>
      </c>
      <c r="CA478">
        <v>3663</v>
      </c>
      <c r="CB478" t="s">
        <v>1616</v>
      </c>
      <c r="CL478" t="s">
        <v>99</v>
      </c>
      <c r="CM478" t="s">
        <v>98</v>
      </c>
      <c r="CN478" t="s">
        <v>1619</v>
      </c>
      <c r="CO478" s="1">
        <v>43032</v>
      </c>
      <c r="CP478" s="1">
        <v>43633</v>
      </c>
    </row>
    <row r="479" spans="1:94" x14ac:dyDescent="0.25">
      <c r="A479" t="s">
        <v>1620</v>
      </c>
      <c r="B479" t="str">
        <f xml:space="preserve"> "" &amp; 747396105284</f>
        <v>747396105284</v>
      </c>
      <c r="C479" t="s">
        <v>464</v>
      </c>
      <c r="D479" t="s">
        <v>6606</v>
      </c>
      <c r="E479" t="s">
        <v>1615</v>
      </c>
      <c r="F479" t="s">
        <v>240</v>
      </c>
      <c r="G479">
        <v>1</v>
      </c>
      <c r="H479">
        <v>1</v>
      </c>
      <c r="I479" t="s">
        <v>97</v>
      </c>
      <c r="J479" s="10">
        <v>189</v>
      </c>
      <c r="K479" s="10">
        <v>567</v>
      </c>
      <c r="L479" s="10">
        <v>0</v>
      </c>
      <c r="N479" s="10">
        <v>0</v>
      </c>
      <c r="O479" t="s">
        <v>99</v>
      </c>
      <c r="P479" s="10">
        <v>399.95</v>
      </c>
      <c r="S479">
        <v>19.25</v>
      </c>
      <c r="T479">
        <v>14</v>
      </c>
      <c r="U479">
        <v>14</v>
      </c>
      <c r="W479">
        <v>17.37</v>
      </c>
      <c r="X479">
        <v>1</v>
      </c>
      <c r="Y479">
        <v>23.63</v>
      </c>
      <c r="Z479">
        <v>16.5</v>
      </c>
      <c r="AA479">
        <v>16.5</v>
      </c>
      <c r="AB479">
        <v>3.7229999999999999</v>
      </c>
      <c r="AC479">
        <v>22.58</v>
      </c>
      <c r="AE479">
        <v>4</v>
      </c>
      <c r="AF479" t="s">
        <v>1611</v>
      </c>
      <c r="AG479">
        <v>60</v>
      </c>
      <c r="AK479" t="s">
        <v>98</v>
      </c>
      <c r="AM479" t="s">
        <v>98</v>
      </c>
      <c r="AN479" t="s">
        <v>98</v>
      </c>
      <c r="AO479" t="s">
        <v>99</v>
      </c>
      <c r="AP479" t="s">
        <v>100</v>
      </c>
      <c r="AQ479" t="s">
        <v>101</v>
      </c>
      <c r="AV479" t="s">
        <v>98</v>
      </c>
      <c r="AX479" t="s">
        <v>1616</v>
      </c>
      <c r="AZ479" t="s">
        <v>102</v>
      </c>
      <c r="BB479" t="s">
        <v>235</v>
      </c>
      <c r="BC479" t="s">
        <v>1617</v>
      </c>
      <c r="BD479" t="s">
        <v>7528</v>
      </c>
      <c r="BF479" t="s">
        <v>1621</v>
      </c>
      <c r="BG479" t="s">
        <v>98</v>
      </c>
      <c r="BH479" t="s">
        <v>98</v>
      </c>
      <c r="BI479" t="s">
        <v>98</v>
      </c>
      <c r="BK479" t="s">
        <v>7528</v>
      </c>
      <c r="BL479" t="s">
        <v>7528</v>
      </c>
      <c r="BR479">
        <v>0.79</v>
      </c>
      <c r="BS479">
        <v>4.72</v>
      </c>
      <c r="BT479">
        <v>4.75</v>
      </c>
      <c r="CA479">
        <v>3664</v>
      </c>
      <c r="CB479" t="s">
        <v>1616</v>
      </c>
      <c r="CL479" t="s">
        <v>99</v>
      </c>
      <c r="CM479" t="s">
        <v>99</v>
      </c>
      <c r="CN479" t="s">
        <v>1619</v>
      </c>
      <c r="CO479" s="1">
        <v>43032</v>
      </c>
      <c r="CP479" s="1">
        <v>43633</v>
      </c>
    </row>
    <row r="480" spans="1:94" x14ac:dyDescent="0.25">
      <c r="A480" t="s">
        <v>1622</v>
      </c>
      <c r="B480" t="str">
        <f xml:space="preserve"> "" &amp; 747396105291</f>
        <v>747396105291</v>
      </c>
      <c r="C480" t="s">
        <v>853</v>
      </c>
      <c r="D480" t="s">
        <v>6607</v>
      </c>
      <c r="E480" t="s">
        <v>1615</v>
      </c>
      <c r="F480" t="s">
        <v>377</v>
      </c>
      <c r="G480">
        <v>1</v>
      </c>
      <c r="H480">
        <v>1</v>
      </c>
      <c r="I480" t="s">
        <v>97</v>
      </c>
      <c r="J480" s="10">
        <v>125</v>
      </c>
      <c r="K480" s="10">
        <v>375</v>
      </c>
      <c r="L480" s="10">
        <v>0</v>
      </c>
      <c r="N480" s="10">
        <v>0</v>
      </c>
      <c r="O480" t="s">
        <v>99</v>
      </c>
      <c r="P480" s="10">
        <v>259.95</v>
      </c>
      <c r="S480">
        <v>13.25</v>
      </c>
      <c r="T480">
        <v>16</v>
      </c>
      <c r="U480">
        <v>16</v>
      </c>
      <c r="W480">
        <v>9.17</v>
      </c>
      <c r="X480">
        <v>1</v>
      </c>
      <c r="Y480">
        <v>13.75</v>
      </c>
      <c r="Z480">
        <v>18.5</v>
      </c>
      <c r="AA480">
        <v>18.5</v>
      </c>
      <c r="AB480">
        <v>2.7229999999999999</v>
      </c>
      <c r="AC480">
        <v>12.96</v>
      </c>
      <c r="AE480">
        <v>4</v>
      </c>
      <c r="AF480" t="s">
        <v>1611</v>
      </c>
      <c r="AG480">
        <v>60</v>
      </c>
      <c r="AK480" t="s">
        <v>98</v>
      </c>
      <c r="AM480" t="s">
        <v>98</v>
      </c>
      <c r="AN480" t="s">
        <v>98</v>
      </c>
      <c r="AO480" t="s">
        <v>99</v>
      </c>
      <c r="AP480" t="s">
        <v>100</v>
      </c>
      <c r="AQ480" t="s">
        <v>101</v>
      </c>
      <c r="AV480" t="s">
        <v>98</v>
      </c>
      <c r="AX480" t="s">
        <v>1616</v>
      </c>
      <c r="AZ480" t="s">
        <v>102</v>
      </c>
      <c r="BB480" t="s">
        <v>235</v>
      </c>
      <c r="BC480" t="s">
        <v>1623</v>
      </c>
      <c r="BD480" t="s">
        <v>7528</v>
      </c>
      <c r="BF480" t="s">
        <v>1624</v>
      </c>
      <c r="BG480" t="s">
        <v>98</v>
      </c>
      <c r="BH480" t="s">
        <v>98</v>
      </c>
      <c r="BI480" t="s">
        <v>98</v>
      </c>
      <c r="BK480" t="s">
        <v>127</v>
      </c>
      <c r="BL480" t="s">
        <v>7528</v>
      </c>
      <c r="BR480">
        <v>0.79</v>
      </c>
      <c r="BS480">
        <v>4.72</v>
      </c>
      <c r="BT480">
        <v>4.72</v>
      </c>
      <c r="CA480">
        <v>3669</v>
      </c>
      <c r="CB480" t="s">
        <v>1616</v>
      </c>
      <c r="CL480" t="s">
        <v>99</v>
      </c>
      <c r="CM480" t="s">
        <v>98</v>
      </c>
      <c r="CN480" t="s">
        <v>1619</v>
      </c>
      <c r="CO480" s="1">
        <v>43032</v>
      </c>
      <c r="CP480" s="1">
        <v>43633</v>
      </c>
    </row>
    <row r="481" spans="1:94" x14ac:dyDescent="0.25">
      <c r="A481" t="s">
        <v>1625</v>
      </c>
      <c r="B481" t="str">
        <f xml:space="preserve"> "" &amp; 747396105765</f>
        <v>747396105765</v>
      </c>
      <c r="C481" t="s">
        <v>835</v>
      </c>
      <c r="D481" t="s">
        <v>6608</v>
      </c>
      <c r="E481" t="s">
        <v>1626</v>
      </c>
      <c r="F481" t="s">
        <v>232</v>
      </c>
      <c r="G481">
        <v>1</v>
      </c>
      <c r="H481">
        <v>1</v>
      </c>
      <c r="I481" t="s">
        <v>97</v>
      </c>
      <c r="J481" s="10">
        <v>125</v>
      </c>
      <c r="K481" s="10">
        <v>375</v>
      </c>
      <c r="L481" s="10">
        <v>0</v>
      </c>
      <c r="N481" s="10">
        <v>0</v>
      </c>
      <c r="O481" t="s">
        <v>99</v>
      </c>
      <c r="P481" s="10">
        <v>259.95</v>
      </c>
      <c r="S481">
        <v>12</v>
      </c>
      <c r="U481">
        <v>7</v>
      </c>
      <c r="V481">
        <v>4.5</v>
      </c>
      <c r="W481">
        <v>4.41</v>
      </c>
      <c r="X481">
        <v>1</v>
      </c>
      <c r="Y481">
        <v>7.25</v>
      </c>
      <c r="Z481">
        <v>15</v>
      </c>
      <c r="AA481">
        <v>9.5</v>
      </c>
      <c r="AB481">
        <v>0.59799999999999998</v>
      </c>
      <c r="AC481">
        <v>5.34</v>
      </c>
      <c r="AE481">
        <v>8</v>
      </c>
      <c r="AF481" t="s">
        <v>1611</v>
      </c>
      <c r="AG481">
        <v>60</v>
      </c>
      <c r="AK481" t="s">
        <v>98</v>
      </c>
      <c r="AM481" t="s">
        <v>98</v>
      </c>
      <c r="AN481" t="s">
        <v>98</v>
      </c>
      <c r="AO481" t="s">
        <v>99</v>
      </c>
      <c r="AP481" t="s">
        <v>100</v>
      </c>
      <c r="AQ481" t="s">
        <v>101</v>
      </c>
      <c r="AV481" t="s">
        <v>98</v>
      </c>
      <c r="AX481" t="s">
        <v>7575</v>
      </c>
      <c r="AZ481" t="s">
        <v>392</v>
      </c>
      <c r="BB481" t="s">
        <v>7528</v>
      </c>
      <c r="BC481" t="s">
        <v>7528</v>
      </c>
      <c r="BD481" t="s">
        <v>7528</v>
      </c>
      <c r="BF481" t="s">
        <v>1627</v>
      </c>
      <c r="BG481" t="s">
        <v>98</v>
      </c>
      <c r="BH481" t="s">
        <v>98</v>
      </c>
      <c r="BI481" t="s">
        <v>98</v>
      </c>
      <c r="BK481" t="s">
        <v>127</v>
      </c>
      <c r="BL481" t="s">
        <v>7528</v>
      </c>
      <c r="BM481">
        <v>7</v>
      </c>
      <c r="BN481">
        <v>12</v>
      </c>
      <c r="CA481">
        <v>3673</v>
      </c>
      <c r="CB481" t="s">
        <v>7575</v>
      </c>
      <c r="CL481" t="s">
        <v>98</v>
      </c>
      <c r="CM481" t="s">
        <v>98</v>
      </c>
      <c r="CN481" t="s">
        <v>7528</v>
      </c>
      <c r="CO481" s="1">
        <v>43038</v>
      </c>
      <c r="CP481" s="1">
        <v>43633</v>
      </c>
    </row>
    <row r="482" spans="1:94" x14ac:dyDescent="0.25">
      <c r="A482" t="s">
        <v>1628</v>
      </c>
      <c r="B482" t="str">
        <f xml:space="preserve"> "" &amp; 747396105772</f>
        <v>747396105772</v>
      </c>
      <c r="C482" t="s">
        <v>464</v>
      </c>
      <c r="D482" t="s">
        <v>6609</v>
      </c>
      <c r="E482" t="s">
        <v>1626</v>
      </c>
      <c r="F482" t="s">
        <v>240</v>
      </c>
      <c r="G482">
        <v>1</v>
      </c>
      <c r="H482">
        <v>1</v>
      </c>
      <c r="I482" t="s">
        <v>97</v>
      </c>
      <c r="J482" s="10">
        <v>399</v>
      </c>
      <c r="K482" s="10">
        <v>1197</v>
      </c>
      <c r="L482" s="10">
        <v>0</v>
      </c>
      <c r="N482" s="10">
        <v>0</v>
      </c>
      <c r="O482" t="s">
        <v>99</v>
      </c>
      <c r="P482" s="10">
        <v>834.95</v>
      </c>
      <c r="S482">
        <v>28</v>
      </c>
      <c r="T482">
        <v>18</v>
      </c>
      <c r="U482">
        <v>18</v>
      </c>
      <c r="W482">
        <v>18.96</v>
      </c>
      <c r="X482">
        <v>1</v>
      </c>
      <c r="Y482">
        <v>32</v>
      </c>
      <c r="Z482">
        <v>21</v>
      </c>
      <c r="AA482">
        <v>20.75</v>
      </c>
      <c r="AB482">
        <v>8.0690000000000008</v>
      </c>
      <c r="AC482">
        <v>27.56</v>
      </c>
      <c r="AE482">
        <v>8</v>
      </c>
      <c r="AF482" t="s">
        <v>1611</v>
      </c>
      <c r="AG482">
        <v>60</v>
      </c>
      <c r="AK482" t="s">
        <v>98</v>
      </c>
      <c r="AM482" t="s">
        <v>98</v>
      </c>
      <c r="AN482" t="s">
        <v>98</v>
      </c>
      <c r="AO482" t="s">
        <v>99</v>
      </c>
      <c r="AP482" t="s">
        <v>100</v>
      </c>
      <c r="AQ482" t="s">
        <v>101</v>
      </c>
      <c r="AV482" t="s">
        <v>98</v>
      </c>
      <c r="AX482" t="s">
        <v>7575</v>
      </c>
      <c r="AZ482" t="s">
        <v>392</v>
      </c>
      <c r="BB482" t="s">
        <v>7528</v>
      </c>
      <c r="BC482" t="s">
        <v>7528</v>
      </c>
      <c r="BD482" t="s">
        <v>7528</v>
      </c>
      <c r="BF482" t="s">
        <v>1629</v>
      </c>
      <c r="BG482" t="s">
        <v>98</v>
      </c>
      <c r="BH482" t="s">
        <v>98</v>
      </c>
      <c r="BI482" t="s">
        <v>98</v>
      </c>
      <c r="BK482" t="s">
        <v>110</v>
      </c>
      <c r="BL482" t="s">
        <v>7528</v>
      </c>
      <c r="BR482">
        <v>0.75</v>
      </c>
      <c r="BS482">
        <v>5</v>
      </c>
      <c r="BT482">
        <v>5</v>
      </c>
      <c r="CA482">
        <v>3678</v>
      </c>
      <c r="CB482" t="s">
        <v>7575</v>
      </c>
      <c r="CL482" t="s">
        <v>99</v>
      </c>
      <c r="CM482" t="s">
        <v>99</v>
      </c>
      <c r="CN482" t="s">
        <v>692</v>
      </c>
      <c r="CO482" s="1">
        <v>43038</v>
      </c>
      <c r="CP482" s="1">
        <v>43633</v>
      </c>
    </row>
    <row r="483" spans="1:94" x14ac:dyDescent="0.25">
      <c r="A483" t="s">
        <v>1630</v>
      </c>
      <c r="B483" t="str">
        <f xml:space="preserve"> "" &amp; 747396106519</f>
        <v>747396106519</v>
      </c>
      <c r="C483" t="s">
        <v>464</v>
      </c>
      <c r="D483" t="s">
        <v>6610</v>
      </c>
      <c r="E483" t="s">
        <v>1626</v>
      </c>
      <c r="F483" t="s">
        <v>240</v>
      </c>
      <c r="G483">
        <v>1</v>
      </c>
      <c r="H483">
        <v>1</v>
      </c>
      <c r="I483" t="s">
        <v>97</v>
      </c>
      <c r="J483" s="10">
        <v>489</v>
      </c>
      <c r="K483" s="10">
        <v>1467</v>
      </c>
      <c r="L483" s="10">
        <v>0</v>
      </c>
      <c r="N483" s="10">
        <v>0</v>
      </c>
      <c r="O483" t="s">
        <v>99</v>
      </c>
      <c r="P483" s="10">
        <v>1029.95</v>
      </c>
      <c r="S483">
        <v>30</v>
      </c>
      <c r="T483">
        <v>21</v>
      </c>
      <c r="U483">
        <v>21</v>
      </c>
      <c r="W483">
        <v>25.57</v>
      </c>
      <c r="X483">
        <v>1</v>
      </c>
      <c r="Y483">
        <v>32.5</v>
      </c>
      <c r="Z483">
        <v>24</v>
      </c>
      <c r="AA483">
        <v>24</v>
      </c>
      <c r="AB483">
        <v>10.833</v>
      </c>
      <c r="AC483">
        <v>37.479999999999997</v>
      </c>
      <c r="AE483">
        <v>10</v>
      </c>
      <c r="AF483" t="s">
        <v>1611</v>
      </c>
      <c r="AG483">
        <v>60</v>
      </c>
      <c r="AK483" t="s">
        <v>98</v>
      </c>
      <c r="AM483" t="s">
        <v>98</v>
      </c>
      <c r="AN483" t="s">
        <v>98</v>
      </c>
      <c r="AO483" t="s">
        <v>99</v>
      </c>
      <c r="AP483" t="s">
        <v>100</v>
      </c>
      <c r="AQ483" t="s">
        <v>101</v>
      </c>
      <c r="AV483" t="s">
        <v>98</v>
      </c>
      <c r="AX483" t="s">
        <v>7575</v>
      </c>
      <c r="AZ483" t="s">
        <v>392</v>
      </c>
      <c r="BB483" t="s">
        <v>7528</v>
      </c>
      <c r="BC483" t="s">
        <v>7528</v>
      </c>
      <c r="BD483" t="s">
        <v>7528</v>
      </c>
      <c r="BF483" t="s">
        <v>1631</v>
      </c>
      <c r="BG483" t="s">
        <v>98</v>
      </c>
      <c r="BH483" t="s">
        <v>98</v>
      </c>
      <c r="BI483" t="s">
        <v>98</v>
      </c>
      <c r="BK483" t="s">
        <v>110</v>
      </c>
      <c r="BL483" t="s">
        <v>7528</v>
      </c>
      <c r="BR483">
        <v>0.75</v>
      </c>
      <c r="BS483">
        <v>5</v>
      </c>
      <c r="BT483">
        <v>5</v>
      </c>
      <c r="CA483">
        <v>3679</v>
      </c>
      <c r="CB483" t="s">
        <v>7575</v>
      </c>
      <c r="CL483" t="s">
        <v>99</v>
      </c>
      <c r="CM483" t="s">
        <v>99</v>
      </c>
      <c r="CN483" t="s">
        <v>692</v>
      </c>
      <c r="CO483" s="1">
        <v>43038</v>
      </c>
      <c r="CP483" s="1">
        <v>43633</v>
      </c>
    </row>
    <row r="484" spans="1:94" x14ac:dyDescent="0.25">
      <c r="A484" t="s">
        <v>1632</v>
      </c>
      <c r="B484" t="str">
        <f xml:space="preserve"> "" &amp; 747396066257</f>
        <v>747396066257</v>
      </c>
      <c r="C484" t="s">
        <v>758</v>
      </c>
      <c r="D484" t="s">
        <v>6611</v>
      </c>
      <c r="E484" t="s">
        <v>7524</v>
      </c>
      <c r="F484" t="s">
        <v>1633</v>
      </c>
      <c r="G484">
        <v>1</v>
      </c>
      <c r="H484">
        <v>1</v>
      </c>
      <c r="I484" t="s">
        <v>97</v>
      </c>
      <c r="J484" s="10">
        <v>84</v>
      </c>
      <c r="K484" s="10">
        <v>252</v>
      </c>
      <c r="L484" s="10">
        <v>0</v>
      </c>
      <c r="N484" s="10">
        <v>0</v>
      </c>
      <c r="S484">
        <v>9.75</v>
      </c>
      <c r="T484">
        <v>16.5</v>
      </c>
      <c r="U484">
        <v>14</v>
      </c>
      <c r="V484">
        <v>6.5</v>
      </c>
      <c r="W484">
        <v>5.34</v>
      </c>
      <c r="X484">
        <v>1</v>
      </c>
      <c r="Y484">
        <v>11.25</v>
      </c>
      <c r="Z484">
        <v>16.5</v>
      </c>
      <c r="AA484">
        <v>8.5</v>
      </c>
      <c r="AB484">
        <v>0.91300000000000003</v>
      </c>
      <c r="AC484">
        <v>6.26</v>
      </c>
      <c r="AE484">
        <v>2</v>
      </c>
      <c r="AF484" t="s">
        <v>1634</v>
      </c>
      <c r="AG484">
        <v>13</v>
      </c>
      <c r="AK484" t="s">
        <v>99</v>
      </c>
      <c r="AM484" t="s">
        <v>98</v>
      </c>
      <c r="AN484" t="s">
        <v>99</v>
      </c>
      <c r="AO484" t="s">
        <v>98</v>
      </c>
      <c r="AP484" t="s">
        <v>100</v>
      </c>
      <c r="AQ484" t="s">
        <v>101</v>
      </c>
      <c r="AV484" t="s">
        <v>98</v>
      </c>
      <c r="AX484" t="s">
        <v>399</v>
      </c>
      <c r="AZ484" t="s">
        <v>392</v>
      </c>
      <c r="BB484" t="s">
        <v>235</v>
      </c>
      <c r="BC484" t="s">
        <v>1635</v>
      </c>
      <c r="BD484" t="s">
        <v>7528</v>
      </c>
      <c r="BF484" t="s">
        <v>1636</v>
      </c>
      <c r="BG484" t="s">
        <v>98</v>
      </c>
      <c r="BH484" t="s">
        <v>98</v>
      </c>
      <c r="BI484" t="s">
        <v>98</v>
      </c>
      <c r="BK484" t="s">
        <v>127</v>
      </c>
      <c r="BL484" t="s">
        <v>756</v>
      </c>
      <c r="BM484">
        <v>7.75</v>
      </c>
      <c r="BN484">
        <v>4</v>
      </c>
      <c r="CA484" t="s">
        <v>1637</v>
      </c>
      <c r="CB484" t="s">
        <v>399</v>
      </c>
      <c r="CL484" t="s">
        <v>98</v>
      </c>
      <c r="CM484" t="s">
        <v>98</v>
      </c>
      <c r="CN484" t="s">
        <v>442</v>
      </c>
      <c r="CO484" s="1">
        <v>39420</v>
      </c>
      <c r="CP484" s="1">
        <v>43633</v>
      </c>
    </row>
    <row r="485" spans="1:94" x14ac:dyDescent="0.25">
      <c r="A485" t="s">
        <v>1638</v>
      </c>
      <c r="B485" t="str">
        <f xml:space="preserve"> "" &amp; 747396094885</f>
        <v>747396094885</v>
      </c>
      <c r="C485" t="s">
        <v>807</v>
      </c>
      <c r="D485" t="s">
        <v>1639</v>
      </c>
      <c r="E485" t="s">
        <v>1640</v>
      </c>
      <c r="F485" t="s">
        <v>7532</v>
      </c>
      <c r="G485">
        <v>1</v>
      </c>
      <c r="H485">
        <v>1</v>
      </c>
      <c r="I485" t="s">
        <v>97</v>
      </c>
      <c r="J485" s="10">
        <v>72</v>
      </c>
      <c r="K485" s="10">
        <v>216</v>
      </c>
      <c r="L485" s="10">
        <v>0</v>
      </c>
      <c r="N485" s="10">
        <v>0</v>
      </c>
      <c r="O485" t="s">
        <v>99</v>
      </c>
      <c r="P485" s="10">
        <v>149.94999999999999</v>
      </c>
      <c r="S485">
        <v>12.5</v>
      </c>
      <c r="U485">
        <v>5</v>
      </c>
      <c r="V485">
        <v>4.5</v>
      </c>
      <c r="W485">
        <v>3</v>
      </c>
      <c r="Y485">
        <v>9.5</v>
      </c>
      <c r="Z485">
        <v>15.13</v>
      </c>
      <c r="AA485">
        <v>7.88</v>
      </c>
      <c r="AB485">
        <v>0.65500000000000003</v>
      </c>
      <c r="AC485">
        <v>4.12</v>
      </c>
      <c r="AE485">
        <v>1</v>
      </c>
      <c r="AF485" t="s">
        <v>1641</v>
      </c>
      <c r="AG485">
        <v>15</v>
      </c>
      <c r="AK485" t="s">
        <v>99</v>
      </c>
      <c r="AM485" t="s">
        <v>98</v>
      </c>
      <c r="AN485" t="s">
        <v>99</v>
      </c>
      <c r="AO485" t="s">
        <v>98</v>
      </c>
      <c r="AP485" t="s">
        <v>100</v>
      </c>
      <c r="AQ485" t="s">
        <v>101</v>
      </c>
      <c r="AV485" t="s">
        <v>98</v>
      </c>
      <c r="AX485" t="s">
        <v>484</v>
      </c>
      <c r="AZ485" t="s">
        <v>102</v>
      </c>
      <c r="BB485" t="s">
        <v>235</v>
      </c>
      <c r="BC485" t="s">
        <v>460</v>
      </c>
      <c r="BD485" t="s">
        <v>7528</v>
      </c>
      <c r="BF485" t="s">
        <v>1642</v>
      </c>
      <c r="BG485" t="s">
        <v>98</v>
      </c>
      <c r="BH485" t="s">
        <v>98</v>
      </c>
      <c r="BI485" t="s">
        <v>98</v>
      </c>
      <c r="BK485" t="s">
        <v>127</v>
      </c>
      <c r="BL485" t="s">
        <v>7528</v>
      </c>
      <c r="BR485">
        <v>7</v>
      </c>
      <c r="BT485">
        <v>5</v>
      </c>
      <c r="CA485">
        <v>391</v>
      </c>
      <c r="CB485" t="s">
        <v>484</v>
      </c>
      <c r="CG485">
        <v>3000</v>
      </c>
      <c r="CH485">
        <v>96</v>
      </c>
      <c r="CI485">
        <v>1161.0999999999999</v>
      </c>
      <c r="CJ485">
        <v>735.8</v>
      </c>
      <c r="CK485">
        <v>30000</v>
      </c>
      <c r="CL485" t="s">
        <v>98</v>
      </c>
      <c r="CM485" t="s">
        <v>98</v>
      </c>
      <c r="CN485" t="s">
        <v>1643</v>
      </c>
      <c r="CO485" s="1">
        <v>42032</v>
      </c>
      <c r="CP485" s="1">
        <v>43633</v>
      </c>
    </row>
    <row r="486" spans="1:94" x14ac:dyDescent="0.25">
      <c r="A486" t="s">
        <v>1644</v>
      </c>
      <c r="B486" t="str">
        <f xml:space="preserve"> "" &amp; 747396094892</f>
        <v>747396094892</v>
      </c>
      <c r="C486" t="s">
        <v>807</v>
      </c>
      <c r="D486" t="s">
        <v>1639</v>
      </c>
      <c r="E486" t="s">
        <v>1640</v>
      </c>
      <c r="F486" t="s">
        <v>7532</v>
      </c>
      <c r="G486">
        <v>1</v>
      </c>
      <c r="H486">
        <v>1</v>
      </c>
      <c r="I486" t="s">
        <v>97</v>
      </c>
      <c r="J486" s="10">
        <v>125</v>
      </c>
      <c r="K486" s="10">
        <v>375</v>
      </c>
      <c r="L486" s="10">
        <v>0</v>
      </c>
      <c r="N486" s="10">
        <v>0</v>
      </c>
      <c r="O486" t="s">
        <v>99</v>
      </c>
      <c r="P486" s="10">
        <v>264.95</v>
      </c>
      <c r="S486">
        <v>5</v>
      </c>
      <c r="U486">
        <v>24.5</v>
      </c>
      <c r="V486">
        <v>4</v>
      </c>
      <c r="W486">
        <v>5.4</v>
      </c>
      <c r="Y486">
        <v>11.5</v>
      </c>
      <c r="Z486">
        <v>27.5</v>
      </c>
      <c r="AA486">
        <v>7.88</v>
      </c>
      <c r="AB486">
        <v>1.4419999999999999</v>
      </c>
      <c r="AC486">
        <v>7.36</v>
      </c>
      <c r="AE486">
        <v>2</v>
      </c>
      <c r="AF486" t="s">
        <v>1641</v>
      </c>
      <c r="AG486">
        <v>31</v>
      </c>
      <c r="AK486" t="s">
        <v>99</v>
      </c>
      <c r="AM486" t="s">
        <v>98</v>
      </c>
      <c r="AN486" t="s">
        <v>99</v>
      </c>
      <c r="AO486" t="s">
        <v>98</v>
      </c>
      <c r="AP486" t="s">
        <v>100</v>
      </c>
      <c r="AQ486" t="s">
        <v>101</v>
      </c>
      <c r="AV486" t="s">
        <v>98</v>
      </c>
      <c r="AX486" t="s">
        <v>484</v>
      </c>
      <c r="AZ486" t="s">
        <v>102</v>
      </c>
      <c r="BB486" t="s">
        <v>235</v>
      </c>
      <c r="BC486" t="s">
        <v>460</v>
      </c>
      <c r="BD486" t="s">
        <v>7528</v>
      </c>
      <c r="BF486" t="s">
        <v>1645</v>
      </c>
      <c r="BG486" t="s">
        <v>98</v>
      </c>
      <c r="BH486" t="s">
        <v>99</v>
      </c>
      <c r="BI486" t="s">
        <v>98</v>
      </c>
      <c r="BK486" t="s">
        <v>127</v>
      </c>
      <c r="BL486" t="s">
        <v>7528</v>
      </c>
      <c r="BR486">
        <v>7</v>
      </c>
      <c r="BT486">
        <v>5</v>
      </c>
      <c r="CA486">
        <v>392</v>
      </c>
      <c r="CB486" t="s">
        <v>484</v>
      </c>
      <c r="CG486">
        <v>3000</v>
      </c>
      <c r="CH486">
        <v>95</v>
      </c>
      <c r="CI486">
        <v>2254.3000000000002</v>
      </c>
      <c r="CJ486">
        <v>1490</v>
      </c>
      <c r="CK486">
        <v>30000</v>
      </c>
      <c r="CL486" t="s">
        <v>98</v>
      </c>
      <c r="CM486" t="s">
        <v>98</v>
      </c>
      <c r="CN486" t="s">
        <v>1643</v>
      </c>
      <c r="CO486" s="1">
        <v>42032</v>
      </c>
      <c r="CP486" s="1">
        <v>43633</v>
      </c>
    </row>
    <row r="487" spans="1:94" x14ac:dyDescent="0.25">
      <c r="A487" t="s">
        <v>1646</v>
      </c>
      <c r="B487" t="str">
        <f xml:space="preserve"> "" &amp; 747396094908</f>
        <v>747396094908</v>
      </c>
      <c r="C487" t="s">
        <v>807</v>
      </c>
      <c r="D487" t="s">
        <v>1639</v>
      </c>
      <c r="E487" t="s">
        <v>1640</v>
      </c>
      <c r="F487" t="s">
        <v>7532</v>
      </c>
      <c r="G487">
        <v>1</v>
      </c>
      <c r="H487">
        <v>1</v>
      </c>
      <c r="I487" t="s">
        <v>97</v>
      </c>
      <c r="J487" s="10">
        <v>160</v>
      </c>
      <c r="K487" s="10">
        <v>480</v>
      </c>
      <c r="L487" s="10">
        <v>0</v>
      </c>
      <c r="N487" s="10">
        <v>0</v>
      </c>
      <c r="O487" t="s">
        <v>99</v>
      </c>
      <c r="P487" s="10">
        <v>334.95</v>
      </c>
      <c r="S487">
        <v>5</v>
      </c>
      <c r="U487">
        <v>37</v>
      </c>
      <c r="V487">
        <v>4</v>
      </c>
      <c r="W487">
        <v>6.79</v>
      </c>
      <c r="Y487">
        <v>12</v>
      </c>
      <c r="Z487">
        <v>41</v>
      </c>
      <c r="AA487">
        <v>8.6300000000000008</v>
      </c>
      <c r="AB487">
        <v>2.4569999999999999</v>
      </c>
      <c r="AC487">
        <v>9.77</v>
      </c>
      <c r="AE487">
        <v>2</v>
      </c>
      <c r="AF487" t="s">
        <v>1647</v>
      </c>
      <c r="AG487">
        <v>60</v>
      </c>
      <c r="AK487" t="s">
        <v>99</v>
      </c>
      <c r="AM487" t="s">
        <v>98</v>
      </c>
      <c r="AN487" t="s">
        <v>99</v>
      </c>
      <c r="AO487" t="s">
        <v>98</v>
      </c>
      <c r="AP487" t="s">
        <v>100</v>
      </c>
      <c r="AQ487" t="s">
        <v>101</v>
      </c>
      <c r="AV487" t="s">
        <v>98</v>
      </c>
      <c r="AX487" t="s">
        <v>484</v>
      </c>
      <c r="AZ487" t="s">
        <v>102</v>
      </c>
      <c r="BB487" t="s">
        <v>235</v>
      </c>
      <c r="BC487" t="s">
        <v>460</v>
      </c>
      <c r="BD487" t="s">
        <v>7528</v>
      </c>
      <c r="BF487" t="s">
        <v>1648</v>
      </c>
      <c r="BG487" t="s">
        <v>98</v>
      </c>
      <c r="BH487" t="s">
        <v>99</v>
      </c>
      <c r="BI487" t="s">
        <v>98</v>
      </c>
      <c r="BK487" t="s">
        <v>127</v>
      </c>
      <c r="BL487" t="s">
        <v>7528</v>
      </c>
      <c r="BR487">
        <v>7</v>
      </c>
      <c r="BT487">
        <v>5</v>
      </c>
      <c r="CA487">
        <v>393</v>
      </c>
      <c r="CB487" t="s">
        <v>484</v>
      </c>
      <c r="CG487">
        <v>3000</v>
      </c>
      <c r="CH487">
        <v>96</v>
      </c>
      <c r="CI487">
        <v>4361.1000000000004</v>
      </c>
      <c r="CJ487">
        <v>3108.3</v>
      </c>
      <c r="CK487">
        <v>30000</v>
      </c>
      <c r="CL487" t="s">
        <v>98</v>
      </c>
      <c r="CM487" t="s">
        <v>98</v>
      </c>
      <c r="CN487" t="s">
        <v>1643</v>
      </c>
      <c r="CO487" s="1">
        <v>42036</v>
      </c>
      <c r="CP487" s="1">
        <v>43633</v>
      </c>
    </row>
    <row r="488" spans="1:94" x14ac:dyDescent="0.25">
      <c r="A488" t="s">
        <v>1649</v>
      </c>
      <c r="B488" t="str">
        <f xml:space="preserve"> "" &amp; 747396097176</f>
        <v>747396097176</v>
      </c>
      <c r="C488" t="s">
        <v>751</v>
      </c>
      <c r="D488" t="s">
        <v>1650</v>
      </c>
      <c r="E488" t="s">
        <v>1651</v>
      </c>
      <c r="F488" t="s">
        <v>232</v>
      </c>
      <c r="G488">
        <v>1</v>
      </c>
      <c r="H488">
        <v>1</v>
      </c>
      <c r="I488" t="s">
        <v>97</v>
      </c>
      <c r="J488" s="10">
        <v>34</v>
      </c>
      <c r="K488" s="10">
        <v>102</v>
      </c>
      <c r="L488" s="10">
        <v>0</v>
      </c>
      <c r="N488" s="10">
        <v>0</v>
      </c>
      <c r="O488" t="s">
        <v>99</v>
      </c>
      <c r="P488" s="10">
        <v>74.95</v>
      </c>
      <c r="S488">
        <v>10.25</v>
      </c>
      <c r="T488">
        <v>12.5</v>
      </c>
      <c r="U488">
        <v>5</v>
      </c>
      <c r="V488">
        <v>6</v>
      </c>
      <c r="W488">
        <v>1.87</v>
      </c>
      <c r="Y488">
        <v>7.5</v>
      </c>
      <c r="Z488">
        <v>12.5</v>
      </c>
      <c r="AA488">
        <v>9</v>
      </c>
      <c r="AB488">
        <v>0.48799999999999999</v>
      </c>
      <c r="AC488">
        <v>2.54</v>
      </c>
      <c r="AE488">
        <v>1</v>
      </c>
      <c r="AF488" t="s">
        <v>282</v>
      </c>
      <c r="AG488">
        <v>100</v>
      </c>
      <c r="AK488" t="s">
        <v>98</v>
      </c>
      <c r="AM488" t="s">
        <v>98</v>
      </c>
      <c r="AN488" t="s">
        <v>99</v>
      </c>
      <c r="AO488" t="s">
        <v>98</v>
      </c>
      <c r="AP488" t="s">
        <v>100</v>
      </c>
      <c r="AQ488" t="s">
        <v>101</v>
      </c>
      <c r="AV488" t="s">
        <v>98</v>
      </c>
      <c r="AX488" t="s">
        <v>484</v>
      </c>
      <c r="AZ488" t="s">
        <v>102</v>
      </c>
      <c r="BB488" t="s">
        <v>235</v>
      </c>
      <c r="BC488" t="s">
        <v>460</v>
      </c>
      <c r="BD488" t="s">
        <v>7528</v>
      </c>
      <c r="BF488" t="s">
        <v>1652</v>
      </c>
      <c r="BG488" t="s">
        <v>98</v>
      </c>
      <c r="BH488" t="s">
        <v>98</v>
      </c>
      <c r="BI488" t="s">
        <v>98</v>
      </c>
      <c r="BK488" t="s">
        <v>127</v>
      </c>
      <c r="BL488" t="s">
        <v>756</v>
      </c>
      <c r="BR488">
        <v>8</v>
      </c>
      <c r="BT488">
        <v>5</v>
      </c>
      <c r="CA488">
        <v>3981</v>
      </c>
      <c r="CB488" t="s">
        <v>484</v>
      </c>
      <c r="CL488" t="s">
        <v>99</v>
      </c>
      <c r="CM488" t="s">
        <v>98</v>
      </c>
      <c r="CN488" t="s">
        <v>442</v>
      </c>
      <c r="CO488" s="1">
        <v>42324</v>
      </c>
      <c r="CP488" s="1">
        <v>43633</v>
      </c>
    </row>
    <row r="489" spans="1:94" x14ac:dyDescent="0.25">
      <c r="A489" t="s">
        <v>1653</v>
      </c>
      <c r="B489" t="str">
        <f xml:space="preserve"> "" &amp; 747396097671</f>
        <v>747396097671</v>
      </c>
      <c r="C489" t="s">
        <v>758</v>
      </c>
      <c r="D489" t="s">
        <v>6612</v>
      </c>
      <c r="E489" t="s">
        <v>1651</v>
      </c>
      <c r="F489" t="s">
        <v>323</v>
      </c>
      <c r="G489">
        <v>1</v>
      </c>
      <c r="H489">
        <v>1</v>
      </c>
      <c r="I489" t="s">
        <v>97</v>
      </c>
      <c r="J489" s="10">
        <v>48</v>
      </c>
      <c r="K489" s="10">
        <v>144</v>
      </c>
      <c r="L489" s="10">
        <v>0</v>
      </c>
      <c r="N489" s="10">
        <v>0</v>
      </c>
      <c r="O489" t="s">
        <v>99</v>
      </c>
      <c r="P489" s="10">
        <v>104.95</v>
      </c>
      <c r="S489">
        <v>7.75</v>
      </c>
      <c r="U489">
        <v>14</v>
      </c>
      <c r="V489">
        <v>6</v>
      </c>
      <c r="W489">
        <v>2.82</v>
      </c>
      <c r="Y489">
        <v>21.5</v>
      </c>
      <c r="Z489">
        <v>18.5</v>
      </c>
      <c r="AA489">
        <v>15</v>
      </c>
      <c r="AB489">
        <v>3.4529999999999998</v>
      </c>
      <c r="AC489">
        <v>3.44</v>
      </c>
      <c r="AE489">
        <v>2</v>
      </c>
      <c r="AF489" t="s">
        <v>282</v>
      </c>
      <c r="AG489">
        <v>100</v>
      </c>
      <c r="AK489" t="s">
        <v>98</v>
      </c>
      <c r="AL489">
        <v>2</v>
      </c>
      <c r="AM489" t="s">
        <v>98</v>
      </c>
      <c r="AN489" t="s">
        <v>99</v>
      </c>
      <c r="AO489" t="s">
        <v>98</v>
      </c>
      <c r="AP489" t="s">
        <v>100</v>
      </c>
      <c r="AQ489" t="s">
        <v>101</v>
      </c>
      <c r="AV489" t="s">
        <v>98</v>
      </c>
      <c r="AX489" t="s">
        <v>484</v>
      </c>
      <c r="AZ489" t="s">
        <v>102</v>
      </c>
      <c r="BB489" t="s">
        <v>235</v>
      </c>
      <c r="BC489" t="s">
        <v>1654</v>
      </c>
      <c r="BD489" t="s">
        <v>7528</v>
      </c>
      <c r="BF489" t="s">
        <v>1655</v>
      </c>
      <c r="BG489" t="s">
        <v>98</v>
      </c>
      <c r="BH489" t="s">
        <v>98</v>
      </c>
      <c r="BI489" t="s">
        <v>98</v>
      </c>
      <c r="BK489" t="s">
        <v>127</v>
      </c>
      <c r="BL489" t="s">
        <v>756</v>
      </c>
      <c r="BM489">
        <v>8</v>
      </c>
      <c r="BN489">
        <v>5</v>
      </c>
      <c r="CA489">
        <v>3982</v>
      </c>
      <c r="CB489" t="s">
        <v>484</v>
      </c>
      <c r="CL489" t="s">
        <v>99</v>
      </c>
      <c r="CM489" t="s">
        <v>98</v>
      </c>
      <c r="CN489" t="s">
        <v>442</v>
      </c>
      <c r="CO489" s="1">
        <v>42324</v>
      </c>
      <c r="CP489" s="1">
        <v>43633</v>
      </c>
    </row>
    <row r="490" spans="1:94" x14ac:dyDescent="0.25">
      <c r="A490" t="s">
        <v>1656</v>
      </c>
      <c r="B490" t="str">
        <f xml:space="preserve"> "" &amp; 747396097688</f>
        <v>747396097688</v>
      </c>
      <c r="C490" t="s">
        <v>762</v>
      </c>
      <c r="D490" t="s">
        <v>1657</v>
      </c>
      <c r="E490" t="s">
        <v>1651</v>
      </c>
      <c r="F490" t="s">
        <v>323</v>
      </c>
      <c r="G490">
        <v>1</v>
      </c>
      <c r="H490">
        <v>1</v>
      </c>
      <c r="I490" t="s">
        <v>97</v>
      </c>
      <c r="J490" s="10">
        <v>59</v>
      </c>
      <c r="K490" s="10">
        <v>177</v>
      </c>
      <c r="L490" s="10">
        <v>0</v>
      </c>
      <c r="N490" s="10">
        <v>0</v>
      </c>
      <c r="O490" t="s">
        <v>99</v>
      </c>
      <c r="P490" s="10">
        <v>124.95</v>
      </c>
      <c r="S490">
        <v>7.75</v>
      </c>
      <c r="U490">
        <v>24.25</v>
      </c>
      <c r="V490">
        <v>6</v>
      </c>
      <c r="W490">
        <v>4.2300000000000004</v>
      </c>
      <c r="Y490">
        <v>10</v>
      </c>
      <c r="Z490">
        <v>24.5</v>
      </c>
      <c r="AA490">
        <v>8.75</v>
      </c>
      <c r="AB490">
        <v>1.2410000000000001</v>
      </c>
      <c r="AC490">
        <v>5.6</v>
      </c>
      <c r="AE490">
        <v>3</v>
      </c>
      <c r="AF490" t="s">
        <v>282</v>
      </c>
      <c r="AG490">
        <v>100</v>
      </c>
      <c r="AK490" t="s">
        <v>98</v>
      </c>
      <c r="AL490">
        <v>3</v>
      </c>
      <c r="AM490" t="s">
        <v>98</v>
      </c>
      <c r="AN490" t="s">
        <v>99</v>
      </c>
      <c r="AO490" t="s">
        <v>98</v>
      </c>
      <c r="AP490" t="s">
        <v>100</v>
      </c>
      <c r="AQ490" t="s">
        <v>101</v>
      </c>
      <c r="AV490" t="s">
        <v>98</v>
      </c>
      <c r="AX490" t="s">
        <v>484</v>
      </c>
      <c r="AZ490" t="s">
        <v>102</v>
      </c>
      <c r="BB490" t="s">
        <v>235</v>
      </c>
      <c r="BC490" t="s">
        <v>460</v>
      </c>
      <c r="BD490" t="s">
        <v>7528</v>
      </c>
      <c r="BF490" t="s">
        <v>1658</v>
      </c>
      <c r="BG490" t="s">
        <v>98</v>
      </c>
      <c r="BH490" t="s">
        <v>98</v>
      </c>
      <c r="BI490" t="s">
        <v>98</v>
      </c>
      <c r="BK490" t="s">
        <v>127</v>
      </c>
      <c r="BL490" t="s">
        <v>756</v>
      </c>
      <c r="BM490">
        <v>8</v>
      </c>
      <c r="BN490">
        <v>5</v>
      </c>
      <c r="CA490">
        <v>3983</v>
      </c>
      <c r="CB490" t="s">
        <v>484</v>
      </c>
      <c r="CL490" t="s">
        <v>99</v>
      </c>
      <c r="CM490" t="s">
        <v>98</v>
      </c>
      <c r="CN490" t="s">
        <v>442</v>
      </c>
      <c r="CO490" s="1">
        <v>42324</v>
      </c>
      <c r="CP490" s="1">
        <v>43633</v>
      </c>
    </row>
    <row r="491" spans="1:94" x14ac:dyDescent="0.25">
      <c r="A491" t="s">
        <v>1659</v>
      </c>
      <c r="B491" t="str">
        <f xml:space="preserve"> "" &amp; 747396097695</f>
        <v>747396097695</v>
      </c>
      <c r="C491" t="s">
        <v>766</v>
      </c>
      <c r="D491" t="s">
        <v>1660</v>
      </c>
      <c r="E491" t="s">
        <v>1651</v>
      </c>
      <c r="F491" t="s">
        <v>323</v>
      </c>
      <c r="G491">
        <v>1</v>
      </c>
      <c r="H491">
        <v>1</v>
      </c>
      <c r="I491" t="s">
        <v>97</v>
      </c>
      <c r="J491" s="10">
        <v>79</v>
      </c>
      <c r="K491" s="10">
        <v>237</v>
      </c>
      <c r="L491" s="10">
        <v>0</v>
      </c>
      <c r="N491" s="10">
        <v>0</v>
      </c>
      <c r="O491" t="s">
        <v>99</v>
      </c>
      <c r="P491" s="10">
        <v>169.95</v>
      </c>
      <c r="S491">
        <v>7.75</v>
      </c>
      <c r="U491">
        <v>33.25</v>
      </c>
      <c r="V491">
        <v>6</v>
      </c>
      <c r="W491">
        <v>5.4</v>
      </c>
      <c r="Y491">
        <v>10</v>
      </c>
      <c r="Z491">
        <v>33.75</v>
      </c>
      <c r="AA491">
        <v>8.75</v>
      </c>
      <c r="AB491">
        <v>1.7090000000000001</v>
      </c>
      <c r="AC491">
        <v>7.17</v>
      </c>
      <c r="AE491">
        <v>4</v>
      </c>
      <c r="AF491" t="s">
        <v>282</v>
      </c>
      <c r="AG491">
        <v>100</v>
      </c>
      <c r="AK491" t="s">
        <v>98</v>
      </c>
      <c r="AL491">
        <v>4</v>
      </c>
      <c r="AM491" t="s">
        <v>98</v>
      </c>
      <c r="AN491" t="s">
        <v>99</v>
      </c>
      <c r="AO491" t="s">
        <v>98</v>
      </c>
      <c r="AP491" t="s">
        <v>100</v>
      </c>
      <c r="AQ491" t="s">
        <v>101</v>
      </c>
      <c r="AV491" t="s">
        <v>98</v>
      </c>
      <c r="AX491" t="s">
        <v>484</v>
      </c>
      <c r="AZ491" t="s">
        <v>102</v>
      </c>
      <c r="BB491" t="s">
        <v>235</v>
      </c>
      <c r="BC491" t="s">
        <v>460</v>
      </c>
      <c r="BD491" t="s">
        <v>7528</v>
      </c>
      <c r="BF491" t="s">
        <v>1661</v>
      </c>
      <c r="BG491" t="s">
        <v>98</v>
      </c>
      <c r="BH491" t="s">
        <v>98</v>
      </c>
      <c r="BI491" t="s">
        <v>98</v>
      </c>
      <c r="BK491" t="s">
        <v>127</v>
      </c>
      <c r="BL491" t="s">
        <v>756</v>
      </c>
      <c r="BR491">
        <v>5</v>
      </c>
      <c r="BT491">
        <v>8</v>
      </c>
      <c r="CA491">
        <v>3984</v>
      </c>
      <c r="CB491" t="s">
        <v>484</v>
      </c>
      <c r="CL491" t="s">
        <v>99</v>
      </c>
      <c r="CM491" t="s">
        <v>98</v>
      </c>
      <c r="CN491" t="s">
        <v>442</v>
      </c>
      <c r="CO491" s="1">
        <v>42324</v>
      </c>
      <c r="CP491" s="1">
        <v>43633</v>
      </c>
    </row>
    <row r="492" spans="1:94" x14ac:dyDescent="0.25">
      <c r="A492" t="s">
        <v>1669</v>
      </c>
      <c r="B492" t="str">
        <f xml:space="preserve"> "" &amp; 747396111087</f>
        <v>747396111087</v>
      </c>
      <c r="C492" t="s">
        <v>1670</v>
      </c>
      <c r="D492" t="s">
        <v>1671</v>
      </c>
      <c r="E492" t="s">
        <v>1672</v>
      </c>
      <c r="F492" t="s">
        <v>240</v>
      </c>
      <c r="G492">
        <v>1</v>
      </c>
      <c r="H492">
        <v>1</v>
      </c>
      <c r="I492" t="s">
        <v>97</v>
      </c>
      <c r="J492" s="10">
        <v>65</v>
      </c>
      <c r="K492" s="10">
        <v>195</v>
      </c>
      <c r="L492" s="10">
        <v>0</v>
      </c>
      <c r="N492" s="10">
        <v>0</v>
      </c>
      <c r="O492" t="s">
        <v>99</v>
      </c>
      <c r="P492" s="10">
        <v>134.94999999999999</v>
      </c>
      <c r="S492">
        <v>12.5</v>
      </c>
      <c r="U492">
        <v>6.5</v>
      </c>
      <c r="V492">
        <v>6</v>
      </c>
      <c r="W492">
        <v>6.97</v>
      </c>
      <c r="X492">
        <v>1</v>
      </c>
      <c r="Y492">
        <v>19.25</v>
      </c>
      <c r="Z492">
        <v>15.75</v>
      </c>
      <c r="AA492">
        <v>9</v>
      </c>
      <c r="AB492">
        <v>1.579</v>
      </c>
      <c r="AC492">
        <v>9.94</v>
      </c>
      <c r="AE492">
        <v>1</v>
      </c>
      <c r="AF492" t="s">
        <v>1673</v>
      </c>
      <c r="AG492">
        <v>60</v>
      </c>
      <c r="AK492" t="s">
        <v>98</v>
      </c>
      <c r="AM492" t="s">
        <v>98</v>
      </c>
      <c r="AN492" t="s">
        <v>99</v>
      </c>
      <c r="AO492" t="s">
        <v>98</v>
      </c>
      <c r="AP492" t="s">
        <v>100</v>
      </c>
      <c r="AQ492" t="s">
        <v>101</v>
      </c>
      <c r="AV492" t="s">
        <v>98</v>
      </c>
      <c r="AX492" t="s">
        <v>1674</v>
      </c>
      <c r="AZ492" t="s">
        <v>102</v>
      </c>
      <c r="BB492" t="s">
        <v>7528</v>
      </c>
      <c r="BC492" t="s">
        <v>7528</v>
      </c>
      <c r="BD492" t="s">
        <v>7528</v>
      </c>
      <c r="BF492" t="s">
        <v>1675</v>
      </c>
      <c r="BG492" t="s">
        <v>98</v>
      </c>
      <c r="BH492" t="s">
        <v>98</v>
      </c>
      <c r="BI492" t="s">
        <v>98</v>
      </c>
      <c r="BK492" t="s">
        <v>127</v>
      </c>
      <c r="BL492" t="s">
        <v>7528</v>
      </c>
      <c r="BR492">
        <v>0.75</v>
      </c>
      <c r="BT492">
        <v>5</v>
      </c>
      <c r="CA492">
        <v>4010</v>
      </c>
      <c r="CB492" t="s">
        <v>1674</v>
      </c>
      <c r="CL492" t="s">
        <v>99</v>
      </c>
      <c r="CM492" t="s">
        <v>99</v>
      </c>
      <c r="CN492" t="s">
        <v>692</v>
      </c>
      <c r="CO492" s="1">
        <v>43530</v>
      </c>
      <c r="CP492" s="1">
        <v>43633</v>
      </c>
    </row>
    <row r="493" spans="1:94" x14ac:dyDescent="0.25">
      <c r="A493" t="s">
        <v>1676</v>
      </c>
      <c r="B493" t="str">
        <f xml:space="preserve"> "" &amp; 747396110370</f>
        <v>747396110370</v>
      </c>
      <c r="C493" t="s">
        <v>339</v>
      </c>
      <c r="D493" t="s">
        <v>1677</v>
      </c>
      <c r="E493" t="s">
        <v>1672</v>
      </c>
      <c r="F493" t="s">
        <v>240</v>
      </c>
      <c r="G493">
        <v>1</v>
      </c>
      <c r="H493">
        <v>1</v>
      </c>
      <c r="I493" t="s">
        <v>97</v>
      </c>
      <c r="J493" s="10">
        <v>125</v>
      </c>
      <c r="K493" s="10">
        <v>375</v>
      </c>
      <c r="L493" s="10">
        <v>0</v>
      </c>
      <c r="N493" s="10">
        <v>0</v>
      </c>
      <c r="O493" t="s">
        <v>99</v>
      </c>
      <c r="P493" s="10">
        <v>264.95</v>
      </c>
      <c r="S493">
        <v>16.5</v>
      </c>
      <c r="T493">
        <v>16.75</v>
      </c>
      <c r="U493">
        <v>16.75</v>
      </c>
      <c r="W493">
        <v>9.68</v>
      </c>
      <c r="X493">
        <v>1</v>
      </c>
      <c r="Y493">
        <v>18.75</v>
      </c>
      <c r="Z493">
        <v>15</v>
      </c>
      <c r="AA493">
        <v>15</v>
      </c>
      <c r="AB493">
        <v>2.4409999999999998</v>
      </c>
      <c r="AC493">
        <v>13.14</v>
      </c>
      <c r="AE493">
        <v>4</v>
      </c>
      <c r="AF493" t="s">
        <v>1205</v>
      </c>
      <c r="AG493">
        <v>60</v>
      </c>
      <c r="AK493" t="s">
        <v>98</v>
      </c>
      <c r="AM493" t="s">
        <v>98</v>
      </c>
      <c r="AN493" t="s">
        <v>99</v>
      </c>
      <c r="AO493" t="s">
        <v>98</v>
      </c>
      <c r="AP493" t="s">
        <v>100</v>
      </c>
      <c r="AQ493" t="s">
        <v>101</v>
      </c>
      <c r="AV493" t="s">
        <v>98</v>
      </c>
      <c r="AX493" t="s">
        <v>1674</v>
      </c>
      <c r="AZ493" t="s">
        <v>102</v>
      </c>
      <c r="BB493" t="s">
        <v>7528</v>
      </c>
      <c r="BC493" t="s">
        <v>7528</v>
      </c>
      <c r="BD493" t="s">
        <v>7528</v>
      </c>
      <c r="BF493" t="s">
        <v>1678</v>
      </c>
      <c r="BG493" t="s">
        <v>98</v>
      </c>
      <c r="BH493" t="s">
        <v>98</v>
      </c>
      <c r="BI493" t="s">
        <v>98</v>
      </c>
      <c r="BK493" t="s">
        <v>127</v>
      </c>
      <c r="BL493" t="s">
        <v>7528</v>
      </c>
      <c r="BM493">
        <v>6.5</v>
      </c>
      <c r="BN493">
        <v>1.25</v>
      </c>
      <c r="CA493">
        <v>4012</v>
      </c>
      <c r="CB493" t="s">
        <v>1674</v>
      </c>
      <c r="CL493" t="s">
        <v>99</v>
      </c>
      <c r="CM493" t="s">
        <v>99</v>
      </c>
      <c r="CN493" t="s">
        <v>692</v>
      </c>
      <c r="CO493" s="1">
        <v>43497</v>
      </c>
      <c r="CP493" s="1">
        <v>43633</v>
      </c>
    </row>
    <row r="494" spans="1:94" x14ac:dyDescent="0.25">
      <c r="A494" t="s">
        <v>1679</v>
      </c>
      <c r="B494" t="str">
        <f xml:space="preserve"> "" &amp; 747396110387</f>
        <v>747396110387</v>
      </c>
      <c r="C494" t="s">
        <v>1371</v>
      </c>
      <c r="D494" t="s">
        <v>1680</v>
      </c>
      <c r="E494" t="s">
        <v>1672</v>
      </c>
      <c r="F494" t="s">
        <v>249</v>
      </c>
      <c r="G494">
        <v>1</v>
      </c>
      <c r="H494">
        <v>1</v>
      </c>
      <c r="I494" t="s">
        <v>97</v>
      </c>
      <c r="J494" s="10">
        <v>149</v>
      </c>
      <c r="K494" s="10">
        <v>447</v>
      </c>
      <c r="L494" s="10">
        <v>0</v>
      </c>
      <c r="N494" s="10">
        <v>0</v>
      </c>
      <c r="O494" t="s">
        <v>99</v>
      </c>
      <c r="P494" s="10">
        <v>314.95</v>
      </c>
      <c r="S494">
        <v>14</v>
      </c>
      <c r="T494">
        <v>16.5</v>
      </c>
      <c r="U494">
        <v>16.5</v>
      </c>
      <c r="W494">
        <v>7.78</v>
      </c>
      <c r="X494">
        <v>1</v>
      </c>
      <c r="Y494">
        <v>16.25</v>
      </c>
      <c r="Z494">
        <v>18.63</v>
      </c>
      <c r="AA494">
        <v>18.63</v>
      </c>
      <c r="AB494">
        <v>3.2639999999999998</v>
      </c>
      <c r="AC494">
        <v>11.44</v>
      </c>
      <c r="AE494">
        <v>4</v>
      </c>
      <c r="AF494" t="s">
        <v>1205</v>
      </c>
      <c r="AG494">
        <v>60</v>
      </c>
      <c r="AK494" t="s">
        <v>98</v>
      </c>
      <c r="AM494" t="s">
        <v>98</v>
      </c>
      <c r="AN494" t="s">
        <v>99</v>
      </c>
      <c r="AO494" t="s">
        <v>98</v>
      </c>
      <c r="AP494" t="s">
        <v>100</v>
      </c>
      <c r="AQ494" t="s">
        <v>101</v>
      </c>
      <c r="AV494" t="s">
        <v>98</v>
      </c>
      <c r="AX494" t="s">
        <v>1674</v>
      </c>
      <c r="AZ494" t="s">
        <v>102</v>
      </c>
      <c r="BB494" t="s">
        <v>7528</v>
      </c>
      <c r="BC494" t="s">
        <v>7528</v>
      </c>
      <c r="BD494" t="s">
        <v>7528</v>
      </c>
      <c r="BF494" t="s">
        <v>1681</v>
      </c>
      <c r="BG494" t="s">
        <v>98</v>
      </c>
      <c r="BH494" t="s">
        <v>98</v>
      </c>
      <c r="BI494" t="s">
        <v>98</v>
      </c>
      <c r="BK494" t="s">
        <v>127</v>
      </c>
      <c r="BL494" t="s">
        <v>7528</v>
      </c>
      <c r="BM494">
        <v>6.5</v>
      </c>
      <c r="BN494">
        <v>1.25</v>
      </c>
      <c r="CA494">
        <v>4013</v>
      </c>
      <c r="CB494" t="s">
        <v>1674</v>
      </c>
      <c r="CL494" t="s">
        <v>99</v>
      </c>
      <c r="CM494" t="s">
        <v>98</v>
      </c>
      <c r="CN494" t="s">
        <v>692</v>
      </c>
      <c r="CO494" s="1">
        <v>43497</v>
      </c>
      <c r="CP494" s="1">
        <v>43633</v>
      </c>
    </row>
    <row r="495" spans="1:94" x14ac:dyDescent="0.25">
      <c r="A495" t="s">
        <v>1682</v>
      </c>
      <c r="B495" t="str">
        <f xml:space="preserve"> "" &amp; 747396110394</f>
        <v>747396110394</v>
      </c>
      <c r="C495" t="s">
        <v>339</v>
      </c>
      <c r="D495" t="s">
        <v>1677</v>
      </c>
      <c r="E495" t="s">
        <v>1672</v>
      </c>
      <c r="F495" t="s">
        <v>240</v>
      </c>
      <c r="G495">
        <v>1</v>
      </c>
      <c r="H495">
        <v>1</v>
      </c>
      <c r="I495" t="s">
        <v>97</v>
      </c>
      <c r="J495" s="10">
        <v>165</v>
      </c>
      <c r="K495" s="10">
        <v>495</v>
      </c>
      <c r="L495" s="10">
        <v>0</v>
      </c>
      <c r="N495" s="10">
        <v>0</v>
      </c>
      <c r="O495" t="s">
        <v>99</v>
      </c>
      <c r="P495" s="10">
        <v>349.95</v>
      </c>
      <c r="S495">
        <v>22</v>
      </c>
      <c r="T495">
        <v>14.5</v>
      </c>
      <c r="U495">
        <v>14.5</v>
      </c>
      <c r="W495">
        <v>12.9</v>
      </c>
      <c r="X495">
        <v>1</v>
      </c>
      <c r="Y495">
        <v>24.88</v>
      </c>
      <c r="Z495">
        <v>16.88</v>
      </c>
      <c r="AA495">
        <v>16.88</v>
      </c>
      <c r="AB495">
        <v>4.1029999999999998</v>
      </c>
      <c r="AC495">
        <v>17.73</v>
      </c>
      <c r="AE495">
        <v>4</v>
      </c>
      <c r="AF495" t="s">
        <v>1683</v>
      </c>
      <c r="AG495">
        <v>60</v>
      </c>
      <c r="AK495" t="s">
        <v>98</v>
      </c>
      <c r="AM495" t="s">
        <v>98</v>
      </c>
      <c r="AN495" t="s">
        <v>99</v>
      </c>
      <c r="AO495" t="s">
        <v>98</v>
      </c>
      <c r="AP495" t="s">
        <v>100</v>
      </c>
      <c r="AQ495" t="s">
        <v>101</v>
      </c>
      <c r="AV495" t="s">
        <v>98</v>
      </c>
      <c r="AX495" t="s">
        <v>1674</v>
      </c>
      <c r="AZ495" t="s">
        <v>102</v>
      </c>
      <c r="BB495" t="s">
        <v>7528</v>
      </c>
      <c r="BC495" t="s">
        <v>7528</v>
      </c>
      <c r="BD495" t="s">
        <v>7528</v>
      </c>
      <c r="BF495" t="s">
        <v>1684</v>
      </c>
      <c r="BG495" t="s">
        <v>98</v>
      </c>
      <c r="BH495" t="s">
        <v>98</v>
      </c>
      <c r="BI495" t="s">
        <v>98</v>
      </c>
      <c r="BK495" t="s">
        <v>127</v>
      </c>
      <c r="BL495" t="s">
        <v>7528</v>
      </c>
      <c r="BQ495">
        <v>6.5</v>
      </c>
      <c r="BR495">
        <v>1.25</v>
      </c>
      <c r="BS495">
        <v>6.5</v>
      </c>
      <c r="BT495">
        <v>6.5</v>
      </c>
      <c r="CA495">
        <v>4014</v>
      </c>
      <c r="CB495" t="s">
        <v>1674</v>
      </c>
      <c r="CL495" t="s">
        <v>99</v>
      </c>
      <c r="CM495" t="s">
        <v>99</v>
      </c>
      <c r="CN495" t="s">
        <v>692</v>
      </c>
      <c r="CO495" s="1">
        <v>43433</v>
      </c>
      <c r="CP495" s="1">
        <v>43633</v>
      </c>
    </row>
    <row r="496" spans="1:94" x14ac:dyDescent="0.25">
      <c r="A496" t="s">
        <v>1685</v>
      </c>
      <c r="B496" t="str">
        <f xml:space="preserve"> "" &amp; 747396110400</f>
        <v>747396110400</v>
      </c>
      <c r="C496" t="s">
        <v>252</v>
      </c>
      <c r="D496" t="s">
        <v>1686</v>
      </c>
      <c r="E496" t="s">
        <v>1672</v>
      </c>
      <c r="F496" t="s">
        <v>249</v>
      </c>
      <c r="G496">
        <v>1</v>
      </c>
      <c r="H496">
        <v>1</v>
      </c>
      <c r="I496" t="s">
        <v>97</v>
      </c>
      <c r="J496" s="10">
        <v>265</v>
      </c>
      <c r="K496" s="10">
        <v>795</v>
      </c>
      <c r="L496" s="10">
        <v>0</v>
      </c>
      <c r="N496" s="10">
        <v>0</v>
      </c>
      <c r="O496" t="s">
        <v>99</v>
      </c>
      <c r="P496" s="10">
        <v>559.95000000000005</v>
      </c>
      <c r="S496">
        <v>16</v>
      </c>
      <c r="T496">
        <v>28</v>
      </c>
      <c r="U496">
        <v>28</v>
      </c>
      <c r="W496">
        <v>13.16</v>
      </c>
      <c r="X496">
        <v>1</v>
      </c>
      <c r="Y496">
        <v>18.88</v>
      </c>
      <c r="Z496">
        <v>28.63</v>
      </c>
      <c r="AA496">
        <v>27.38</v>
      </c>
      <c r="AB496">
        <v>8.5649999999999995</v>
      </c>
      <c r="AC496">
        <v>23.21</v>
      </c>
      <c r="AE496">
        <v>6</v>
      </c>
      <c r="AF496" t="s">
        <v>1683</v>
      </c>
      <c r="AG496">
        <v>60</v>
      </c>
      <c r="AK496" t="s">
        <v>98</v>
      </c>
      <c r="AM496" t="s">
        <v>98</v>
      </c>
      <c r="AN496" t="s">
        <v>99</v>
      </c>
      <c r="AO496" t="s">
        <v>98</v>
      </c>
      <c r="AP496" t="s">
        <v>100</v>
      </c>
      <c r="AQ496" t="s">
        <v>101</v>
      </c>
      <c r="AV496" t="s">
        <v>98</v>
      </c>
      <c r="AX496" t="s">
        <v>1674</v>
      </c>
      <c r="AZ496" t="s">
        <v>102</v>
      </c>
      <c r="BB496" t="s">
        <v>235</v>
      </c>
      <c r="BC496" t="s">
        <v>1687</v>
      </c>
      <c r="BD496" t="s">
        <v>7528</v>
      </c>
      <c r="BF496" t="s">
        <v>1688</v>
      </c>
      <c r="BG496" t="s">
        <v>98</v>
      </c>
      <c r="BH496" t="s">
        <v>98</v>
      </c>
      <c r="BI496" t="s">
        <v>98</v>
      </c>
      <c r="BK496" t="s">
        <v>127</v>
      </c>
      <c r="BL496" t="s">
        <v>7528</v>
      </c>
      <c r="BQ496">
        <v>6.5</v>
      </c>
      <c r="BR496">
        <v>1.25</v>
      </c>
      <c r="BS496">
        <v>6.5</v>
      </c>
      <c r="BT496">
        <v>6.5</v>
      </c>
      <c r="CA496">
        <v>4015</v>
      </c>
      <c r="CB496" t="s">
        <v>1674</v>
      </c>
      <c r="CL496" t="s">
        <v>99</v>
      </c>
      <c r="CM496" t="s">
        <v>99</v>
      </c>
      <c r="CN496" t="s">
        <v>442</v>
      </c>
      <c r="CO496" s="1">
        <v>43433</v>
      </c>
      <c r="CP496" s="1">
        <v>43633</v>
      </c>
    </row>
    <row r="497" spans="1:94" x14ac:dyDescent="0.25">
      <c r="A497" t="s">
        <v>1662</v>
      </c>
      <c r="B497" t="str">
        <f xml:space="preserve"> "" &amp; 747396094915</f>
        <v>747396094915</v>
      </c>
      <c r="C497" t="s">
        <v>807</v>
      </c>
      <c r="D497" t="s">
        <v>1663</v>
      </c>
      <c r="E497" t="s">
        <v>1664</v>
      </c>
      <c r="F497" t="s">
        <v>7532</v>
      </c>
      <c r="G497">
        <v>1</v>
      </c>
      <c r="H497">
        <v>1</v>
      </c>
      <c r="I497" t="s">
        <v>97</v>
      </c>
      <c r="J497" s="10">
        <v>30</v>
      </c>
      <c r="K497" s="10">
        <v>90</v>
      </c>
      <c r="L497" s="10">
        <v>0</v>
      </c>
      <c r="N497" s="10">
        <v>0</v>
      </c>
      <c r="S497">
        <v>5</v>
      </c>
      <c r="U497">
        <v>10</v>
      </c>
      <c r="V497">
        <v>4</v>
      </c>
      <c r="W497">
        <v>4.7</v>
      </c>
      <c r="Y497">
        <v>9.25</v>
      </c>
      <c r="Z497">
        <v>14.13</v>
      </c>
      <c r="AA497">
        <v>10.25</v>
      </c>
      <c r="AB497">
        <v>0.77500000000000002</v>
      </c>
      <c r="AC497">
        <v>5.86</v>
      </c>
      <c r="AE497">
        <v>1</v>
      </c>
      <c r="AF497" t="s">
        <v>1665</v>
      </c>
      <c r="AG497">
        <v>13</v>
      </c>
      <c r="AK497" t="s">
        <v>99</v>
      </c>
      <c r="AM497" t="s">
        <v>98</v>
      </c>
      <c r="AN497" t="s">
        <v>99</v>
      </c>
      <c r="AO497" t="s">
        <v>98</v>
      </c>
      <c r="AP497" t="s">
        <v>100</v>
      </c>
      <c r="AQ497" t="s">
        <v>101</v>
      </c>
      <c r="AV497" t="s">
        <v>98</v>
      </c>
      <c r="AX497" t="s">
        <v>1666</v>
      </c>
      <c r="AZ497" t="s">
        <v>102</v>
      </c>
      <c r="BB497" t="s">
        <v>235</v>
      </c>
      <c r="BC497" t="s">
        <v>561</v>
      </c>
      <c r="BD497" t="s">
        <v>7528</v>
      </c>
      <c r="BF497" t="s">
        <v>1667</v>
      </c>
      <c r="BG497" t="s">
        <v>98</v>
      </c>
      <c r="BH497" t="s">
        <v>99</v>
      </c>
      <c r="BI497" t="s">
        <v>98</v>
      </c>
      <c r="BK497" t="s">
        <v>127</v>
      </c>
      <c r="BL497" t="s">
        <v>7528</v>
      </c>
      <c r="BR497">
        <v>4.75</v>
      </c>
      <c r="BT497">
        <v>9.25</v>
      </c>
      <c r="CA497">
        <v>401</v>
      </c>
      <c r="CB497" t="s">
        <v>1666</v>
      </c>
      <c r="CG497">
        <v>3000</v>
      </c>
      <c r="CH497">
        <v>97</v>
      </c>
      <c r="CI497">
        <v>1121</v>
      </c>
      <c r="CJ497">
        <v>435</v>
      </c>
      <c r="CK497">
        <v>30000</v>
      </c>
      <c r="CL497" t="s">
        <v>98</v>
      </c>
      <c r="CM497" t="s">
        <v>98</v>
      </c>
      <c r="CN497" t="s">
        <v>1668</v>
      </c>
      <c r="CO497" s="1">
        <v>41942</v>
      </c>
      <c r="CP497" s="1">
        <v>43633</v>
      </c>
    </row>
    <row r="498" spans="1:94" x14ac:dyDescent="0.25">
      <c r="A498" t="s">
        <v>1689</v>
      </c>
      <c r="B498" t="str">
        <f xml:space="preserve"> "" &amp; 747396110417</f>
        <v>747396110417</v>
      </c>
      <c r="C498" t="s">
        <v>1690</v>
      </c>
      <c r="D498" t="s">
        <v>1691</v>
      </c>
      <c r="E498" t="s">
        <v>1672</v>
      </c>
      <c r="F498" t="s">
        <v>240</v>
      </c>
      <c r="G498">
        <v>1</v>
      </c>
      <c r="H498">
        <v>1</v>
      </c>
      <c r="I498" t="s">
        <v>97</v>
      </c>
      <c r="J498" s="10">
        <v>265</v>
      </c>
      <c r="K498" s="10">
        <v>795</v>
      </c>
      <c r="L498" s="10">
        <v>0</v>
      </c>
      <c r="N498" s="10">
        <v>0</v>
      </c>
      <c r="O498" t="s">
        <v>99</v>
      </c>
      <c r="P498" s="10">
        <v>559.95000000000005</v>
      </c>
      <c r="S498">
        <v>18</v>
      </c>
      <c r="U498">
        <v>38.75</v>
      </c>
      <c r="V498">
        <v>15</v>
      </c>
      <c r="W498">
        <v>14.4</v>
      </c>
      <c r="X498">
        <v>1</v>
      </c>
      <c r="Y498">
        <v>20.88</v>
      </c>
      <c r="Z498">
        <v>39.75</v>
      </c>
      <c r="AA498">
        <v>15.5</v>
      </c>
      <c r="AB498">
        <v>7.4450000000000003</v>
      </c>
      <c r="AC498">
        <v>23.5</v>
      </c>
      <c r="AE498">
        <v>6</v>
      </c>
      <c r="AF498" t="s">
        <v>1692</v>
      </c>
      <c r="AG498">
        <v>60</v>
      </c>
      <c r="AK498" t="s">
        <v>98</v>
      </c>
      <c r="AM498" t="s">
        <v>98</v>
      </c>
      <c r="AN498" t="s">
        <v>99</v>
      </c>
      <c r="AO498" t="s">
        <v>98</v>
      </c>
      <c r="AP498" t="s">
        <v>100</v>
      </c>
      <c r="AQ498" t="s">
        <v>101</v>
      </c>
      <c r="AV498" t="s">
        <v>98</v>
      </c>
      <c r="AX498" t="s">
        <v>1674</v>
      </c>
      <c r="AZ498" t="s">
        <v>102</v>
      </c>
      <c r="BB498" t="s">
        <v>235</v>
      </c>
      <c r="BC498" t="s">
        <v>1687</v>
      </c>
      <c r="BD498" t="s">
        <v>7528</v>
      </c>
      <c r="BF498" t="s">
        <v>1693</v>
      </c>
      <c r="BG498" t="s">
        <v>98</v>
      </c>
      <c r="BH498" t="s">
        <v>98</v>
      </c>
      <c r="BI498" t="s">
        <v>98</v>
      </c>
      <c r="BK498" t="s">
        <v>127</v>
      </c>
      <c r="BL498" t="s">
        <v>7528</v>
      </c>
      <c r="BR498">
        <v>1.1299999999999999</v>
      </c>
      <c r="BS498">
        <v>6.25</v>
      </c>
      <c r="BT498">
        <v>6.25</v>
      </c>
      <c r="CA498">
        <v>4016</v>
      </c>
      <c r="CB498" t="s">
        <v>1674</v>
      </c>
      <c r="CL498" t="s">
        <v>99</v>
      </c>
      <c r="CM498" t="s">
        <v>99</v>
      </c>
      <c r="CN498" t="s">
        <v>442</v>
      </c>
      <c r="CO498" s="1">
        <v>43433</v>
      </c>
      <c r="CP498" s="1">
        <v>43633</v>
      </c>
    </row>
    <row r="499" spans="1:94" x14ac:dyDescent="0.25">
      <c r="A499" t="s">
        <v>1697</v>
      </c>
      <c r="B499" t="str">
        <f xml:space="preserve"> "" &amp; 747396110424</f>
        <v>747396110424</v>
      </c>
      <c r="C499" t="s">
        <v>1698</v>
      </c>
      <c r="D499" t="s">
        <v>1699</v>
      </c>
      <c r="E499" t="s">
        <v>1700</v>
      </c>
      <c r="F499" t="s">
        <v>7532</v>
      </c>
      <c r="G499">
        <v>1</v>
      </c>
      <c r="H499">
        <v>1</v>
      </c>
      <c r="I499" t="s">
        <v>97</v>
      </c>
      <c r="J499" s="10">
        <v>85</v>
      </c>
      <c r="K499" s="10">
        <v>255</v>
      </c>
      <c r="L499" s="10">
        <v>0</v>
      </c>
      <c r="N499" s="10">
        <v>0</v>
      </c>
      <c r="O499" t="s">
        <v>99</v>
      </c>
      <c r="P499" s="10">
        <v>179.95</v>
      </c>
      <c r="S499">
        <v>18.5</v>
      </c>
      <c r="U499">
        <v>12.75</v>
      </c>
      <c r="V499">
        <v>3.75</v>
      </c>
      <c r="W499">
        <v>4.9800000000000004</v>
      </c>
      <c r="X499">
        <v>1</v>
      </c>
      <c r="Y499">
        <v>11.88</v>
      </c>
      <c r="Z499">
        <v>15.25</v>
      </c>
      <c r="AA499">
        <v>8.5</v>
      </c>
      <c r="AB499">
        <v>0.89100000000000001</v>
      </c>
      <c r="AC499">
        <v>6.24</v>
      </c>
      <c r="AE499">
        <v>1</v>
      </c>
      <c r="AF499" t="s">
        <v>1701</v>
      </c>
      <c r="AG499">
        <v>20</v>
      </c>
      <c r="AK499" t="s">
        <v>99</v>
      </c>
      <c r="AM499" t="s">
        <v>98</v>
      </c>
      <c r="AN499" t="s">
        <v>99</v>
      </c>
      <c r="AO499" t="s">
        <v>98</v>
      </c>
      <c r="AP499" t="s">
        <v>100</v>
      </c>
      <c r="AQ499" t="s">
        <v>101</v>
      </c>
      <c r="AV499" t="s">
        <v>98</v>
      </c>
      <c r="AX499" t="s">
        <v>1702</v>
      </c>
      <c r="AZ499" t="s">
        <v>102</v>
      </c>
      <c r="BB499" t="s">
        <v>197</v>
      </c>
      <c r="BC499" t="s">
        <v>117</v>
      </c>
      <c r="BD499" t="s">
        <v>7528</v>
      </c>
      <c r="BF499" t="s">
        <v>1703</v>
      </c>
      <c r="BG499" t="s">
        <v>98</v>
      </c>
      <c r="BH499" t="s">
        <v>98</v>
      </c>
      <c r="BI499" t="s">
        <v>98</v>
      </c>
      <c r="BK499" t="s">
        <v>127</v>
      </c>
      <c r="BL499" t="s">
        <v>645</v>
      </c>
      <c r="BM499">
        <v>12.25</v>
      </c>
      <c r="BN499">
        <v>8.5</v>
      </c>
      <c r="CA499" t="s">
        <v>1704</v>
      </c>
      <c r="CB499" t="s">
        <v>1702</v>
      </c>
      <c r="CG499">
        <v>3000</v>
      </c>
      <c r="CH499">
        <v>94</v>
      </c>
      <c r="CI499">
        <v>1882</v>
      </c>
      <c r="CJ499">
        <v>1170.5</v>
      </c>
      <c r="CK499">
        <v>30000</v>
      </c>
      <c r="CL499" t="s">
        <v>99</v>
      </c>
      <c r="CM499" t="s">
        <v>98</v>
      </c>
      <c r="CN499" t="s">
        <v>1705</v>
      </c>
      <c r="CO499" s="1">
        <v>43510</v>
      </c>
      <c r="CP499" s="1">
        <v>43633</v>
      </c>
    </row>
    <row r="500" spans="1:94" x14ac:dyDescent="0.25">
      <c r="A500" t="s">
        <v>1706</v>
      </c>
      <c r="B500" t="str">
        <f xml:space="preserve"> "" &amp; 747396110448</f>
        <v>747396110448</v>
      </c>
      <c r="C500" t="s">
        <v>1707</v>
      </c>
      <c r="D500" t="s">
        <v>1708</v>
      </c>
      <c r="E500" t="s">
        <v>1700</v>
      </c>
      <c r="F500" t="s">
        <v>478</v>
      </c>
      <c r="G500">
        <v>1</v>
      </c>
      <c r="H500">
        <v>1</v>
      </c>
      <c r="I500" t="s">
        <v>97</v>
      </c>
      <c r="J500" s="10">
        <v>165</v>
      </c>
      <c r="K500" s="10">
        <v>495</v>
      </c>
      <c r="L500" s="10">
        <v>0</v>
      </c>
      <c r="N500" s="10">
        <v>0</v>
      </c>
      <c r="O500" t="s">
        <v>99</v>
      </c>
      <c r="P500" s="10">
        <v>349.95</v>
      </c>
      <c r="S500">
        <v>11.5</v>
      </c>
      <c r="T500">
        <v>18.25</v>
      </c>
      <c r="U500">
        <v>18.25</v>
      </c>
      <c r="W500">
        <v>6.22</v>
      </c>
      <c r="X500">
        <v>1</v>
      </c>
      <c r="Y500">
        <v>12</v>
      </c>
      <c r="Z500">
        <v>20.38</v>
      </c>
      <c r="AA500">
        <v>20.38</v>
      </c>
      <c r="AB500">
        <v>2.8839999999999999</v>
      </c>
      <c r="AC500">
        <v>10.45</v>
      </c>
      <c r="AE500">
        <v>5</v>
      </c>
      <c r="AF500" t="s">
        <v>1205</v>
      </c>
      <c r="AG500">
        <v>60</v>
      </c>
      <c r="AK500" t="s">
        <v>98</v>
      </c>
      <c r="AM500" t="s">
        <v>98</v>
      </c>
      <c r="AN500" t="s">
        <v>99</v>
      </c>
      <c r="AO500" t="s">
        <v>98</v>
      </c>
      <c r="AP500" t="s">
        <v>100</v>
      </c>
      <c r="AQ500" t="s">
        <v>101</v>
      </c>
      <c r="AV500" t="s">
        <v>98</v>
      </c>
      <c r="AX500" t="s">
        <v>1702</v>
      </c>
      <c r="AZ500" t="s">
        <v>102</v>
      </c>
      <c r="BB500" t="s">
        <v>7528</v>
      </c>
      <c r="BC500" t="s">
        <v>7528</v>
      </c>
      <c r="BD500" t="s">
        <v>7528</v>
      </c>
      <c r="BF500" t="s">
        <v>1709</v>
      </c>
      <c r="BG500" t="s">
        <v>98</v>
      </c>
      <c r="BH500" t="s">
        <v>98</v>
      </c>
      <c r="BI500" t="s">
        <v>98</v>
      </c>
      <c r="BK500" t="s">
        <v>127</v>
      </c>
      <c r="BL500" t="s">
        <v>7528</v>
      </c>
      <c r="BQ500">
        <v>5</v>
      </c>
      <c r="BR500">
        <v>1</v>
      </c>
      <c r="BS500">
        <v>5</v>
      </c>
      <c r="BT500">
        <v>5</v>
      </c>
      <c r="CA500">
        <v>4025</v>
      </c>
      <c r="CB500" t="s">
        <v>1702</v>
      </c>
      <c r="CL500" t="s">
        <v>99</v>
      </c>
      <c r="CM500" t="s">
        <v>99</v>
      </c>
      <c r="CN500" t="s">
        <v>692</v>
      </c>
      <c r="CO500" s="1">
        <v>43511</v>
      </c>
      <c r="CP500" s="1">
        <v>43633</v>
      </c>
    </row>
    <row r="501" spans="1:94" x14ac:dyDescent="0.25">
      <c r="A501" t="s">
        <v>1694</v>
      </c>
      <c r="B501" t="str">
        <f xml:space="preserve"> "" &amp; 747396094922</f>
        <v>747396094922</v>
      </c>
      <c r="C501" t="s">
        <v>807</v>
      </c>
      <c r="D501" t="s">
        <v>1663</v>
      </c>
      <c r="E501" t="s">
        <v>1664</v>
      </c>
      <c r="F501" t="s">
        <v>7532</v>
      </c>
      <c r="G501">
        <v>1</v>
      </c>
      <c r="H501">
        <v>1</v>
      </c>
      <c r="I501" t="s">
        <v>97</v>
      </c>
      <c r="J501" s="10">
        <v>50</v>
      </c>
      <c r="K501" s="10">
        <v>150</v>
      </c>
      <c r="L501" s="10">
        <v>0</v>
      </c>
      <c r="N501" s="10">
        <v>0</v>
      </c>
      <c r="S501">
        <v>5</v>
      </c>
      <c r="U501">
        <v>16</v>
      </c>
      <c r="V501">
        <v>4</v>
      </c>
      <c r="W501">
        <v>6.83</v>
      </c>
      <c r="Y501">
        <v>10</v>
      </c>
      <c r="Z501">
        <v>20</v>
      </c>
      <c r="AA501">
        <v>12.25</v>
      </c>
      <c r="AB501">
        <v>1.4179999999999999</v>
      </c>
      <c r="AC501">
        <v>8.16</v>
      </c>
      <c r="AE501">
        <v>1</v>
      </c>
      <c r="AF501" t="s">
        <v>1695</v>
      </c>
      <c r="AG501">
        <v>20</v>
      </c>
      <c r="AK501" t="s">
        <v>99</v>
      </c>
      <c r="AM501" t="s">
        <v>98</v>
      </c>
      <c r="AN501" t="s">
        <v>99</v>
      </c>
      <c r="AO501" t="s">
        <v>98</v>
      </c>
      <c r="AP501" t="s">
        <v>100</v>
      </c>
      <c r="AQ501" t="s">
        <v>101</v>
      </c>
      <c r="AV501" t="s">
        <v>98</v>
      </c>
      <c r="AX501" t="s">
        <v>1666</v>
      </c>
      <c r="AZ501" t="s">
        <v>102</v>
      </c>
      <c r="BB501" t="s">
        <v>235</v>
      </c>
      <c r="BC501" t="s">
        <v>561</v>
      </c>
      <c r="BD501" t="s">
        <v>7528</v>
      </c>
      <c r="BF501" t="s">
        <v>1696</v>
      </c>
      <c r="BG501" t="s">
        <v>98</v>
      </c>
      <c r="BH501" t="s">
        <v>99</v>
      </c>
      <c r="BI501" t="s">
        <v>98</v>
      </c>
      <c r="BK501" t="s">
        <v>127</v>
      </c>
      <c r="BL501" t="s">
        <v>7528</v>
      </c>
      <c r="BR501">
        <v>4.75</v>
      </c>
      <c r="BT501">
        <v>15.38</v>
      </c>
      <c r="CA501">
        <v>402</v>
      </c>
      <c r="CB501" t="s">
        <v>1666</v>
      </c>
      <c r="CG501">
        <v>3000</v>
      </c>
      <c r="CH501">
        <v>97</v>
      </c>
      <c r="CI501">
        <v>1683</v>
      </c>
      <c r="CJ501">
        <v>681</v>
      </c>
      <c r="CK501">
        <v>30000</v>
      </c>
      <c r="CL501" t="s">
        <v>98</v>
      </c>
      <c r="CM501" t="s">
        <v>98</v>
      </c>
      <c r="CN501" t="s">
        <v>1668</v>
      </c>
      <c r="CO501" s="1">
        <v>41942</v>
      </c>
      <c r="CP501" s="1">
        <v>43633</v>
      </c>
    </row>
    <row r="502" spans="1:94" x14ac:dyDescent="0.25">
      <c r="A502" t="s">
        <v>1710</v>
      </c>
      <c r="B502" t="str">
        <f xml:space="preserve"> "" &amp; 747396110455</f>
        <v>747396110455</v>
      </c>
      <c r="C502" t="s">
        <v>1711</v>
      </c>
      <c r="D502" t="s">
        <v>1712</v>
      </c>
      <c r="E502" t="s">
        <v>1700</v>
      </c>
      <c r="F502" t="s">
        <v>240</v>
      </c>
      <c r="G502">
        <v>1</v>
      </c>
      <c r="H502">
        <v>1</v>
      </c>
      <c r="I502" t="s">
        <v>97</v>
      </c>
      <c r="J502" s="10">
        <v>225</v>
      </c>
      <c r="K502" s="10">
        <v>675</v>
      </c>
      <c r="L502" s="10">
        <v>0</v>
      </c>
      <c r="N502" s="10">
        <v>0</v>
      </c>
      <c r="O502" t="s">
        <v>99</v>
      </c>
      <c r="P502" s="10">
        <v>474.95</v>
      </c>
      <c r="S502">
        <v>22.5</v>
      </c>
      <c r="T502">
        <v>24.75</v>
      </c>
      <c r="U502">
        <v>24.75</v>
      </c>
      <c r="W502">
        <v>8.11</v>
      </c>
      <c r="X502">
        <v>1</v>
      </c>
      <c r="Y502">
        <v>13.75</v>
      </c>
      <c r="Z502">
        <v>27.13</v>
      </c>
      <c r="AA502">
        <v>26.5</v>
      </c>
      <c r="AB502">
        <v>5.7210000000000001</v>
      </c>
      <c r="AC502">
        <v>14.99</v>
      </c>
      <c r="AE502">
        <v>6</v>
      </c>
      <c r="AF502" t="s">
        <v>1205</v>
      </c>
      <c r="AG502">
        <v>60</v>
      </c>
      <c r="AK502" t="s">
        <v>98</v>
      </c>
      <c r="AM502" t="s">
        <v>98</v>
      </c>
      <c r="AN502" t="s">
        <v>99</v>
      </c>
      <c r="AO502" t="s">
        <v>98</v>
      </c>
      <c r="AP502" t="s">
        <v>100</v>
      </c>
      <c r="AQ502" t="s">
        <v>101</v>
      </c>
      <c r="AV502" t="s">
        <v>98</v>
      </c>
      <c r="AX502" t="s">
        <v>1702</v>
      </c>
      <c r="AZ502" t="s">
        <v>102</v>
      </c>
      <c r="BB502" t="s">
        <v>7528</v>
      </c>
      <c r="BC502" t="s">
        <v>7528</v>
      </c>
      <c r="BD502" t="s">
        <v>7528</v>
      </c>
      <c r="BF502" t="s">
        <v>1713</v>
      </c>
      <c r="BG502" t="s">
        <v>98</v>
      </c>
      <c r="BH502" t="s">
        <v>98</v>
      </c>
      <c r="BI502" t="s">
        <v>98</v>
      </c>
      <c r="BK502" t="s">
        <v>127</v>
      </c>
      <c r="BL502" t="s">
        <v>7528</v>
      </c>
      <c r="BQ502">
        <v>5</v>
      </c>
      <c r="BR502">
        <v>1</v>
      </c>
      <c r="BS502">
        <v>5</v>
      </c>
      <c r="BT502">
        <v>5</v>
      </c>
      <c r="CA502">
        <v>4026</v>
      </c>
      <c r="CB502" t="s">
        <v>1702</v>
      </c>
      <c r="CL502" t="s">
        <v>99</v>
      </c>
      <c r="CM502" t="s">
        <v>99</v>
      </c>
      <c r="CN502" t="s">
        <v>692</v>
      </c>
      <c r="CO502" s="1">
        <v>43511</v>
      </c>
      <c r="CP502" s="1">
        <v>43633</v>
      </c>
    </row>
    <row r="503" spans="1:94" x14ac:dyDescent="0.25">
      <c r="A503" t="s">
        <v>1714</v>
      </c>
      <c r="B503" t="str">
        <f xml:space="preserve"> "" &amp; 747396110462</f>
        <v>747396110462</v>
      </c>
      <c r="C503" t="s">
        <v>866</v>
      </c>
      <c r="D503" t="s">
        <v>1715</v>
      </c>
      <c r="E503" t="s">
        <v>1700</v>
      </c>
      <c r="F503" t="s">
        <v>249</v>
      </c>
      <c r="G503">
        <v>1</v>
      </c>
      <c r="H503">
        <v>1</v>
      </c>
      <c r="I503" t="s">
        <v>97</v>
      </c>
      <c r="J503" s="10">
        <v>275</v>
      </c>
      <c r="K503" s="10">
        <v>825</v>
      </c>
      <c r="L503" s="10">
        <v>0</v>
      </c>
      <c r="N503" s="10">
        <v>0</v>
      </c>
      <c r="O503" t="s">
        <v>99</v>
      </c>
      <c r="P503" s="10">
        <v>579.95000000000005</v>
      </c>
      <c r="S503">
        <v>28.5</v>
      </c>
      <c r="T503">
        <v>31.5</v>
      </c>
      <c r="U503">
        <v>31.5</v>
      </c>
      <c r="W503">
        <v>10.54</v>
      </c>
      <c r="X503">
        <v>1</v>
      </c>
      <c r="Y503">
        <v>13.75</v>
      </c>
      <c r="Z503">
        <v>34</v>
      </c>
      <c r="AA503">
        <v>34</v>
      </c>
      <c r="AB503">
        <v>9.1980000000000004</v>
      </c>
      <c r="AC503">
        <v>21.03</v>
      </c>
      <c r="AE503">
        <v>8</v>
      </c>
      <c r="AF503" t="s">
        <v>1205</v>
      </c>
      <c r="AG503">
        <v>60</v>
      </c>
      <c r="AK503" t="s">
        <v>98</v>
      </c>
      <c r="AM503" t="s">
        <v>98</v>
      </c>
      <c r="AN503" t="s">
        <v>99</v>
      </c>
      <c r="AO503" t="s">
        <v>98</v>
      </c>
      <c r="AP503" t="s">
        <v>100</v>
      </c>
      <c r="AQ503" t="s">
        <v>101</v>
      </c>
      <c r="AV503" t="s">
        <v>98</v>
      </c>
      <c r="AX503" t="s">
        <v>1702</v>
      </c>
      <c r="AZ503" t="s">
        <v>102</v>
      </c>
      <c r="BB503" t="s">
        <v>7528</v>
      </c>
      <c r="BC503" t="s">
        <v>7528</v>
      </c>
      <c r="BD503" t="s">
        <v>7528</v>
      </c>
      <c r="BF503" t="s">
        <v>1716</v>
      </c>
      <c r="BG503" t="s">
        <v>98</v>
      </c>
      <c r="BH503" t="s">
        <v>98</v>
      </c>
      <c r="BI503" t="s">
        <v>98</v>
      </c>
      <c r="BK503" t="s">
        <v>127</v>
      </c>
      <c r="BL503" t="s">
        <v>7528</v>
      </c>
      <c r="BQ503">
        <v>5</v>
      </c>
      <c r="BR503">
        <v>1</v>
      </c>
      <c r="BS503">
        <v>5</v>
      </c>
      <c r="BT503">
        <v>5</v>
      </c>
      <c r="CA503">
        <v>4028</v>
      </c>
      <c r="CB503" t="s">
        <v>1702</v>
      </c>
      <c r="CL503" t="s">
        <v>99</v>
      </c>
      <c r="CM503" t="s">
        <v>99</v>
      </c>
      <c r="CN503" t="s">
        <v>692</v>
      </c>
      <c r="CO503" s="1">
        <v>43511</v>
      </c>
      <c r="CP503" s="1">
        <v>43633</v>
      </c>
    </row>
    <row r="504" spans="1:94" x14ac:dyDescent="0.25">
      <c r="A504" t="s">
        <v>1717</v>
      </c>
      <c r="B504" t="str">
        <f xml:space="preserve"> "" &amp; 747396094939</f>
        <v>747396094939</v>
      </c>
      <c r="C504" t="s">
        <v>807</v>
      </c>
      <c r="D504" t="s">
        <v>1663</v>
      </c>
      <c r="E504" t="s">
        <v>1664</v>
      </c>
      <c r="F504" t="s">
        <v>7532</v>
      </c>
      <c r="G504">
        <v>1</v>
      </c>
      <c r="H504">
        <v>1</v>
      </c>
      <c r="I504" t="s">
        <v>97</v>
      </c>
      <c r="J504" s="10">
        <v>60</v>
      </c>
      <c r="K504" s="10">
        <v>180</v>
      </c>
      <c r="L504" s="10">
        <v>0</v>
      </c>
      <c r="N504" s="10">
        <v>0</v>
      </c>
      <c r="S504">
        <v>5</v>
      </c>
      <c r="U504">
        <v>23.5</v>
      </c>
      <c r="V504">
        <v>4</v>
      </c>
      <c r="W504">
        <v>9.81</v>
      </c>
      <c r="Y504">
        <v>10.88</v>
      </c>
      <c r="Z504">
        <v>28.38</v>
      </c>
      <c r="AA504">
        <v>12.25</v>
      </c>
      <c r="AB504">
        <v>2.1890000000000001</v>
      </c>
      <c r="AC504">
        <v>13.01</v>
      </c>
      <c r="AE504">
        <v>1</v>
      </c>
      <c r="AF504" t="s">
        <v>1718</v>
      </c>
      <c r="AG504">
        <v>30</v>
      </c>
      <c r="AK504" t="s">
        <v>99</v>
      </c>
      <c r="AM504" t="s">
        <v>98</v>
      </c>
      <c r="AN504" t="s">
        <v>99</v>
      </c>
      <c r="AO504" t="s">
        <v>98</v>
      </c>
      <c r="AP504" t="s">
        <v>100</v>
      </c>
      <c r="AQ504" t="s">
        <v>101</v>
      </c>
      <c r="AV504" t="s">
        <v>98</v>
      </c>
      <c r="AX504" t="s">
        <v>1666</v>
      </c>
      <c r="AZ504" t="s">
        <v>102</v>
      </c>
      <c r="BB504" t="s">
        <v>235</v>
      </c>
      <c r="BC504" t="s">
        <v>561</v>
      </c>
      <c r="BD504" t="s">
        <v>7528</v>
      </c>
      <c r="BF504" t="s">
        <v>1719</v>
      </c>
      <c r="BG504" t="s">
        <v>98</v>
      </c>
      <c r="BH504" t="s">
        <v>99</v>
      </c>
      <c r="BI504" t="s">
        <v>98</v>
      </c>
      <c r="BK504" t="s">
        <v>127</v>
      </c>
      <c r="BL504" t="s">
        <v>7528</v>
      </c>
      <c r="BR504">
        <v>4.75</v>
      </c>
      <c r="BT504">
        <v>23</v>
      </c>
      <c r="CA504">
        <v>403</v>
      </c>
      <c r="CB504" t="s">
        <v>1666</v>
      </c>
      <c r="CG504">
        <v>3000</v>
      </c>
      <c r="CH504">
        <v>97</v>
      </c>
      <c r="CI504">
        <v>2358</v>
      </c>
      <c r="CJ504">
        <v>949</v>
      </c>
      <c r="CK504">
        <v>30000</v>
      </c>
      <c r="CL504" t="s">
        <v>98</v>
      </c>
      <c r="CM504" t="s">
        <v>98</v>
      </c>
      <c r="CN504" t="s">
        <v>1668</v>
      </c>
      <c r="CO504" s="1">
        <v>41942</v>
      </c>
      <c r="CP504" s="1">
        <v>43633</v>
      </c>
    </row>
    <row r="505" spans="1:94" x14ac:dyDescent="0.25">
      <c r="A505" t="s">
        <v>1720</v>
      </c>
      <c r="B505" t="str">
        <f xml:space="preserve"> "" &amp; 747396100920</f>
        <v>747396100920</v>
      </c>
      <c r="C505" t="s">
        <v>845</v>
      </c>
      <c r="D505" t="s">
        <v>1721</v>
      </c>
      <c r="E505" t="s">
        <v>1722</v>
      </c>
      <c r="F505" t="s">
        <v>240</v>
      </c>
      <c r="G505">
        <v>1</v>
      </c>
      <c r="H505">
        <v>1</v>
      </c>
      <c r="I505" t="s">
        <v>97</v>
      </c>
      <c r="J505" s="10">
        <v>39</v>
      </c>
      <c r="K505" s="10">
        <v>117</v>
      </c>
      <c r="L505" s="10">
        <v>0</v>
      </c>
      <c r="N505" s="10">
        <v>0</v>
      </c>
      <c r="S505">
        <v>11.75</v>
      </c>
      <c r="U505">
        <v>6</v>
      </c>
      <c r="W505">
        <v>4.32</v>
      </c>
      <c r="X505">
        <v>1</v>
      </c>
      <c r="Y505">
        <v>14.25</v>
      </c>
      <c r="Z505">
        <v>9.5</v>
      </c>
      <c r="AA505">
        <v>8.25</v>
      </c>
      <c r="AB505">
        <v>0.64600000000000002</v>
      </c>
      <c r="AC505">
        <v>5.22</v>
      </c>
      <c r="AE505">
        <v>1</v>
      </c>
      <c r="AF505" t="s">
        <v>598</v>
      </c>
      <c r="AG505">
        <v>100</v>
      </c>
      <c r="AK505" t="s">
        <v>98</v>
      </c>
      <c r="AM505" t="s">
        <v>98</v>
      </c>
      <c r="AN505" t="s">
        <v>99</v>
      </c>
      <c r="AO505" t="s">
        <v>98</v>
      </c>
      <c r="AP505" t="s">
        <v>100</v>
      </c>
      <c r="AQ505" t="s">
        <v>101</v>
      </c>
      <c r="AV505" t="s">
        <v>98</v>
      </c>
      <c r="AX505" t="s">
        <v>7576</v>
      </c>
      <c r="AZ505" t="s">
        <v>102</v>
      </c>
      <c r="BB505" t="s">
        <v>197</v>
      </c>
      <c r="BC505" t="s">
        <v>117</v>
      </c>
      <c r="BD505" t="s">
        <v>7528</v>
      </c>
      <c r="BF505" t="s">
        <v>1723</v>
      </c>
      <c r="BG505" t="s">
        <v>98</v>
      </c>
      <c r="BH505" t="s">
        <v>98</v>
      </c>
      <c r="BI505" t="s">
        <v>98</v>
      </c>
      <c r="BK505" t="s">
        <v>110</v>
      </c>
      <c r="BL505" t="s">
        <v>7528</v>
      </c>
      <c r="BQ505">
        <v>5</v>
      </c>
      <c r="BR505">
        <v>1</v>
      </c>
      <c r="BS505">
        <v>5</v>
      </c>
      <c r="BT505">
        <v>5</v>
      </c>
      <c r="CA505">
        <v>4051</v>
      </c>
      <c r="CB505" t="s">
        <v>7576</v>
      </c>
      <c r="CL505" t="s">
        <v>99</v>
      </c>
      <c r="CM505" t="s">
        <v>99</v>
      </c>
      <c r="CN505" t="s">
        <v>1403</v>
      </c>
      <c r="CO505" s="1">
        <v>42754</v>
      </c>
      <c r="CP505" s="1">
        <v>43633</v>
      </c>
    </row>
    <row r="506" spans="1:94" x14ac:dyDescent="0.25">
      <c r="A506" t="s">
        <v>1724</v>
      </c>
      <c r="B506" t="str">
        <f xml:space="preserve"> "" &amp; 747396103105</f>
        <v>747396103105</v>
      </c>
      <c r="C506" t="s">
        <v>464</v>
      </c>
      <c r="D506" t="s">
        <v>1725</v>
      </c>
      <c r="E506" t="s">
        <v>1722</v>
      </c>
      <c r="F506" t="s">
        <v>240</v>
      </c>
      <c r="G506">
        <v>1</v>
      </c>
      <c r="H506">
        <v>1</v>
      </c>
      <c r="I506" t="s">
        <v>97</v>
      </c>
      <c r="J506" s="10">
        <v>99</v>
      </c>
      <c r="K506" s="10">
        <v>297</v>
      </c>
      <c r="L506" s="10">
        <v>0</v>
      </c>
      <c r="N506" s="10">
        <v>0</v>
      </c>
      <c r="S506">
        <v>26.25</v>
      </c>
      <c r="U506">
        <v>18</v>
      </c>
      <c r="W506">
        <v>17.57</v>
      </c>
      <c r="X506">
        <v>1</v>
      </c>
      <c r="Y506">
        <v>27.25</v>
      </c>
      <c r="Z506">
        <v>20.5</v>
      </c>
      <c r="AA506">
        <v>20.5</v>
      </c>
      <c r="AB506">
        <v>6.6269999999999998</v>
      </c>
      <c r="AC506">
        <v>24.27</v>
      </c>
      <c r="AE506">
        <v>6</v>
      </c>
      <c r="AF506" t="s">
        <v>772</v>
      </c>
      <c r="AG506">
        <v>60</v>
      </c>
      <c r="AK506" t="s">
        <v>98</v>
      </c>
      <c r="AM506" t="s">
        <v>98</v>
      </c>
      <c r="AN506" t="s">
        <v>99</v>
      </c>
      <c r="AO506" t="s">
        <v>98</v>
      </c>
      <c r="AP506" t="s">
        <v>100</v>
      </c>
      <c r="AQ506" t="s">
        <v>101</v>
      </c>
      <c r="AV506" t="s">
        <v>98</v>
      </c>
      <c r="AX506" t="s">
        <v>7576</v>
      </c>
      <c r="AZ506" t="s">
        <v>102</v>
      </c>
      <c r="BB506" t="s">
        <v>197</v>
      </c>
      <c r="BC506" t="s">
        <v>117</v>
      </c>
      <c r="BD506" t="s">
        <v>7528</v>
      </c>
      <c r="BF506" t="s">
        <v>1726</v>
      </c>
      <c r="BG506" t="s">
        <v>98</v>
      </c>
      <c r="BH506" t="s">
        <v>98</v>
      </c>
      <c r="BI506" t="s">
        <v>98</v>
      </c>
      <c r="BK506" t="s">
        <v>110</v>
      </c>
      <c r="BL506" t="s">
        <v>7528</v>
      </c>
      <c r="BR506">
        <v>1</v>
      </c>
      <c r="BS506">
        <v>5</v>
      </c>
      <c r="BT506">
        <v>5</v>
      </c>
      <c r="CA506">
        <v>4052</v>
      </c>
      <c r="CB506" t="s">
        <v>7576</v>
      </c>
      <c r="CL506" t="s">
        <v>99</v>
      </c>
      <c r="CM506" t="s">
        <v>99</v>
      </c>
      <c r="CN506" t="s">
        <v>1548</v>
      </c>
      <c r="CO506" s="1">
        <v>42908</v>
      </c>
      <c r="CP506" s="1">
        <v>43633</v>
      </c>
    </row>
    <row r="507" spans="1:94" x14ac:dyDescent="0.25">
      <c r="A507" t="s">
        <v>1727</v>
      </c>
      <c r="B507" t="str">
        <f xml:space="preserve"> "" &amp; 747396100937</f>
        <v>747396100937</v>
      </c>
      <c r="C507" t="s">
        <v>243</v>
      </c>
      <c r="D507" t="s">
        <v>1728</v>
      </c>
      <c r="E507" t="s">
        <v>1722</v>
      </c>
      <c r="F507" t="s">
        <v>240</v>
      </c>
      <c r="G507">
        <v>1</v>
      </c>
      <c r="H507">
        <v>1</v>
      </c>
      <c r="I507" t="s">
        <v>97</v>
      </c>
      <c r="J507" s="10">
        <v>69</v>
      </c>
      <c r="K507" s="10">
        <v>207</v>
      </c>
      <c r="L507" s="10">
        <v>0</v>
      </c>
      <c r="N507" s="10">
        <v>0</v>
      </c>
      <c r="S507">
        <v>22</v>
      </c>
      <c r="U507">
        <v>14</v>
      </c>
      <c r="W507">
        <v>12.7</v>
      </c>
      <c r="X507">
        <v>1</v>
      </c>
      <c r="Y507">
        <v>23.25</v>
      </c>
      <c r="Z507">
        <v>16.5</v>
      </c>
      <c r="AA507">
        <v>16.5</v>
      </c>
      <c r="AB507">
        <v>3.6629999999999998</v>
      </c>
      <c r="AC507">
        <v>17.329999999999998</v>
      </c>
      <c r="AE507">
        <v>3</v>
      </c>
      <c r="AF507" t="s">
        <v>772</v>
      </c>
      <c r="AG507">
        <v>100</v>
      </c>
      <c r="AK507" t="s">
        <v>98</v>
      </c>
      <c r="AM507" t="s">
        <v>98</v>
      </c>
      <c r="AN507" t="s">
        <v>99</v>
      </c>
      <c r="AO507" t="s">
        <v>98</v>
      </c>
      <c r="AP507" t="s">
        <v>100</v>
      </c>
      <c r="AQ507" t="s">
        <v>101</v>
      </c>
      <c r="AV507" t="s">
        <v>98</v>
      </c>
      <c r="AX507" t="s">
        <v>7576</v>
      </c>
      <c r="AZ507" t="s">
        <v>102</v>
      </c>
      <c r="BB507" t="s">
        <v>197</v>
      </c>
      <c r="BC507" t="s">
        <v>1729</v>
      </c>
      <c r="BD507" t="s">
        <v>7528</v>
      </c>
      <c r="BF507" t="s">
        <v>1730</v>
      </c>
      <c r="BG507" t="s">
        <v>98</v>
      </c>
      <c r="BH507" t="s">
        <v>98</v>
      </c>
      <c r="BI507" t="s">
        <v>98</v>
      </c>
      <c r="BK507" t="s">
        <v>110</v>
      </c>
      <c r="BL507" t="s">
        <v>7528</v>
      </c>
      <c r="BR507">
        <v>1</v>
      </c>
      <c r="BS507">
        <v>5</v>
      </c>
      <c r="BT507">
        <v>5</v>
      </c>
      <c r="CA507">
        <v>4053</v>
      </c>
      <c r="CB507" t="s">
        <v>7576</v>
      </c>
      <c r="CL507" t="s">
        <v>99</v>
      </c>
      <c r="CM507" t="s">
        <v>99</v>
      </c>
      <c r="CN507" t="s">
        <v>1403</v>
      </c>
      <c r="CO507" s="1">
        <v>42754</v>
      </c>
      <c r="CP507" s="1">
        <v>43633</v>
      </c>
    </row>
    <row r="508" spans="1:94" x14ac:dyDescent="0.25">
      <c r="A508" t="s">
        <v>1731</v>
      </c>
      <c r="B508" t="str">
        <f xml:space="preserve"> "" &amp; 747396100876</f>
        <v>747396100876</v>
      </c>
      <c r="C508" t="s">
        <v>850</v>
      </c>
      <c r="D508" t="s">
        <v>1732</v>
      </c>
      <c r="E508" t="s">
        <v>1722</v>
      </c>
      <c r="F508" t="s">
        <v>240</v>
      </c>
      <c r="G508">
        <v>1</v>
      </c>
      <c r="H508">
        <v>1</v>
      </c>
      <c r="I508" t="s">
        <v>97</v>
      </c>
      <c r="J508" s="10">
        <v>99</v>
      </c>
      <c r="K508" s="10">
        <v>297</v>
      </c>
      <c r="L508" s="10">
        <v>0</v>
      </c>
      <c r="N508" s="10">
        <v>0</v>
      </c>
      <c r="S508">
        <v>13</v>
      </c>
      <c r="U508">
        <v>26</v>
      </c>
      <c r="W508">
        <v>22.66</v>
      </c>
      <c r="X508">
        <v>1</v>
      </c>
      <c r="Y508">
        <v>14.5</v>
      </c>
      <c r="Z508">
        <v>28.5</v>
      </c>
      <c r="AA508">
        <v>28.5</v>
      </c>
      <c r="AB508">
        <v>6.8159999999999998</v>
      </c>
      <c r="AC508">
        <v>30.91</v>
      </c>
      <c r="AE508">
        <v>5</v>
      </c>
      <c r="AF508" t="s">
        <v>598</v>
      </c>
      <c r="AG508">
        <v>100</v>
      </c>
      <c r="AK508" t="s">
        <v>98</v>
      </c>
      <c r="AM508" t="s">
        <v>98</v>
      </c>
      <c r="AN508" t="s">
        <v>99</v>
      </c>
      <c r="AO508" t="s">
        <v>98</v>
      </c>
      <c r="AP508" t="s">
        <v>100</v>
      </c>
      <c r="AQ508" t="s">
        <v>101</v>
      </c>
      <c r="AV508" t="s">
        <v>98</v>
      </c>
      <c r="AX508" t="s">
        <v>7576</v>
      </c>
      <c r="AZ508" t="s">
        <v>102</v>
      </c>
      <c r="BB508" t="s">
        <v>197</v>
      </c>
      <c r="BC508" t="s">
        <v>117</v>
      </c>
      <c r="BD508" t="s">
        <v>7528</v>
      </c>
      <c r="BF508" t="s">
        <v>1733</v>
      </c>
      <c r="BG508" t="s">
        <v>98</v>
      </c>
      <c r="BH508" t="s">
        <v>98</v>
      </c>
      <c r="BI508" t="s">
        <v>98</v>
      </c>
      <c r="BK508" t="s">
        <v>127</v>
      </c>
      <c r="BL508" t="s">
        <v>7528</v>
      </c>
      <c r="BQ508">
        <v>5</v>
      </c>
      <c r="BR508">
        <v>1</v>
      </c>
      <c r="BT508">
        <v>5</v>
      </c>
      <c r="CA508">
        <v>4055</v>
      </c>
      <c r="CB508" t="s">
        <v>7576</v>
      </c>
      <c r="CL508" t="s">
        <v>99</v>
      </c>
      <c r="CM508" t="s">
        <v>98</v>
      </c>
      <c r="CN508" t="s">
        <v>1403</v>
      </c>
      <c r="CO508" s="1">
        <v>42754</v>
      </c>
      <c r="CP508" s="1">
        <v>43633</v>
      </c>
    </row>
    <row r="509" spans="1:94" x14ac:dyDescent="0.25">
      <c r="A509" t="s">
        <v>1734</v>
      </c>
      <c r="B509" t="str">
        <f xml:space="preserve"> "" &amp; 747396100883</f>
        <v>747396100883</v>
      </c>
      <c r="C509" t="s">
        <v>879</v>
      </c>
      <c r="D509" t="s">
        <v>1735</v>
      </c>
      <c r="E509" t="s">
        <v>1722</v>
      </c>
      <c r="F509" t="s">
        <v>314</v>
      </c>
      <c r="G509">
        <v>1</v>
      </c>
      <c r="H509">
        <v>1</v>
      </c>
      <c r="I509" t="s">
        <v>97</v>
      </c>
      <c r="J509" s="10">
        <v>149</v>
      </c>
      <c r="K509" s="10">
        <v>447</v>
      </c>
      <c r="L509" s="10">
        <v>0</v>
      </c>
      <c r="N509" s="10">
        <v>0</v>
      </c>
      <c r="S509">
        <v>13.5</v>
      </c>
      <c r="T509">
        <v>40</v>
      </c>
      <c r="U509">
        <v>14</v>
      </c>
      <c r="W509">
        <v>23.17</v>
      </c>
      <c r="X509">
        <v>1</v>
      </c>
      <c r="Y509">
        <v>15.13</v>
      </c>
      <c r="Z509">
        <v>43</v>
      </c>
      <c r="AA509">
        <v>16.5</v>
      </c>
      <c r="AB509">
        <v>6.2119999999999997</v>
      </c>
      <c r="AC509">
        <v>30.12</v>
      </c>
      <c r="AE509">
        <v>6</v>
      </c>
      <c r="AF509" t="s">
        <v>282</v>
      </c>
      <c r="AG509">
        <v>100</v>
      </c>
      <c r="AK509" t="s">
        <v>98</v>
      </c>
      <c r="AM509" t="s">
        <v>98</v>
      </c>
      <c r="AN509" t="s">
        <v>99</v>
      </c>
      <c r="AO509" t="s">
        <v>98</v>
      </c>
      <c r="AP509" t="s">
        <v>100</v>
      </c>
      <c r="AQ509" t="s">
        <v>101</v>
      </c>
      <c r="AV509" t="s">
        <v>98</v>
      </c>
      <c r="AX509" t="s">
        <v>7576</v>
      </c>
      <c r="AZ509" t="s">
        <v>102</v>
      </c>
      <c r="BB509" t="s">
        <v>197</v>
      </c>
      <c r="BC509" t="s">
        <v>117</v>
      </c>
      <c r="BD509" t="s">
        <v>7528</v>
      </c>
      <c r="BF509" t="s">
        <v>1736</v>
      </c>
      <c r="BG509" t="s">
        <v>98</v>
      </c>
      <c r="BH509" t="s">
        <v>98</v>
      </c>
      <c r="BI509" t="s">
        <v>98</v>
      </c>
      <c r="BK509" t="s">
        <v>110</v>
      </c>
      <c r="BL509" t="s">
        <v>7528</v>
      </c>
      <c r="BQ509">
        <v>5</v>
      </c>
      <c r="BR509">
        <v>0.63</v>
      </c>
      <c r="BS509">
        <v>16</v>
      </c>
      <c r="BT509">
        <v>5</v>
      </c>
      <c r="CA509">
        <v>4056</v>
      </c>
      <c r="CB509" t="s">
        <v>7576</v>
      </c>
      <c r="CL509" t="s">
        <v>99</v>
      </c>
      <c r="CM509" t="s">
        <v>98</v>
      </c>
      <c r="CN509" t="s">
        <v>1403</v>
      </c>
      <c r="CO509" s="1">
        <v>42754</v>
      </c>
      <c r="CP509" s="1">
        <v>43633</v>
      </c>
    </row>
    <row r="510" spans="1:94" x14ac:dyDescent="0.25">
      <c r="A510" t="s">
        <v>1737</v>
      </c>
      <c r="B510" t="str">
        <f xml:space="preserve"> "" &amp; 747396103563</f>
        <v>747396103563</v>
      </c>
      <c r="C510" t="s">
        <v>464</v>
      </c>
      <c r="D510" t="s">
        <v>1738</v>
      </c>
      <c r="E510" t="s">
        <v>1739</v>
      </c>
      <c r="F510" t="s">
        <v>240</v>
      </c>
      <c r="G510">
        <v>1</v>
      </c>
      <c r="H510">
        <v>1</v>
      </c>
      <c r="I510" t="s">
        <v>97</v>
      </c>
      <c r="J510" s="10">
        <v>105</v>
      </c>
      <c r="K510" s="10">
        <v>315</v>
      </c>
      <c r="L510" s="10">
        <v>0</v>
      </c>
      <c r="N510" s="10">
        <v>0</v>
      </c>
      <c r="O510" t="s">
        <v>99</v>
      </c>
      <c r="P510" s="10">
        <v>219.95</v>
      </c>
      <c r="S510">
        <v>22.5</v>
      </c>
      <c r="T510">
        <v>13</v>
      </c>
      <c r="U510">
        <v>13</v>
      </c>
      <c r="W510">
        <v>5.38</v>
      </c>
      <c r="X510">
        <v>1</v>
      </c>
      <c r="Y510">
        <v>25</v>
      </c>
      <c r="Z510">
        <v>15.25</v>
      </c>
      <c r="AA510">
        <v>7.5</v>
      </c>
      <c r="AB510">
        <v>1.655</v>
      </c>
      <c r="AC510">
        <v>7.23</v>
      </c>
      <c r="AE510">
        <v>3</v>
      </c>
      <c r="AF510" t="s">
        <v>1611</v>
      </c>
      <c r="AG510">
        <v>60</v>
      </c>
      <c r="AK510" t="s">
        <v>98</v>
      </c>
      <c r="AM510" t="s">
        <v>98</v>
      </c>
      <c r="AN510" t="s">
        <v>99</v>
      </c>
      <c r="AO510" t="s">
        <v>98</v>
      </c>
      <c r="AP510" t="s">
        <v>100</v>
      </c>
      <c r="AQ510" t="s">
        <v>101</v>
      </c>
      <c r="AV510" t="s">
        <v>98</v>
      </c>
      <c r="AX510" t="s">
        <v>1740</v>
      </c>
      <c r="AZ510" t="s">
        <v>392</v>
      </c>
      <c r="BB510" t="s">
        <v>7528</v>
      </c>
      <c r="BC510" t="s">
        <v>7528</v>
      </c>
      <c r="BD510" t="s">
        <v>7528</v>
      </c>
      <c r="BF510" t="s">
        <v>1741</v>
      </c>
      <c r="BG510" t="s">
        <v>98</v>
      </c>
      <c r="BH510" t="s">
        <v>98</v>
      </c>
      <c r="BI510" t="s">
        <v>98</v>
      </c>
      <c r="BK510" t="s">
        <v>110</v>
      </c>
      <c r="BL510" t="s">
        <v>7528</v>
      </c>
      <c r="BQ510">
        <v>5.25</v>
      </c>
      <c r="BR510">
        <v>0.75</v>
      </c>
      <c r="BS510">
        <v>5.25</v>
      </c>
      <c r="BT510">
        <v>5.25</v>
      </c>
      <c r="CA510">
        <v>4060</v>
      </c>
      <c r="CB510" t="s">
        <v>1740</v>
      </c>
      <c r="CL510" t="s">
        <v>99</v>
      </c>
      <c r="CM510" t="s">
        <v>99</v>
      </c>
      <c r="CN510" t="s">
        <v>692</v>
      </c>
      <c r="CO510" s="1">
        <v>42864</v>
      </c>
      <c r="CP510" s="1">
        <v>43633</v>
      </c>
    </row>
    <row r="511" spans="1:94" x14ac:dyDescent="0.25">
      <c r="A511" t="s">
        <v>1743</v>
      </c>
      <c r="B511" t="str">
        <f xml:space="preserve"> "" &amp; 747396103600</f>
        <v>747396103600</v>
      </c>
      <c r="C511" t="s">
        <v>1744</v>
      </c>
      <c r="D511" t="s">
        <v>1745</v>
      </c>
      <c r="E511" t="s">
        <v>1739</v>
      </c>
      <c r="F511" t="s">
        <v>232</v>
      </c>
      <c r="G511">
        <v>1</v>
      </c>
      <c r="H511">
        <v>1</v>
      </c>
      <c r="I511" t="s">
        <v>97</v>
      </c>
      <c r="J511" s="10">
        <v>48</v>
      </c>
      <c r="K511" s="10">
        <v>144</v>
      </c>
      <c r="L511" s="10">
        <v>0</v>
      </c>
      <c r="N511" s="10">
        <v>0</v>
      </c>
      <c r="O511" t="s">
        <v>99</v>
      </c>
      <c r="P511" s="10">
        <v>99.95</v>
      </c>
      <c r="S511">
        <v>8</v>
      </c>
      <c r="T511">
        <v>10</v>
      </c>
      <c r="U511">
        <v>7</v>
      </c>
      <c r="V511">
        <v>4.25</v>
      </c>
      <c r="W511">
        <v>1.21</v>
      </c>
      <c r="X511">
        <v>1</v>
      </c>
      <c r="Y511">
        <v>10.25</v>
      </c>
      <c r="Z511">
        <v>10</v>
      </c>
      <c r="AA511">
        <v>6</v>
      </c>
      <c r="AB511">
        <v>0.35599999999999998</v>
      </c>
      <c r="AC511">
        <v>1.72</v>
      </c>
      <c r="AE511">
        <v>2</v>
      </c>
      <c r="AF511" t="s">
        <v>1611</v>
      </c>
      <c r="AG511">
        <v>60</v>
      </c>
      <c r="AK511" t="s">
        <v>98</v>
      </c>
      <c r="AL511">
        <v>2</v>
      </c>
      <c r="AM511" t="s">
        <v>98</v>
      </c>
      <c r="AN511" t="s">
        <v>99</v>
      </c>
      <c r="AO511" t="s">
        <v>98</v>
      </c>
      <c r="AP511" t="s">
        <v>100</v>
      </c>
      <c r="AQ511" t="s">
        <v>101</v>
      </c>
      <c r="AV511" t="s">
        <v>98</v>
      </c>
      <c r="AX511" t="s">
        <v>1740</v>
      </c>
      <c r="AZ511" t="s">
        <v>102</v>
      </c>
      <c r="BB511" t="s">
        <v>7528</v>
      </c>
      <c r="BC511" t="s">
        <v>7528</v>
      </c>
      <c r="BD511" t="s">
        <v>7528</v>
      </c>
      <c r="BF511" t="s">
        <v>1746</v>
      </c>
      <c r="BG511" t="s">
        <v>98</v>
      </c>
      <c r="BH511" t="s">
        <v>98</v>
      </c>
      <c r="BI511" t="s">
        <v>98</v>
      </c>
      <c r="BK511" t="s">
        <v>127</v>
      </c>
      <c r="BL511" t="s">
        <v>236</v>
      </c>
      <c r="BM511">
        <v>4.75</v>
      </c>
      <c r="BN511">
        <v>8</v>
      </c>
      <c r="CA511">
        <v>4062</v>
      </c>
      <c r="CB511" t="s">
        <v>1740</v>
      </c>
      <c r="CL511" t="s">
        <v>99</v>
      </c>
      <c r="CM511" t="s">
        <v>98</v>
      </c>
      <c r="CN511" t="s">
        <v>692</v>
      </c>
      <c r="CO511" s="1">
        <v>42863</v>
      </c>
      <c r="CP511" s="1">
        <v>43633</v>
      </c>
    </row>
    <row r="512" spans="1:94" x14ac:dyDescent="0.25">
      <c r="A512" t="s">
        <v>1747</v>
      </c>
      <c r="B512" t="str">
        <f xml:space="preserve"> "" &amp; 747396103594</f>
        <v>747396103594</v>
      </c>
      <c r="C512" t="s">
        <v>1744</v>
      </c>
      <c r="D512" t="s">
        <v>1745</v>
      </c>
      <c r="E512" t="s">
        <v>1739</v>
      </c>
      <c r="F512" t="s">
        <v>232</v>
      </c>
      <c r="G512">
        <v>1</v>
      </c>
      <c r="H512">
        <v>1</v>
      </c>
      <c r="I512" t="s">
        <v>97</v>
      </c>
      <c r="J512" s="10">
        <v>48</v>
      </c>
      <c r="K512" s="10">
        <v>144</v>
      </c>
      <c r="L512" s="10">
        <v>0</v>
      </c>
      <c r="N512" s="10">
        <v>0</v>
      </c>
      <c r="O512" t="s">
        <v>99</v>
      </c>
      <c r="P512" s="10">
        <v>99.95</v>
      </c>
      <c r="S512">
        <v>8</v>
      </c>
      <c r="T512">
        <v>10</v>
      </c>
      <c r="U512">
        <v>7</v>
      </c>
      <c r="V512">
        <v>4.25</v>
      </c>
      <c r="W512">
        <v>1.21</v>
      </c>
      <c r="X512">
        <v>1</v>
      </c>
      <c r="Y512">
        <v>10.25</v>
      </c>
      <c r="Z512">
        <v>10</v>
      </c>
      <c r="AA512">
        <v>6</v>
      </c>
      <c r="AB512">
        <v>0.35599999999999998</v>
      </c>
      <c r="AC512">
        <v>1.72</v>
      </c>
      <c r="AE512">
        <v>2</v>
      </c>
      <c r="AF512" t="s">
        <v>1611</v>
      </c>
      <c r="AG512">
        <v>60</v>
      </c>
      <c r="AK512" t="s">
        <v>98</v>
      </c>
      <c r="AL512">
        <v>2</v>
      </c>
      <c r="AM512" t="s">
        <v>98</v>
      </c>
      <c r="AN512" t="s">
        <v>99</v>
      </c>
      <c r="AO512" t="s">
        <v>98</v>
      </c>
      <c r="AP512" t="s">
        <v>100</v>
      </c>
      <c r="AQ512" t="s">
        <v>101</v>
      </c>
      <c r="AV512" t="s">
        <v>98</v>
      </c>
      <c r="AX512" t="s">
        <v>1742</v>
      </c>
      <c r="AZ512" t="s">
        <v>102</v>
      </c>
      <c r="BB512" t="s">
        <v>7528</v>
      </c>
      <c r="BC512" t="s">
        <v>7528</v>
      </c>
      <c r="BD512" t="s">
        <v>7528</v>
      </c>
      <c r="BF512" t="s">
        <v>1748</v>
      </c>
      <c r="BG512" t="s">
        <v>98</v>
      </c>
      <c r="BH512" t="s">
        <v>98</v>
      </c>
      <c r="BI512" t="s">
        <v>98</v>
      </c>
      <c r="BK512" t="s">
        <v>127</v>
      </c>
      <c r="BL512" t="s">
        <v>236</v>
      </c>
      <c r="BM512">
        <v>4.75</v>
      </c>
      <c r="BN512">
        <v>7.88</v>
      </c>
      <c r="CA512">
        <v>4062</v>
      </c>
      <c r="CB512" t="s">
        <v>1742</v>
      </c>
      <c r="CL512" t="s">
        <v>99</v>
      </c>
      <c r="CM512" t="s">
        <v>98</v>
      </c>
      <c r="CN512" t="s">
        <v>692</v>
      </c>
      <c r="CO512" s="1">
        <v>42864</v>
      </c>
      <c r="CP512" s="1">
        <v>43633</v>
      </c>
    </row>
    <row r="513" spans="1:94" x14ac:dyDescent="0.25">
      <c r="A513" t="s">
        <v>1749</v>
      </c>
      <c r="B513" t="str">
        <f xml:space="preserve"> "" &amp; 747396101163</f>
        <v>747396101163</v>
      </c>
      <c r="C513" t="s">
        <v>879</v>
      </c>
      <c r="D513" t="s">
        <v>1750</v>
      </c>
      <c r="E513" t="s">
        <v>1739</v>
      </c>
      <c r="F513" t="s">
        <v>314</v>
      </c>
      <c r="G513">
        <v>1</v>
      </c>
      <c r="H513">
        <v>1</v>
      </c>
      <c r="I513" t="s">
        <v>97</v>
      </c>
      <c r="J513" s="10">
        <v>139</v>
      </c>
      <c r="K513" s="10">
        <v>417</v>
      </c>
      <c r="L513" s="10">
        <v>0</v>
      </c>
      <c r="N513" s="10">
        <v>0</v>
      </c>
      <c r="O513" t="s">
        <v>99</v>
      </c>
      <c r="P513" s="10">
        <v>294.95</v>
      </c>
      <c r="S513">
        <v>15.75</v>
      </c>
      <c r="T513">
        <v>42</v>
      </c>
      <c r="V513">
        <v>4.5</v>
      </c>
      <c r="W513">
        <v>7.5</v>
      </c>
      <c r="X513">
        <v>1</v>
      </c>
      <c r="Y513">
        <v>18</v>
      </c>
      <c r="Z513">
        <v>45</v>
      </c>
      <c r="AA513">
        <v>5</v>
      </c>
      <c r="AB513">
        <v>2.3439999999999999</v>
      </c>
      <c r="AC513">
        <v>9.92</v>
      </c>
      <c r="AE513">
        <v>5</v>
      </c>
      <c r="AF513" t="s">
        <v>1683</v>
      </c>
      <c r="AG513">
        <v>60</v>
      </c>
      <c r="AK513" t="s">
        <v>98</v>
      </c>
      <c r="AM513" t="s">
        <v>98</v>
      </c>
      <c r="AN513" t="s">
        <v>99</v>
      </c>
      <c r="AO513" t="s">
        <v>98</v>
      </c>
      <c r="AP513" t="s">
        <v>100</v>
      </c>
      <c r="AQ513" t="s">
        <v>101</v>
      </c>
      <c r="AV513" t="s">
        <v>98</v>
      </c>
      <c r="AX513" t="s">
        <v>1740</v>
      </c>
      <c r="AZ513" t="s">
        <v>102</v>
      </c>
      <c r="BB513" t="s">
        <v>7528</v>
      </c>
      <c r="BC513" t="s">
        <v>7528</v>
      </c>
      <c r="BD513" t="s">
        <v>7528</v>
      </c>
      <c r="BF513" t="s">
        <v>1751</v>
      </c>
      <c r="BG513" t="s">
        <v>98</v>
      </c>
      <c r="BH513" t="s">
        <v>98</v>
      </c>
      <c r="BI513" t="s">
        <v>98</v>
      </c>
      <c r="BK513" t="s">
        <v>110</v>
      </c>
      <c r="BL513" t="s">
        <v>7528</v>
      </c>
      <c r="BR513">
        <v>0.75</v>
      </c>
      <c r="BS513">
        <v>11.75</v>
      </c>
      <c r="BT513">
        <v>4.5</v>
      </c>
      <c r="CA513" t="s">
        <v>1749</v>
      </c>
      <c r="CB513" t="s">
        <v>1740</v>
      </c>
      <c r="CL513" t="s">
        <v>99</v>
      </c>
      <c r="CM513" t="s">
        <v>99</v>
      </c>
      <c r="CN513" t="s">
        <v>692</v>
      </c>
      <c r="CO513" s="1">
        <v>42755</v>
      </c>
      <c r="CP513" s="1">
        <v>43633</v>
      </c>
    </row>
    <row r="514" spans="1:94" x14ac:dyDescent="0.25">
      <c r="A514" t="s">
        <v>1752</v>
      </c>
      <c r="B514" t="str">
        <f xml:space="preserve"> "" &amp; 747396101170</f>
        <v>747396101170</v>
      </c>
      <c r="C514" t="s">
        <v>879</v>
      </c>
      <c r="D514" t="s">
        <v>1750</v>
      </c>
      <c r="E514" t="s">
        <v>1739</v>
      </c>
      <c r="F514" t="s">
        <v>314</v>
      </c>
      <c r="G514">
        <v>1</v>
      </c>
      <c r="H514">
        <v>1</v>
      </c>
      <c r="I514" t="s">
        <v>97</v>
      </c>
      <c r="J514" s="10">
        <v>139</v>
      </c>
      <c r="K514" s="10">
        <v>417</v>
      </c>
      <c r="L514" s="10">
        <v>0</v>
      </c>
      <c r="N514" s="10">
        <v>0</v>
      </c>
      <c r="O514" t="s">
        <v>99</v>
      </c>
      <c r="P514" s="10">
        <v>294.95</v>
      </c>
      <c r="S514">
        <v>15.75</v>
      </c>
      <c r="T514">
        <v>42</v>
      </c>
      <c r="V514">
        <v>4.5</v>
      </c>
      <c r="W514">
        <v>7.5</v>
      </c>
      <c r="X514">
        <v>1</v>
      </c>
      <c r="Y514">
        <v>18</v>
      </c>
      <c r="Z514">
        <v>45</v>
      </c>
      <c r="AA514">
        <v>5</v>
      </c>
      <c r="AB514">
        <v>2.3439999999999999</v>
      </c>
      <c r="AC514">
        <v>9.92</v>
      </c>
      <c r="AE514">
        <v>5</v>
      </c>
      <c r="AF514" t="s">
        <v>1611</v>
      </c>
      <c r="AG514">
        <v>60</v>
      </c>
      <c r="AK514" t="s">
        <v>98</v>
      </c>
      <c r="AM514" t="s">
        <v>98</v>
      </c>
      <c r="AN514" t="s">
        <v>99</v>
      </c>
      <c r="AO514" t="s">
        <v>98</v>
      </c>
      <c r="AP514" t="s">
        <v>100</v>
      </c>
      <c r="AQ514" t="s">
        <v>101</v>
      </c>
      <c r="AV514" t="s">
        <v>98</v>
      </c>
      <c r="AX514" t="s">
        <v>1742</v>
      </c>
      <c r="AZ514" t="s">
        <v>102</v>
      </c>
      <c r="BB514" t="s">
        <v>7528</v>
      </c>
      <c r="BC514" t="s">
        <v>7528</v>
      </c>
      <c r="BD514" t="s">
        <v>7528</v>
      </c>
      <c r="BF514" t="s">
        <v>1753</v>
      </c>
      <c r="BG514" t="s">
        <v>98</v>
      </c>
      <c r="BH514" t="s">
        <v>98</v>
      </c>
      <c r="BI514" t="s">
        <v>98</v>
      </c>
      <c r="BK514" t="s">
        <v>110</v>
      </c>
      <c r="BL514" t="s">
        <v>7528</v>
      </c>
      <c r="BR514">
        <v>0.75</v>
      </c>
      <c r="BS514">
        <v>11.75</v>
      </c>
      <c r="BT514">
        <v>4.5</v>
      </c>
      <c r="CA514">
        <v>4065</v>
      </c>
      <c r="CB514" t="s">
        <v>1742</v>
      </c>
      <c r="CL514" t="s">
        <v>99</v>
      </c>
      <c r="CM514" t="s">
        <v>99</v>
      </c>
      <c r="CN514" t="s">
        <v>692</v>
      </c>
      <c r="CO514" s="1">
        <v>42755</v>
      </c>
      <c r="CP514" s="1">
        <v>43633</v>
      </c>
    </row>
    <row r="515" spans="1:94" x14ac:dyDescent="0.25">
      <c r="A515" t="s">
        <v>1754</v>
      </c>
      <c r="B515" t="str">
        <f xml:space="preserve"> "" &amp; 747396101187</f>
        <v>747396101187</v>
      </c>
      <c r="C515" t="s">
        <v>464</v>
      </c>
      <c r="D515" t="s">
        <v>1755</v>
      </c>
      <c r="E515" t="s">
        <v>1739</v>
      </c>
      <c r="F515" t="s">
        <v>249</v>
      </c>
      <c r="G515">
        <v>1</v>
      </c>
      <c r="H515">
        <v>1</v>
      </c>
      <c r="I515" t="s">
        <v>97</v>
      </c>
      <c r="J515" s="10">
        <v>174.75</v>
      </c>
      <c r="K515" s="10">
        <v>524.25</v>
      </c>
      <c r="L515" s="10">
        <v>0</v>
      </c>
      <c r="N515" s="10">
        <v>0</v>
      </c>
      <c r="O515" t="s">
        <v>99</v>
      </c>
      <c r="P515" s="10">
        <v>369.95</v>
      </c>
      <c r="S515">
        <v>25.75</v>
      </c>
      <c r="T515">
        <v>25</v>
      </c>
      <c r="U515">
        <v>25</v>
      </c>
      <c r="W515">
        <v>10.58</v>
      </c>
      <c r="X515">
        <v>1</v>
      </c>
      <c r="Y515">
        <v>28</v>
      </c>
      <c r="Z515">
        <v>27</v>
      </c>
      <c r="AA515">
        <v>8</v>
      </c>
      <c r="AB515">
        <v>3.5</v>
      </c>
      <c r="AC515">
        <v>13.98</v>
      </c>
      <c r="AE515">
        <v>6</v>
      </c>
      <c r="AF515" t="s">
        <v>1611</v>
      </c>
      <c r="AG515">
        <v>60</v>
      </c>
      <c r="AK515" t="s">
        <v>98</v>
      </c>
      <c r="AM515" t="s">
        <v>98</v>
      </c>
      <c r="AN515" t="s">
        <v>99</v>
      </c>
      <c r="AO515" t="s">
        <v>98</v>
      </c>
      <c r="AP515" t="s">
        <v>100</v>
      </c>
      <c r="AQ515" t="s">
        <v>101</v>
      </c>
      <c r="AV515" t="s">
        <v>98</v>
      </c>
      <c r="AX515" t="s">
        <v>1740</v>
      </c>
      <c r="AZ515" t="s">
        <v>102</v>
      </c>
      <c r="BB515" t="s">
        <v>7528</v>
      </c>
      <c r="BC515" t="s">
        <v>7528</v>
      </c>
      <c r="BD515" t="s">
        <v>7528</v>
      </c>
      <c r="BF515" t="s">
        <v>1756</v>
      </c>
      <c r="BG515" t="s">
        <v>98</v>
      </c>
      <c r="BH515" t="s">
        <v>98</v>
      </c>
      <c r="BI515" t="s">
        <v>98</v>
      </c>
      <c r="BK515" t="s">
        <v>110</v>
      </c>
      <c r="BL515" t="s">
        <v>7528</v>
      </c>
      <c r="BQ515">
        <v>5.25</v>
      </c>
      <c r="BR515">
        <v>0.75</v>
      </c>
      <c r="BS515">
        <v>5.25</v>
      </c>
      <c r="BT515">
        <v>5.25</v>
      </c>
      <c r="CA515">
        <v>4066</v>
      </c>
      <c r="CB515" t="s">
        <v>1740</v>
      </c>
      <c r="CL515" t="s">
        <v>99</v>
      </c>
      <c r="CM515" t="s">
        <v>99</v>
      </c>
      <c r="CN515" t="s">
        <v>692</v>
      </c>
      <c r="CO515" s="1">
        <v>42755</v>
      </c>
      <c r="CP515" s="1">
        <v>43633</v>
      </c>
    </row>
    <row r="516" spans="1:94" x14ac:dyDescent="0.25">
      <c r="A516" t="s">
        <v>1757</v>
      </c>
      <c r="B516" t="str">
        <f xml:space="preserve"> "" &amp; 747396101194</f>
        <v>747396101194</v>
      </c>
      <c r="C516" t="s">
        <v>464</v>
      </c>
      <c r="D516" t="s">
        <v>1755</v>
      </c>
      <c r="E516" t="s">
        <v>1739</v>
      </c>
      <c r="F516" t="s">
        <v>249</v>
      </c>
      <c r="G516">
        <v>1</v>
      </c>
      <c r="H516">
        <v>1</v>
      </c>
      <c r="I516" t="s">
        <v>97</v>
      </c>
      <c r="J516" s="10">
        <v>174.75</v>
      </c>
      <c r="K516" s="10">
        <v>524.25</v>
      </c>
      <c r="L516" s="10">
        <v>0</v>
      </c>
      <c r="N516" s="10">
        <v>0</v>
      </c>
      <c r="O516" t="s">
        <v>99</v>
      </c>
      <c r="P516" s="10">
        <v>369.95</v>
      </c>
      <c r="S516">
        <v>25.75</v>
      </c>
      <c r="T516">
        <v>25</v>
      </c>
      <c r="U516">
        <v>25</v>
      </c>
      <c r="W516">
        <v>10.58</v>
      </c>
      <c r="X516">
        <v>1</v>
      </c>
      <c r="Y516">
        <v>28</v>
      </c>
      <c r="Z516">
        <v>27</v>
      </c>
      <c r="AA516">
        <v>8</v>
      </c>
      <c r="AB516">
        <v>3.5</v>
      </c>
      <c r="AC516">
        <v>13.98</v>
      </c>
      <c r="AE516">
        <v>6</v>
      </c>
      <c r="AF516" t="s">
        <v>1611</v>
      </c>
      <c r="AG516">
        <v>60</v>
      </c>
      <c r="AK516" t="s">
        <v>98</v>
      </c>
      <c r="AM516" t="s">
        <v>98</v>
      </c>
      <c r="AN516" t="s">
        <v>99</v>
      </c>
      <c r="AO516" t="s">
        <v>98</v>
      </c>
      <c r="AP516" t="s">
        <v>100</v>
      </c>
      <c r="AQ516" t="s">
        <v>101</v>
      </c>
      <c r="AV516" t="s">
        <v>98</v>
      </c>
      <c r="AX516" t="s">
        <v>1742</v>
      </c>
      <c r="AZ516" t="s">
        <v>102</v>
      </c>
      <c r="BB516" t="s">
        <v>7528</v>
      </c>
      <c r="BC516" t="s">
        <v>7528</v>
      </c>
      <c r="BD516" t="s">
        <v>7528</v>
      </c>
      <c r="BF516" t="s">
        <v>1758</v>
      </c>
      <c r="BG516" t="s">
        <v>98</v>
      </c>
      <c r="BH516" t="s">
        <v>98</v>
      </c>
      <c r="BI516" t="s">
        <v>98</v>
      </c>
      <c r="BK516" t="s">
        <v>110</v>
      </c>
      <c r="BL516" t="s">
        <v>7528</v>
      </c>
      <c r="BQ516">
        <v>5.25</v>
      </c>
      <c r="BR516">
        <v>0.75</v>
      </c>
      <c r="BS516">
        <v>5.25</v>
      </c>
      <c r="BT516">
        <v>5.25</v>
      </c>
      <c r="CA516" t="s">
        <v>1757</v>
      </c>
      <c r="CB516" t="s">
        <v>1742</v>
      </c>
      <c r="CL516" t="s">
        <v>99</v>
      </c>
      <c r="CM516" t="s">
        <v>99</v>
      </c>
      <c r="CN516" t="s">
        <v>692</v>
      </c>
      <c r="CO516" s="1">
        <v>42755</v>
      </c>
      <c r="CP516" s="1">
        <v>43633</v>
      </c>
    </row>
    <row r="517" spans="1:94" x14ac:dyDescent="0.25">
      <c r="A517" t="s">
        <v>1759</v>
      </c>
      <c r="B517" t="str">
        <f xml:space="preserve"> "" &amp; 747396101200</f>
        <v>747396101200</v>
      </c>
      <c r="C517" t="s">
        <v>464</v>
      </c>
      <c r="D517" t="s">
        <v>1755</v>
      </c>
      <c r="E517" t="s">
        <v>1739</v>
      </c>
      <c r="F517" t="s">
        <v>240</v>
      </c>
      <c r="G517">
        <v>1</v>
      </c>
      <c r="H517">
        <v>1</v>
      </c>
      <c r="I517" t="s">
        <v>97</v>
      </c>
      <c r="J517" s="10">
        <v>175</v>
      </c>
      <c r="K517" s="10">
        <v>525</v>
      </c>
      <c r="L517" s="10">
        <v>0</v>
      </c>
      <c r="N517" s="10">
        <v>0</v>
      </c>
      <c r="O517" t="s">
        <v>99</v>
      </c>
      <c r="P517" s="10">
        <v>369.95</v>
      </c>
      <c r="S517">
        <v>33</v>
      </c>
      <c r="T517">
        <v>19</v>
      </c>
      <c r="U517">
        <v>19</v>
      </c>
      <c r="W517">
        <v>13.12</v>
      </c>
      <c r="X517">
        <v>1</v>
      </c>
      <c r="Y517">
        <v>35.5</v>
      </c>
      <c r="Z517">
        <v>21</v>
      </c>
      <c r="AA517">
        <v>8</v>
      </c>
      <c r="AB517">
        <v>3.4510000000000001</v>
      </c>
      <c r="AC517">
        <v>15.1</v>
      </c>
      <c r="AE517">
        <v>5</v>
      </c>
      <c r="AF517" t="s">
        <v>1611</v>
      </c>
      <c r="AG517">
        <v>60</v>
      </c>
      <c r="AK517" t="s">
        <v>98</v>
      </c>
      <c r="AM517" t="s">
        <v>98</v>
      </c>
      <c r="AN517" t="s">
        <v>99</v>
      </c>
      <c r="AO517" t="s">
        <v>98</v>
      </c>
      <c r="AP517" t="s">
        <v>100</v>
      </c>
      <c r="AQ517" t="s">
        <v>101</v>
      </c>
      <c r="AV517" t="s">
        <v>98</v>
      </c>
      <c r="AX517" t="s">
        <v>1740</v>
      </c>
      <c r="AZ517" t="s">
        <v>102</v>
      </c>
      <c r="BB517" t="s">
        <v>7528</v>
      </c>
      <c r="BC517" t="s">
        <v>7528</v>
      </c>
      <c r="BD517" t="s">
        <v>7528</v>
      </c>
      <c r="BF517" t="s">
        <v>1760</v>
      </c>
      <c r="BG517" t="s">
        <v>98</v>
      </c>
      <c r="BH517" t="s">
        <v>98</v>
      </c>
      <c r="BI517" t="s">
        <v>98</v>
      </c>
      <c r="BK517" t="s">
        <v>110</v>
      </c>
      <c r="BL517" t="s">
        <v>7528</v>
      </c>
      <c r="BQ517">
        <v>5.25</v>
      </c>
      <c r="BR517">
        <v>0.75</v>
      </c>
      <c r="BS517">
        <v>5.25</v>
      </c>
      <c r="BT517">
        <v>5.25</v>
      </c>
      <c r="CA517">
        <v>4067</v>
      </c>
      <c r="CB517" t="s">
        <v>1740</v>
      </c>
      <c r="CL517" t="s">
        <v>99</v>
      </c>
      <c r="CM517" t="s">
        <v>99</v>
      </c>
      <c r="CN517" t="s">
        <v>692</v>
      </c>
      <c r="CO517" s="1">
        <v>42755</v>
      </c>
      <c r="CP517" s="1">
        <v>43633</v>
      </c>
    </row>
    <row r="518" spans="1:94" x14ac:dyDescent="0.25">
      <c r="A518" t="s">
        <v>1761</v>
      </c>
      <c r="B518" t="str">
        <f xml:space="preserve"> "" &amp; 747396101217</f>
        <v>747396101217</v>
      </c>
      <c r="C518" t="s">
        <v>464</v>
      </c>
      <c r="D518" t="s">
        <v>1755</v>
      </c>
      <c r="E518" t="s">
        <v>1739</v>
      </c>
      <c r="F518" t="s">
        <v>240</v>
      </c>
      <c r="G518">
        <v>1</v>
      </c>
      <c r="H518">
        <v>1</v>
      </c>
      <c r="I518" t="s">
        <v>97</v>
      </c>
      <c r="J518" s="10">
        <v>175</v>
      </c>
      <c r="K518" s="10">
        <v>525</v>
      </c>
      <c r="L518" s="10">
        <v>0</v>
      </c>
      <c r="N518" s="10">
        <v>0</v>
      </c>
      <c r="O518" t="s">
        <v>99</v>
      </c>
      <c r="P518" s="10">
        <v>369.95</v>
      </c>
      <c r="S518">
        <v>33</v>
      </c>
      <c r="T518">
        <v>19</v>
      </c>
      <c r="U518">
        <v>19</v>
      </c>
      <c r="W518">
        <v>13.12</v>
      </c>
      <c r="X518">
        <v>1</v>
      </c>
      <c r="Y518">
        <v>35.5</v>
      </c>
      <c r="Z518">
        <v>21</v>
      </c>
      <c r="AA518">
        <v>8</v>
      </c>
      <c r="AB518">
        <v>3.4510000000000001</v>
      </c>
      <c r="AC518">
        <v>15.1</v>
      </c>
      <c r="AE518">
        <v>6</v>
      </c>
      <c r="AF518" t="s">
        <v>1611</v>
      </c>
      <c r="AG518">
        <v>60</v>
      </c>
      <c r="AK518" t="s">
        <v>98</v>
      </c>
      <c r="AM518" t="s">
        <v>98</v>
      </c>
      <c r="AN518" t="s">
        <v>99</v>
      </c>
      <c r="AO518" t="s">
        <v>98</v>
      </c>
      <c r="AP518" t="s">
        <v>100</v>
      </c>
      <c r="AQ518" t="s">
        <v>101</v>
      </c>
      <c r="AV518" t="s">
        <v>98</v>
      </c>
      <c r="AX518" t="s">
        <v>1742</v>
      </c>
      <c r="AZ518" t="s">
        <v>102</v>
      </c>
      <c r="BB518" t="s">
        <v>7528</v>
      </c>
      <c r="BC518" t="s">
        <v>7528</v>
      </c>
      <c r="BD518" t="s">
        <v>7528</v>
      </c>
      <c r="BF518" t="s">
        <v>1762</v>
      </c>
      <c r="BG518" t="s">
        <v>98</v>
      </c>
      <c r="BH518" t="s">
        <v>98</v>
      </c>
      <c r="BI518" t="s">
        <v>98</v>
      </c>
      <c r="BK518" t="s">
        <v>110</v>
      </c>
      <c r="BL518" t="s">
        <v>7528</v>
      </c>
      <c r="BQ518">
        <v>5.25</v>
      </c>
      <c r="BR518">
        <v>0.75</v>
      </c>
      <c r="BS518">
        <v>5.25</v>
      </c>
      <c r="BT518">
        <v>5.25</v>
      </c>
      <c r="CA518">
        <v>4067</v>
      </c>
      <c r="CB518" t="s">
        <v>1742</v>
      </c>
      <c r="CL518" t="s">
        <v>99</v>
      </c>
      <c r="CM518" t="s">
        <v>99</v>
      </c>
      <c r="CN518" t="s">
        <v>692</v>
      </c>
      <c r="CO518" s="1">
        <v>42755</v>
      </c>
      <c r="CP518" s="1">
        <v>43633</v>
      </c>
    </row>
    <row r="519" spans="1:94" x14ac:dyDescent="0.25">
      <c r="A519" t="s">
        <v>1763</v>
      </c>
      <c r="B519" t="str">
        <f xml:space="preserve"> "" &amp; 747396103587</f>
        <v>747396103587</v>
      </c>
      <c r="C519" t="s">
        <v>1764</v>
      </c>
      <c r="D519" t="s">
        <v>1765</v>
      </c>
      <c r="E519" t="s">
        <v>1739</v>
      </c>
      <c r="F519" t="s">
        <v>323</v>
      </c>
      <c r="G519">
        <v>1</v>
      </c>
      <c r="H519">
        <v>1</v>
      </c>
      <c r="I519" t="s">
        <v>97</v>
      </c>
      <c r="J519" s="10">
        <v>105</v>
      </c>
      <c r="K519" s="10">
        <v>315</v>
      </c>
      <c r="L519" s="10">
        <v>0</v>
      </c>
      <c r="N519" s="10">
        <v>0</v>
      </c>
      <c r="O519" t="s">
        <v>99</v>
      </c>
      <c r="P519" s="10">
        <v>219.95</v>
      </c>
      <c r="S519">
        <v>6.25</v>
      </c>
      <c r="T519">
        <v>27</v>
      </c>
      <c r="U519">
        <v>24</v>
      </c>
      <c r="V519">
        <v>4.75</v>
      </c>
      <c r="W519">
        <v>2.56</v>
      </c>
      <c r="X519">
        <v>1</v>
      </c>
      <c r="Y519">
        <v>8.25</v>
      </c>
      <c r="Z519">
        <v>27</v>
      </c>
      <c r="AA519">
        <v>6.5</v>
      </c>
      <c r="AB519">
        <v>0.83799999999999997</v>
      </c>
      <c r="AC519">
        <v>3.48</v>
      </c>
      <c r="AE519">
        <v>5</v>
      </c>
      <c r="AF519" t="s">
        <v>1683</v>
      </c>
      <c r="AG519">
        <v>60</v>
      </c>
      <c r="AK519" t="s">
        <v>98</v>
      </c>
      <c r="AL519">
        <v>5</v>
      </c>
      <c r="AM519" t="s">
        <v>98</v>
      </c>
      <c r="AN519" t="s">
        <v>99</v>
      </c>
      <c r="AO519" t="s">
        <v>98</v>
      </c>
      <c r="AP519" t="s">
        <v>100</v>
      </c>
      <c r="AQ519" t="s">
        <v>101</v>
      </c>
      <c r="AV519" t="s">
        <v>98</v>
      </c>
      <c r="AX519" t="s">
        <v>1740</v>
      </c>
      <c r="AZ519" t="s">
        <v>102</v>
      </c>
      <c r="BB519" t="s">
        <v>7528</v>
      </c>
      <c r="BC519" t="s">
        <v>7528</v>
      </c>
      <c r="BD519" t="s">
        <v>7528</v>
      </c>
      <c r="BF519" t="s">
        <v>1766</v>
      </c>
      <c r="BG519" t="s">
        <v>98</v>
      </c>
      <c r="BH519" t="s">
        <v>98</v>
      </c>
      <c r="BI519" t="s">
        <v>98</v>
      </c>
      <c r="BK519" t="s">
        <v>127</v>
      </c>
      <c r="BL519" t="s">
        <v>236</v>
      </c>
      <c r="BM519">
        <v>7.88</v>
      </c>
      <c r="BN519">
        <v>4.75</v>
      </c>
      <c r="CA519">
        <v>4068</v>
      </c>
      <c r="CB519" t="s">
        <v>1740</v>
      </c>
      <c r="CL519" t="s">
        <v>99</v>
      </c>
      <c r="CM519" t="s">
        <v>98</v>
      </c>
      <c r="CN519" t="s">
        <v>692</v>
      </c>
      <c r="CO519" s="1">
        <v>42873</v>
      </c>
      <c r="CP519" s="1">
        <v>43633</v>
      </c>
    </row>
    <row r="520" spans="1:94" x14ac:dyDescent="0.25">
      <c r="A520" t="s">
        <v>1767</v>
      </c>
      <c r="B520" t="str">
        <f xml:space="preserve"> "" &amp; 747396103570</f>
        <v>747396103570</v>
      </c>
      <c r="C520" t="s">
        <v>1764</v>
      </c>
      <c r="D520" t="s">
        <v>1765</v>
      </c>
      <c r="E520" t="s">
        <v>1739</v>
      </c>
      <c r="F520" t="s">
        <v>323</v>
      </c>
      <c r="G520">
        <v>1</v>
      </c>
      <c r="H520">
        <v>1</v>
      </c>
      <c r="I520" t="s">
        <v>97</v>
      </c>
      <c r="J520" s="10">
        <v>105</v>
      </c>
      <c r="K520" s="10">
        <v>315</v>
      </c>
      <c r="L520" s="10">
        <v>0</v>
      </c>
      <c r="N520" s="10">
        <v>0</v>
      </c>
      <c r="O520" t="s">
        <v>99</v>
      </c>
      <c r="P520" s="10">
        <v>219.95</v>
      </c>
      <c r="S520">
        <v>6.25</v>
      </c>
      <c r="T520">
        <v>27</v>
      </c>
      <c r="U520">
        <v>24</v>
      </c>
      <c r="V520">
        <v>4.75</v>
      </c>
      <c r="W520">
        <v>2.56</v>
      </c>
      <c r="X520">
        <v>1</v>
      </c>
      <c r="Y520">
        <v>8.25</v>
      </c>
      <c r="Z520">
        <v>27</v>
      </c>
      <c r="AA520">
        <v>6.5</v>
      </c>
      <c r="AB520">
        <v>0.83799999999999997</v>
      </c>
      <c r="AC520">
        <v>3.48</v>
      </c>
      <c r="AE520">
        <v>5</v>
      </c>
      <c r="AF520" t="s">
        <v>1611</v>
      </c>
      <c r="AG520">
        <v>60</v>
      </c>
      <c r="AK520" t="s">
        <v>98</v>
      </c>
      <c r="AL520">
        <v>5</v>
      </c>
      <c r="AM520" t="s">
        <v>98</v>
      </c>
      <c r="AN520" t="s">
        <v>99</v>
      </c>
      <c r="AO520" t="s">
        <v>98</v>
      </c>
      <c r="AP520" t="s">
        <v>100</v>
      </c>
      <c r="AQ520" t="s">
        <v>101</v>
      </c>
      <c r="AV520" t="s">
        <v>98</v>
      </c>
      <c r="AX520" t="s">
        <v>1742</v>
      </c>
      <c r="AZ520" t="s">
        <v>102</v>
      </c>
      <c r="BB520" t="s">
        <v>7528</v>
      </c>
      <c r="BC520" t="s">
        <v>7528</v>
      </c>
      <c r="BD520" t="s">
        <v>7528</v>
      </c>
      <c r="BF520" t="s">
        <v>1768</v>
      </c>
      <c r="BG520" t="s">
        <v>98</v>
      </c>
      <c r="BH520" t="s">
        <v>98</v>
      </c>
      <c r="BI520" t="s">
        <v>98</v>
      </c>
      <c r="BK520" t="s">
        <v>127</v>
      </c>
      <c r="BL520" t="s">
        <v>236</v>
      </c>
      <c r="BM520">
        <v>7.88</v>
      </c>
      <c r="BN520">
        <v>4.75</v>
      </c>
      <c r="CA520">
        <v>4068</v>
      </c>
      <c r="CB520" t="s">
        <v>1742</v>
      </c>
      <c r="CL520" t="s">
        <v>98</v>
      </c>
      <c r="CM520" t="s">
        <v>98</v>
      </c>
      <c r="CN520" t="s">
        <v>692</v>
      </c>
      <c r="CO520" s="1">
        <v>42699</v>
      </c>
      <c r="CP520" s="1">
        <v>43633</v>
      </c>
    </row>
    <row r="521" spans="1:94" x14ac:dyDescent="0.25">
      <c r="A521" t="s">
        <v>1769</v>
      </c>
      <c r="B521" t="str">
        <f xml:space="preserve"> "" &amp; 747396101224</f>
        <v>747396101224</v>
      </c>
      <c r="C521" t="s">
        <v>464</v>
      </c>
      <c r="D521" t="s">
        <v>1770</v>
      </c>
      <c r="E521" t="s">
        <v>1739</v>
      </c>
      <c r="F521" t="s">
        <v>249</v>
      </c>
      <c r="G521">
        <v>1</v>
      </c>
      <c r="H521">
        <v>1</v>
      </c>
      <c r="I521" t="s">
        <v>97</v>
      </c>
      <c r="J521" s="10">
        <v>209</v>
      </c>
      <c r="K521" s="10">
        <v>627</v>
      </c>
      <c r="L521" s="10">
        <v>0</v>
      </c>
      <c r="N521" s="10">
        <v>0</v>
      </c>
      <c r="O521" t="s">
        <v>99</v>
      </c>
      <c r="P521" s="10">
        <v>439.95</v>
      </c>
      <c r="S521">
        <v>34.25</v>
      </c>
      <c r="T521">
        <v>28</v>
      </c>
      <c r="U521">
        <v>28</v>
      </c>
      <c r="W521">
        <v>15.21</v>
      </c>
      <c r="X521">
        <v>1</v>
      </c>
      <c r="Y521">
        <v>36.5</v>
      </c>
      <c r="Z521">
        <v>30</v>
      </c>
      <c r="AA521">
        <v>8</v>
      </c>
      <c r="AB521">
        <v>5.069</v>
      </c>
      <c r="AC521">
        <v>19.579999999999998</v>
      </c>
      <c r="AE521">
        <v>12</v>
      </c>
      <c r="AF521" t="s">
        <v>1611</v>
      </c>
      <c r="AG521">
        <v>60</v>
      </c>
      <c r="AK521" t="s">
        <v>98</v>
      </c>
      <c r="AM521" t="s">
        <v>98</v>
      </c>
      <c r="AN521" t="s">
        <v>99</v>
      </c>
      <c r="AO521" t="s">
        <v>98</v>
      </c>
      <c r="AP521" t="s">
        <v>100</v>
      </c>
      <c r="AQ521" t="s">
        <v>101</v>
      </c>
      <c r="AV521" t="s">
        <v>98</v>
      </c>
      <c r="AX521" t="s">
        <v>1740</v>
      </c>
      <c r="AZ521" t="s">
        <v>102</v>
      </c>
      <c r="BB521" t="s">
        <v>7528</v>
      </c>
      <c r="BC521" t="s">
        <v>7528</v>
      </c>
      <c r="BD521" t="s">
        <v>7528</v>
      </c>
      <c r="BF521" t="s">
        <v>1771</v>
      </c>
      <c r="BG521" t="s">
        <v>98</v>
      </c>
      <c r="BH521" t="s">
        <v>98</v>
      </c>
      <c r="BI521" t="s">
        <v>98</v>
      </c>
      <c r="BK521" t="s">
        <v>110</v>
      </c>
      <c r="BL521" t="s">
        <v>7528</v>
      </c>
      <c r="BQ521">
        <v>5.25</v>
      </c>
      <c r="BR521">
        <v>0.75</v>
      </c>
      <c r="BS521">
        <v>5.25</v>
      </c>
      <c r="BT521">
        <v>5.25</v>
      </c>
      <c r="CA521">
        <v>4069</v>
      </c>
      <c r="CB521" t="s">
        <v>1740</v>
      </c>
      <c r="CL521" t="s">
        <v>99</v>
      </c>
      <c r="CM521" t="s">
        <v>99</v>
      </c>
      <c r="CN521" t="s">
        <v>692</v>
      </c>
      <c r="CO521" s="1">
        <v>42755</v>
      </c>
      <c r="CP521" s="1">
        <v>43633</v>
      </c>
    </row>
    <row r="522" spans="1:94" x14ac:dyDescent="0.25">
      <c r="A522" t="s">
        <v>1772</v>
      </c>
      <c r="B522" t="str">
        <f xml:space="preserve"> "" &amp; 747396110530</f>
        <v>747396110530</v>
      </c>
      <c r="C522" t="s">
        <v>1773</v>
      </c>
      <c r="D522" t="s">
        <v>1774</v>
      </c>
      <c r="E522" t="s">
        <v>1775</v>
      </c>
      <c r="F522" t="s">
        <v>232</v>
      </c>
      <c r="G522">
        <v>1</v>
      </c>
      <c r="H522">
        <v>1</v>
      </c>
      <c r="I522" t="s">
        <v>97</v>
      </c>
      <c r="J522" s="10">
        <v>75</v>
      </c>
      <c r="K522" s="10">
        <v>225</v>
      </c>
      <c r="L522" s="10">
        <v>0</v>
      </c>
      <c r="N522" s="10">
        <v>0</v>
      </c>
      <c r="O522" t="s">
        <v>99</v>
      </c>
      <c r="P522" s="10">
        <v>159.94999999999999</v>
      </c>
      <c r="S522">
        <v>17.75</v>
      </c>
      <c r="U522">
        <v>10.75</v>
      </c>
      <c r="V522">
        <v>5.75</v>
      </c>
      <c r="W522">
        <v>2.31</v>
      </c>
      <c r="X522">
        <v>1</v>
      </c>
      <c r="Y522">
        <v>19</v>
      </c>
      <c r="Z522">
        <v>12.25</v>
      </c>
      <c r="AA522">
        <v>7</v>
      </c>
      <c r="AB522">
        <v>0.94299999999999995</v>
      </c>
      <c r="AC522">
        <v>3.42</v>
      </c>
      <c r="AE522">
        <v>2</v>
      </c>
      <c r="AF522" t="s">
        <v>772</v>
      </c>
      <c r="AG522">
        <v>60</v>
      </c>
      <c r="AK522" t="s">
        <v>98</v>
      </c>
      <c r="AM522" t="s">
        <v>98</v>
      </c>
      <c r="AN522" t="s">
        <v>99</v>
      </c>
      <c r="AO522" t="s">
        <v>98</v>
      </c>
      <c r="AP522" t="s">
        <v>100</v>
      </c>
      <c r="AQ522" t="s">
        <v>101</v>
      </c>
      <c r="AV522" t="s">
        <v>98</v>
      </c>
      <c r="AX522" t="s">
        <v>1776</v>
      </c>
      <c r="AZ522" t="s">
        <v>124</v>
      </c>
      <c r="BB522" t="s">
        <v>7528</v>
      </c>
      <c r="BC522" t="s">
        <v>7528</v>
      </c>
      <c r="BD522" t="s">
        <v>7528</v>
      </c>
      <c r="BF522" t="s">
        <v>1777</v>
      </c>
      <c r="BG522" t="s">
        <v>98</v>
      </c>
      <c r="BH522" t="s">
        <v>98</v>
      </c>
      <c r="BI522" t="s">
        <v>98</v>
      </c>
      <c r="BK522" t="s">
        <v>127</v>
      </c>
      <c r="BL522" t="s">
        <v>236</v>
      </c>
      <c r="BM522">
        <v>6</v>
      </c>
      <c r="BN522">
        <v>1</v>
      </c>
      <c r="BO522">
        <v>6</v>
      </c>
      <c r="BP522">
        <v>6</v>
      </c>
      <c r="CA522">
        <v>4072</v>
      </c>
      <c r="CB522" t="s">
        <v>1776</v>
      </c>
      <c r="CL522" t="s">
        <v>99</v>
      </c>
      <c r="CM522" t="s">
        <v>98</v>
      </c>
      <c r="CN522" t="s">
        <v>692</v>
      </c>
      <c r="CO522" s="1">
        <v>43530</v>
      </c>
      <c r="CP522" s="1">
        <v>43633</v>
      </c>
    </row>
    <row r="523" spans="1:94" x14ac:dyDescent="0.25">
      <c r="A523" t="s">
        <v>1778</v>
      </c>
      <c r="B523" t="str">
        <f xml:space="preserve"> "" &amp; 747396110547</f>
        <v>747396110547</v>
      </c>
      <c r="C523" t="s">
        <v>1779</v>
      </c>
      <c r="D523" t="s">
        <v>1780</v>
      </c>
      <c r="E523" t="s">
        <v>1775</v>
      </c>
      <c r="F523" t="s">
        <v>249</v>
      </c>
      <c r="G523">
        <v>1</v>
      </c>
      <c r="H523">
        <v>1</v>
      </c>
      <c r="I523" t="s">
        <v>97</v>
      </c>
      <c r="J523" s="10">
        <v>150</v>
      </c>
      <c r="K523" s="10">
        <v>450</v>
      </c>
      <c r="L523" s="10">
        <v>0</v>
      </c>
      <c r="N523" s="10">
        <v>0</v>
      </c>
      <c r="O523" t="s">
        <v>99</v>
      </c>
      <c r="P523" s="10">
        <v>314.95</v>
      </c>
      <c r="S523">
        <v>21.25</v>
      </c>
      <c r="U523">
        <v>20</v>
      </c>
      <c r="W523">
        <v>6.17</v>
      </c>
      <c r="X523">
        <v>1</v>
      </c>
      <c r="Y523">
        <v>22</v>
      </c>
      <c r="Z523">
        <v>20.5</v>
      </c>
      <c r="AA523">
        <v>8.5</v>
      </c>
      <c r="AB523">
        <v>2.218</v>
      </c>
      <c r="AC523">
        <v>9.08</v>
      </c>
      <c r="AE523">
        <v>4</v>
      </c>
      <c r="AF523" t="s">
        <v>772</v>
      </c>
      <c r="AG523">
        <v>60</v>
      </c>
      <c r="AK523" t="s">
        <v>98</v>
      </c>
      <c r="AM523" t="s">
        <v>98</v>
      </c>
      <c r="AN523" t="s">
        <v>99</v>
      </c>
      <c r="AO523" t="s">
        <v>98</v>
      </c>
      <c r="AP523" t="s">
        <v>100</v>
      </c>
      <c r="AQ523" t="s">
        <v>101</v>
      </c>
      <c r="AV523" t="s">
        <v>98</v>
      </c>
      <c r="AX523" t="s">
        <v>1776</v>
      </c>
      <c r="AZ523" t="s">
        <v>124</v>
      </c>
      <c r="BB523" t="s">
        <v>7528</v>
      </c>
      <c r="BC523" t="s">
        <v>7528</v>
      </c>
      <c r="BD523" t="s">
        <v>7528</v>
      </c>
      <c r="BF523" t="s">
        <v>1781</v>
      </c>
      <c r="BG523" t="s">
        <v>98</v>
      </c>
      <c r="BH523" t="s">
        <v>98</v>
      </c>
      <c r="BI523" t="s">
        <v>98</v>
      </c>
      <c r="BK523" t="s">
        <v>127</v>
      </c>
      <c r="BL523" t="s">
        <v>7528</v>
      </c>
      <c r="BR523">
        <v>1.25</v>
      </c>
      <c r="BT523">
        <v>5.25</v>
      </c>
      <c r="CA523">
        <v>4073</v>
      </c>
      <c r="CB523" t="s">
        <v>1776</v>
      </c>
      <c r="CL523" t="s">
        <v>99</v>
      </c>
      <c r="CM523" t="s">
        <v>99</v>
      </c>
      <c r="CN523" t="s">
        <v>692</v>
      </c>
      <c r="CO523" s="1">
        <v>43530</v>
      </c>
      <c r="CP523" s="1">
        <v>43633</v>
      </c>
    </row>
    <row r="524" spans="1:94" x14ac:dyDescent="0.25">
      <c r="A524" t="s">
        <v>1782</v>
      </c>
      <c r="B524" t="str">
        <f xml:space="preserve"> "" &amp; 747396110554</f>
        <v>747396110554</v>
      </c>
      <c r="C524" t="s">
        <v>1783</v>
      </c>
      <c r="D524" t="s">
        <v>1784</v>
      </c>
      <c r="E524" t="s">
        <v>1775</v>
      </c>
      <c r="F524" t="s">
        <v>240</v>
      </c>
      <c r="G524">
        <v>1</v>
      </c>
      <c r="H524">
        <v>1</v>
      </c>
      <c r="I524" t="s">
        <v>97</v>
      </c>
      <c r="J524" s="10">
        <v>219</v>
      </c>
      <c r="K524" s="10">
        <v>657</v>
      </c>
      <c r="L524" s="10">
        <v>0</v>
      </c>
      <c r="N524" s="10">
        <v>0</v>
      </c>
      <c r="O524" t="s">
        <v>99</v>
      </c>
      <c r="P524" s="10">
        <v>459.95</v>
      </c>
      <c r="S524">
        <v>24.5</v>
      </c>
      <c r="T524">
        <v>24</v>
      </c>
      <c r="U524">
        <v>24</v>
      </c>
      <c r="W524">
        <v>8.0500000000000007</v>
      </c>
      <c r="X524">
        <v>1</v>
      </c>
      <c r="Y524">
        <v>8.8800000000000008</v>
      </c>
      <c r="Z524">
        <v>26</v>
      </c>
      <c r="AA524">
        <v>26</v>
      </c>
      <c r="AB524">
        <v>3.4740000000000002</v>
      </c>
      <c r="AC524">
        <v>12.35</v>
      </c>
      <c r="AE524">
        <v>4</v>
      </c>
      <c r="AF524" t="s">
        <v>772</v>
      </c>
      <c r="AG524">
        <v>60</v>
      </c>
      <c r="AK524" t="s">
        <v>98</v>
      </c>
      <c r="AM524" t="s">
        <v>98</v>
      </c>
      <c r="AN524" t="s">
        <v>99</v>
      </c>
      <c r="AO524" t="s">
        <v>98</v>
      </c>
      <c r="AP524" t="s">
        <v>100</v>
      </c>
      <c r="AQ524" t="s">
        <v>101</v>
      </c>
      <c r="AV524" t="s">
        <v>98</v>
      </c>
      <c r="AX524" t="s">
        <v>1776</v>
      </c>
      <c r="AZ524" t="s">
        <v>124</v>
      </c>
      <c r="BB524" t="s">
        <v>197</v>
      </c>
      <c r="BC524" t="s">
        <v>117</v>
      </c>
      <c r="BD524" t="s">
        <v>7528</v>
      </c>
      <c r="BF524" t="s">
        <v>1785</v>
      </c>
      <c r="BG524" t="s">
        <v>98</v>
      </c>
      <c r="BH524" t="s">
        <v>98</v>
      </c>
      <c r="BI524" t="s">
        <v>98</v>
      </c>
      <c r="BK524" t="s">
        <v>127</v>
      </c>
      <c r="BL524" t="s">
        <v>7528</v>
      </c>
      <c r="BR524">
        <v>1.25</v>
      </c>
      <c r="BT524">
        <v>5.25</v>
      </c>
      <c r="CA524">
        <v>4074</v>
      </c>
      <c r="CB524" t="s">
        <v>1776</v>
      </c>
      <c r="CL524" t="s">
        <v>99</v>
      </c>
      <c r="CM524" t="s">
        <v>99</v>
      </c>
      <c r="CN524" t="s">
        <v>305</v>
      </c>
      <c r="CO524" s="1">
        <v>43530</v>
      </c>
      <c r="CP524" s="1">
        <v>43633</v>
      </c>
    </row>
    <row r="525" spans="1:94" x14ac:dyDescent="0.25">
      <c r="A525" t="s">
        <v>1786</v>
      </c>
      <c r="B525" t="str">
        <f xml:space="preserve"> "" &amp; 747396110561</f>
        <v>747396110561</v>
      </c>
      <c r="C525" t="s">
        <v>1787</v>
      </c>
      <c r="D525" t="s">
        <v>1788</v>
      </c>
      <c r="E525" t="s">
        <v>1775</v>
      </c>
      <c r="F525" t="s">
        <v>249</v>
      </c>
      <c r="G525">
        <v>1</v>
      </c>
      <c r="H525">
        <v>1</v>
      </c>
      <c r="I525" t="s">
        <v>97</v>
      </c>
      <c r="J525" s="10">
        <v>269</v>
      </c>
      <c r="K525" s="10">
        <v>807</v>
      </c>
      <c r="L525" s="10">
        <v>0</v>
      </c>
      <c r="N525" s="10">
        <v>0</v>
      </c>
      <c r="O525" t="s">
        <v>99</v>
      </c>
      <c r="P525" s="10">
        <v>564.95000000000005</v>
      </c>
      <c r="S525">
        <v>31</v>
      </c>
      <c r="T525">
        <v>28</v>
      </c>
      <c r="U525">
        <v>28</v>
      </c>
      <c r="W525">
        <v>10.08</v>
      </c>
      <c r="X525">
        <v>1</v>
      </c>
      <c r="Y525">
        <v>31.5</v>
      </c>
      <c r="Z525">
        <v>30</v>
      </c>
      <c r="AA525">
        <v>12.25</v>
      </c>
      <c r="AB525">
        <v>6.6989999999999998</v>
      </c>
      <c r="AC525">
        <v>15.26</v>
      </c>
      <c r="AE525">
        <v>6</v>
      </c>
      <c r="AF525" t="s">
        <v>772</v>
      </c>
      <c r="AG525">
        <v>60</v>
      </c>
      <c r="AK525" t="s">
        <v>98</v>
      </c>
      <c r="AM525" t="s">
        <v>98</v>
      </c>
      <c r="AN525" t="s">
        <v>99</v>
      </c>
      <c r="AO525" t="s">
        <v>98</v>
      </c>
      <c r="AP525" t="s">
        <v>100</v>
      </c>
      <c r="AQ525" t="s">
        <v>101</v>
      </c>
      <c r="AV525" t="s">
        <v>98</v>
      </c>
      <c r="AX525" t="s">
        <v>1776</v>
      </c>
      <c r="AZ525" t="s">
        <v>124</v>
      </c>
      <c r="BB525" t="s">
        <v>7528</v>
      </c>
      <c r="BC525" t="s">
        <v>7528</v>
      </c>
      <c r="BD525" t="s">
        <v>7528</v>
      </c>
      <c r="BF525" t="s">
        <v>1789</v>
      </c>
      <c r="BG525" t="s">
        <v>98</v>
      </c>
      <c r="BH525" t="s">
        <v>98</v>
      </c>
      <c r="BI525" t="s">
        <v>98</v>
      </c>
      <c r="BK525" t="s">
        <v>127</v>
      </c>
      <c r="BL525" t="s">
        <v>7528</v>
      </c>
      <c r="BR525">
        <v>1.25</v>
      </c>
      <c r="BT525">
        <v>5.25</v>
      </c>
      <c r="CA525">
        <v>4076</v>
      </c>
      <c r="CB525" t="s">
        <v>1776</v>
      </c>
      <c r="CL525" t="s">
        <v>99</v>
      </c>
      <c r="CM525" t="s">
        <v>99</v>
      </c>
      <c r="CN525" t="s">
        <v>692</v>
      </c>
      <c r="CO525" s="1">
        <v>43530</v>
      </c>
      <c r="CP525" s="1">
        <v>43633</v>
      </c>
    </row>
    <row r="526" spans="1:94" x14ac:dyDescent="0.25">
      <c r="A526" t="s">
        <v>1790</v>
      </c>
      <c r="B526" t="str">
        <f xml:space="preserve"> "" &amp; 747396110578</f>
        <v>747396110578</v>
      </c>
      <c r="C526" t="s">
        <v>1791</v>
      </c>
      <c r="D526" t="s">
        <v>1792</v>
      </c>
      <c r="E526" t="s">
        <v>1775</v>
      </c>
      <c r="F526" t="s">
        <v>377</v>
      </c>
      <c r="G526">
        <v>1</v>
      </c>
      <c r="H526">
        <v>1</v>
      </c>
      <c r="I526" t="s">
        <v>97</v>
      </c>
      <c r="J526" s="10">
        <v>115</v>
      </c>
      <c r="K526" s="10">
        <v>345</v>
      </c>
      <c r="L526" s="10">
        <v>0</v>
      </c>
      <c r="N526" s="10">
        <v>0</v>
      </c>
      <c r="O526" t="s">
        <v>99</v>
      </c>
      <c r="P526" s="10">
        <v>239.95</v>
      </c>
      <c r="S526">
        <v>14.75</v>
      </c>
      <c r="T526">
        <v>15.25</v>
      </c>
      <c r="U526">
        <v>15.25</v>
      </c>
      <c r="W526">
        <v>4.41</v>
      </c>
      <c r="X526">
        <v>1</v>
      </c>
      <c r="Y526">
        <v>17</v>
      </c>
      <c r="Z526">
        <v>16.25</v>
      </c>
      <c r="AA526">
        <v>9</v>
      </c>
      <c r="AB526">
        <v>1.4390000000000001</v>
      </c>
      <c r="AC526">
        <v>6.06</v>
      </c>
      <c r="AE526">
        <v>4</v>
      </c>
      <c r="AF526" t="s">
        <v>772</v>
      </c>
      <c r="AG526">
        <v>60</v>
      </c>
      <c r="AK526" t="s">
        <v>98</v>
      </c>
      <c r="AM526" t="s">
        <v>98</v>
      </c>
      <c r="AN526" t="s">
        <v>99</v>
      </c>
      <c r="AO526" t="s">
        <v>98</v>
      </c>
      <c r="AP526" t="s">
        <v>100</v>
      </c>
      <c r="AQ526" t="s">
        <v>101</v>
      </c>
      <c r="AV526" t="s">
        <v>98</v>
      </c>
      <c r="AX526" t="s">
        <v>1776</v>
      </c>
      <c r="AZ526" t="s">
        <v>124</v>
      </c>
      <c r="BB526" t="s">
        <v>7528</v>
      </c>
      <c r="BC526" t="s">
        <v>7528</v>
      </c>
      <c r="BD526" t="s">
        <v>7528</v>
      </c>
      <c r="BF526" t="s">
        <v>1793</v>
      </c>
      <c r="BG526" t="s">
        <v>98</v>
      </c>
      <c r="BH526" t="s">
        <v>98</v>
      </c>
      <c r="BI526" t="s">
        <v>98</v>
      </c>
      <c r="BK526" t="s">
        <v>127</v>
      </c>
      <c r="BL526" t="s">
        <v>7528</v>
      </c>
      <c r="BQ526">
        <v>5.5</v>
      </c>
      <c r="BR526">
        <v>0.75</v>
      </c>
      <c r="BS526">
        <v>5.5</v>
      </c>
      <c r="BT526">
        <v>5.5</v>
      </c>
      <c r="CA526">
        <v>4078</v>
      </c>
      <c r="CB526" t="s">
        <v>1776</v>
      </c>
      <c r="CL526" t="s">
        <v>99</v>
      </c>
      <c r="CM526" t="s">
        <v>98</v>
      </c>
      <c r="CN526" t="s">
        <v>692</v>
      </c>
      <c r="CO526" s="1">
        <v>43530</v>
      </c>
      <c r="CP526" s="1">
        <v>43633</v>
      </c>
    </row>
    <row r="527" spans="1:94" x14ac:dyDescent="0.25">
      <c r="A527" t="s">
        <v>1794</v>
      </c>
      <c r="B527" t="str">
        <f xml:space="preserve"> "" &amp; 747396110585</f>
        <v>747396110585</v>
      </c>
      <c r="C527" t="s">
        <v>1795</v>
      </c>
      <c r="D527" t="s">
        <v>1796</v>
      </c>
      <c r="E527" t="s">
        <v>1775</v>
      </c>
      <c r="F527" t="s">
        <v>249</v>
      </c>
      <c r="G527">
        <v>1</v>
      </c>
      <c r="H527">
        <v>1</v>
      </c>
      <c r="I527" t="s">
        <v>97</v>
      </c>
      <c r="J527" s="10">
        <v>395</v>
      </c>
      <c r="K527" s="10">
        <v>1185</v>
      </c>
      <c r="L527" s="10">
        <v>0</v>
      </c>
      <c r="N527" s="10">
        <v>0</v>
      </c>
      <c r="O527" t="s">
        <v>99</v>
      </c>
      <c r="P527" s="10">
        <v>829.95</v>
      </c>
      <c r="S527">
        <v>35.5</v>
      </c>
      <c r="T527">
        <v>34.5</v>
      </c>
      <c r="U527">
        <v>34.5</v>
      </c>
      <c r="W527">
        <v>13.56</v>
      </c>
      <c r="X527">
        <v>1</v>
      </c>
      <c r="Y527">
        <v>36</v>
      </c>
      <c r="Z527">
        <v>35.5</v>
      </c>
      <c r="AA527">
        <v>12.25</v>
      </c>
      <c r="AB527">
        <v>9.06</v>
      </c>
      <c r="AC527">
        <v>20.72</v>
      </c>
      <c r="AE527">
        <v>9</v>
      </c>
      <c r="AF527" t="s">
        <v>772</v>
      </c>
      <c r="AG527">
        <v>60</v>
      </c>
      <c r="AK527" t="s">
        <v>98</v>
      </c>
      <c r="AM527" t="s">
        <v>98</v>
      </c>
      <c r="AN527" t="s">
        <v>99</v>
      </c>
      <c r="AO527" t="s">
        <v>98</v>
      </c>
      <c r="AP527" t="s">
        <v>100</v>
      </c>
      <c r="AQ527" t="s">
        <v>101</v>
      </c>
      <c r="AV527" t="s">
        <v>98</v>
      </c>
      <c r="AX527" t="s">
        <v>1776</v>
      </c>
      <c r="AZ527" t="s">
        <v>124</v>
      </c>
      <c r="BB527" t="s">
        <v>7528</v>
      </c>
      <c r="BC527" t="s">
        <v>7528</v>
      </c>
      <c r="BD527" t="s">
        <v>7528</v>
      </c>
      <c r="BF527" t="s">
        <v>1797</v>
      </c>
      <c r="BG527" t="s">
        <v>98</v>
      </c>
      <c r="BH527" t="s">
        <v>98</v>
      </c>
      <c r="BI527" t="s">
        <v>98</v>
      </c>
      <c r="BK527" t="s">
        <v>127</v>
      </c>
      <c r="BL527" t="s">
        <v>7528</v>
      </c>
      <c r="BR527">
        <v>1.25</v>
      </c>
      <c r="BT527">
        <v>5.25</v>
      </c>
      <c r="CA527">
        <v>4079</v>
      </c>
      <c r="CB527" t="s">
        <v>1776</v>
      </c>
      <c r="CL527" t="s">
        <v>99</v>
      </c>
      <c r="CM527" t="s">
        <v>99</v>
      </c>
      <c r="CN527" t="s">
        <v>692</v>
      </c>
      <c r="CO527" s="1">
        <v>43530</v>
      </c>
      <c r="CP527" s="1">
        <v>43633</v>
      </c>
    </row>
    <row r="528" spans="1:94" x14ac:dyDescent="0.25">
      <c r="A528" t="s">
        <v>1805</v>
      </c>
      <c r="B528" t="str">
        <f xml:space="preserve"> "" &amp; 840253040107</f>
        <v>840253040107</v>
      </c>
      <c r="C528" t="s">
        <v>1806</v>
      </c>
      <c r="D528" t="s">
        <v>6613</v>
      </c>
      <c r="E528" t="s">
        <v>7528</v>
      </c>
      <c r="F528" t="s">
        <v>358</v>
      </c>
      <c r="G528">
        <v>1</v>
      </c>
      <c r="H528">
        <v>1</v>
      </c>
      <c r="I528" t="s">
        <v>97</v>
      </c>
      <c r="J528" s="10">
        <v>69.95</v>
      </c>
      <c r="K528" s="10">
        <v>209.85</v>
      </c>
      <c r="L528" s="10">
        <v>0</v>
      </c>
      <c r="N528" s="10">
        <v>0</v>
      </c>
      <c r="W528">
        <v>15.1</v>
      </c>
      <c r="X528">
        <v>1</v>
      </c>
      <c r="Y528">
        <v>22.5</v>
      </c>
      <c r="Z528">
        <v>22.5</v>
      </c>
      <c r="AA528">
        <v>10</v>
      </c>
      <c r="AB528">
        <v>2.93</v>
      </c>
      <c r="AC528">
        <v>17.97</v>
      </c>
      <c r="AE528">
        <v>0</v>
      </c>
      <c r="AF528" t="e">
        <v>#N/A</v>
      </c>
      <c r="AG528">
        <v>0</v>
      </c>
      <c r="AH528">
        <v>0</v>
      </c>
      <c r="AJ528">
        <v>0</v>
      </c>
      <c r="AK528" t="s">
        <v>98</v>
      </c>
      <c r="AM528" t="s">
        <v>98</v>
      </c>
      <c r="AN528" t="s">
        <v>98</v>
      </c>
      <c r="AO528" t="s">
        <v>98</v>
      </c>
      <c r="AP528" t="s">
        <v>100</v>
      </c>
      <c r="AQ528" t="s">
        <v>101</v>
      </c>
      <c r="AV528" t="s">
        <v>98</v>
      </c>
      <c r="AX528" t="s">
        <v>7528</v>
      </c>
      <c r="AZ528" t="s">
        <v>7528</v>
      </c>
      <c r="BB528" t="s">
        <v>7528</v>
      </c>
      <c r="BC528" t="s">
        <v>7528</v>
      </c>
      <c r="BD528" t="s">
        <v>7528</v>
      </c>
      <c r="BF528" t="s">
        <v>1807</v>
      </c>
      <c r="BG528" t="s">
        <v>98</v>
      </c>
      <c r="BH528" t="s">
        <v>98</v>
      </c>
      <c r="BI528" t="s">
        <v>98</v>
      </c>
      <c r="BK528" t="e">
        <v>#N/A</v>
      </c>
      <c r="BL528" t="s">
        <v>7528</v>
      </c>
      <c r="CA528" t="s">
        <v>1805</v>
      </c>
      <c r="CB528" t="s">
        <v>7528</v>
      </c>
      <c r="CL528" t="s">
        <v>98</v>
      </c>
      <c r="CM528" t="s">
        <v>98</v>
      </c>
      <c r="CN528" t="s">
        <v>7528</v>
      </c>
      <c r="CO528" s="1">
        <v>38733</v>
      </c>
      <c r="CP528" s="1">
        <v>43633</v>
      </c>
    </row>
    <row r="529" spans="1:94" x14ac:dyDescent="0.25">
      <c r="A529" t="s">
        <v>1798</v>
      </c>
      <c r="B529" t="str">
        <f xml:space="preserve"> "" &amp; 747396110479</f>
        <v>747396110479</v>
      </c>
      <c r="C529" t="s">
        <v>1799</v>
      </c>
      <c r="D529" t="s">
        <v>1800</v>
      </c>
      <c r="E529" t="s">
        <v>1801</v>
      </c>
      <c r="F529" t="s">
        <v>323</v>
      </c>
      <c r="G529">
        <v>1</v>
      </c>
      <c r="H529">
        <v>1</v>
      </c>
      <c r="I529" t="s">
        <v>97</v>
      </c>
      <c r="J529" s="10">
        <v>75</v>
      </c>
      <c r="K529" s="10">
        <v>225</v>
      </c>
      <c r="L529" s="10">
        <v>0</v>
      </c>
      <c r="N529" s="10">
        <v>0</v>
      </c>
      <c r="O529" t="s">
        <v>99</v>
      </c>
      <c r="P529" s="10">
        <v>159.94999999999999</v>
      </c>
      <c r="S529">
        <v>7.25</v>
      </c>
      <c r="U529">
        <v>19</v>
      </c>
      <c r="V529">
        <v>5</v>
      </c>
      <c r="W529">
        <v>4.2300000000000004</v>
      </c>
      <c r="X529">
        <v>1</v>
      </c>
      <c r="Y529">
        <v>9.1300000000000008</v>
      </c>
      <c r="Z529">
        <v>24.38</v>
      </c>
      <c r="AA529">
        <v>7.5</v>
      </c>
      <c r="AB529">
        <v>0.96599999999999997</v>
      </c>
      <c r="AC529">
        <v>6.08</v>
      </c>
      <c r="AE529">
        <v>3</v>
      </c>
      <c r="AF529" t="s">
        <v>1802</v>
      </c>
      <c r="AG529">
        <v>60</v>
      </c>
      <c r="AK529" t="s">
        <v>98</v>
      </c>
      <c r="AL529">
        <v>3</v>
      </c>
      <c r="AM529" t="s">
        <v>98</v>
      </c>
      <c r="AN529" t="s">
        <v>99</v>
      </c>
      <c r="AO529" t="s">
        <v>98</v>
      </c>
      <c r="AP529" t="s">
        <v>100</v>
      </c>
      <c r="AQ529" t="s">
        <v>101</v>
      </c>
      <c r="AV529" t="s">
        <v>98</v>
      </c>
      <c r="AX529" t="s">
        <v>1803</v>
      </c>
      <c r="AZ529" t="s">
        <v>102</v>
      </c>
      <c r="BB529" t="s">
        <v>235</v>
      </c>
      <c r="BC529" t="s">
        <v>1687</v>
      </c>
      <c r="BD529" t="s">
        <v>7528</v>
      </c>
      <c r="BF529" t="s">
        <v>1804</v>
      </c>
      <c r="BG529" t="s">
        <v>98</v>
      </c>
      <c r="BH529" t="s">
        <v>98</v>
      </c>
      <c r="BI529" t="s">
        <v>98</v>
      </c>
      <c r="BK529" t="s">
        <v>127</v>
      </c>
      <c r="BL529" t="s">
        <v>236</v>
      </c>
      <c r="BM529">
        <v>19</v>
      </c>
      <c r="BN529">
        <v>4.5</v>
      </c>
      <c r="CA529">
        <v>4083</v>
      </c>
      <c r="CB529" t="s">
        <v>1803</v>
      </c>
      <c r="CL529" t="s">
        <v>99</v>
      </c>
      <c r="CM529" t="s">
        <v>98</v>
      </c>
      <c r="CN529" t="s">
        <v>592</v>
      </c>
      <c r="CO529" s="1">
        <v>43518</v>
      </c>
      <c r="CP529" s="1">
        <v>43633</v>
      </c>
    </row>
    <row r="530" spans="1:94" x14ac:dyDescent="0.25">
      <c r="A530" t="s">
        <v>1808</v>
      </c>
      <c r="B530" t="str">
        <f xml:space="preserve"> "" &amp; 840253040121</f>
        <v>840253040121</v>
      </c>
      <c r="C530" t="s">
        <v>1809</v>
      </c>
      <c r="D530" t="s">
        <v>1810</v>
      </c>
      <c r="E530" t="s">
        <v>7528</v>
      </c>
      <c r="F530" t="s">
        <v>358</v>
      </c>
      <c r="G530">
        <v>1</v>
      </c>
      <c r="H530">
        <v>1</v>
      </c>
      <c r="I530" t="s">
        <v>97</v>
      </c>
      <c r="J530" s="10">
        <v>79.95</v>
      </c>
      <c r="K530" s="10">
        <v>239.85</v>
      </c>
      <c r="L530" s="10">
        <v>0</v>
      </c>
      <c r="N530" s="10">
        <v>0</v>
      </c>
      <c r="W530">
        <v>28.22</v>
      </c>
      <c r="X530">
        <v>1</v>
      </c>
      <c r="Y530">
        <v>22</v>
      </c>
      <c r="Z530">
        <v>22.5</v>
      </c>
      <c r="AA530">
        <v>13.5</v>
      </c>
      <c r="AB530">
        <v>3.87</v>
      </c>
      <c r="AC530">
        <v>31.75</v>
      </c>
      <c r="AE530">
        <v>0</v>
      </c>
      <c r="AF530" t="e">
        <v>#N/A</v>
      </c>
      <c r="AG530">
        <v>0</v>
      </c>
      <c r="AH530">
        <v>0</v>
      </c>
      <c r="AJ530">
        <v>0</v>
      </c>
      <c r="AK530" t="s">
        <v>98</v>
      </c>
      <c r="AM530" t="s">
        <v>98</v>
      </c>
      <c r="AN530" t="s">
        <v>98</v>
      </c>
      <c r="AO530" t="s">
        <v>98</v>
      </c>
      <c r="AP530" t="s">
        <v>259</v>
      </c>
      <c r="AQ530" t="s">
        <v>101</v>
      </c>
      <c r="AV530" t="s">
        <v>98</v>
      </c>
      <c r="AX530" t="s">
        <v>7528</v>
      </c>
      <c r="AZ530" t="s">
        <v>7528</v>
      </c>
      <c r="BB530" t="s">
        <v>7528</v>
      </c>
      <c r="BC530" t="s">
        <v>7528</v>
      </c>
      <c r="BD530" t="s">
        <v>7528</v>
      </c>
      <c r="BF530" t="s">
        <v>1811</v>
      </c>
      <c r="BG530" t="s">
        <v>98</v>
      </c>
      <c r="BH530" t="s">
        <v>98</v>
      </c>
      <c r="BI530" t="s">
        <v>98</v>
      </c>
      <c r="BK530" t="e">
        <v>#N/A</v>
      </c>
      <c r="BL530" t="s">
        <v>7528</v>
      </c>
      <c r="CA530" t="s">
        <v>1808</v>
      </c>
      <c r="CB530" t="s">
        <v>7528</v>
      </c>
      <c r="CL530" t="s">
        <v>98</v>
      </c>
      <c r="CM530" t="s">
        <v>98</v>
      </c>
      <c r="CN530" t="s">
        <v>7528</v>
      </c>
      <c r="CO530" s="1">
        <v>38733</v>
      </c>
      <c r="CP530" s="1">
        <v>43633</v>
      </c>
    </row>
    <row r="531" spans="1:94" x14ac:dyDescent="0.25">
      <c r="A531" t="s">
        <v>1812</v>
      </c>
      <c r="B531" t="str">
        <f xml:space="preserve"> "" &amp; 747396110486</f>
        <v>747396110486</v>
      </c>
      <c r="C531" t="s">
        <v>1371</v>
      </c>
      <c r="D531" t="s">
        <v>1813</v>
      </c>
      <c r="E531" t="s">
        <v>1801</v>
      </c>
      <c r="F531" t="s">
        <v>377</v>
      </c>
      <c r="G531">
        <v>1</v>
      </c>
      <c r="H531">
        <v>1</v>
      </c>
      <c r="I531" t="s">
        <v>97</v>
      </c>
      <c r="J531" s="10">
        <v>115</v>
      </c>
      <c r="K531" s="10">
        <v>345</v>
      </c>
      <c r="L531" s="10">
        <v>0</v>
      </c>
      <c r="N531" s="10">
        <v>0</v>
      </c>
      <c r="O531" t="s">
        <v>99</v>
      </c>
      <c r="P531" s="10">
        <v>244.95</v>
      </c>
      <c r="S531">
        <v>13.5</v>
      </c>
      <c r="T531">
        <v>14.5</v>
      </c>
      <c r="U531">
        <v>14.5</v>
      </c>
      <c r="W531">
        <v>3.99</v>
      </c>
      <c r="X531">
        <v>1</v>
      </c>
      <c r="Y531">
        <v>10.5</v>
      </c>
      <c r="Z531">
        <v>13.25</v>
      </c>
      <c r="AA531">
        <v>13.25</v>
      </c>
      <c r="AB531">
        <v>1.0669999999999999</v>
      </c>
      <c r="AC531">
        <v>5.36</v>
      </c>
      <c r="AE531">
        <v>4</v>
      </c>
      <c r="AF531" t="s">
        <v>1802</v>
      </c>
      <c r="AG531">
        <v>60</v>
      </c>
      <c r="AK531" t="s">
        <v>98</v>
      </c>
      <c r="AM531" t="s">
        <v>98</v>
      </c>
      <c r="AN531" t="s">
        <v>99</v>
      </c>
      <c r="AO531" t="s">
        <v>98</v>
      </c>
      <c r="AP531" t="s">
        <v>100</v>
      </c>
      <c r="AQ531" t="s">
        <v>101</v>
      </c>
      <c r="AV531" t="s">
        <v>98</v>
      </c>
      <c r="AX531" t="s">
        <v>1803</v>
      </c>
      <c r="AZ531" t="s">
        <v>102</v>
      </c>
      <c r="BB531" t="s">
        <v>235</v>
      </c>
      <c r="BC531" t="s">
        <v>1687</v>
      </c>
      <c r="BD531" t="s">
        <v>7528</v>
      </c>
      <c r="BF531" t="s">
        <v>1814</v>
      </c>
      <c r="BG531" t="s">
        <v>98</v>
      </c>
      <c r="BH531" t="s">
        <v>98</v>
      </c>
      <c r="BI531" t="s">
        <v>98</v>
      </c>
      <c r="BK531" t="s">
        <v>127</v>
      </c>
      <c r="BL531" t="s">
        <v>7528</v>
      </c>
      <c r="BQ531">
        <v>5</v>
      </c>
      <c r="BR531">
        <v>0.75</v>
      </c>
      <c r="BS531">
        <v>5</v>
      </c>
      <c r="BT531">
        <v>5</v>
      </c>
      <c r="CA531">
        <v>4085</v>
      </c>
      <c r="CB531" t="s">
        <v>1803</v>
      </c>
      <c r="CL531" t="s">
        <v>99</v>
      </c>
      <c r="CM531" t="s">
        <v>98</v>
      </c>
      <c r="CN531" t="s">
        <v>592</v>
      </c>
      <c r="CO531" s="1">
        <v>43518</v>
      </c>
      <c r="CP531" s="1">
        <v>43633</v>
      </c>
    </row>
    <row r="532" spans="1:94" x14ac:dyDescent="0.25">
      <c r="A532" t="s">
        <v>1815</v>
      </c>
      <c r="B532" t="str">
        <f xml:space="preserve"> "" &amp; 747396110523</f>
        <v>747396110523</v>
      </c>
      <c r="C532" t="s">
        <v>1281</v>
      </c>
      <c r="D532" t="s">
        <v>1816</v>
      </c>
      <c r="E532" t="s">
        <v>1801</v>
      </c>
      <c r="F532" t="s">
        <v>249</v>
      </c>
      <c r="G532">
        <v>1</v>
      </c>
      <c r="H532">
        <v>1</v>
      </c>
      <c r="I532" t="s">
        <v>97</v>
      </c>
      <c r="J532" s="10">
        <v>175</v>
      </c>
      <c r="K532" s="10">
        <v>525</v>
      </c>
      <c r="L532" s="10">
        <v>0</v>
      </c>
      <c r="N532" s="10">
        <v>0</v>
      </c>
      <c r="O532" t="s">
        <v>99</v>
      </c>
      <c r="P532" s="10">
        <v>369.95</v>
      </c>
      <c r="S532">
        <v>20</v>
      </c>
      <c r="T532">
        <v>20</v>
      </c>
      <c r="U532">
        <v>20</v>
      </c>
      <c r="W532">
        <v>7.72</v>
      </c>
      <c r="X532">
        <v>1</v>
      </c>
      <c r="Y532">
        <v>19.13</v>
      </c>
      <c r="Z532">
        <v>17.38</v>
      </c>
      <c r="AA532">
        <v>17.38</v>
      </c>
      <c r="AB532">
        <v>3.3439999999999999</v>
      </c>
      <c r="AC532">
        <v>12.74</v>
      </c>
      <c r="AE532">
        <v>4</v>
      </c>
      <c r="AF532" t="s">
        <v>1802</v>
      </c>
      <c r="AG532">
        <v>60</v>
      </c>
      <c r="AK532" t="s">
        <v>98</v>
      </c>
      <c r="AM532" t="s">
        <v>98</v>
      </c>
      <c r="AN532" t="s">
        <v>99</v>
      </c>
      <c r="AO532" t="s">
        <v>98</v>
      </c>
      <c r="AP532" t="s">
        <v>100</v>
      </c>
      <c r="AQ532" t="s">
        <v>101</v>
      </c>
      <c r="AV532" t="s">
        <v>98</v>
      </c>
      <c r="AX532" t="s">
        <v>1803</v>
      </c>
      <c r="AZ532" t="s">
        <v>102</v>
      </c>
      <c r="BB532" t="s">
        <v>235</v>
      </c>
      <c r="BC532" t="s">
        <v>1687</v>
      </c>
      <c r="BD532" t="s">
        <v>7528</v>
      </c>
      <c r="BF532" t="s">
        <v>1817</v>
      </c>
      <c r="BG532" t="s">
        <v>98</v>
      </c>
      <c r="BH532" t="s">
        <v>98</v>
      </c>
      <c r="BI532" t="s">
        <v>98</v>
      </c>
      <c r="BK532" t="s">
        <v>127</v>
      </c>
      <c r="BL532" t="s">
        <v>7528</v>
      </c>
      <c r="BM532">
        <v>5.5</v>
      </c>
      <c r="BN532">
        <v>0.75</v>
      </c>
      <c r="BO532">
        <v>5.5</v>
      </c>
      <c r="BP532">
        <v>5.5</v>
      </c>
      <c r="CA532">
        <v>4086</v>
      </c>
      <c r="CB532" t="s">
        <v>1803</v>
      </c>
      <c r="CL532" t="s">
        <v>99</v>
      </c>
      <c r="CM532" t="s">
        <v>99</v>
      </c>
      <c r="CN532" t="s">
        <v>592</v>
      </c>
      <c r="CO532" s="1">
        <v>43518</v>
      </c>
      <c r="CP532" s="1">
        <v>43633</v>
      </c>
    </row>
    <row r="533" spans="1:94" x14ac:dyDescent="0.25">
      <c r="A533" t="s">
        <v>1818</v>
      </c>
      <c r="B533" t="str">
        <f xml:space="preserve"> "" &amp; 747396110493</f>
        <v>747396110493</v>
      </c>
      <c r="C533" t="s">
        <v>252</v>
      </c>
      <c r="D533" t="s">
        <v>1819</v>
      </c>
      <c r="E533" t="s">
        <v>1801</v>
      </c>
      <c r="F533" t="s">
        <v>249</v>
      </c>
      <c r="G533">
        <v>1</v>
      </c>
      <c r="H533">
        <v>1</v>
      </c>
      <c r="I533" t="s">
        <v>97</v>
      </c>
      <c r="J533" s="10">
        <v>235</v>
      </c>
      <c r="K533" s="10">
        <v>705</v>
      </c>
      <c r="L533" s="10">
        <v>0</v>
      </c>
      <c r="N533" s="10">
        <v>0</v>
      </c>
      <c r="O533" t="s">
        <v>99</v>
      </c>
      <c r="P533" s="10">
        <v>499.95</v>
      </c>
      <c r="S533">
        <v>22.75</v>
      </c>
      <c r="T533">
        <v>27.75</v>
      </c>
      <c r="U533">
        <v>27.75</v>
      </c>
      <c r="W533">
        <v>10.25</v>
      </c>
      <c r="X533">
        <v>1</v>
      </c>
      <c r="Y533">
        <v>19</v>
      </c>
      <c r="Z533">
        <v>30.13</v>
      </c>
      <c r="AA533">
        <v>26.75</v>
      </c>
      <c r="AB533">
        <v>8.8620000000000001</v>
      </c>
      <c r="AC533">
        <v>19.489999999999998</v>
      </c>
      <c r="AE533">
        <v>6</v>
      </c>
      <c r="AF533" t="s">
        <v>1802</v>
      </c>
      <c r="AG533">
        <v>60</v>
      </c>
      <c r="AK533" t="s">
        <v>98</v>
      </c>
      <c r="AM533" t="s">
        <v>98</v>
      </c>
      <c r="AN533" t="s">
        <v>99</v>
      </c>
      <c r="AO533" t="s">
        <v>98</v>
      </c>
      <c r="AP533" t="s">
        <v>100</v>
      </c>
      <c r="AQ533" t="s">
        <v>101</v>
      </c>
      <c r="AV533" t="s">
        <v>98</v>
      </c>
      <c r="AX533" t="s">
        <v>1803</v>
      </c>
      <c r="AZ533" t="s">
        <v>102</v>
      </c>
      <c r="BB533" t="s">
        <v>235</v>
      </c>
      <c r="BC533" t="s">
        <v>7528</v>
      </c>
      <c r="BD533" t="s">
        <v>7528</v>
      </c>
      <c r="BF533" t="s">
        <v>1820</v>
      </c>
      <c r="BG533" t="s">
        <v>98</v>
      </c>
      <c r="BH533" t="s">
        <v>98</v>
      </c>
      <c r="BI533" t="s">
        <v>98</v>
      </c>
      <c r="BK533" t="s">
        <v>127</v>
      </c>
      <c r="BL533" t="s">
        <v>7528</v>
      </c>
      <c r="BM533">
        <v>5.5</v>
      </c>
      <c r="BN533">
        <v>0.75</v>
      </c>
      <c r="BO533">
        <v>5.5</v>
      </c>
      <c r="CA533">
        <v>4087</v>
      </c>
      <c r="CB533" t="s">
        <v>1803</v>
      </c>
      <c r="CL533" t="s">
        <v>99</v>
      </c>
      <c r="CM533" t="s">
        <v>99</v>
      </c>
      <c r="CN533" t="s">
        <v>592</v>
      </c>
      <c r="CO533" s="1">
        <v>43518</v>
      </c>
      <c r="CP533" s="1">
        <v>43633</v>
      </c>
    </row>
    <row r="534" spans="1:94" x14ac:dyDescent="0.25">
      <c r="A534" t="s">
        <v>1821</v>
      </c>
      <c r="B534" t="str">
        <f xml:space="preserve"> "" &amp; 747396110509</f>
        <v>747396110509</v>
      </c>
      <c r="C534" t="s">
        <v>1690</v>
      </c>
      <c r="D534" t="s">
        <v>1822</v>
      </c>
      <c r="E534" t="s">
        <v>1801</v>
      </c>
      <c r="F534" t="s">
        <v>240</v>
      </c>
      <c r="G534">
        <v>1</v>
      </c>
      <c r="H534">
        <v>1</v>
      </c>
      <c r="I534" t="s">
        <v>97</v>
      </c>
      <c r="J534" s="10">
        <v>265</v>
      </c>
      <c r="K534" s="10">
        <v>795</v>
      </c>
      <c r="L534" s="10">
        <v>0</v>
      </c>
      <c r="N534" s="10">
        <v>0</v>
      </c>
      <c r="O534" t="s">
        <v>99</v>
      </c>
      <c r="P534" s="10">
        <v>559.95000000000005</v>
      </c>
      <c r="S534">
        <v>18</v>
      </c>
      <c r="T534">
        <v>38</v>
      </c>
      <c r="U534">
        <v>15</v>
      </c>
      <c r="W534">
        <v>11.16</v>
      </c>
      <c r="X534">
        <v>1</v>
      </c>
      <c r="Y534">
        <v>15.75</v>
      </c>
      <c r="Z534">
        <v>41</v>
      </c>
      <c r="AA534">
        <v>17.5</v>
      </c>
      <c r="AB534">
        <v>6.54</v>
      </c>
      <c r="AC534">
        <v>18.34</v>
      </c>
      <c r="AE534">
        <v>6</v>
      </c>
      <c r="AF534" t="s">
        <v>1802</v>
      </c>
      <c r="AG534">
        <v>60</v>
      </c>
      <c r="AK534" t="s">
        <v>98</v>
      </c>
      <c r="AM534" t="s">
        <v>98</v>
      </c>
      <c r="AN534" t="s">
        <v>99</v>
      </c>
      <c r="AO534" t="s">
        <v>98</v>
      </c>
      <c r="AP534" t="s">
        <v>100</v>
      </c>
      <c r="AQ534" t="s">
        <v>101</v>
      </c>
      <c r="AV534" t="s">
        <v>98</v>
      </c>
      <c r="AX534" t="s">
        <v>1803</v>
      </c>
      <c r="AZ534" t="s">
        <v>102</v>
      </c>
      <c r="BB534" t="s">
        <v>235</v>
      </c>
      <c r="BC534" t="s">
        <v>1687</v>
      </c>
      <c r="BD534" t="s">
        <v>7528</v>
      </c>
      <c r="BF534" t="s">
        <v>1823</v>
      </c>
      <c r="BG534" t="s">
        <v>98</v>
      </c>
      <c r="BH534" t="s">
        <v>98</v>
      </c>
      <c r="BI534" t="s">
        <v>98</v>
      </c>
      <c r="BK534" t="s">
        <v>127</v>
      </c>
      <c r="BL534" t="s">
        <v>7528</v>
      </c>
      <c r="BR534">
        <v>5</v>
      </c>
      <c r="BT534">
        <v>14.25</v>
      </c>
      <c r="CA534">
        <v>4088</v>
      </c>
      <c r="CB534" t="s">
        <v>1803</v>
      </c>
      <c r="CL534" t="s">
        <v>99</v>
      </c>
      <c r="CM534" t="s">
        <v>99</v>
      </c>
      <c r="CN534" t="s">
        <v>592</v>
      </c>
      <c r="CO534" s="1">
        <v>43518</v>
      </c>
      <c r="CP534" s="1">
        <v>43633</v>
      </c>
    </row>
    <row r="535" spans="1:94" x14ac:dyDescent="0.25">
      <c r="A535" t="s">
        <v>1824</v>
      </c>
      <c r="B535" t="str">
        <f xml:space="preserve"> "" &amp; 747396110516</f>
        <v>747396110516</v>
      </c>
      <c r="C535" t="s">
        <v>350</v>
      </c>
      <c r="D535" t="s">
        <v>1825</v>
      </c>
      <c r="E535" t="s">
        <v>1801</v>
      </c>
      <c r="F535" t="s">
        <v>249</v>
      </c>
      <c r="G535">
        <v>1</v>
      </c>
      <c r="H535">
        <v>1</v>
      </c>
      <c r="I535" t="s">
        <v>97</v>
      </c>
      <c r="J535" s="10">
        <v>395</v>
      </c>
      <c r="K535" s="10">
        <v>1185</v>
      </c>
      <c r="L535" s="10">
        <v>0</v>
      </c>
      <c r="N535" s="10">
        <v>0</v>
      </c>
      <c r="O535" t="s">
        <v>99</v>
      </c>
      <c r="P535" s="10">
        <v>829.95</v>
      </c>
      <c r="S535">
        <v>31</v>
      </c>
      <c r="T535">
        <v>31</v>
      </c>
      <c r="U535">
        <v>31</v>
      </c>
      <c r="W535">
        <v>14.42</v>
      </c>
      <c r="X535">
        <v>1</v>
      </c>
      <c r="Y535">
        <v>25.38</v>
      </c>
      <c r="Z535">
        <v>33.75</v>
      </c>
      <c r="AA535">
        <v>30</v>
      </c>
      <c r="AB535">
        <v>14.871</v>
      </c>
      <c r="AC535">
        <v>28.29</v>
      </c>
      <c r="AE535">
        <v>9</v>
      </c>
      <c r="AF535" t="s">
        <v>1802</v>
      </c>
      <c r="AG535">
        <v>60</v>
      </c>
      <c r="AK535" t="s">
        <v>98</v>
      </c>
      <c r="AM535" t="s">
        <v>98</v>
      </c>
      <c r="AN535" t="s">
        <v>99</v>
      </c>
      <c r="AO535" t="s">
        <v>98</v>
      </c>
      <c r="AP535" t="s">
        <v>259</v>
      </c>
      <c r="AQ535" t="s">
        <v>101</v>
      </c>
      <c r="AV535" t="s">
        <v>98</v>
      </c>
      <c r="AX535" t="s">
        <v>1803</v>
      </c>
      <c r="AZ535" t="s">
        <v>102</v>
      </c>
      <c r="BB535" t="s">
        <v>235</v>
      </c>
      <c r="BC535" t="s">
        <v>7528</v>
      </c>
      <c r="BD535" t="s">
        <v>7528</v>
      </c>
      <c r="BF535" t="s">
        <v>1826</v>
      </c>
      <c r="BG535" t="s">
        <v>98</v>
      </c>
      <c r="BH535" t="s">
        <v>98</v>
      </c>
      <c r="BI535" t="s">
        <v>98</v>
      </c>
      <c r="BK535" t="s">
        <v>127</v>
      </c>
      <c r="BL535" t="s">
        <v>7528</v>
      </c>
      <c r="BM535">
        <v>5.5</v>
      </c>
      <c r="BN535">
        <v>0.75</v>
      </c>
      <c r="BO535">
        <v>5.5</v>
      </c>
      <c r="CA535">
        <v>4089</v>
      </c>
      <c r="CB535" t="s">
        <v>1803</v>
      </c>
      <c r="CL535" t="s">
        <v>99</v>
      </c>
      <c r="CM535" t="s">
        <v>99</v>
      </c>
      <c r="CN535" t="s">
        <v>592</v>
      </c>
      <c r="CO535" s="1">
        <v>43518</v>
      </c>
      <c r="CP535" s="1">
        <v>43633</v>
      </c>
    </row>
    <row r="536" spans="1:94" x14ac:dyDescent="0.25">
      <c r="A536" t="s">
        <v>1827</v>
      </c>
      <c r="B536" t="str">
        <f xml:space="preserve"> "" &amp; 747396091204</f>
        <v>747396091204</v>
      </c>
      <c r="C536" t="s">
        <v>239</v>
      </c>
      <c r="D536" t="s">
        <v>1828</v>
      </c>
      <c r="E536" t="s">
        <v>1829</v>
      </c>
      <c r="F536" t="s">
        <v>240</v>
      </c>
      <c r="G536">
        <v>1</v>
      </c>
      <c r="H536">
        <v>1</v>
      </c>
      <c r="I536" t="s">
        <v>97</v>
      </c>
      <c r="J536" s="10">
        <v>48</v>
      </c>
      <c r="K536" s="10">
        <v>144</v>
      </c>
      <c r="L536" s="10">
        <v>0</v>
      </c>
      <c r="N536" s="10">
        <v>0</v>
      </c>
      <c r="O536" t="s">
        <v>99</v>
      </c>
      <c r="P536" s="10">
        <v>94.95</v>
      </c>
      <c r="S536">
        <v>10</v>
      </c>
      <c r="T536">
        <v>4.25</v>
      </c>
      <c r="U536">
        <v>4.25</v>
      </c>
      <c r="W536">
        <v>3.2</v>
      </c>
      <c r="Y536">
        <v>7</v>
      </c>
      <c r="Z536">
        <v>15</v>
      </c>
      <c r="AA536">
        <v>6.5</v>
      </c>
      <c r="AB536">
        <v>0.39500000000000002</v>
      </c>
      <c r="AC536">
        <v>3.86</v>
      </c>
      <c r="AE536">
        <v>1</v>
      </c>
      <c r="AF536" t="s">
        <v>282</v>
      </c>
      <c r="AG536">
        <v>100</v>
      </c>
      <c r="AK536" t="s">
        <v>98</v>
      </c>
      <c r="AM536" t="s">
        <v>98</v>
      </c>
      <c r="AN536" t="s">
        <v>99</v>
      </c>
      <c r="AO536" t="s">
        <v>98</v>
      </c>
      <c r="AP536" t="s">
        <v>100</v>
      </c>
      <c r="AQ536" t="s">
        <v>101</v>
      </c>
      <c r="AV536" t="s">
        <v>98</v>
      </c>
      <c r="AX536" t="s">
        <v>276</v>
      </c>
      <c r="AZ536" t="s">
        <v>102</v>
      </c>
      <c r="BB536" t="s">
        <v>235</v>
      </c>
      <c r="BC536" t="s">
        <v>561</v>
      </c>
      <c r="BD536" t="s">
        <v>7528</v>
      </c>
      <c r="BF536" t="s">
        <v>1830</v>
      </c>
      <c r="BG536" t="s">
        <v>98</v>
      </c>
      <c r="BH536" t="s">
        <v>98</v>
      </c>
      <c r="BI536" t="s">
        <v>98</v>
      </c>
      <c r="BK536" t="s">
        <v>110</v>
      </c>
      <c r="BL536" t="s">
        <v>128</v>
      </c>
      <c r="BQ536">
        <v>5.88</v>
      </c>
      <c r="BR536">
        <v>0.75</v>
      </c>
      <c r="BS536">
        <v>5.88</v>
      </c>
      <c r="BT536">
        <v>5.88</v>
      </c>
      <c r="CA536">
        <v>4101</v>
      </c>
      <c r="CB536" t="s">
        <v>276</v>
      </c>
      <c r="CL536" t="s">
        <v>99</v>
      </c>
      <c r="CM536" t="s">
        <v>99</v>
      </c>
      <c r="CN536" t="s">
        <v>442</v>
      </c>
      <c r="CO536" s="1">
        <v>41605</v>
      </c>
      <c r="CP536" s="1">
        <v>43633</v>
      </c>
    </row>
    <row r="537" spans="1:94" x14ac:dyDescent="0.25">
      <c r="A537" t="s">
        <v>1831</v>
      </c>
      <c r="B537" t="str">
        <f xml:space="preserve"> "" &amp; 747396802282</f>
        <v>747396802282</v>
      </c>
      <c r="C537" t="s">
        <v>239</v>
      </c>
      <c r="D537" t="s">
        <v>1832</v>
      </c>
      <c r="E537" t="s">
        <v>1829</v>
      </c>
      <c r="F537" t="s">
        <v>240</v>
      </c>
      <c r="G537">
        <v>1</v>
      </c>
      <c r="H537">
        <v>1</v>
      </c>
      <c r="I537" t="s">
        <v>97</v>
      </c>
      <c r="J537" s="10">
        <v>48</v>
      </c>
      <c r="K537" s="10">
        <v>144</v>
      </c>
      <c r="L537" s="10">
        <v>0</v>
      </c>
      <c r="N537" s="10">
        <v>0</v>
      </c>
      <c r="O537" t="s">
        <v>99</v>
      </c>
      <c r="P537" s="10">
        <v>94.95</v>
      </c>
      <c r="S537">
        <v>10</v>
      </c>
      <c r="T537">
        <v>4.25</v>
      </c>
      <c r="U537">
        <v>4.25</v>
      </c>
      <c r="W537">
        <v>3.48</v>
      </c>
      <c r="X537">
        <v>1</v>
      </c>
      <c r="Y537">
        <v>7</v>
      </c>
      <c r="Z537">
        <v>15</v>
      </c>
      <c r="AA537">
        <v>6.5</v>
      </c>
      <c r="AB537">
        <v>0.39500000000000002</v>
      </c>
      <c r="AC537">
        <v>4.1399999999999997</v>
      </c>
      <c r="AE537">
        <v>1</v>
      </c>
      <c r="AF537" t="s">
        <v>282</v>
      </c>
      <c r="AG537">
        <v>100</v>
      </c>
      <c r="AK537" t="s">
        <v>98</v>
      </c>
      <c r="AM537" t="s">
        <v>98</v>
      </c>
      <c r="AN537" t="s">
        <v>99</v>
      </c>
      <c r="AO537" t="s">
        <v>98</v>
      </c>
      <c r="AP537" t="s">
        <v>100</v>
      </c>
      <c r="AQ537" t="s">
        <v>101</v>
      </c>
      <c r="AV537" t="s">
        <v>98</v>
      </c>
      <c r="AX537" t="s">
        <v>279</v>
      </c>
      <c r="AZ537" t="s">
        <v>102</v>
      </c>
      <c r="BB537" t="s">
        <v>235</v>
      </c>
      <c r="BC537" t="s">
        <v>808</v>
      </c>
      <c r="BD537" t="s">
        <v>7528</v>
      </c>
      <c r="BF537" t="s">
        <v>1833</v>
      </c>
      <c r="BG537" t="s">
        <v>98</v>
      </c>
      <c r="BH537" t="s">
        <v>98</v>
      </c>
      <c r="BI537" t="s">
        <v>98</v>
      </c>
      <c r="BK537" t="s">
        <v>110</v>
      </c>
      <c r="BL537" t="s">
        <v>128</v>
      </c>
      <c r="BQ537">
        <v>5.88</v>
      </c>
      <c r="BR537">
        <v>0.75</v>
      </c>
      <c r="BS537">
        <v>5.88</v>
      </c>
      <c r="BT537">
        <v>5.88</v>
      </c>
      <c r="CA537">
        <v>4101</v>
      </c>
      <c r="CB537" t="s">
        <v>279</v>
      </c>
      <c r="CL537" t="s">
        <v>99</v>
      </c>
      <c r="CM537" t="s">
        <v>99</v>
      </c>
      <c r="CN537" t="s">
        <v>442</v>
      </c>
      <c r="CO537" s="1">
        <v>42033</v>
      </c>
      <c r="CP537" s="1">
        <v>43633</v>
      </c>
    </row>
    <row r="538" spans="1:94" x14ac:dyDescent="0.25">
      <c r="A538" t="s">
        <v>1834</v>
      </c>
      <c r="B538" t="str">
        <f xml:space="preserve"> "" &amp; 747396091211</f>
        <v>747396091211</v>
      </c>
      <c r="C538" t="s">
        <v>543</v>
      </c>
      <c r="D538" t="s">
        <v>1835</v>
      </c>
      <c r="E538" t="s">
        <v>1829</v>
      </c>
      <c r="F538" t="s">
        <v>249</v>
      </c>
      <c r="G538">
        <v>1</v>
      </c>
      <c r="H538">
        <v>1</v>
      </c>
      <c r="I538" t="s">
        <v>97</v>
      </c>
      <c r="J538" s="10">
        <v>90</v>
      </c>
      <c r="K538" s="10">
        <v>270</v>
      </c>
      <c r="L538" s="10">
        <v>0</v>
      </c>
      <c r="N538" s="10">
        <v>0</v>
      </c>
      <c r="O538" t="s">
        <v>99</v>
      </c>
      <c r="P538" s="10">
        <v>179.95</v>
      </c>
      <c r="S538">
        <v>18.5</v>
      </c>
      <c r="T538">
        <v>18</v>
      </c>
      <c r="U538">
        <v>18</v>
      </c>
      <c r="W538">
        <v>8.0500000000000007</v>
      </c>
      <c r="Y538">
        <v>19.13</v>
      </c>
      <c r="Z538">
        <v>19</v>
      </c>
      <c r="AA538">
        <v>8</v>
      </c>
      <c r="AB538">
        <v>1.6830000000000001</v>
      </c>
      <c r="AC538">
        <v>11.46</v>
      </c>
      <c r="AE538">
        <v>3</v>
      </c>
      <c r="AF538" t="s">
        <v>7542</v>
      </c>
      <c r="AG538">
        <v>100</v>
      </c>
      <c r="AK538" t="s">
        <v>98</v>
      </c>
      <c r="AM538" t="s">
        <v>98</v>
      </c>
      <c r="AN538" t="s">
        <v>99</v>
      </c>
      <c r="AO538" t="s">
        <v>98</v>
      </c>
      <c r="AP538" t="s">
        <v>100</v>
      </c>
      <c r="AQ538" t="s">
        <v>101</v>
      </c>
      <c r="AV538" t="s">
        <v>98</v>
      </c>
      <c r="AX538" t="s">
        <v>276</v>
      </c>
      <c r="AZ538" t="s">
        <v>102</v>
      </c>
      <c r="BB538" t="s">
        <v>235</v>
      </c>
      <c r="BC538" t="s">
        <v>808</v>
      </c>
      <c r="BD538" t="s">
        <v>7528</v>
      </c>
      <c r="BF538" t="s">
        <v>1836</v>
      </c>
      <c r="BG538" t="s">
        <v>98</v>
      </c>
      <c r="BH538" t="s">
        <v>98</v>
      </c>
      <c r="BI538" t="s">
        <v>98</v>
      </c>
      <c r="BK538" t="s">
        <v>110</v>
      </c>
      <c r="BL538" t="s">
        <v>128</v>
      </c>
      <c r="BR538">
        <v>0.75</v>
      </c>
      <c r="BS538">
        <v>5.88</v>
      </c>
      <c r="BT538">
        <v>5.88</v>
      </c>
      <c r="CA538">
        <v>4103</v>
      </c>
      <c r="CB538" t="s">
        <v>276</v>
      </c>
      <c r="CL538" t="s">
        <v>99</v>
      </c>
      <c r="CM538" t="s">
        <v>99</v>
      </c>
      <c r="CN538" t="s">
        <v>592</v>
      </c>
      <c r="CO538" s="1">
        <v>41605</v>
      </c>
      <c r="CP538" s="1">
        <v>43633</v>
      </c>
    </row>
    <row r="539" spans="1:94" x14ac:dyDescent="0.25">
      <c r="A539" t="s">
        <v>1837</v>
      </c>
      <c r="B539" t="str">
        <f xml:space="preserve"> "" &amp; 747396802299</f>
        <v>747396802299</v>
      </c>
      <c r="C539" t="s">
        <v>543</v>
      </c>
      <c r="D539" t="s">
        <v>1838</v>
      </c>
      <c r="E539" t="s">
        <v>1829</v>
      </c>
      <c r="F539" t="s">
        <v>249</v>
      </c>
      <c r="G539">
        <v>1</v>
      </c>
      <c r="H539">
        <v>1</v>
      </c>
      <c r="I539" t="s">
        <v>97</v>
      </c>
      <c r="J539" s="10">
        <v>90</v>
      </c>
      <c r="K539" s="10">
        <v>270</v>
      </c>
      <c r="L539" s="10">
        <v>0</v>
      </c>
      <c r="N539" s="10">
        <v>0</v>
      </c>
      <c r="O539" t="s">
        <v>99</v>
      </c>
      <c r="P539" s="10">
        <v>179.95</v>
      </c>
      <c r="S539">
        <v>18.5</v>
      </c>
      <c r="T539">
        <v>18</v>
      </c>
      <c r="U539">
        <v>18</v>
      </c>
      <c r="W539">
        <v>8.58</v>
      </c>
      <c r="Y539">
        <v>19.13</v>
      </c>
      <c r="Z539">
        <v>19</v>
      </c>
      <c r="AA539">
        <v>8</v>
      </c>
      <c r="AB539">
        <v>1.6830000000000001</v>
      </c>
      <c r="AC539">
        <v>12.15</v>
      </c>
      <c r="AE539">
        <v>3</v>
      </c>
      <c r="AF539" t="s">
        <v>282</v>
      </c>
      <c r="AG539">
        <v>100</v>
      </c>
      <c r="AK539" t="s">
        <v>98</v>
      </c>
      <c r="AM539" t="s">
        <v>98</v>
      </c>
      <c r="AN539" t="s">
        <v>99</v>
      </c>
      <c r="AO539" t="s">
        <v>98</v>
      </c>
      <c r="AP539" t="s">
        <v>100</v>
      </c>
      <c r="AQ539" t="s">
        <v>101</v>
      </c>
      <c r="AV539" t="s">
        <v>98</v>
      </c>
      <c r="AX539" t="s">
        <v>279</v>
      </c>
      <c r="AZ539" t="s">
        <v>102</v>
      </c>
      <c r="BB539" t="s">
        <v>235</v>
      </c>
      <c r="BC539" t="s">
        <v>808</v>
      </c>
      <c r="BD539" t="s">
        <v>7528</v>
      </c>
      <c r="BF539" t="s">
        <v>1839</v>
      </c>
      <c r="BG539" t="s">
        <v>98</v>
      </c>
      <c r="BH539" t="s">
        <v>98</v>
      </c>
      <c r="BI539" t="s">
        <v>98</v>
      </c>
      <c r="BK539" t="s">
        <v>110</v>
      </c>
      <c r="BL539" t="s">
        <v>128</v>
      </c>
      <c r="BR539">
        <v>0.75</v>
      </c>
      <c r="BT539">
        <v>5.88</v>
      </c>
      <c r="CA539">
        <v>4103</v>
      </c>
      <c r="CB539" t="s">
        <v>279</v>
      </c>
      <c r="CL539" t="s">
        <v>99</v>
      </c>
      <c r="CM539" t="s">
        <v>99</v>
      </c>
      <c r="CN539" t="s">
        <v>442</v>
      </c>
      <c r="CO539" s="1">
        <v>42552</v>
      </c>
      <c r="CP539" s="1">
        <v>43633</v>
      </c>
    </row>
    <row r="540" spans="1:94" x14ac:dyDescent="0.25">
      <c r="A540" t="s">
        <v>1840</v>
      </c>
      <c r="B540" t="str">
        <f xml:space="preserve"> "" &amp; 747396091228</f>
        <v>747396091228</v>
      </c>
      <c r="C540" t="s">
        <v>243</v>
      </c>
      <c r="D540" t="s">
        <v>1841</v>
      </c>
      <c r="E540" t="s">
        <v>1829</v>
      </c>
      <c r="F540" t="s">
        <v>240</v>
      </c>
      <c r="G540">
        <v>1</v>
      </c>
      <c r="H540">
        <v>1</v>
      </c>
      <c r="I540" t="s">
        <v>97</v>
      </c>
      <c r="J540" s="10">
        <v>109</v>
      </c>
      <c r="K540" s="10">
        <v>327</v>
      </c>
      <c r="L540" s="10">
        <v>0</v>
      </c>
      <c r="N540" s="10">
        <v>0</v>
      </c>
      <c r="O540" t="s">
        <v>99</v>
      </c>
      <c r="P540" s="10">
        <v>219.95</v>
      </c>
      <c r="S540">
        <v>23.5</v>
      </c>
      <c r="T540">
        <v>20.5</v>
      </c>
      <c r="U540">
        <v>20.5</v>
      </c>
      <c r="W540">
        <v>10.25</v>
      </c>
      <c r="Y540">
        <v>11.75</v>
      </c>
      <c r="Z540">
        <v>21.5</v>
      </c>
      <c r="AA540">
        <v>21.5</v>
      </c>
      <c r="AB540">
        <v>3.1429999999999998</v>
      </c>
      <c r="AC540">
        <v>15.79</v>
      </c>
      <c r="AE540">
        <v>3</v>
      </c>
      <c r="AF540" t="s">
        <v>7542</v>
      </c>
      <c r="AG540">
        <v>100</v>
      </c>
      <c r="AK540" t="s">
        <v>98</v>
      </c>
      <c r="AM540" t="s">
        <v>98</v>
      </c>
      <c r="AN540" t="s">
        <v>99</v>
      </c>
      <c r="AO540" t="s">
        <v>98</v>
      </c>
      <c r="AP540" t="s">
        <v>100</v>
      </c>
      <c r="AQ540" t="s">
        <v>101</v>
      </c>
      <c r="AV540" t="s">
        <v>98</v>
      </c>
      <c r="AX540" t="s">
        <v>276</v>
      </c>
      <c r="AZ540" t="s">
        <v>102</v>
      </c>
      <c r="BB540" t="s">
        <v>197</v>
      </c>
      <c r="BC540" t="s">
        <v>1854</v>
      </c>
      <c r="BD540" t="s">
        <v>7528</v>
      </c>
      <c r="BF540" t="s">
        <v>1842</v>
      </c>
      <c r="BG540" t="s">
        <v>98</v>
      </c>
      <c r="BH540" t="s">
        <v>98</v>
      </c>
      <c r="BI540" t="s">
        <v>98</v>
      </c>
      <c r="BK540" t="s">
        <v>110</v>
      </c>
      <c r="BL540" t="s">
        <v>7528</v>
      </c>
      <c r="BQ540">
        <v>4.88</v>
      </c>
      <c r="BR540">
        <v>0.75</v>
      </c>
      <c r="BS540">
        <v>4.88</v>
      </c>
      <c r="BT540">
        <v>4.88</v>
      </c>
      <c r="CA540">
        <v>4104</v>
      </c>
      <c r="CB540" t="s">
        <v>276</v>
      </c>
      <c r="CL540" t="s">
        <v>99</v>
      </c>
      <c r="CM540" t="s">
        <v>99</v>
      </c>
      <c r="CN540" t="s">
        <v>1403</v>
      </c>
      <c r="CO540" s="1">
        <v>41605</v>
      </c>
      <c r="CP540" s="1">
        <v>43633</v>
      </c>
    </row>
    <row r="541" spans="1:94" x14ac:dyDescent="0.25">
      <c r="A541" t="s">
        <v>1843</v>
      </c>
      <c r="B541" t="str">
        <f xml:space="preserve"> "" &amp; 747396802305</f>
        <v>747396802305</v>
      </c>
      <c r="C541" t="s">
        <v>243</v>
      </c>
      <c r="D541" t="s">
        <v>1844</v>
      </c>
      <c r="E541" t="s">
        <v>1829</v>
      </c>
      <c r="F541" t="s">
        <v>240</v>
      </c>
      <c r="G541">
        <v>1</v>
      </c>
      <c r="H541">
        <v>1</v>
      </c>
      <c r="I541" t="s">
        <v>97</v>
      </c>
      <c r="J541" s="10">
        <v>109</v>
      </c>
      <c r="K541" s="10">
        <v>327</v>
      </c>
      <c r="L541" s="10">
        <v>0</v>
      </c>
      <c r="N541" s="10">
        <v>0</v>
      </c>
      <c r="O541" t="s">
        <v>99</v>
      </c>
      <c r="P541" s="10">
        <v>219.95</v>
      </c>
      <c r="S541">
        <v>23.5</v>
      </c>
      <c r="T541">
        <v>20.5</v>
      </c>
      <c r="U541">
        <v>20.5</v>
      </c>
      <c r="W541">
        <v>10.25</v>
      </c>
      <c r="Y541">
        <v>11.75</v>
      </c>
      <c r="Z541">
        <v>21.5</v>
      </c>
      <c r="AA541">
        <v>21.5</v>
      </c>
      <c r="AB541">
        <v>3.1429999999999998</v>
      </c>
      <c r="AC541">
        <v>15.79</v>
      </c>
      <c r="AE541">
        <v>3</v>
      </c>
      <c r="AF541" t="s">
        <v>282</v>
      </c>
      <c r="AG541">
        <v>100</v>
      </c>
      <c r="AK541" t="s">
        <v>98</v>
      </c>
      <c r="AM541" t="s">
        <v>98</v>
      </c>
      <c r="AN541" t="s">
        <v>99</v>
      </c>
      <c r="AO541" t="s">
        <v>98</v>
      </c>
      <c r="AP541" t="s">
        <v>100</v>
      </c>
      <c r="AQ541" t="s">
        <v>101</v>
      </c>
      <c r="AV541" t="s">
        <v>98</v>
      </c>
      <c r="AX541" t="s">
        <v>279</v>
      </c>
      <c r="AZ541" t="s">
        <v>102</v>
      </c>
      <c r="BB541" t="s">
        <v>197</v>
      </c>
      <c r="BC541" t="s">
        <v>1845</v>
      </c>
      <c r="BD541" t="s">
        <v>7528</v>
      </c>
      <c r="BF541" t="s">
        <v>1846</v>
      </c>
      <c r="BG541" t="s">
        <v>98</v>
      </c>
      <c r="BH541" t="s">
        <v>98</v>
      </c>
      <c r="BI541" t="s">
        <v>98</v>
      </c>
      <c r="BK541" t="s">
        <v>110</v>
      </c>
      <c r="BL541" t="s">
        <v>7528</v>
      </c>
      <c r="BQ541">
        <v>4.88</v>
      </c>
      <c r="BR541">
        <v>0.75</v>
      </c>
      <c r="BT541">
        <v>4.88</v>
      </c>
      <c r="CA541">
        <v>4104</v>
      </c>
      <c r="CB541" t="s">
        <v>279</v>
      </c>
      <c r="CL541" t="s">
        <v>99</v>
      </c>
      <c r="CM541" t="s">
        <v>99</v>
      </c>
      <c r="CN541" t="s">
        <v>1403</v>
      </c>
      <c r="CO541" s="1">
        <v>42552</v>
      </c>
      <c r="CP541" s="1">
        <v>43633</v>
      </c>
    </row>
    <row r="542" spans="1:94" x14ac:dyDescent="0.25">
      <c r="A542" t="s">
        <v>1847</v>
      </c>
      <c r="B542" t="str">
        <f xml:space="preserve"> "" &amp; 747396091235</f>
        <v>747396091235</v>
      </c>
      <c r="C542" t="s">
        <v>343</v>
      </c>
      <c r="D542" t="s">
        <v>1835</v>
      </c>
      <c r="E542" t="s">
        <v>1829</v>
      </c>
      <c r="F542" t="s">
        <v>249</v>
      </c>
      <c r="G542">
        <v>1</v>
      </c>
      <c r="H542">
        <v>1</v>
      </c>
      <c r="I542" t="s">
        <v>97</v>
      </c>
      <c r="J542" s="10">
        <v>142</v>
      </c>
      <c r="K542" s="10">
        <v>426</v>
      </c>
      <c r="L542" s="10">
        <v>0</v>
      </c>
      <c r="N542" s="10">
        <v>0</v>
      </c>
      <c r="O542" t="s">
        <v>99</v>
      </c>
      <c r="P542" s="10">
        <v>284.95</v>
      </c>
      <c r="S542">
        <v>23</v>
      </c>
      <c r="T542">
        <v>25.5</v>
      </c>
      <c r="U542">
        <v>25.5</v>
      </c>
      <c r="W542">
        <v>12.35</v>
      </c>
      <c r="Y542">
        <v>23.75</v>
      </c>
      <c r="Z542">
        <v>25.5</v>
      </c>
      <c r="AA542">
        <v>11.5</v>
      </c>
      <c r="AB542">
        <v>4.03</v>
      </c>
      <c r="AC542">
        <v>19.399999999999999</v>
      </c>
      <c r="AE542">
        <v>5</v>
      </c>
      <c r="AF542" t="s">
        <v>7542</v>
      </c>
      <c r="AG542">
        <v>100</v>
      </c>
      <c r="AK542" t="s">
        <v>98</v>
      </c>
      <c r="AM542" t="s">
        <v>98</v>
      </c>
      <c r="AN542" t="s">
        <v>99</v>
      </c>
      <c r="AO542" t="s">
        <v>98</v>
      </c>
      <c r="AP542" t="s">
        <v>100</v>
      </c>
      <c r="AQ542" t="s">
        <v>101</v>
      </c>
      <c r="AV542" t="s">
        <v>98</v>
      </c>
      <c r="AX542" t="s">
        <v>276</v>
      </c>
      <c r="AZ542" t="s">
        <v>102</v>
      </c>
      <c r="BB542" t="s">
        <v>235</v>
      </c>
      <c r="BC542" t="s">
        <v>561</v>
      </c>
      <c r="BD542" t="s">
        <v>7528</v>
      </c>
      <c r="BF542" t="s">
        <v>1848</v>
      </c>
      <c r="BG542" t="s">
        <v>98</v>
      </c>
      <c r="BH542" t="s">
        <v>98</v>
      </c>
      <c r="BI542" t="s">
        <v>98</v>
      </c>
      <c r="BK542" t="s">
        <v>110</v>
      </c>
      <c r="BL542" t="s">
        <v>128</v>
      </c>
      <c r="BR542">
        <v>0.75</v>
      </c>
      <c r="BS542">
        <v>6</v>
      </c>
      <c r="BT542">
        <v>6</v>
      </c>
      <c r="CA542">
        <v>4105</v>
      </c>
      <c r="CB542" t="s">
        <v>276</v>
      </c>
      <c r="CL542" t="s">
        <v>99</v>
      </c>
      <c r="CM542" t="s">
        <v>99</v>
      </c>
      <c r="CN542" t="s">
        <v>592</v>
      </c>
      <c r="CO542" s="1">
        <v>41605</v>
      </c>
      <c r="CP542" s="1">
        <v>43633</v>
      </c>
    </row>
    <row r="543" spans="1:94" x14ac:dyDescent="0.25">
      <c r="A543" t="s">
        <v>1849</v>
      </c>
      <c r="B543" t="str">
        <f xml:space="preserve"> "" &amp; 747396802312</f>
        <v>747396802312</v>
      </c>
      <c r="C543" t="s">
        <v>343</v>
      </c>
      <c r="D543" t="s">
        <v>1850</v>
      </c>
      <c r="E543" t="s">
        <v>1829</v>
      </c>
      <c r="F543" t="s">
        <v>249</v>
      </c>
      <c r="G543">
        <v>1</v>
      </c>
      <c r="H543">
        <v>1</v>
      </c>
      <c r="I543" t="s">
        <v>97</v>
      </c>
      <c r="J543" s="10">
        <v>142</v>
      </c>
      <c r="K543" s="10">
        <v>426</v>
      </c>
      <c r="L543" s="10">
        <v>0</v>
      </c>
      <c r="N543" s="10">
        <v>0</v>
      </c>
      <c r="O543" t="s">
        <v>99</v>
      </c>
      <c r="P543" s="10">
        <v>284.95</v>
      </c>
      <c r="S543">
        <v>23</v>
      </c>
      <c r="T543">
        <v>25.5</v>
      </c>
      <c r="U543">
        <v>25.5</v>
      </c>
      <c r="W543">
        <v>14.2</v>
      </c>
      <c r="Y543">
        <v>23.75</v>
      </c>
      <c r="Z543">
        <v>25.5</v>
      </c>
      <c r="AA543">
        <v>11.5</v>
      </c>
      <c r="AB543">
        <v>4.03</v>
      </c>
      <c r="AC543">
        <v>20.53</v>
      </c>
      <c r="AE543">
        <v>5</v>
      </c>
      <c r="AF543" t="s">
        <v>282</v>
      </c>
      <c r="AG543">
        <v>100</v>
      </c>
      <c r="AK543" t="s">
        <v>98</v>
      </c>
      <c r="AM543" t="s">
        <v>98</v>
      </c>
      <c r="AN543" t="s">
        <v>99</v>
      </c>
      <c r="AO543" t="s">
        <v>98</v>
      </c>
      <c r="AP543" t="s">
        <v>100</v>
      </c>
      <c r="AQ543" t="s">
        <v>101</v>
      </c>
      <c r="AV543" t="s">
        <v>98</v>
      </c>
      <c r="AX543" t="s">
        <v>279</v>
      </c>
      <c r="AZ543" t="s">
        <v>102</v>
      </c>
      <c r="BB543" t="s">
        <v>235</v>
      </c>
      <c r="BC543" t="s">
        <v>561</v>
      </c>
      <c r="BD543" t="s">
        <v>7528</v>
      </c>
      <c r="BF543" t="s">
        <v>1851</v>
      </c>
      <c r="BG543" t="s">
        <v>98</v>
      </c>
      <c r="BH543" t="s">
        <v>98</v>
      </c>
      <c r="BI543" t="s">
        <v>98</v>
      </c>
      <c r="BK543" t="s">
        <v>110</v>
      </c>
      <c r="BL543" t="s">
        <v>128</v>
      </c>
      <c r="BR543">
        <v>0.75</v>
      </c>
      <c r="BT543">
        <v>5.88</v>
      </c>
      <c r="CA543">
        <v>4105</v>
      </c>
      <c r="CB543" t="s">
        <v>279</v>
      </c>
      <c r="CL543" t="s">
        <v>99</v>
      </c>
      <c r="CM543" t="s">
        <v>99</v>
      </c>
      <c r="CN543" t="s">
        <v>442</v>
      </c>
      <c r="CO543" s="1">
        <v>42552</v>
      </c>
      <c r="CP543" s="1">
        <v>43633</v>
      </c>
    </row>
    <row r="544" spans="1:94" x14ac:dyDescent="0.25">
      <c r="A544" t="s">
        <v>1852</v>
      </c>
      <c r="B544" t="str">
        <f xml:space="preserve"> "" &amp; 747396091259</f>
        <v>747396091259</v>
      </c>
      <c r="C544" t="s">
        <v>376</v>
      </c>
      <c r="D544" t="s">
        <v>1853</v>
      </c>
      <c r="E544" t="s">
        <v>1829</v>
      </c>
      <c r="F544" t="s">
        <v>377</v>
      </c>
      <c r="G544">
        <v>1</v>
      </c>
      <c r="H544">
        <v>1</v>
      </c>
      <c r="I544" t="s">
        <v>97</v>
      </c>
      <c r="J544" s="10">
        <v>65</v>
      </c>
      <c r="K544" s="10">
        <v>195</v>
      </c>
      <c r="L544" s="10">
        <v>0</v>
      </c>
      <c r="N544" s="10">
        <v>0</v>
      </c>
      <c r="O544" t="s">
        <v>99</v>
      </c>
      <c r="P544" s="10">
        <v>99.95</v>
      </c>
      <c r="S544">
        <v>10</v>
      </c>
      <c r="T544">
        <v>15</v>
      </c>
      <c r="U544">
        <v>15</v>
      </c>
      <c r="W544">
        <v>4.03</v>
      </c>
      <c r="Y544">
        <v>9</v>
      </c>
      <c r="Z544">
        <v>16</v>
      </c>
      <c r="AA544">
        <v>16</v>
      </c>
      <c r="AB544">
        <v>1.333</v>
      </c>
      <c r="AC544">
        <v>6.22</v>
      </c>
      <c r="AE544">
        <v>3</v>
      </c>
      <c r="AF544" t="s">
        <v>282</v>
      </c>
      <c r="AG544">
        <v>60</v>
      </c>
      <c r="AK544" t="s">
        <v>98</v>
      </c>
      <c r="AM544" t="s">
        <v>98</v>
      </c>
      <c r="AN544" t="s">
        <v>99</v>
      </c>
      <c r="AO544" t="s">
        <v>98</v>
      </c>
      <c r="AP544" t="s">
        <v>100</v>
      </c>
      <c r="AQ544" t="s">
        <v>101</v>
      </c>
      <c r="AV544" t="s">
        <v>98</v>
      </c>
      <c r="AX544" t="s">
        <v>276</v>
      </c>
      <c r="AZ544" t="s">
        <v>102</v>
      </c>
      <c r="BB544" t="s">
        <v>197</v>
      </c>
      <c r="BC544" t="s">
        <v>1854</v>
      </c>
      <c r="BD544" t="s">
        <v>7528</v>
      </c>
      <c r="BF544" t="s">
        <v>1855</v>
      </c>
      <c r="BG544" t="s">
        <v>98</v>
      </c>
      <c r="BH544" t="s">
        <v>98</v>
      </c>
      <c r="BI544" t="s">
        <v>98</v>
      </c>
      <c r="BK544" t="s">
        <v>127</v>
      </c>
      <c r="BL544" t="s">
        <v>7528</v>
      </c>
      <c r="BQ544">
        <v>6</v>
      </c>
      <c r="BR544">
        <v>0.75</v>
      </c>
      <c r="BS544">
        <v>6</v>
      </c>
      <c r="BT544">
        <v>6</v>
      </c>
      <c r="CA544">
        <v>4107</v>
      </c>
      <c r="CB544" t="s">
        <v>276</v>
      </c>
      <c r="CL544" t="s">
        <v>99</v>
      </c>
      <c r="CM544" t="s">
        <v>98</v>
      </c>
      <c r="CN544" t="s">
        <v>1403</v>
      </c>
      <c r="CO544" s="1">
        <v>41650</v>
      </c>
      <c r="CP544" s="1">
        <v>43633</v>
      </c>
    </row>
    <row r="545" spans="1:94" x14ac:dyDescent="0.25">
      <c r="A545" t="s">
        <v>1856</v>
      </c>
      <c r="B545" t="str">
        <f xml:space="preserve"> "" &amp; 747396802329</f>
        <v>747396802329</v>
      </c>
      <c r="C545" t="s">
        <v>1395</v>
      </c>
      <c r="D545" t="s">
        <v>1857</v>
      </c>
      <c r="E545" t="s">
        <v>1829</v>
      </c>
      <c r="F545" t="s">
        <v>377</v>
      </c>
      <c r="G545">
        <v>1</v>
      </c>
      <c r="H545">
        <v>1</v>
      </c>
      <c r="I545" t="s">
        <v>97</v>
      </c>
      <c r="J545" s="10">
        <v>65</v>
      </c>
      <c r="K545" s="10">
        <v>195</v>
      </c>
      <c r="L545" s="10">
        <v>0</v>
      </c>
      <c r="N545" s="10">
        <v>0</v>
      </c>
      <c r="S545">
        <v>10</v>
      </c>
      <c r="T545">
        <v>15</v>
      </c>
      <c r="U545">
        <v>15</v>
      </c>
      <c r="W545">
        <v>4.17</v>
      </c>
      <c r="Y545">
        <v>9</v>
      </c>
      <c r="Z545">
        <v>16</v>
      </c>
      <c r="AA545">
        <v>16</v>
      </c>
      <c r="AB545">
        <v>1.333</v>
      </c>
      <c r="AC545">
        <v>6.22</v>
      </c>
      <c r="AE545">
        <v>3</v>
      </c>
      <c r="AF545" t="s">
        <v>598</v>
      </c>
      <c r="AG545">
        <v>60</v>
      </c>
      <c r="AK545" t="s">
        <v>98</v>
      </c>
      <c r="AM545" t="s">
        <v>98</v>
      </c>
      <c r="AN545" t="s">
        <v>99</v>
      </c>
      <c r="AO545" t="s">
        <v>98</v>
      </c>
      <c r="AP545" t="s">
        <v>100</v>
      </c>
      <c r="AQ545" t="s">
        <v>101</v>
      </c>
      <c r="AV545" t="s">
        <v>98</v>
      </c>
      <c r="AX545" t="s">
        <v>279</v>
      </c>
      <c r="AZ545" t="s">
        <v>102</v>
      </c>
      <c r="BB545" t="s">
        <v>197</v>
      </c>
      <c r="BC545" t="s">
        <v>1845</v>
      </c>
      <c r="BD545" t="s">
        <v>7528</v>
      </c>
      <c r="BF545" t="s">
        <v>1858</v>
      </c>
      <c r="BG545" t="s">
        <v>98</v>
      </c>
      <c r="BH545" t="s">
        <v>98</v>
      </c>
      <c r="BI545" t="s">
        <v>98</v>
      </c>
      <c r="BK545" t="s">
        <v>127</v>
      </c>
      <c r="BL545" t="s">
        <v>7528</v>
      </c>
      <c r="BQ545">
        <v>6</v>
      </c>
      <c r="BR545">
        <v>0.75</v>
      </c>
      <c r="BS545">
        <v>6</v>
      </c>
      <c r="BT545">
        <v>6</v>
      </c>
      <c r="CA545">
        <v>4107</v>
      </c>
      <c r="CB545" t="s">
        <v>279</v>
      </c>
      <c r="CL545" t="s">
        <v>99</v>
      </c>
      <c r="CM545" t="s">
        <v>98</v>
      </c>
      <c r="CN545" t="s">
        <v>1403</v>
      </c>
      <c r="CO545" s="1">
        <v>42552</v>
      </c>
      <c r="CP545" s="1">
        <v>43633</v>
      </c>
    </row>
    <row r="546" spans="1:94" x14ac:dyDescent="0.25">
      <c r="A546" t="s">
        <v>1859</v>
      </c>
      <c r="B546" t="str">
        <f xml:space="preserve"> "" &amp; 747396091242</f>
        <v>747396091242</v>
      </c>
      <c r="C546" t="s">
        <v>350</v>
      </c>
      <c r="D546" t="s">
        <v>1860</v>
      </c>
      <c r="E546" t="s">
        <v>1829</v>
      </c>
      <c r="F546" t="s">
        <v>249</v>
      </c>
      <c r="G546">
        <v>1</v>
      </c>
      <c r="H546">
        <v>1</v>
      </c>
      <c r="I546" t="s">
        <v>97</v>
      </c>
      <c r="J546" s="10">
        <v>239</v>
      </c>
      <c r="K546" s="10">
        <v>717</v>
      </c>
      <c r="L546" s="10">
        <v>0</v>
      </c>
      <c r="N546" s="10">
        <v>0</v>
      </c>
      <c r="O546" t="s">
        <v>99</v>
      </c>
      <c r="P546" s="10">
        <v>479.95</v>
      </c>
      <c r="S546">
        <v>28.5</v>
      </c>
      <c r="T546">
        <v>31.5</v>
      </c>
      <c r="U546">
        <v>31.5</v>
      </c>
      <c r="W546">
        <v>23.04</v>
      </c>
      <c r="Y546">
        <v>29</v>
      </c>
      <c r="Z546">
        <v>31.5</v>
      </c>
      <c r="AA546">
        <v>13</v>
      </c>
      <c r="AB546">
        <v>6.8719999999999999</v>
      </c>
      <c r="AC546">
        <v>33.07</v>
      </c>
      <c r="AE546">
        <v>9</v>
      </c>
      <c r="AF546" t="s">
        <v>1012</v>
      </c>
      <c r="AG546">
        <v>100</v>
      </c>
      <c r="AK546" t="s">
        <v>98</v>
      </c>
      <c r="AM546" t="s">
        <v>98</v>
      </c>
      <c r="AN546" t="s">
        <v>99</v>
      </c>
      <c r="AO546" t="s">
        <v>98</v>
      </c>
      <c r="AP546" t="s">
        <v>100</v>
      </c>
      <c r="AQ546" t="s">
        <v>101</v>
      </c>
      <c r="AV546" t="s">
        <v>98</v>
      </c>
      <c r="AX546" t="s">
        <v>276</v>
      </c>
      <c r="AZ546" t="s">
        <v>102</v>
      </c>
      <c r="BB546" t="s">
        <v>235</v>
      </c>
      <c r="BC546" t="s">
        <v>561</v>
      </c>
      <c r="BD546" t="s">
        <v>7528</v>
      </c>
      <c r="BF546" t="s">
        <v>1861</v>
      </c>
      <c r="BG546" t="s">
        <v>98</v>
      </c>
      <c r="BH546" t="s">
        <v>98</v>
      </c>
      <c r="BI546" t="s">
        <v>98</v>
      </c>
      <c r="BK546" t="s">
        <v>110</v>
      </c>
      <c r="BL546" t="s">
        <v>128</v>
      </c>
      <c r="BQ546">
        <v>5.88</v>
      </c>
      <c r="BR546">
        <v>0.75</v>
      </c>
      <c r="BS546">
        <v>5.88</v>
      </c>
      <c r="BT546">
        <v>5.88</v>
      </c>
      <c r="CA546">
        <v>4109</v>
      </c>
      <c r="CB546" t="s">
        <v>276</v>
      </c>
      <c r="CL546" t="s">
        <v>99</v>
      </c>
      <c r="CM546" t="s">
        <v>98</v>
      </c>
      <c r="CN546" t="s">
        <v>442</v>
      </c>
      <c r="CO546" s="1">
        <v>41605</v>
      </c>
      <c r="CP546" s="1">
        <v>43633</v>
      </c>
    </row>
    <row r="547" spans="1:94" x14ac:dyDescent="0.25">
      <c r="A547" t="s">
        <v>1862</v>
      </c>
      <c r="B547" t="str">
        <f xml:space="preserve"> "" &amp; 747396802336</f>
        <v>747396802336</v>
      </c>
      <c r="C547" t="s">
        <v>350</v>
      </c>
      <c r="D547" t="s">
        <v>1860</v>
      </c>
      <c r="E547" t="s">
        <v>1829</v>
      </c>
      <c r="F547" t="s">
        <v>249</v>
      </c>
      <c r="G547">
        <v>1</v>
      </c>
      <c r="H547">
        <v>1</v>
      </c>
      <c r="I547" t="s">
        <v>97</v>
      </c>
      <c r="J547" s="10">
        <v>239</v>
      </c>
      <c r="K547" s="10">
        <v>717</v>
      </c>
      <c r="L547" s="10">
        <v>0</v>
      </c>
      <c r="N547" s="10">
        <v>0</v>
      </c>
      <c r="O547" t="s">
        <v>99</v>
      </c>
      <c r="P547" s="10">
        <v>479.95</v>
      </c>
      <c r="S547">
        <v>28.5</v>
      </c>
      <c r="T547">
        <v>31.5</v>
      </c>
      <c r="U547">
        <v>31.5</v>
      </c>
      <c r="W547">
        <v>24.34</v>
      </c>
      <c r="Y547">
        <v>29</v>
      </c>
      <c r="Z547">
        <v>31.5</v>
      </c>
      <c r="AA547">
        <v>13</v>
      </c>
      <c r="AB547">
        <v>6.8719999999999999</v>
      </c>
      <c r="AC547">
        <v>34.94</v>
      </c>
      <c r="AE547">
        <v>9</v>
      </c>
      <c r="AF547" t="s">
        <v>282</v>
      </c>
      <c r="AG547">
        <v>100</v>
      </c>
      <c r="AK547" t="s">
        <v>98</v>
      </c>
      <c r="AM547" t="s">
        <v>98</v>
      </c>
      <c r="AN547" t="s">
        <v>99</v>
      </c>
      <c r="AO547" t="s">
        <v>98</v>
      </c>
      <c r="AP547" t="s">
        <v>100</v>
      </c>
      <c r="AQ547" t="s">
        <v>101</v>
      </c>
      <c r="AV547" t="s">
        <v>98</v>
      </c>
      <c r="AX547" t="s">
        <v>279</v>
      </c>
      <c r="AZ547" t="s">
        <v>102</v>
      </c>
      <c r="BB547" t="s">
        <v>235</v>
      </c>
      <c r="BC547" t="s">
        <v>561</v>
      </c>
      <c r="BD547" t="s">
        <v>7528</v>
      </c>
      <c r="BF547" t="s">
        <v>1863</v>
      </c>
      <c r="BG547" t="s">
        <v>98</v>
      </c>
      <c r="BH547" t="s">
        <v>98</v>
      </c>
      <c r="BI547" t="s">
        <v>98</v>
      </c>
      <c r="BK547" t="s">
        <v>110</v>
      </c>
      <c r="BL547" t="s">
        <v>128</v>
      </c>
      <c r="BQ547">
        <v>5.88</v>
      </c>
      <c r="BR547">
        <v>0.75</v>
      </c>
      <c r="BS547">
        <v>5.88</v>
      </c>
      <c r="BT547">
        <v>5.88</v>
      </c>
      <c r="CA547">
        <v>4109</v>
      </c>
      <c r="CB547" t="s">
        <v>279</v>
      </c>
      <c r="CL547" t="s">
        <v>99</v>
      </c>
      <c r="CM547" t="s">
        <v>98</v>
      </c>
      <c r="CN547" t="s">
        <v>442</v>
      </c>
      <c r="CO547" s="1">
        <v>42552</v>
      </c>
      <c r="CP547" s="1">
        <v>43633</v>
      </c>
    </row>
    <row r="548" spans="1:94" x14ac:dyDescent="0.25">
      <c r="A548" t="s">
        <v>1866</v>
      </c>
      <c r="B548" t="str">
        <f xml:space="preserve"> "" &amp; 747396069258</f>
        <v>747396069258</v>
      </c>
      <c r="C548" t="s">
        <v>239</v>
      </c>
      <c r="D548" t="s">
        <v>1867</v>
      </c>
      <c r="E548" t="s">
        <v>1868</v>
      </c>
      <c r="F548" t="s">
        <v>240</v>
      </c>
      <c r="G548">
        <v>1</v>
      </c>
      <c r="H548">
        <v>1</v>
      </c>
      <c r="I548" t="s">
        <v>97</v>
      </c>
      <c r="J548" s="10">
        <v>69</v>
      </c>
      <c r="K548" s="10">
        <v>207</v>
      </c>
      <c r="L548" s="10">
        <v>0</v>
      </c>
      <c r="N548" s="10">
        <v>0</v>
      </c>
      <c r="O548" t="s">
        <v>99</v>
      </c>
      <c r="P548" s="10">
        <v>139.94999999999999</v>
      </c>
      <c r="S548">
        <v>10.25</v>
      </c>
      <c r="T548">
        <v>8.5</v>
      </c>
      <c r="U548">
        <v>8.5</v>
      </c>
      <c r="V548">
        <v>8.5</v>
      </c>
      <c r="W548">
        <v>1.94</v>
      </c>
      <c r="X548">
        <v>1</v>
      </c>
      <c r="Y548">
        <v>7.5</v>
      </c>
      <c r="Z548">
        <v>15</v>
      </c>
      <c r="AA548">
        <v>9.75</v>
      </c>
      <c r="AB548">
        <v>0.63500000000000001</v>
      </c>
      <c r="AC548">
        <v>3.33</v>
      </c>
      <c r="AE548">
        <v>1</v>
      </c>
      <c r="AF548" t="s">
        <v>2629</v>
      </c>
      <c r="AG548">
        <v>60</v>
      </c>
      <c r="AK548" t="s">
        <v>98</v>
      </c>
      <c r="AM548" t="s">
        <v>98</v>
      </c>
      <c r="AN548" t="s">
        <v>98</v>
      </c>
      <c r="AO548" t="s">
        <v>99</v>
      </c>
      <c r="AP548" t="s">
        <v>100</v>
      </c>
      <c r="AQ548" t="s">
        <v>101</v>
      </c>
      <c r="AV548" t="s">
        <v>98</v>
      </c>
      <c r="AX548" t="s">
        <v>279</v>
      </c>
      <c r="AZ548" t="s">
        <v>392</v>
      </c>
      <c r="BB548" t="s">
        <v>235</v>
      </c>
      <c r="BC548" t="s">
        <v>746</v>
      </c>
      <c r="BD548" t="s">
        <v>7528</v>
      </c>
      <c r="BF548" t="s">
        <v>1869</v>
      </c>
      <c r="BG548" t="s">
        <v>98</v>
      </c>
      <c r="BH548" t="s">
        <v>98</v>
      </c>
      <c r="BI548" t="s">
        <v>98</v>
      </c>
      <c r="BK548" t="s">
        <v>110</v>
      </c>
      <c r="BL548" t="s">
        <v>128</v>
      </c>
      <c r="BQ548">
        <v>5</v>
      </c>
      <c r="BR548">
        <v>1</v>
      </c>
      <c r="BS548">
        <v>5</v>
      </c>
      <c r="BT548">
        <v>5</v>
      </c>
      <c r="CA548">
        <v>4130</v>
      </c>
      <c r="CB548" t="s">
        <v>279</v>
      </c>
      <c r="CL548" t="s">
        <v>99</v>
      </c>
      <c r="CM548" t="s">
        <v>99</v>
      </c>
      <c r="CN548" t="s">
        <v>442</v>
      </c>
      <c r="CO548" s="1">
        <v>41498</v>
      </c>
      <c r="CP548" s="1">
        <v>43633</v>
      </c>
    </row>
    <row r="549" spans="1:94" x14ac:dyDescent="0.25">
      <c r="A549" t="s">
        <v>1870</v>
      </c>
      <c r="B549" t="str">
        <f xml:space="preserve"> "" &amp; 747396086439</f>
        <v>747396086439</v>
      </c>
      <c r="C549" t="s">
        <v>239</v>
      </c>
      <c r="D549" t="s">
        <v>1867</v>
      </c>
      <c r="E549" t="s">
        <v>1868</v>
      </c>
      <c r="F549" t="s">
        <v>240</v>
      </c>
      <c r="G549">
        <v>1</v>
      </c>
      <c r="H549">
        <v>1</v>
      </c>
      <c r="I549" t="s">
        <v>97</v>
      </c>
      <c r="J549" s="10">
        <v>47.5</v>
      </c>
      <c r="K549" s="10">
        <v>142.5</v>
      </c>
      <c r="L549" s="10">
        <v>0</v>
      </c>
      <c r="N549" s="10">
        <v>0</v>
      </c>
      <c r="S549">
        <v>10</v>
      </c>
      <c r="T549">
        <v>5.5</v>
      </c>
      <c r="U549">
        <v>5.5</v>
      </c>
      <c r="V549">
        <v>5.5</v>
      </c>
      <c r="W549">
        <v>2.87</v>
      </c>
      <c r="X549">
        <v>1</v>
      </c>
      <c r="Y549">
        <v>9</v>
      </c>
      <c r="Z549">
        <v>14.5</v>
      </c>
      <c r="AA549">
        <v>8.25</v>
      </c>
      <c r="AB549">
        <v>0.623</v>
      </c>
      <c r="AC549">
        <v>4.3899999999999997</v>
      </c>
      <c r="AE549">
        <v>1</v>
      </c>
      <c r="AF549" t="s">
        <v>745</v>
      </c>
      <c r="AG549">
        <v>40</v>
      </c>
      <c r="AK549" t="s">
        <v>98</v>
      </c>
      <c r="AM549" t="s">
        <v>98</v>
      </c>
      <c r="AN549" t="s">
        <v>98</v>
      </c>
      <c r="AO549" t="s">
        <v>99</v>
      </c>
      <c r="AP549" t="s">
        <v>100</v>
      </c>
      <c r="AQ549" t="s">
        <v>101</v>
      </c>
      <c r="AV549" t="s">
        <v>98</v>
      </c>
      <c r="AX549" t="s">
        <v>279</v>
      </c>
      <c r="AZ549" t="s">
        <v>392</v>
      </c>
      <c r="BB549" t="s">
        <v>7528</v>
      </c>
      <c r="BC549" t="s">
        <v>7528</v>
      </c>
      <c r="BD549" t="s">
        <v>7528</v>
      </c>
      <c r="BF549" t="s">
        <v>1871</v>
      </c>
      <c r="BG549" t="s">
        <v>98</v>
      </c>
      <c r="BH549" t="s">
        <v>98</v>
      </c>
      <c r="BI549" t="s">
        <v>98</v>
      </c>
      <c r="BK549" t="s">
        <v>110</v>
      </c>
      <c r="BL549" t="s">
        <v>7528</v>
      </c>
      <c r="BR549">
        <v>1</v>
      </c>
      <c r="BT549">
        <v>4.88</v>
      </c>
      <c r="CA549">
        <v>4131</v>
      </c>
      <c r="CB549" t="s">
        <v>279</v>
      </c>
      <c r="CL549" t="s">
        <v>99</v>
      </c>
      <c r="CM549" t="s">
        <v>99</v>
      </c>
      <c r="CN549" t="s">
        <v>692</v>
      </c>
      <c r="CO549" s="1">
        <v>41486</v>
      </c>
      <c r="CP549" s="1">
        <v>43633</v>
      </c>
    </row>
    <row r="550" spans="1:94" x14ac:dyDescent="0.25">
      <c r="A550" t="s">
        <v>1872</v>
      </c>
      <c r="B550" t="str">
        <f xml:space="preserve"> "" &amp; 747396069463</f>
        <v>747396069463</v>
      </c>
      <c r="C550" t="s">
        <v>1346</v>
      </c>
      <c r="D550" t="s">
        <v>1873</v>
      </c>
      <c r="E550" t="s">
        <v>1868</v>
      </c>
      <c r="F550" t="s">
        <v>478</v>
      </c>
      <c r="G550">
        <v>1</v>
      </c>
      <c r="H550">
        <v>1</v>
      </c>
      <c r="I550" t="s">
        <v>97</v>
      </c>
      <c r="J550" s="10">
        <v>137</v>
      </c>
      <c r="K550" s="10">
        <v>411</v>
      </c>
      <c r="L550" s="10">
        <v>0</v>
      </c>
      <c r="N550" s="10">
        <v>0</v>
      </c>
      <c r="O550" t="s">
        <v>99</v>
      </c>
      <c r="P550" s="10">
        <v>274.95</v>
      </c>
      <c r="S550">
        <v>5.75</v>
      </c>
      <c r="T550">
        <v>15</v>
      </c>
      <c r="U550">
        <v>15</v>
      </c>
      <c r="W550">
        <v>7.21</v>
      </c>
      <c r="X550">
        <v>1</v>
      </c>
      <c r="Y550">
        <v>8.25</v>
      </c>
      <c r="Z550">
        <v>17</v>
      </c>
      <c r="AA550">
        <v>17</v>
      </c>
      <c r="AB550">
        <v>1.38</v>
      </c>
      <c r="AC550">
        <v>9.17</v>
      </c>
      <c r="AE550">
        <v>3</v>
      </c>
      <c r="AF550" t="s">
        <v>745</v>
      </c>
      <c r="AG550">
        <v>40</v>
      </c>
      <c r="AK550" t="s">
        <v>98</v>
      </c>
      <c r="AM550" t="s">
        <v>98</v>
      </c>
      <c r="AN550" t="s">
        <v>98</v>
      </c>
      <c r="AO550" t="s">
        <v>99</v>
      </c>
      <c r="AP550" t="s">
        <v>100</v>
      </c>
      <c r="AQ550" t="s">
        <v>101</v>
      </c>
      <c r="AV550" t="s">
        <v>98</v>
      </c>
      <c r="AX550" t="s">
        <v>279</v>
      </c>
      <c r="AZ550" t="s">
        <v>392</v>
      </c>
      <c r="BB550" t="s">
        <v>692</v>
      </c>
      <c r="BC550" t="s">
        <v>279</v>
      </c>
      <c r="BD550" t="s">
        <v>7528</v>
      </c>
      <c r="BF550" t="s">
        <v>1874</v>
      </c>
      <c r="BG550" t="s">
        <v>98</v>
      </c>
      <c r="BH550" t="s">
        <v>98</v>
      </c>
      <c r="BI550" t="s">
        <v>98</v>
      </c>
      <c r="BK550" t="s">
        <v>127</v>
      </c>
      <c r="BL550" t="s">
        <v>128</v>
      </c>
      <c r="BQ550">
        <v>13</v>
      </c>
      <c r="BR550">
        <v>0.75</v>
      </c>
      <c r="BS550">
        <v>13</v>
      </c>
      <c r="BT550">
        <v>13</v>
      </c>
      <c r="CA550">
        <v>4133</v>
      </c>
      <c r="CB550" t="s">
        <v>279</v>
      </c>
      <c r="CL550" t="s">
        <v>99</v>
      </c>
      <c r="CM550" t="s">
        <v>98</v>
      </c>
      <c r="CN550" t="s">
        <v>692</v>
      </c>
      <c r="CO550" s="1">
        <v>41486</v>
      </c>
      <c r="CP550" s="1">
        <v>43633</v>
      </c>
    </row>
    <row r="551" spans="1:94" x14ac:dyDescent="0.25">
      <c r="A551" t="s">
        <v>1875</v>
      </c>
      <c r="B551" t="str">
        <f xml:space="preserve"> "" &amp; 747396069456</f>
        <v>747396069456</v>
      </c>
      <c r="C551" t="s">
        <v>1876</v>
      </c>
      <c r="D551" t="s">
        <v>1877</v>
      </c>
      <c r="E551" t="s">
        <v>1868</v>
      </c>
      <c r="F551" t="s">
        <v>377</v>
      </c>
      <c r="G551">
        <v>1</v>
      </c>
      <c r="H551">
        <v>1</v>
      </c>
      <c r="I551" t="s">
        <v>97</v>
      </c>
      <c r="J551" s="10">
        <v>149.94999999999999</v>
      </c>
      <c r="K551" s="10">
        <v>449.85</v>
      </c>
      <c r="L551" s="10">
        <v>0</v>
      </c>
      <c r="N551" s="10">
        <v>0</v>
      </c>
      <c r="O551" t="s">
        <v>99</v>
      </c>
      <c r="P551" s="10">
        <v>299.95</v>
      </c>
      <c r="S551">
        <v>11</v>
      </c>
      <c r="T551">
        <v>19</v>
      </c>
      <c r="U551">
        <v>19</v>
      </c>
      <c r="W551">
        <v>3.92</v>
      </c>
      <c r="X551">
        <v>1</v>
      </c>
      <c r="Y551">
        <v>6.5</v>
      </c>
      <c r="Z551">
        <v>21.25</v>
      </c>
      <c r="AA551">
        <v>21.25</v>
      </c>
      <c r="AB551">
        <v>1.6990000000000001</v>
      </c>
      <c r="AC551">
        <v>6.55</v>
      </c>
      <c r="AE551">
        <v>4</v>
      </c>
      <c r="AF551" t="s">
        <v>745</v>
      </c>
      <c r="AG551">
        <v>40</v>
      </c>
      <c r="AK551" t="s">
        <v>98</v>
      </c>
      <c r="AM551" t="s">
        <v>98</v>
      </c>
      <c r="AN551" t="s">
        <v>98</v>
      </c>
      <c r="AO551" t="s">
        <v>99</v>
      </c>
      <c r="AP551" t="s">
        <v>100</v>
      </c>
      <c r="AQ551" t="s">
        <v>101</v>
      </c>
      <c r="AV551" t="s">
        <v>98</v>
      </c>
      <c r="AX551" t="s">
        <v>279</v>
      </c>
      <c r="AZ551" t="s">
        <v>392</v>
      </c>
      <c r="BB551" t="s">
        <v>7528</v>
      </c>
      <c r="BC551" t="s">
        <v>7528</v>
      </c>
      <c r="BD551" t="s">
        <v>7528</v>
      </c>
      <c r="BF551" t="s">
        <v>1878</v>
      </c>
      <c r="BG551" t="s">
        <v>98</v>
      </c>
      <c r="BH551" t="s">
        <v>98</v>
      </c>
      <c r="BI551" t="s">
        <v>98</v>
      </c>
      <c r="BK551" t="s">
        <v>127</v>
      </c>
      <c r="BL551" t="s">
        <v>128</v>
      </c>
      <c r="BQ551">
        <v>5.5</v>
      </c>
      <c r="BR551">
        <v>0.75</v>
      </c>
      <c r="BS551">
        <v>5.5</v>
      </c>
      <c r="BT551">
        <v>5.5</v>
      </c>
      <c r="CA551">
        <v>4134</v>
      </c>
      <c r="CB551" t="s">
        <v>279</v>
      </c>
      <c r="CL551" t="s">
        <v>99</v>
      </c>
      <c r="CM551" t="s">
        <v>98</v>
      </c>
      <c r="CN551" t="s">
        <v>692</v>
      </c>
      <c r="CO551" s="1">
        <v>41487</v>
      </c>
      <c r="CP551" s="1">
        <v>43633</v>
      </c>
    </row>
    <row r="552" spans="1:94" x14ac:dyDescent="0.25">
      <c r="A552" t="s">
        <v>1879</v>
      </c>
      <c r="B552" t="str">
        <f xml:space="preserve"> "" &amp; 747396095059</f>
        <v>747396095059</v>
      </c>
      <c r="C552" t="s">
        <v>850</v>
      </c>
      <c r="D552" t="s">
        <v>850</v>
      </c>
      <c r="E552" t="s">
        <v>7528</v>
      </c>
      <c r="F552" t="s">
        <v>249</v>
      </c>
      <c r="G552">
        <v>1</v>
      </c>
      <c r="H552">
        <v>1</v>
      </c>
      <c r="I552" t="s">
        <v>97</v>
      </c>
      <c r="J552" s="10">
        <v>149</v>
      </c>
      <c r="K552" s="10">
        <v>447</v>
      </c>
      <c r="L552" s="10">
        <v>0</v>
      </c>
      <c r="N552" s="10">
        <v>0</v>
      </c>
      <c r="O552" t="s">
        <v>99</v>
      </c>
      <c r="P552" s="10">
        <v>314.95</v>
      </c>
      <c r="S552">
        <v>10.25</v>
      </c>
      <c r="T552">
        <v>19.75</v>
      </c>
      <c r="U552">
        <v>19.75</v>
      </c>
      <c r="W552">
        <v>10.14</v>
      </c>
      <c r="Y552">
        <v>14</v>
      </c>
      <c r="Z552">
        <v>23.5</v>
      </c>
      <c r="AA552">
        <v>23.5</v>
      </c>
      <c r="AB552">
        <v>4.4740000000000002</v>
      </c>
      <c r="AC552">
        <v>15.21</v>
      </c>
      <c r="AE552">
        <v>5</v>
      </c>
      <c r="AF552" t="s">
        <v>1880</v>
      </c>
      <c r="AG552">
        <v>60</v>
      </c>
      <c r="AK552" t="s">
        <v>98</v>
      </c>
      <c r="AM552" t="s">
        <v>98</v>
      </c>
      <c r="AN552" t="s">
        <v>99</v>
      </c>
      <c r="AO552" t="s">
        <v>98</v>
      </c>
      <c r="AP552" t="s">
        <v>100</v>
      </c>
      <c r="AQ552" t="s">
        <v>101</v>
      </c>
      <c r="AV552" t="s">
        <v>98</v>
      </c>
      <c r="AX552" t="s">
        <v>1666</v>
      </c>
      <c r="AZ552" t="s">
        <v>102</v>
      </c>
      <c r="BB552" t="s">
        <v>7528</v>
      </c>
      <c r="BC552" t="s">
        <v>7528</v>
      </c>
      <c r="BD552" t="s">
        <v>7528</v>
      </c>
      <c r="BF552" t="s">
        <v>1881</v>
      </c>
      <c r="BG552" t="s">
        <v>98</v>
      </c>
      <c r="BH552" t="s">
        <v>98</v>
      </c>
      <c r="BI552" t="s">
        <v>98</v>
      </c>
      <c r="BK552" t="s">
        <v>110</v>
      </c>
      <c r="BL552" t="s">
        <v>7528</v>
      </c>
      <c r="BQ552">
        <v>4.75</v>
      </c>
      <c r="BR552">
        <v>0.63</v>
      </c>
      <c r="BS552">
        <v>4.75</v>
      </c>
      <c r="BT552">
        <v>4.75</v>
      </c>
      <c r="CA552">
        <v>4165</v>
      </c>
      <c r="CB552" t="s">
        <v>1666</v>
      </c>
      <c r="CL552" t="s">
        <v>99</v>
      </c>
      <c r="CM552" t="s">
        <v>99</v>
      </c>
      <c r="CN552" t="s">
        <v>1882</v>
      </c>
      <c r="CO552" s="1">
        <v>42111</v>
      </c>
      <c r="CP552" s="1">
        <v>43633</v>
      </c>
    </row>
    <row r="553" spans="1:94" x14ac:dyDescent="0.25">
      <c r="A553" t="s">
        <v>1883</v>
      </c>
      <c r="B553" t="str">
        <f xml:space="preserve"> "" &amp; 747396083247</f>
        <v>747396083247</v>
      </c>
      <c r="C553" t="s">
        <v>318</v>
      </c>
      <c r="D553" t="s">
        <v>1884</v>
      </c>
      <c r="E553" t="s">
        <v>1885</v>
      </c>
      <c r="F553" t="s">
        <v>377</v>
      </c>
      <c r="G553">
        <v>1</v>
      </c>
      <c r="H553">
        <v>1</v>
      </c>
      <c r="I553" t="s">
        <v>97</v>
      </c>
      <c r="J553" s="10">
        <v>77</v>
      </c>
      <c r="K553" s="10">
        <v>231</v>
      </c>
      <c r="L553" s="10">
        <v>0</v>
      </c>
      <c r="N553" s="10">
        <v>0</v>
      </c>
      <c r="O553" t="s">
        <v>99</v>
      </c>
      <c r="P553" s="10">
        <v>129.94999999999999</v>
      </c>
      <c r="S553">
        <v>10.75</v>
      </c>
      <c r="T553">
        <v>13.5</v>
      </c>
      <c r="U553">
        <v>13.5</v>
      </c>
      <c r="W553">
        <v>6.06</v>
      </c>
      <c r="Y553">
        <v>9.75</v>
      </c>
      <c r="Z553">
        <v>16</v>
      </c>
      <c r="AA553">
        <v>16</v>
      </c>
      <c r="AB553">
        <v>1.444</v>
      </c>
      <c r="AC553">
        <v>7.96</v>
      </c>
      <c r="AE553">
        <v>2</v>
      </c>
      <c r="AF553" t="s">
        <v>282</v>
      </c>
      <c r="AG553">
        <v>60</v>
      </c>
      <c r="AK553" t="s">
        <v>98</v>
      </c>
      <c r="AM553" t="s">
        <v>98</v>
      </c>
      <c r="AN553" t="s">
        <v>98</v>
      </c>
      <c r="AO553" t="s">
        <v>99</v>
      </c>
      <c r="AP553" t="s">
        <v>100</v>
      </c>
      <c r="AQ553" t="s">
        <v>101</v>
      </c>
      <c r="AV553" t="s">
        <v>98</v>
      </c>
      <c r="AX553" t="s">
        <v>560</v>
      </c>
      <c r="AZ553" t="s">
        <v>102</v>
      </c>
      <c r="BB553" t="s">
        <v>235</v>
      </c>
      <c r="BC553" t="s">
        <v>561</v>
      </c>
      <c r="BD553" t="s">
        <v>7528</v>
      </c>
      <c r="BF553" t="s">
        <v>1886</v>
      </c>
      <c r="BG553" t="s">
        <v>98</v>
      </c>
      <c r="BH553" t="s">
        <v>98</v>
      </c>
      <c r="BI553" t="s">
        <v>98</v>
      </c>
      <c r="BK553" t="s">
        <v>127</v>
      </c>
      <c r="BL553" t="s">
        <v>7528</v>
      </c>
      <c r="BQ553">
        <v>6.25</v>
      </c>
      <c r="BR553">
        <v>2.38</v>
      </c>
      <c r="BS553">
        <v>6.25</v>
      </c>
      <c r="BT553">
        <v>6.25</v>
      </c>
      <c r="CA553">
        <v>4172</v>
      </c>
      <c r="CB553" t="s">
        <v>560</v>
      </c>
      <c r="CL553" t="s">
        <v>99</v>
      </c>
      <c r="CM553" t="s">
        <v>98</v>
      </c>
      <c r="CN553" t="s">
        <v>592</v>
      </c>
      <c r="CO553" s="1">
        <v>40422</v>
      </c>
      <c r="CP553" s="1">
        <v>43633</v>
      </c>
    </row>
    <row r="554" spans="1:94" x14ac:dyDescent="0.25">
      <c r="A554" t="s">
        <v>1887</v>
      </c>
      <c r="B554" t="str">
        <f xml:space="preserve"> "" &amp; 747396039169</f>
        <v>747396039169</v>
      </c>
      <c r="C554" t="s">
        <v>318</v>
      </c>
      <c r="D554" t="s">
        <v>1884</v>
      </c>
      <c r="E554" t="s">
        <v>1885</v>
      </c>
      <c r="F554" t="s">
        <v>377</v>
      </c>
      <c r="G554">
        <v>1</v>
      </c>
      <c r="H554">
        <v>1</v>
      </c>
      <c r="I554" t="s">
        <v>97</v>
      </c>
      <c r="J554" s="10">
        <v>77</v>
      </c>
      <c r="K554" s="10">
        <v>231</v>
      </c>
      <c r="L554" s="10">
        <v>0</v>
      </c>
      <c r="N554" s="10">
        <v>0</v>
      </c>
      <c r="S554">
        <v>10.75</v>
      </c>
      <c r="T554">
        <v>13.5</v>
      </c>
      <c r="U554">
        <v>13.5</v>
      </c>
      <c r="W554">
        <v>6.06</v>
      </c>
      <c r="Y554">
        <v>9.75</v>
      </c>
      <c r="Z554">
        <v>16</v>
      </c>
      <c r="AA554">
        <v>16</v>
      </c>
      <c r="AB554">
        <v>1.444</v>
      </c>
      <c r="AC554">
        <v>7.96</v>
      </c>
      <c r="AE554">
        <v>2</v>
      </c>
      <c r="AF554" t="s">
        <v>282</v>
      </c>
      <c r="AG554">
        <v>60</v>
      </c>
      <c r="AK554" t="s">
        <v>98</v>
      </c>
      <c r="AM554" t="s">
        <v>98</v>
      </c>
      <c r="AN554" t="s">
        <v>98</v>
      </c>
      <c r="AO554" t="s">
        <v>99</v>
      </c>
      <c r="AP554" t="s">
        <v>100</v>
      </c>
      <c r="AQ554" t="s">
        <v>101</v>
      </c>
      <c r="AV554" t="s">
        <v>98</v>
      </c>
      <c r="AX554" t="s">
        <v>279</v>
      </c>
      <c r="AZ554" t="s">
        <v>102</v>
      </c>
      <c r="BB554" t="s">
        <v>235</v>
      </c>
      <c r="BC554" t="s">
        <v>808</v>
      </c>
      <c r="BD554" t="s">
        <v>7528</v>
      </c>
      <c r="BF554" t="s">
        <v>1888</v>
      </c>
      <c r="BG554" t="s">
        <v>98</v>
      </c>
      <c r="BH554" t="s">
        <v>98</v>
      </c>
      <c r="BI554" t="s">
        <v>98</v>
      </c>
      <c r="BK554" t="s">
        <v>127</v>
      </c>
      <c r="BL554" t="s">
        <v>7528</v>
      </c>
      <c r="BQ554">
        <v>6.25</v>
      </c>
      <c r="BR554">
        <v>2.38</v>
      </c>
      <c r="BS554">
        <v>6.25</v>
      </c>
      <c r="BT554">
        <v>6.25</v>
      </c>
      <c r="CA554">
        <v>4172</v>
      </c>
      <c r="CB554" t="s">
        <v>279</v>
      </c>
      <c r="CL554" t="s">
        <v>99</v>
      </c>
      <c r="CM554" t="s">
        <v>98</v>
      </c>
      <c r="CN554" t="s">
        <v>442</v>
      </c>
      <c r="CO554" s="1">
        <v>41457</v>
      </c>
      <c r="CP554" s="1">
        <v>43633</v>
      </c>
    </row>
    <row r="555" spans="1:94" x14ac:dyDescent="0.25">
      <c r="A555" t="s">
        <v>1889</v>
      </c>
      <c r="B555" t="str">
        <f xml:space="preserve"> "" &amp; 747396083223</f>
        <v>747396083223</v>
      </c>
      <c r="C555" t="s">
        <v>243</v>
      </c>
      <c r="D555" t="s">
        <v>1890</v>
      </c>
      <c r="E555" t="s">
        <v>1885</v>
      </c>
      <c r="F555" t="s">
        <v>240</v>
      </c>
      <c r="G555">
        <v>1</v>
      </c>
      <c r="H555">
        <v>1</v>
      </c>
      <c r="I555" t="s">
        <v>97</v>
      </c>
      <c r="J555" s="10">
        <v>169</v>
      </c>
      <c r="K555" s="10">
        <v>507</v>
      </c>
      <c r="L555" s="10">
        <v>0</v>
      </c>
      <c r="N555" s="10">
        <v>0</v>
      </c>
      <c r="O555" t="s">
        <v>99</v>
      </c>
      <c r="P555" s="10">
        <v>339.95</v>
      </c>
      <c r="S555">
        <v>18.5</v>
      </c>
      <c r="T555">
        <v>19</v>
      </c>
      <c r="U555">
        <v>19</v>
      </c>
      <c r="W555">
        <v>10.19</v>
      </c>
      <c r="X555">
        <v>1</v>
      </c>
      <c r="Y555">
        <v>6.88</v>
      </c>
      <c r="Z555">
        <v>21</v>
      </c>
      <c r="AA555">
        <v>21</v>
      </c>
      <c r="AB555">
        <v>1.756</v>
      </c>
      <c r="AC555">
        <v>14.7</v>
      </c>
      <c r="AE555">
        <v>3</v>
      </c>
      <c r="AF555" t="s">
        <v>1473</v>
      </c>
      <c r="AG555">
        <v>100</v>
      </c>
      <c r="AK555" t="s">
        <v>98</v>
      </c>
      <c r="AM555" t="s">
        <v>98</v>
      </c>
      <c r="AN555" t="s">
        <v>98</v>
      </c>
      <c r="AO555" t="s">
        <v>99</v>
      </c>
      <c r="AP555" t="s">
        <v>100</v>
      </c>
      <c r="AQ555" t="s">
        <v>101</v>
      </c>
      <c r="AV555" t="s">
        <v>98</v>
      </c>
      <c r="AX555" t="s">
        <v>560</v>
      </c>
      <c r="AZ555" t="s">
        <v>102</v>
      </c>
      <c r="BB555" t="s">
        <v>235</v>
      </c>
      <c r="BC555" t="s">
        <v>1891</v>
      </c>
      <c r="BD555" t="s">
        <v>7528</v>
      </c>
      <c r="BF555" t="s">
        <v>1892</v>
      </c>
      <c r="BG555" t="s">
        <v>98</v>
      </c>
      <c r="BH555" t="s">
        <v>98</v>
      </c>
      <c r="BI555" t="s">
        <v>98</v>
      </c>
      <c r="BK555" t="s">
        <v>110</v>
      </c>
      <c r="BL555" t="s">
        <v>7528</v>
      </c>
      <c r="BQ555">
        <v>6.25</v>
      </c>
      <c r="BR555">
        <v>2.5</v>
      </c>
      <c r="BS555">
        <v>6.25</v>
      </c>
      <c r="BT555">
        <v>6.25</v>
      </c>
      <c r="CA555">
        <v>4173</v>
      </c>
      <c r="CB555" t="s">
        <v>560</v>
      </c>
      <c r="CL555" t="s">
        <v>99</v>
      </c>
      <c r="CM555" t="s">
        <v>99</v>
      </c>
      <c r="CN555" t="s">
        <v>442</v>
      </c>
      <c r="CO555" s="1">
        <v>40422</v>
      </c>
      <c r="CP555" s="1">
        <v>43633</v>
      </c>
    </row>
    <row r="556" spans="1:94" x14ac:dyDescent="0.25">
      <c r="A556" t="s">
        <v>1893</v>
      </c>
      <c r="B556" t="str">
        <f xml:space="preserve"> "" &amp; 747396086583</f>
        <v>747396086583</v>
      </c>
      <c r="C556" t="s">
        <v>243</v>
      </c>
      <c r="D556" t="s">
        <v>1894</v>
      </c>
      <c r="E556" t="s">
        <v>1885</v>
      </c>
      <c r="F556" t="s">
        <v>240</v>
      </c>
      <c r="G556">
        <v>1</v>
      </c>
      <c r="H556">
        <v>1</v>
      </c>
      <c r="I556" t="s">
        <v>97</v>
      </c>
      <c r="J556" s="10">
        <v>169</v>
      </c>
      <c r="K556" s="10">
        <v>507</v>
      </c>
      <c r="L556" s="10">
        <v>0</v>
      </c>
      <c r="N556" s="10">
        <v>0</v>
      </c>
      <c r="O556" t="s">
        <v>99</v>
      </c>
      <c r="P556" s="10">
        <v>339.95</v>
      </c>
      <c r="S556">
        <v>18.5</v>
      </c>
      <c r="T556">
        <v>19</v>
      </c>
      <c r="U556">
        <v>19</v>
      </c>
      <c r="W556">
        <v>10.19</v>
      </c>
      <c r="X556">
        <v>1</v>
      </c>
      <c r="Y556">
        <v>6.88</v>
      </c>
      <c r="Z556">
        <v>21</v>
      </c>
      <c r="AA556">
        <v>21</v>
      </c>
      <c r="AB556">
        <v>1.756</v>
      </c>
      <c r="AC556">
        <v>14.7</v>
      </c>
      <c r="AE556">
        <v>3</v>
      </c>
      <c r="AF556" t="s">
        <v>598</v>
      </c>
      <c r="AG556">
        <v>100</v>
      </c>
      <c r="AK556" t="s">
        <v>98</v>
      </c>
      <c r="AM556" t="s">
        <v>98</v>
      </c>
      <c r="AN556" t="s">
        <v>98</v>
      </c>
      <c r="AO556" t="s">
        <v>99</v>
      </c>
      <c r="AP556" t="s">
        <v>100</v>
      </c>
      <c r="AQ556" t="s">
        <v>101</v>
      </c>
      <c r="AV556" t="s">
        <v>98</v>
      </c>
      <c r="AX556" t="s">
        <v>279</v>
      </c>
      <c r="AZ556" t="s">
        <v>102</v>
      </c>
      <c r="BB556" t="s">
        <v>235</v>
      </c>
      <c r="BC556" t="s">
        <v>1895</v>
      </c>
      <c r="BD556" t="s">
        <v>7528</v>
      </c>
      <c r="BF556" t="s">
        <v>1896</v>
      </c>
      <c r="BG556" t="s">
        <v>98</v>
      </c>
      <c r="BH556" t="s">
        <v>98</v>
      </c>
      <c r="BI556" t="s">
        <v>98</v>
      </c>
      <c r="BK556" t="s">
        <v>110</v>
      </c>
      <c r="BL556" t="s">
        <v>7528</v>
      </c>
      <c r="BQ556">
        <v>6.25</v>
      </c>
      <c r="BR556">
        <v>2.38</v>
      </c>
      <c r="BS556">
        <v>6.25</v>
      </c>
      <c r="BT556">
        <v>6.25</v>
      </c>
      <c r="CA556">
        <v>4173</v>
      </c>
      <c r="CB556" t="s">
        <v>279</v>
      </c>
      <c r="CL556" t="s">
        <v>99</v>
      </c>
      <c r="CM556" t="s">
        <v>99</v>
      </c>
      <c r="CN556" t="s">
        <v>592</v>
      </c>
      <c r="CO556" s="1">
        <v>41407</v>
      </c>
      <c r="CP556" s="1">
        <v>43633</v>
      </c>
    </row>
    <row r="557" spans="1:94" x14ac:dyDescent="0.25">
      <c r="A557" t="s">
        <v>1897</v>
      </c>
      <c r="B557" t="str">
        <f xml:space="preserve"> "" &amp; 747396088402</f>
        <v>747396088402</v>
      </c>
      <c r="C557" t="s">
        <v>376</v>
      </c>
      <c r="D557" t="s">
        <v>1898</v>
      </c>
      <c r="E557" t="s">
        <v>1885</v>
      </c>
      <c r="F557" t="s">
        <v>377</v>
      </c>
      <c r="G557">
        <v>1</v>
      </c>
      <c r="H557">
        <v>1</v>
      </c>
      <c r="I557" t="s">
        <v>97</v>
      </c>
      <c r="J557" s="10">
        <v>134</v>
      </c>
      <c r="K557" s="10">
        <v>402</v>
      </c>
      <c r="L557" s="10">
        <v>0</v>
      </c>
      <c r="N557" s="10">
        <v>0</v>
      </c>
      <c r="O557" t="s">
        <v>99</v>
      </c>
      <c r="P557" s="10">
        <v>269.95</v>
      </c>
      <c r="S557">
        <v>9.75</v>
      </c>
      <c r="T557">
        <v>19</v>
      </c>
      <c r="U557">
        <v>19</v>
      </c>
      <c r="W557">
        <v>6.28</v>
      </c>
      <c r="X557">
        <v>1</v>
      </c>
      <c r="Y557">
        <v>8.75</v>
      </c>
      <c r="Z557">
        <v>21</v>
      </c>
      <c r="AA557">
        <v>21</v>
      </c>
      <c r="AB557">
        <v>2.2330000000000001</v>
      </c>
      <c r="AC557">
        <v>9.7200000000000006</v>
      </c>
      <c r="AE557">
        <v>3</v>
      </c>
      <c r="AF557" t="s">
        <v>282</v>
      </c>
      <c r="AG557">
        <v>100</v>
      </c>
      <c r="AK557" t="s">
        <v>98</v>
      </c>
      <c r="AM557" t="s">
        <v>98</v>
      </c>
      <c r="AN557" t="s">
        <v>98</v>
      </c>
      <c r="AO557" t="s">
        <v>99</v>
      </c>
      <c r="AP557" t="s">
        <v>100</v>
      </c>
      <c r="AQ557" t="s">
        <v>101</v>
      </c>
      <c r="AV557" t="s">
        <v>98</v>
      </c>
      <c r="AX557" t="s">
        <v>560</v>
      </c>
      <c r="AZ557" t="s">
        <v>102</v>
      </c>
      <c r="BB557" t="s">
        <v>235</v>
      </c>
      <c r="BC557" t="s">
        <v>1899</v>
      </c>
      <c r="BD557" t="s">
        <v>7528</v>
      </c>
      <c r="BF557" t="s">
        <v>1900</v>
      </c>
      <c r="BG557" t="s">
        <v>98</v>
      </c>
      <c r="BH557" t="s">
        <v>98</v>
      </c>
      <c r="BI557" t="s">
        <v>98</v>
      </c>
      <c r="BK557" t="s">
        <v>127</v>
      </c>
      <c r="BL557" t="s">
        <v>7528</v>
      </c>
      <c r="BQ557">
        <v>6.25</v>
      </c>
      <c r="BR557">
        <v>2.38</v>
      </c>
      <c r="BS557">
        <v>6.25</v>
      </c>
      <c r="BT557">
        <v>6.25</v>
      </c>
      <c r="CA557">
        <v>4177</v>
      </c>
      <c r="CB557" t="s">
        <v>560</v>
      </c>
      <c r="CL557" t="s">
        <v>99</v>
      </c>
      <c r="CM557" t="s">
        <v>98</v>
      </c>
      <c r="CN557" t="s">
        <v>442</v>
      </c>
      <c r="CO557" s="1">
        <v>40989</v>
      </c>
      <c r="CP557" s="1">
        <v>43633</v>
      </c>
    </row>
    <row r="558" spans="1:94" x14ac:dyDescent="0.25">
      <c r="A558" t="s">
        <v>1901</v>
      </c>
      <c r="B558" t="str">
        <f xml:space="preserve"> "" &amp; 747396801964</f>
        <v>747396801964</v>
      </c>
      <c r="C558" t="s">
        <v>376</v>
      </c>
      <c r="D558" t="s">
        <v>1898</v>
      </c>
      <c r="E558" t="s">
        <v>1885</v>
      </c>
      <c r="F558" t="s">
        <v>377</v>
      </c>
      <c r="G558">
        <v>1</v>
      </c>
      <c r="H558">
        <v>1</v>
      </c>
      <c r="I558" t="s">
        <v>97</v>
      </c>
      <c r="J558" s="10">
        <v>134</v>
      </c>
      <c r="K558" s="10">
        <v>402</v>
      </c>
      <c r="L558" s="10">
        <v>0</v>
      </c>
      <c r="N558" s="10">
        <v>0</v>
      </c>
      <c r="O558" t="s">
        <v>99</v>
      </c>
      <c r="P558" s="10">
        <v>269.95</v>
      </c>
      <c r="S558">
        <v>9.75</v>
      </c>
      <c r="T558">
        <v>19</v>
      </c>
      <c r="U558">
        <v>19</v>
      </c>
      <c r="W558">
        <v>6.28</v>
      </c>
      <c r="X558">
        <v>1</v>
      </c>
      <c r="Y558">
        <v>8.75</v>
      </c>
      <c r="Z558">
        <v>21</v>
      </c>
      <c r="AA558">
        <v>21</v>
      </c>
      <c r="AB558">
        <v>2.2330000000000001</v>
      </c>
      <c r="AC558">
        <v>9.7200000000000006</v>
      </c>
      <c r="AE558">
        <v>3</v>
      </c>
      <c r="AF558" t="s">
        <v>598</v>
      </c>
      <c r="AG558">
        <v>100</v>
      </c>
      <c r="AK558" t="s">
        <v>98</v>
      </c>
      <c r="AM558" t="s">
        <v>98</v>
      </c>
      <c r="AN558" t="s">
        <v>98</v>
      </c>
      <c r="AO558" t="s">
        <v>99</v>
      </c>
      <c r="AP558" t="s">
        <v>100</v>
      </c>
      <c r="AQ558" t="s">
        <v>101</v>
      </c>
      <c r="AV558" t="s">
        <v>98</v>
      </c>
      <c r="AX558" t="s">
        <v>279</v>
      </c>
      <c r="AZ558" t="s">
        <v>102</v>
      </c>
      <c r="BB558" t="s">
        <v>235</v>
      </c>
      <c r="BC558" t="s">
        <v>1902</v>
      </c>
      <c r="BD558" t="s">
        <v>7528</v>
      </c>
      <c r="BF558" t="s">
        <v>1903</v>
      </c>
      <c r="BG558" t="s">
        <v>98</v>
      </c>
      <c r="BH558" t="s">
        <v>98</v>
      </c>
      <c r="BI558" t="s">
        <v>98</v>
      </c>
      <c r="BK558" t="s">
        <v>127</v>
      </c>
      <c r="BL558" t="s">
        <v>7528</v>
      </c>
      <c r="BQ558">
        <v>6.25</v>
      </c>
      <c r="BR558">
        <v>2.38</v>
      </c>
      <c r="BS558">
        <v>6.25</v>
      </c>
      <c r="BT558">
        <v>6.25</v>
      </c>
      <c r="CA558">
        <v>4177</v>
      </c>
      <c r="CB558" t="s">
        <v>279</v>
      </c>
      <c r="CL558" t="s">
        <v>99</v>
      </c>
      <c r="CM558" t="s">
        <v>98</v>
      </c>
      <c r="CN558" t="s">
        <v>442</v>
      </c>
      <c r="CO558" s="1">
        <v>42019</v>
      </c>
      <c r="CP558" s="1">
        <v>43633</v>
      </c>
    </row>
    <row r="559" spans="1:94" x14ac:dyDescent="0.25">
      <c r="A559" t="s">
        <v>1904</v>
      </c>
      <c r="B559" t="str">
        <f xml:space="preserve"> "" &amp; 747396082943</f>
        <v>747396082943</v>
      </c>
      <c r="C559" t="s">
        <v>678</v>
      </c>
      <c r="D559" t="s">
        <v>1905</v>
      </c>
      <c r="E559" t="s">
        <v>1906</v>
      </c>
      <c r="F559" t="s">
        <v>240</v>
      </c>
      <c r="G559">
        <v>1</v>
      </c>
      <c r="H559">
        <v>1</v>
      </c>
      <c r="I559" t="s">
        <v>97</v>
      </c>
      <c r="J559" s="10">
        <v>69</v>
      </c>
      <c r="K559" s="10">
        <v>207</v>
      </c>
      <c r="L559" s="10">
        <v>0</v>
      </c>
      <c r="N559" s="10">
        <v>0</v>
      </c>
      <c r="S559">
        <v>19</v>
      </c>
      <c r="T559">
        <v>13.75</v>
      </c>
      <c r="U559">
        <v>13.75</v>
      </c>
      <c r="W559">
        <v>7.74</v>
      </c>
      <c r="Y559">
        <v>11.25</v>
      </c>
      <c r="Z559">
        <v>16.5</v>
      </c>
      <c r="AA559">
        <v>16</v>
      </c>
      <c r="AB559">
        <v>1.7190000000000001</v>
      </c>
      <c r="AC559">
        <v>10.49</v>
      </c>
      <c r="AE559">
        <v>1</v>
      </c>
      <c r="AF559" t="s">
        <v>282</v>
      </c>
      <c r="AG559">
        <v>100</v>
      </c>
      <c r="AK559" t="s">
        <v>98</v>
      </c>
      <c r="AM559" t="s">
        <v>98</v>
      </c>
      <c r="AN559" t="s">
        <v>99</v>
      </c>
      <c r="AO559" t="s">
        <v>98</v>
      </c>
      <c r="AP559" t="s">
        <v>100</v>
      </c>
      <c r="AQ559" t="s">
        <v>101</v>
      </c>
      <c r="AV559" t="s">
        <v>98</v>
      </c>
      <c r="AX559" t="s">
        <v>1907</v>
      </c>
      <c r="AZ559" t="s">
        <v>124</v>
      </c>
      <c r="BB559" t="s">
        <v>235</v>
      </c>
      <c r="BC559" t="s">
        <v>1908</v>
      </c>
      <c r="BD559" t="s">
        <v>7528</v>
      </c>
      <c r="BF559" t="s">
        <v>1909</v>
      </c>
      <c r="BG559" t="s">
        <v>98</v>
      </c>
      <c r="BH559" t="s">
        <v>98</v>
      </c>
      <c r="BI559" t="s">
        <v>98</v>
      </c>
      <c r="BK559" t="s">
        <v>110</v>
      </c>
      <c r="BL559" t="s">
        <v>7528</v>
      </c>
      <c r="BR559">
        <v>1.75</v>
      </c>
      <c r="BT559">
        <v>6</v>
      </c>
      <c r="CA559">
        <v>4208</v>
      </c>
      <c r="CB559" t="s">
        <v>1907</v>
      </c>
      <c r="CL559" t="s">
        <v>99</v>
      </c>
      <c r="CM559" t="s">
        <v>99</v>
      </c>
      <c r="CN559" t="s">
        <v>337</v>
      </c>
      <c r="CO559" s="1">
        <v>40854</v>
      </c>
      <c r="CP559" s="1">
        <v>43633</v>
      </c>
    </row>
    <row r="560" spans="1:94" x14ac:dyDescent="0.25">
      <c r="A560" t="s">
        <v>1910</v>
      </c>
      <c r="B560" t="str">
        <f xml:space="preserve"> "" &amp; 747396094953</f>
        <v>747396094953</v>
      </c>
      <c r="C560" t="s">
        <v>807</v>
      </c>
      <c r="D560" t="s">
        <v>1911</v>
      </c>
      <c r="E560" t="s">
        <v>1912</v>
      </c>
      <c r="F560" t="s">
        <v>7532</v>
      </c>
      <c r="G560">
        <v>1</v>
      </c>
      <c r="H560">
        <v>1</v>
      </c>
      <c r="I560" t="s">
        <v>97</v>
      </c>
      <c r="J560" s="10">
        <v>39</v>
      </c>
      <c r="K560" s="10">
        <v>117</v>
      </c>
      <c r="L560" s="10">
        <v>0</v>
      </c>
      <c r="N560" s="10">
        <v>0</v>
      </c>
      <c r="S560">
        <v>5.25</v>
      </c>
      <c r="U560">
        <v>9</v>
      </c>
      <c r="V560">
        <v>3.5</v>
      </c>
      <c r="W560">
        <v>2.91</v>
      </c>
      <c r="Y560">
        <v>7.25</v>
      </c>
      <c r="Z560">
        <v>11.25</v>
      </c>
      <c r="AA560">
        <v>7.63</v>
      </c>
      <c r="AB560">
        <v>0.36</v>
      </c>
      <c r="AC560">
        <v>3.57</v>
      </c>
      <c r="AE560">
        <v>1</v>
      </c>
      <c r="AF560" t="s">
        <v>1913</v>
      </c>
      <c r="AG560">
        <v>14</v>
      </c>
      <c r="AK560" t="s">
        <v>99</v>
      </c>
      <c r="AM560" t="s">
        <v>98</v>
      </c>
      <c r="AN560" t="s">
        <v>99</v>
      </c>
      <c r="AO560" t="s">
        <v>98</v>
      </c>
      <c r="AP560" t="s">
        <v>100</v>
      </c>
      <c r="AQ560" t="s">
        <v>101</v>
      </c>
      <c r="AV560" t="s">
        <v>98</v>
      </c>
      <c r="AX560" t="s">
        <v>399</v>
      </c>
      <c r="AZ560" t="s">
        <v>102</v>
      </c>
      <c r="BB560" t="s">
        <v>235</v>
      </c>
      <c r="BC560" t="s">
        <v>1914</v>
      </c>
      <c r="BD560" t="s">
        <v>7528</v>
      </c>
      <c r="BF560" t="s">
        <v>1915</v>
      </c>
      <c r="BG560" t="s">
        <v>98</v>
      </c>
      <c r="BH560" t="s">
        <v>99</v>
      </c>
      <c r="BI560" t="s">
        <v>98</v>
      </c>
      <c r="BK560" t="s">
        <v>127</v>
      </c>
      <c r="BL560" t="s">
        <v>7528</v>
      </c>
      <c r="BR560">
        <v>4.63</v>
      </c>
      <c r="BT560">
        <v>9</v>
      </c>
      <c r="CA560">
        <v>421</v>
      </c>
      <c r="CB560" t="s">
        <v>399</v>
      </c>
      <c r="CG560">
        <v>3000</v>
      </c>
      <c r="CH560">
        <v>97</v>
      </c>
      <c r="CI560">
        <v>1042.4000000000001</v>
      </c>
      <c r="CJ560">
        <v>813</v>
      </c>
      <c r="CK560">
        <v>30000</v>
      </c>
      <c r="CL560" t="s">
        <v>98</v>
      </c>
      <c r="CM560" t="s">
        <v>98</v>
      </c>
      <c r="CN560" t="s">
        <v>1916</v>
      </c>
      <c r="CO560" s="1">
        <v>41992</v>
      </c>
      <c r="CP560" s="1">
        <v>43633</v>
      </c>
    </row>
    <row r="561" spans="1:94" x14ac:dyDescent="0.25">
      <c r="A561" t="s">
        <v>1923</v>
      </c>
      <c r="B561" t="str">
        <f xml:space="preserve"> "" &amp; 747396077673</f>
        <v>747396077673</v>
      </c>
      <c r="C561" t="s">
        <v>1310</v>
      </c>
      <c r="D561" t="s">
        <v>6614</v>
      </c>
      <c r="E561" t="s">
        <v>1924</v>
      </c>
      <c r="F561" t="s">
        <v>7536</v>
      </c>
      <c r="G561">
        <v>1</v>
      </c>
      <c r="H561">
        <v>1</v>
      </c>
      <c r="I561" t="s">
        <v>97</v>
      </c>
      <c r="J561" s="10">
        <v>25</v>
      </c>
      <c r="K561" s="10">
        <v>75</v>
      </c>
      <c r="L561" s="10">
        <v>0</v>
      </c>
      <c r="N561" s="10">
        <v>0</v>
      </c>
      <c r="S561">
        <v>9.75</v>
      </c>
      <c r="T561">
        <v>9</v>
      </c>
      <c r="U561">
        <v>7</v>
      </c>
      <c r="V561">
        <v>5.5</v>
      </c>
      <c r="W561">
        <v>15.21</v>
      </c>
      <c r="Y561">
        <v>11.5</v>
      </c>
      <c r="Z561">
        <v>9</v>
      </c>
      <c r="AA561">
        <v>7.75</v>
      </c>
      <c r="AB561">
        <v>0.46400000000000002</v>
      </c>
      <c r="AC561">
        <v>22.99</v>
      </c>
      <c r="AE561">
        <v>1</v>
      </c>
      <c r="AF561" t="s">
        <v>1925</v>
      </c>
      <c r="AG561">
        <v>75</v>
      </c>
      <c r="AK561" t="s">
        <v>99</v>
      </c>
      <c r="AL561">
        <v>1</v>
      </c>
      <c r="AM561" t="s">
        <v>98</v>
      </c>
      <c r="AN561" t="s">
        <v>99</v>
      </c>
      <c r="AO561" t="s">
        <v>98</v>
      </c>
      <c r="AP561" t="s">
        <v>100</v>
      </c>
      <c r="AQ561" t="s">
        <v>101</v>
      </c>
      <c r="AV561" t="s">
        <v>98</v>
      </c>
      <c r="AX561" t="s">
        <v>279</v>
      </c>
      <c r="AZ561" t="s">
        <v>124</v>
      </c>
      <c r="BB561" t="s">
        <v>235</v>
      </c>
      <c r="BC561" t="s">
        <v>7603</v>
      </c>
      <c r="BD561" t="s">
        <v>7528</v>
      </c>
      <c r="BF561" t="s">
        <v>1926</v>
      </c>
      <c r="BG561" t="s">
        <v>98</v>
      </c>
      <c r="BH561" t="s">
        <v>98</v>
      </c>
      <c r="BI561" t="s">
        <v>98</v>
      </c>
      <c r="BK561" t="s">
        <v>127</v>
      </c>
      <c r="BL561" t="s">
        <v>236</v>
      </c>
      <c r="BR561">
        <v>7</v>
      </c>
      <c r="BT561">
        <v>4.13</v>
      </c>
      <c r="CA561">
        <v>4221</v>
      </c>
      <c r="CB561" t="s">
        <v>279</v>
      </c>
      <c r="CL561" t="s">
        <v>98</v>
      </c>
      <c r="CM561" t="s">
        <v>98</v>
      </c>
      <c r="CN561" t="s">
        <v>394</v>
      </c>
      <c r="CO561" s="1">
        <v>40518</v>
      </c>
      <c r="CP561" s="1">
        <v>43633</v>
      </c>
    </row>
    <row r="562" spans="1:94" x14ac:dyDescent="0.25">
      <c r="A562" t="s">
        <v>1927</v>
      </c>
      <c r="B562" t="str">
        <f xml:space="preserve"> "" &amp; 840253044587</f>
        <v>840253044587</v>
      </c>
      <c r="C562" t="s">
        <v>1928</v>
      </c>
      <c r="D562" t="s">
        <v>6615</v>
      </c>
      <c r="E562" t="s">
        <v>7528</v>
      </c>
      <c r="F562" t="s">
        <v>358</v>
      </c>
      <c r="G562">
        <v>1</v>
      </c>
      <c r="H562">
        <v>1</v>
      </c>
      <c r="I562" t="s">
        <v>97</v>
      </c>
      <c r="J562" s="10">
        <v>49.95</v>
      </c>
      <c r="K562" s="10">
        <v>149.85</v>
      </c>
      <c r="L562" s="10">
        <v>0</v>
      </c>
      <c r="N562" s="10">
        <v>0</v>
      </c>
      <c r="S562">
        <v>16</v>
      </c>
      <c r="U562">
        <v>6.5</v>
      </c>
      <c r="W562">
        <v>5.29</v>
      </c>
      <c r="Y562">
        <v>9.75</v>
      </c>
      <c r="Z562">
        <v>18</v>
      </c>
      <c r="AA562">
        <v>12.25</v>
      </c>
      <c r="AB562">
        <v>1.244</v>
      </c>
      <c r="AC562">
        <v>6.61</v>
      </c>
      <c r="AE562">
        <v>0</v>
      </c>
      <c r="AF562" t="e">
        <v>#N/A</v>
      </c>
      <c r="AG562">
        <v>0</v>
      </c>
      <c r="AH562">
        <v>0</v>
      </c>
      <c r="AJ562">
        <v>0</v>
      </c>
      <c r="AK562" t="s">
        <v>98</v>
      </c>
      <c r="AM562" t="s">
        <v>98</v>
      </c>
      <c r="AN562" t="s">
        <v>98</v>
      </c>
      <c r="AO562" t="s">
        <v>98</v>
      </c>
      <c r="AP562" t="s">
        <v>100</v>
      </c>
      <c r="AQ562" t="s">
        <v>101</v>
      </c>
      <c r="AV562" t="s">
        <v>98</v>
      </c>
      <c r="AX562" t="s">
        <v>1929</v>
      </c>
      <c r="AZ562" t="s">
        <v>7528</v>
      </c>
      <c r="BB562" t="s">
        <v>7528</v>
      </c>
      <c r="BC562" t="s">
        <v>7528</v>
      </c>
      <c r="BD562" t="s">
        <v>7528</v>
      </c>
      <c r="BF562" t="s">
        <v>1930</v>
      </c>
      <c r="BG562" t="s">
        <v>98</v>
      </c>
      <c r="BH562" t="s">
        <v>98</v>
      </c>
      <c r="BI562" t="s">
        <v>98</v>
      </c>
      <c r="BK562" t="s">
        <v>7528</v>
      </c>
      <c r="BL562" t="s">
        <v>7528</v>
      </c>
      <c r="CA562" t="s">
        <v>1927</v>
      </c>
      <c r="CB562" t="s">
        <v>7528</v>
      </c>
      <c r="CL562" t="s">
        <v>98</v>
      </c>
      <c r="CM562" t="s">
        <v>98</v>
      </c>
      <c r="CN562" t="s">
        <v>200</v>
      </c>
      <c r="CO562" s="1">
        <v>39120</v>
      </c>
      <c r="CP562" s="1">
        <v>43633</v>
      </c>
    </row>
    <row r="563" spans="1:94" x14ac:dyDescent="0.25">
      <c r="A563" t="s">
        <v>1931</v>
      </c>
      <c r="B563" t="str">
        <f xml:space="preserve"> "" &amp; 840253044952</f>
        <v>840253044952</v>
      </c>
      <c r="C563" t="s">
        <v>1932</v>
      </c>
      <c r="D563" t="s">
        <v>1933</v>
      </c>
      <c r="E563" t="s">
        <v>7528</v>
      </c>
      <c r="F563" t="s">
        <v>7533</v>
      </c>
      <c r="G563">
        <v>1</v>
      </c>
      <c r="H563">
        <v>1</v>
      </c>
      <c r="I563" t="s">
        <v>97</v>
      </c>
      <c r="J563" s="10">
        <v>39.950000000000003</v>
      </c>
      <c r="K563" s="10">
        <v>119.85</v>
      </c>
      <c r="L563" s="10">
        <v>0</v>
      </c>
      <c r="N563" s="10">
        <v>0</v>
      </c>
      <c r="W563">
        <v>7.39</v>
      </c>
      <c r="Y563">
        <v>14.5</v>
      </c>
      <c r="Z563">
        <v>20.25</v>
      </c>
      <c r="AA563">
        <v>10.130000000000001</v>
      </c>
      <c r="AB563">
        <v>1.7210000000000001</v>
      </c>
      <c r="AC563">
        <v>10.36</v>
      </c>
      <c r="AE563">
        <v>0</v>
      </c>
      <c r="AF563" t="e">
        <v>#N/A</v>
      </c>
      <c r="AG563">
        <v>0</v>
      </c>
      <c r="AH563">
        <v>0</v>
      </c>
      <c r="AJ563">
        <v>0</v>
      </c>
      <c r="AK563" t="s">
        <v>98</v>
      </c>
      <c r="AM563" t="s">
        <v>98</v>
      </c>
      <c r="AN563" t="s">
        <v>98</v>
      </c>
      <c r="AO563" t="s">
        <v>98</v>
      </c>
      <c r="AP563" t="s">
        <v>100</v>
      </c>
      <c r="AQ563" t="s">
        <v>101</v>
      </c>
      <c r="AV563" t="s">
        <v>98</v>
      </c>
      <c r="AX563" t="s">
        <v>7528</v>
      </c>
      <c r="AZ563" t="s">
        <v>7528</v>
      </c>
      <c r="BB563" t="s">
        <v>7528</v>
      </c>
      <c r="BC563" t="s">
        <v>7528</v>
      </c>
      <c r="BD563" t="s">
        <v>7528</v>
      </c>
      <c r="BF563" t="s">
        <v>1934</v>
      </c>
      <c r="BG563" t="s">
        <v>98</v>
      </c>
      <c r="BH563" t="s">
        <v>98</v>
      </c>
      <c r="BI563" t="s">
        <v>98</v>
      </c>
      <c r="BK563" t="e">
        <v>#N/A</v>
      </c>
      <c r="BL563" t="s">
        <v>7528</v>
      </c>
      <c r="CA563" t="s">
        <v>1931</v>
      </c>
      <c r="CB563" t="s">
        <v>7528</v>
      </c>
      <c r="CL563" t="s">
        <v>98</v>
      </c>
      <c r="CM563" t="s">
        <v>98</v>
      </c>
      <c r="CN563" t="s">
        <v>7528</v>
      </c>
      <c r="CO563" s="1">
        <v>39144</v>
      </c>
      <c r="CP563" s="1">
        <v>43633</v>
      </c>
    </row>
    <row r="564" spans="1:94" x14ac:dyDescent="0.25">
      <c r="A564" t="s">
        <v>1920</v>
      </c>
      <c r="B564" t="str">
        <f xml:space="preserve"> "" &amp; 747396094960</f>
        <v>747396094960</v>
      </c>
      <c r="C564" t="s">
        <v>807</v>
      </c>
      <c r="D564" t="s">
        <v>6616</v>
      </c>
      <c r="E564" t="s">
        <v>1912</v>
      </c>
      <c r="F564" t="s">
        <v>7532</v>
      </c>
      <c r="G564">
        <v>1</v>
      </c>
      <c r="H564">
        <v>1</v>
      </c>
      <c r="I564" t="s">
        <v>97</v>
      </c>
      <c r="J564" s="10">
        <v>69</v>
      </c>
      <c r="K564" s="10">
        <v>207</v>
      </c>
      <c r="L564" s="10">
        <v>0</v>
      </c>
      <c r="N564" s="10">
        <v>0</v>
      </c>
      <c r="S564">
        <v>5.25</v>
      </c>
      <c r="U564">
        <v>16.75</v>
      </c>
      <c r="V564">
        <v>3.5</v>
      </c>
      <c r="W564">
        <v>4.8099999999999996</v>
      </c>
      <c r="Y564">
        <v>7.25</v>
      </c>
      <c r="Z564">
        <v>20.38</v>
      </c>
      <c r="AA564">
        <v>7.63</v>
      </c>
      <c r="AB564">
        <v>0.65200000000000002</v>
      </c>
      <c r="AC564">
        <v>5.86</v>
      </c>
      <c r="AE564">
        <v>1</v>
      </c>
      <c r="AF564" t="s">
        <v>1921</v>
      </c>
      <c r="AG564">
        <v>26</v>
      </c>
      <c r="AK564" t="s">
        <v>99</v>
      </c>
      <c r="AM564" t="s">
        <v>98</v>
      </c>
      <c r="AN564" t="s">
        <v>99</v>
      </c>
      <c r="AO564" t="s">
        <v>98</v>
      </c>
      <c r="AP564" t="s">
        <v>100</v>
      </c>
      <c r="AQ564" t="s">
        <v>101</v>
      </c>
      <c r="AV564" t="s">
        <v>98</v>
      </c>
      <c r="AX564" t="s">
        <v>399</v>
      </c>
      <c r="AZ564" t="s">
        <v>102</v>
      </c>
      <c r="BB564" t="s">
        <v>235</v>
      </c>
      <c r="BC564" t="s">
        <v>1914</v>
      </c>
      <c r="BD564" t="s">
        <v>7528</v>
      </c>
      <c r="BF564" t="s">
        <v>1922</v>
      </c>
      <c r="BG564" t="s">
        <v>98</v>
      </c>
      <c r="BH564" t="s">
        <v>99</v>
      </c>
      <c r="BI564" t="s">
        <v>98</v>
      </c>
      <c r="BK564" t="s">
        <v>127</v>
      </c>
      <c r="BL564" t="s">
        <v>7528</v>
      </c>
      <c r="BR564">
        <v>4.63</v>
      </c>
      <c r="BT564">
        <v>16.63</v>
      </c>
      <c r="CA564">
        <v>422</v>
      </c>
      <c r="CB564" t="s">
        <v>399</v>
      </c>
      <c r="CG564">
        <v>3000</v>
      </c>
      <c r="CH564">
        <v>91</v>
      </c>
      <c r="CI564">
        <v>1940</v>
      </c>
      <c r="CJ564">
        <v>1565</v>
      </c>
      <c r="CK564">
        <v>30000</v>
      </c>
      <c r="CL564" t="s">
        <v>98</v>
      </c>
      <c r="CM564" t="s">
        <v>98</v>
      </c>
      <c r="CN564" t="s">
        <v>1916</v>
      </c>
      <c r="CO564" s="1">
        <v>41992</v>
      </c>
      <c r="CP564" s="1">
        <v>43633</v>
      </c>
    </row>
    <row r="565" spans="1:94" x14ac:dyDescent="0.25">
      <c r="A565" t="s">
        <v>1935</v>
      </c>
      <c r="B565" t="str">
        <f xml:space="preserve"> "" &amp; 840253046130</f>
        <v>840253046130</v>
      </c>
      <c r="C565" t="s">
        <v>1936</v>
      </c>
      <c r="D565" t="s">
        <v>6617</v>
      </c>
      <c r="E565" t="s">
        <v>7528</v>
      </c>
      <c r="F565" t="s">
        <v>358</v>
      </c>
      <c r="G565">
        <v>1</v>
      </c>
      <c r="H565">
        <v>1</v>
      </c>
      <c r="I565" t="s">
        <v>97</v>
      </c>
      <c r="J565" s="10">
        <v>49.95</v>
      </c>
      <c r="K565" s="10">
        <v>149.85</v>
      </c>
      <c r="L565" s="10">
        <v>0</v>
      </c>
      <c r="N565" s="10">
        <v>0</v>
      </c>
      <c r="S565">
        <v>14.5</v>
      </c>
      <c r="U565">
        <v>7.25</v>
      </c>
      <c r="W565">
        <v>6.06</v>
      </c>
      <c r="Y565">
        <v>9.5</v>
      </c>
      <c r="Z565">
        <v>16.5</v>
      </c>
      <c r="AA565">
        <v>13</v>
      </c>
      <c r="AB565">
        <v>1.179</v>
      </c>
      <c r="AC565">
        <v>7.89</v>
      </c>
      <c r="AE565">
        <v>0</v>
      </c>
      <c r="AF565" t="e">
        <v>#N/A</v>
      </c>
      <c r="AG565">
        <v>0</v>
      </c>
      <c r="AH565">
        <v>0</v>
      </c>
      <c r="AJ565">
        <v>0</v>
      </c>
      <c r="AK565" t="s">
        <v>98</v>
      </c>
      <c r="AM565" t="s">
        <v>98</v>
      </c>
      <c r="AN565" t="s">
        <v>98</v>
      </c>
      <c r="AO565" t="s">
        <v>98</v>
      </c>
      <c r="AP565" t="s">
        <v>100</v>
      </c>
      <c r="AQ565" t="s">
        <v>101</v>
      </c>
      <c r="AV565" t="s">
        <v>98</v>
      </c>
      <c r="AX565" t="s">
        <v>1937</v>
      </c>
      <c r="AZ565" t="s">
        <v>7528</v>
      </c>
      <c r="BB565" t="s">
        <v>7528</v>
      </c>
      <c r="BC565" t="s">
        <v>7528</v>
      </c>
      <c r="BD565" t="s">
        <v>7528</v>
      </c>
      <c r="BF565" t="s">
        <v>1938</v>
      </c>
      <c r="BG565" t="s">
        <v>98</v>
      </c>
      <c r="BH565" t="s">
        <v>98</v>
      </c>
      <c r="BI565" t="s">
        <v>98</v>
      </c>
      <c r="BK565" t="e">
        <v>#N/A</v>
      </c>
      <c r="BL565" t="s">
        <v>7528</v>
      </c>
      <c r="CA565" t="s">
        <v>1935</v>
      </c>
      <c r="CB565" t="s">
        <v>1937</v>
      </c>
      <c r="CL565" t="s">
        <v>98</v>
      </c>
      <c r="CM565" t="s">
        <v>98</v>
      </c>
      <c r="CN565" t="s">
        <v>200</v>
      </c>
      <c r="CO565" s="1">
        <v>39321</v>
      </c>
      <c r="CP565" s="1">
        <v>43633</v>
      </c>
    </row>
    <row r="566" spans="1:94" x14ac:dyDescent="0.25">
      <c r="A566" t="s">
        <v>1939</v>
      </c>
      <c r="B566" t="str">
        <f xml:space="preserve"> "" &amp; 747396072395</f>
        <v>747396072395</v>
      </c>
      <c r="C566" t="s">
        <v>239</v>
      </c>
      <c r="D566" t="s">
        <v>1940</v>
      </c>
      <c r="E566" t="s">
        <v>1941</v>
      </c>
      <c r="F566" t="s">
        <v>240</v>
      </c>
      <c r="G566">
        <v>1</v>
      </c>
      <c r="H566">
        <v>1</v>
      </c>
      <c r="I566" t="s">
        <v>97</v>
      </c>
      <c r="J566" s="10">
        <v>49.95</v>
      </c>
      <c r="K566" s="10">
        <v>149.85</v>
      </c>
      <c r="L566" s="10">
        <v>0</v>
      </c>
      <c r="N566" s="10">
        <v>0</v>
      </c>
      <c r="O566" t="s">
        <v>99</v>
      </c>
      <c r="P566" s="10">
        <v>99.9</v>
      </c>
      <c r="S566">
        <v>10.75</v>
      </c>
      <c r="U566">
        <v>5</v>
      </c>
      <c r="W566">
        <v>3.04</v>
      </c>
      <c r="Y566">
        <v>7.75</v>
      </c>
      <c r="Z566">
        <v>15.25</v>
      </c>
      <c r="AA566">
        <v>12.25</v>
      </c>
      <c r="AB566">
        <v>0.83799999999999997</v>
      </c>
      <c r="AC566">
        <v>4.5199999999999996</v>
      </c>
      <c r="AE566">
        <v>1</v>
      </c>
      <c r="AF566" t="s">
        <v>233</v>
      </c>
      <c r="AG566">
        <v>100</v>
      </c>
      <c r="AK566" t="s">
        <v>98</v>
      </c>
      <c r="AM566" t="s">
        <v>98</v>
      </c>
      <c r="AN566" t="s">
        <v>99</v>
      </c>
      <c r="AO566" t="s">
        <v>98</v>
      </c>
      <c r="AP566" t="s">
        <v>100</v>
      </c>
      <c r="AQ566" t="s">
        <v>101</v>
      </c>
      <c r="AV566" t="s">
        <v>98</v>
      </c>
      <c r="AX566" t="s">
        <v>1942</v>
      </c>
      <c r="AZ566" t="s">
        <v>124</v>
      </c>
      <c r="BB566" t="s">
        <v>235</v>
      </c>
      <c r="BC566" t="s">
        <v>1943</v>
      </c>
      <c r="BD566" t="s">
        <v>7528</v>
      </c>
      <c r="BF566" t="s">
        <v>1944</v>
      </c>
      <c r="BG566" t="s">
        <v>98</v>
      </c>
      <c r="BH566" t="s">
        <v>98</v>
      </c>
      <c r="BI566" t="s">
        <v>98</v>
      </c>
      <c r="BK566" t="s">
        <v>110</v>
      </c>
      <c r="BL566" t="s">
        <v>7528</v>
      </c>
      <c r="BR566">
        <v>3.13</v>
      </c>
      <c r="BT566">
        <v>5.25</v>
      </c>
      <c r="CA566">
        <v>4231</v>
      </c>
      <c r="CB566" t="s">
        <v>1942</v>
      </c>
      <c r="CL566" t="s">
        <v>99</v>
      </c>
      <c r="CM566" t="s">
        <v>99</v>
      </c>
      <c r="CN566" t="s">
        <v>237</v>
      </c>
      <c r="CO566" s="1">
        <v>40163</v>
      </c>
      <c r="CP566" s="1">
        <v>43633</v>
      </c>
    </row>
    <row r="567" spans="1:94" x14ac:dyDescent="0.25">
      <c r="A567" t="s">
        <v>1945</v>
      </c>
      <c r="B567" t="str">
        <f xml:space="preserve"> "" &amp; 747396094984</f>
        <v>747396094984</v>
      </c>
      <c r="C567" t="s">
        <v>807</v>
      </c>
      <c r="D567" t="s">
        <v>1911</v>
      </c>
      <c r="E567" t="s">
        <v>1912</v>
      </c>
      <c r="F567" t="s">
        <v>7532</v>
      </c>
      <c r="G567">
        <v>1</v>
      </c>
      <c r="H567">
        <v>1</v>
      </c>
      <c r="I567" t="s">
        <v>97</v>
      </c>
      <c r="J567" s="10">
        <v>99</v>
      </c>
      <c r="K567" s="10">
        <v>297</v>
      </c>
      <c r="L567" s="10">
        <v>0</v>
      </c>
      <c r="N567" s="10">
        <v>0</v>
      </c>
      <c r="S567">
        <v>5.25</v>
      </c>
      <c r="U567">
        <v>32.25</v>
      </c>
      <c r="V567">
        <v>3.5</v>
      </c>
      <c r="W567">
        <v>8.77</v>
      </c>
      <c r="Y567">
        <v>7.25</v>
      </c>
      <c r="Z567">
        <v>36.5</v>
      </c>
      <c r="AA567">
        <v>7.63</v>
      </c>
      <c r="AB567">
        <v>1.1679999999999999</v>
      </c>
      <c r="AC567">
        <v>10.67</v>
      </c>
      <c r="AE567">
        <v>1</v>
      </c>
      <c r="AF567" t="s">
        <v>1946</v>
      </c>
      <c r="AG567">
        <v>38</v>
      </c>
      <c r="AK567" t="s">
        <v>99</v>
      </c>
      <c r="AM567" t="s">
        <v>98</v>
      </c>
      <c r="AN567" t="s">
        <v>99</v>
      </c>
      <c r="AO567" t="s">
        <v>98</v>
      </c>
      <c r="AP567" t="s">
        <v>100</v>
      </c>
      <c r="AQ567" t="s">
        <v>101</v>
      </c>
      <c r="AV567" t="s">
        <v>98</v>
      </c>
      <c r="AX567" t="s">
        <v>399</v>
      </c>
      <c r="AZ567" t="s">
        <v>102</v>
      </c>
      <c r="BB567" t="s">
        <v>235</v>
      </c>
      <c r="BC567" t="s">
        <v>1947</v>
      </c>
      <c r="BD567" t="s">
        <v>7528</v>
      </c>
      <c r="BF567" t="s">
        <v>1948</v>
      </c>
      <c r="BG567" t="s">
        <v>98</v>
      </c>
      <c r="BH567" t="s">
        <v>99</v>
      </c>
      <c r="BI567" t="s">
        <v>98</v>
      </c>
      <c r="BK567" t="s">
        <v>127</v>
      </c>
      <c r="BL567" t="s">
        <v>7528</v>
      </c>
      <c r="BR567">
        <v>4.63</v>
      </c>
      <c r="BT567">
        <v>32.25</v>
      </c>
      <c r="CA567">
        <v>424</v>
      </c>
      <c r="CB567" t="s">
        <v>399</v>
      </c>
      <c r="CG567">
        <v>3000</v>
      </c>
      <c r="CH567">
        <v>91</v>
      </c>
      <c r="CI567">
        <v>2953.4</v>
      </c>
      <c r="CJ567">
        <v>2369</v>
      </c>
      <c r="CK567">
        <v>30000</v>
      </c>
      <c r="CL567" t="s">
        <v>98</v>
      </c>
      <c r="CM567" t="s">
        <v>98</v>
      </c>
      <c r="CN567" t="s">
        <v>1916</v>
      </c>
      <c r="CO567" s="1">
        <v>41992</v>
      </c>
      <c r="CP567" s="1">
        <v>43633</v>
      </c>
    </row>
    <row r="568" spans="1:94" x14ac:dyDescent="0.25">
      <c r="A568" t="s">
        <v>1949</v>
      </c>
      <c r="B568" t="str">
        <f xml:space="preserve"> "" &amp; 747396094601</f>
        <v>747396094601</v>
      </c>
      <c r="C568" t="s">
        <v>239</v>
      </c>
      <c r="D568" t="s">
        <v>6618</v>
      </c>
      <c r="E568" t="s">
        <v>1950</v>
      </c>
      <c r="F568" t="s">
        <v>240</v>
      </c>
      <c r="G568">
        <v>1</v>
      </c>
      <c r="H568">
        <v>1</v>
      </c>
      <c r="I568" t="s">
        <v>97</v>
      </c>
      <c r="J568" s="10">
        <v>79</v>
      </c>
      <c r="K568" s="10">
        <v>237</v>
      </c>
      <c r="L568" s="10">
        <v>0</v>
      </c>
      <c r="N568" s="10">
        <v>0</v>
      </c>
      <c r="O568" t="s">
        <v>99</v>
      </c>
      <c r="P568" s="10">
        <v>129.94999999999999</v>
      </c>
      <c r="S568">
        <v>14.25</v>
      </c>
      <c r="T568">
        <v>7.75</v>
      </c>
      <c r="U568">
        <v>7.75</v>
      </c>
      <c r="W568">
        <v>4.45</v>
      </c>
      <c r="Y568">
        <v>15.75</v>
      </c>
      <c r="Z568">
        <v>11</v>
      </c>
      <c r="AA568">
        <v>11</v>
      </c>
      <c r="AB568">
        <v>1.103</v>
      </c>
      <c r="AC568">
        <v>6.02</v>
      </c>
      <c r="AE568">
        <v>1</v>
      </c>
      <c r="AF568" t="s">
        <v>282</v>
      </c>
      <c r="AG568">
        <v>100</v>
      </c>
      <c r="AK568" t="s">
        <v>98</v>
      </c>
      <c r="AM568" t="s">
        <v>98</v>
      </c>
      <c r="AN568" t="s">
        <v>99</v>
      </c>
      <c r="AO568" t="s">
        <v>98</v>
      </c>
      <c r="AP568" t="s">
        <v>100</v>
      </c>
      <c r="AQ568" t="s">
        <v>101</v>
      </c>
      <c r="AV568" t="s">
        <v>98</v>
      </c>
      <c r="AX568" t="s">
        <v>1951</v>
      </c>
      <c r="AZ568" t="s">
        <v>102</v>
      </c>
      <c r="BB568" t="s">
        <v>7528</v>
      </c>
      <c r="BC568" t="s">
        <v>7528</v>
      </c>
      <c r="BD568" t="s">
        <v>7528</v>
      </c>
      <c r="BF568" t="s">
        <v>1952</v>
      </c>
      <c r="BG568" t="s">
        <v>98</v>
      </c>
      <c r="BH568" t="s">
        <v>98</v>
      </c>
      <c r="BI568" t="s">
        <v>98</v>
      </c>
      <c r="BK568" t="s">
        <v>110</v>
      </c>
      <c r="BL568" t="s">
        <v>7528</v>
      </c>
      <c r="BQ568">
        <v>5.38</v>
      </c>
      <c r="BR568">
        <v>0.75</v>
      </c>
      <c r="BS568">
        <v>5.38</v>
      </c>
      <c r="BT568">
        <v>5.38</v>
      </c>
      <c r="CA568">
        <v>4341</v>
      </c>
      <c r="CB568" t="s">
        <v>1951</v>
      </c>
      <c r="CL568" t="s">
        <v>99</v>
      </c>
      <c r="CM568" t="s">
        <v>99</v>
      </c>
      <c r="CN568" t="s">
        <v>1882</v>
      </c>
      <c r="CO568" s="1">
        <v>41942</v>
      </c>
      <c r="CP568" s="1">
        <v>43633</v>
      </c>
    </row>
    <row r="569" spans="1:94" x14ac:dyDescent="0.25">
      <c r="A569" t="s">
        <v>1953</v>
      </c>
      <c r="B569" t="str">
        <f xml:space="preserve"> "" &amp; 747396094618</f>
        <v>747396094618</v>
      </c>
      <c r="C569" t="s">
        <v>322</v>
      </c>
      <c r="D569" t="s">
        <v>6619</v>
      </c>
      <c r="E569" t="s">
        <v>1950</v>
      </c>
      <c r="F569" t="s">
        <v>232</v>
      </c>
      <c r="G569">
        <v>1</v>
      </c>
      <c r="H569">
        <v>1</v>
      </c>
      <c r="I569" t="s">
        <v>97</v>
      </c>
      <c r="J569" s="10">
        <v>75</v>
      </c>
      <c r="K569" s="10">
        <v>225</v>
      </c>
      <c r="L569" s="10">
        <v>0</v>
      </c>
      <c r="N569" s="10">
        <v>0</v>
      </c>
      <c r="O569" t="s">
        <v>99</v>
      </c>
      <c r="P569" s="10">
        <v>119.95</v>
      </c>
      <c r="S569">
        <v>22</v>
      </c>
      <c r="U569">
        <v>7</v>
      </c>
      <c r="V569">
        <v>4.5</v>
      </c>
      <c r="W569">
        <v>3.68</v>
      </c>
      <c r="Y569">
        <v>7.75</v>
      </c>
      <c r="Z569">
        <v>24.75</v>
      </c>
      <c r="AA569">
        <v>9.25</v>
      </c>
      <c r="AB569">
        <v>1.0269999999999999</v>
      </c>
      <c r="AC569">
        <v>5.2</v>
      </c>
      <c r="AE569">
        <v>2</v>
      </c>
      <c r="AF569" t="s">
        <v>519</v>
      </c>
      <c r="AG569">
        <v>60</v>
      </c>
      <c r="AK569" t="s">
        <v>98</v>
      </c>
      <c r="AM569" t="s">
        <v>98</v>
      </c>
      <c r="AN569" t="s">
        <v>99</v>
      </c>
      <c r="AO569" t="s">
        <v>98</v>
      </c>
      <c r="AP569" t="s">
        <v>100</v>
      </c>
      <c r="AQ569" t="s">
        <v>101</v>
      </c>
      <c r="AV569" t="s">
        <v>98</v>
      </c>
      <c r="AX569" t="s">
        <v>1951</v>
      </c>
      <c r="AZ569" t="s">
        <v>102</v>
      </c>
      <c r="BB569" t="s">
        <v>7528</v>
      </c>
      <c r="BC569" t="s">
        <v>7528</v>
      </c>
      <c r="BD569" t="s">
        <v>7528</v>
      </c>
      <c r="BF569" t="s">
        <v>1954</v>
      </c>
      <c r="BG569" t="s">
        <v>98</v>
      </c>
      <c r="BH569" t="s">
        <v>98</v>
      </c>
      <c r="BI569" t="s">
        <v>98</v>
      </c>
      <c r="BK569" t="s">
        <v>127</v>
      </c>
      <c r="BL569" t="s">
        <v>7528</v>
      </c>
      <c r="BM569">
        <v>4.5</v>
      </c>
      <c r="BN569">
        <v>8.25</v>
      </c>
      <c r="CA569">
        <v>4342</v>
      </c>
      <c r="CB569" t="s">
        <v>1951</v>
      </c>
      <c r="CL569" t="s">
        <v>99</v>
      </c>
      <c r="CM569" t="s">
        <v>98</v>
      </c>
      <c r="CN569" t="s">
        <v>692</v>
      </c>
      <c r="CO569" s="1">
        <v>41942</v>
      </c>
      <c r="CP569" s="1">
        <v>43633</v>
      </c>
    </row>
    <row r="570" spans="1:94" x14ac:dyDescent="0.25">
      <c r="A570" t="s">
        <v>1955</v>
      </c>
      <c r="B570" t="str">
        <f xml:space="preserve"> "" &amp; 747396094625</f>
        <v>747396094625</v>
      </c>
      <c r="C570" t="s">
        <v>339</v>
      </c>
      <c r="D570" t="s">
        <v>6620</v>
      </c>
      <c r="E570" t="s">
        <v>1950</v>
      </c>
      <c r="F570" t="s">
        <v>240</v>
      </c>
      <c r="G570">
        <v>1</v>
      </c>
      <c r="H570">
        <v>1</v>
      </c>
      <c r="I570" t="s">
        <v>97</v>
      </c>
      <c r="J570" s="10">
        <v>136</v>
      </c>
      <c r="K570" s="10">
        <v>408</v>
      </c>
      <c r="L570" s="10">
        <v>0</v>
      </c>
      <c r="N570" s="10">
        <v>0</v>
      </c>
      <c r="O570" t="s">
        <v>99</v>
      </c>
      <c r="P570" s="10">
        <v>229.95</v>
      </c>
      <c r="S570">
        <v>23</v>
      </c>
      <c r="T570">
        <v>13</v>
      </c>
      <c r="U570">
        <v>13</v>
      </c>
      <c r="W570">
        <v>8.4</v>
      </c>
      <c r="Y570">
        <v>21.5</v>
      </c>
      <c r="Z570">
        <v>16</v>
      </c>
      <c r="AA570">
        <v>16</v>
      </c>
      <c r="AB570">
        <v>3.1850000000000001</v>
      </c>
      <c r="AC570">
        <v>13.05</v>
      </c>
      <c r="AE570">
        <v>4</v>
      </c>
      <c r="AF570" t="s">
        <v>519</v>
      </c>
      <c r="AG570">
        <v>60</v>
      </c>
      <c r="AK570" t="s">
        <v>98</v>
      </c>
      <c r="AM570" t="s">
        <v>98</v>
      </c>
      <c r="AN570" t="s">
        <v>99</v>
      </c>
      <c r="AO570" t="s">
        <v>98</v>
      </c>
      <c r="AP570" t="s">
        <v>100</v>
      </c>
      <c r="AQ570" t="s">
        <v>101</v>
      </c>
      <c r="AV570" t="s">
        <v>98</v>
      </c>
      <c r="AX570" t="s">
        <v>1951</v>
      </c>
      <c r="AZ570" t="s">
        <v>102</v>
      </c>
      <c r="BB570" t="s">
        <v>7528</v>
      </c>
      <c r="BC570" t="s">
        <v>7528</v>
      </c>
      <c r="BD570" t="s">
        <v>7528</v>
      </c>
      <c r="BF570" t="s">
        <v>1956</v>
      </c>
      <c r="BG570" t="s">
        <v>98</v>
      </c>
      <c r="BH570" t="s">
        <v>98</v>
      </c>
      <c r="BI570" t="s">
        <v>98</v>
      </c>
      <c r="BK570" t="s">
        <v>127</v>
      </c>
      <c r="BL570" t="s">
        <v>7528</v>
      </c>
      <c r="BQ570">
        <v>5.38</v>
      </c>
      <c r="BR570">
        <v>0.75</v>
      </c>
      <c r="BS570">
        <v>5.38</v>
      </c>
      <c r="BT570">
        <v>5.38</v>
      </c>
      <c r="CA570">
        <v>4343</v>
      </c>
      <c r="CB570" t="s">
        <v>1951</v>
      </c>
      <c r="CL570" t="s">
        <v>99</v>
      </c>
      <c r="CM570" t="s">
        <v>99</v>
      </c>
      <c r="CN570" t="s">
        <v>1957</v>
      </c>
      <c r="CO570" s="1">
        <v>41942</v>
      </c>
      <c r="CP570" s="1">
        <v>43633</v>
      </c>
    </row>
    <row r="571" spans="1:94" x14ac:dyDescent="0.25">
      <c r="A571" t="s">
        <v>1958</v>
      </c>
      <c r="B571" t="str">
        <f xml:space="preserve"> "" &amp; 747396094632</f>
        <v>747396094632</v>
      </c>
      <c r="C571" t="s">
        <v>1959</v>
      </c>
      <c r="D571" t="s">
        <v>6621</v>
      </c>
      <c r="E571" t="s">
        <v>1950</v>
      </c>
      <c r="F571" t="s">
        <v>240</v>
      </c>
      <c r="G571">
        <v>1</v>
      </c>
      <c r="H571">
        <v>1</v>
      </c>
      <c r="I571" t="s">
        <v>97</v>
      </c>
      <c r="J571" s="10">
        <v>179</v>
      </c>
      <c r="K571" s="10">
        <v>537</v>
      </c>
      <c r="L571" s="10">
        <v>0</v>
      </c>
      <c r="N571" s="10">
        <v>0</v>
      </c>
      <c r="O571" t="s">
        <v>99</v>
      </c>
      <c r="P571" s="10">
        <v>299.95</v>
      </c>
      <c r="S571">
        <v>30.25</v>
      </c>
      <c r="T571">
        <v>18</v>
      </c>
      <c r="U571">
        <v>18</v>
      </c>
      <c r="W571">
        <v>10.71</v>
      </c>
      <c r="Y571">
        <v>27.25</v>
      </c>
      <c r="Z571">
        <v>21</v>
      </c>
      <c r="AA571">
        <v>21</v>
      </c>
      <c r="AB571">
        <v>6.9539999999999997</v>
      </c>
      <c r="AC571">
        <v>17.75</v>
      </c>
      <c r="AE571">
        <v>4</v>
      </c>
      <c r="AF571" t="s">
        <v>519</v>
      </c>
      <c r="AG571">
        <v>60</v>
      </c>
      <c r="AK571" t="s">
        <v>98</v>
      </c>
      <c r="AM571" t="s">
        <v>98</v>
      </c>
      <c r="AN571" t="s">
        <v>99</v>
      </c>
      <c r="AO571" t="s">
        <v>98</v>
      </c>
      <c r="AP571" t="s">
        <v>100</v>
      </c>
      <c r="AQ571" t="s">
        <v>101</v>
      </c>
      <c r="AV571" t="s">
        <v>98</v>
      </c>
      <c r="AX571" t="s">
        <v>1951</v>
      </c>
      <c r="AZ571" t="s">
        <v>102</v>
      </c>
      <c r="BB571" t="s">
        <v>125</v>
      </c>
      <c r="BC571" t="s">
        <v>746</v>
      </c>
      <c r="BD571" t="s">
        <v>7528</v>
      </c>
      <c r="BF571" t="s">
        <v>1960</v>
      </c>
      <c r="BG571" t="s">
        <v>98</v>
      </c>
      <c r="BH571" t="s">
        <v>98</v>
      </c>
      <c r="BI571" t="s">
        <v>98</v>
      </c>
      <c r="BK571" t="s">
        <v>127</v>
      </c>
      <c r="BL571" t="s">
        <v>7528</v>
      </c>
      <c r="BR571">
        <v>0.75</v>
      </c>
      <c r="BS571">
        <v>5.38</v>
      </c>
      <c r="BT571">
        <v>5.38</v>
      </c>
      <c r="CA571">
        <v>4344</v>
      </c>
      <c r="CB571" t="s">
        <v>1951</v>
      </c>
      <c r="CL571" t="s">
        <v>99</v>
      </c>
      <c r="CM571" t="s">
        <v>99</v>
      </c>
      <c r="CN571" t="s">
        <v>1957</v>
      </c>
      <c r="CO571" s="1">
        <v>41942</v>
      </c>
      <c r="CP571" s="1">
        <v>43633</v>
      </c>
    </row>
    <row r="572" spans="1:94" x14ac:dyDescent="0.25">
      <c r="A572" t="s">
        <v>1961</v>
      </c>
      <c r="B572" t="str">
        <f xml:space="preserve"> "" &amp; 747396094649</f>
        <v>747396094649</v>
      </c>
      <c r="C572" t="s">
        <v>1135</v>
      </c>
      <c r="D572" t="s">
        <v>6622</v>
      </c>
      <c r="E572" t="s">
        <v>1950</v>
      </c>
      <c r="F572" t="s">
        <v>314</v>
      </c>
      <c r="G572">
        <v>1</v>
      </c>
      <c r="H572">
        <v>1</v>
      </c>
      <c r="I572" t="s">
        <v>97</v>
      </c>
      <c r="J572" s="10">
        <v>229</v>
      </c>
      <c r="K572" s="10">
        <v>687</v>
      </c>
      <c r="L572" s="10">
        <v>0</v>
      </c>
      <c r="N572" s="10">
        <v>0</v>
      </c>
      <c r="O572" t="s">
        <v>99</v>
      </c>
      <c r="P572" s="10">
        <v>399.95</v>
      </c>
      <c r="S572">
        <v>26.5</v>
      </c>
      <c r="T572">
        <v>36</v>
      </c>
      <c r="U572">
        <v>11.25</v>
      </c>
      <c r="W572">
        <v>14.57</v>
      </c>
      <c r="Y572">
        <v>26</v>
      </c>
      <c r="Z572">
        <v>39</v>
      </c>
      <c r="AA572">
        <v>14.25</v>
      </c>
      <c r="AB572">
        <v>8.3620000000000001</v>
      </c>
      <c r="AC572">
        <v>22.09</v>
      </c>
      <c r="AE572">
        <v>6</v>
      </c>
      <c r="AF572" t="s">
        <v>519</v>
      </c>
      <c r="AG572">
        <v>60</v>
      </c>
      <c r="AK572" t="s">
        <v>98</v>
      </c>
      <c r="AM572" t="s">
        <v>98</v>
      </c>
      <c r="AN572" t="s">
        <v>99</v>
      </c>
      <c r="AO572" t="s">
        <v>98</v>
      </c>
      <c r="AP572" t="s">
        <v>100</v>
      </c>
      <c r="AQ572" t="s">
        <v>101</v>
      </c>
      <c r="AV572" t="s">
        <v>98</v>
      </c>
      <c r="AX572" t="s">
        <v>1951</v>
      </c>
      <c r="AZ572" t="s">
        <v>102</v>
      </c>
      <c r="BB572" t="s">
        <v>7528</v>
      </c>
      <c r="BC572" t="s">
        <v>7528</v>
      </c>
      <c r="BD572" t="s">
        <v>7528</v>
      </c>
      <c r="BF572" t="s">
        <v>1962</v>
      </c>
      <c r="BG572" t="s">
        <v>98</v>
      </c>
      <c r="BH572" t="s">
        <v>98</v>
      </c>
      <c r="BI572" t="s">
        <v>98</v>
      </c>
      <c r="BK572" t="s">
        <v>127</v>
      </c>
      <c r="BL572" t="s">
        <v>7528</v>
      </c>
      <c r="BR572">
        <v>0.75</v>
      </c>
      <c r="BS572">
        <v>6.25</v>
      </c>
      <c r="BT572">
        <v>4.38</v>
      </c>
      <c r="CA572">
        <v>4346</v>
      </c>
      <c r="CB572" t="s">
        <v>1951</v>
      </c>
      <c r="CL572" t="s">
        <v>99</v>
      </c>
      <c r="CM572" t="s">
        <v>99</v>
      </c>
      <c r="CN572" t="s">
        <v>1957</v>
      </c>
      <c r="CO572" s="1">
        <v>41942</v>
      </c>
      <c r="CP572" s="1">
        <v>43633</v>
      </c>
    </row>
    <row r="573" spans="1:94" x14ac:dyDescent="0.25">
      <c r="A573" t="s">
        <v>1963</v>
      </c>
      <c r="B573" t="str">
        <f xml:space="preserve"> "" &amp; 747396094656</f>
        <v>747396094656</v>
      </c>
      <c r="C573" t="s">
        <v>1876</v>
      </c>
      <c r="D573" t="s">
        <v>6623</v>
      </c>
      <c r="E573" t="s">
        <v>1950</v>
      </c>
      <c r="F573" t="s">
        <v>377</v>
      </c>
      <c r="G573">
        <v>1</v>
      </c>
      <c r="H573">
        <v>1</v>
      </c>
      <c r="I573" t="s">
        <v>97</v>
      </c>
      <c r="J573" s="10">
        <v>135</v>
      </c>
      <c r="K573" s="10">
        <v>405</v>
      </c>
      <c r="L573" s="10">
        <v>0</v>
      </c>
      <c r="N573" s="10">
        <v>0</v>
      </c>
      <c r="O573" t="s">
        <v>99</v>
      </c>
      <c r="P573" s="10">
        <v>219.95</v>
      </c>
      <c r="S573">
        <v>15.75</v>
      </c>
      <c r="T573">
        <v>16</v>
      </c>
      <c r="U573">
        <v>16</v>
      </c>
      <c r="W573">
        <v>6.68</v>
      </c>
      <c r="Y573">
        <v>15.5</v>
      </c>
      <c r="Z573">
        <v>18.5</v>
      </c>
      <c r="AA573">
        <v>18.5</v>
      </c>
      <c r="AB573">
        <v>3.07</v>
      </c>
      <c r="AC573">
        <v>10.91</v>
      </c>
      <c r="AE573">
        <v>4</v>
      </c>
      <c r="AF573" t="s">
        <v>519</v>
      </c>
      <c r="AG573">
        <v>60</v>
      </c>
      <c r="AK573" t="s">
        <v>98</v>
      </c>
      <c r="AM573" t="s">
        <v>98</v>
      </c>
      <c r="AN573" t="s">
        <v>99</v>
      </c>
      <c r="AO573" t="s">
        <v>98</v>
      </c>
      <c r="AP573" t="s">
        <v>100</v>
      </c>
      <c r="AQ573" t="s">
        <v>101</v>
      </c>
      <c r="AV573" t="s">
        <v>98</v>
      </c>
      <c r="AX573" t="s">
        <v>1951</v>
      </c>
      <c r="AZ573" t="s">
        <v>102</v>
      </c>
      <c r="BB573" t="s">
        <v>7528</v>
      </c>
      <c r="BC573" t="s">
        <v>7528</v>
      </c>
      <c r="BD573" t="s">
        <v>7528</v>
      </c>
      <c r="BF573" t="s">
        <v>1964</v>
      </c>
      <c r="BG573" t="s">
        <v>98</v>
      </c>
      <c r="BH573" t="s">
        <v>98</v>
      </c>
      <c r="BI573" t="s">
        <v>98</v>
      </c>
      <c r="BK573" t="s">
        <v>127</v>
      </c>
      <c r="BL573" t="s">
        <v>7528</v>
      </c>
      <c r="BQ573">
        <v>7.75</v>
      </c>
      <c r="BR573">
        <v>0.75</v>
      </c>
      <c r="BS573">
        <v>4.75</v>
      </c>
      <c r="BT573">
        <v>4.75</v>
      </c>
      <c r="CA573">
        <v>4347</v>
      </c>
      <c r="CB573" t="s">
        <v>1951</v>
      </c>
      <c r="CL573" t="s">
        <v>99</v>
      </c>
      <c r="CM573" t="s">
        <v>98</v>
      </c>
      <c r="CN573" t="s">
        <v>1957</v>
      </c>
      <c r="CO573" s="1">
        <v>41942</v>
      </c>
      <c r="CP573" s="1">
        <v>43633</v>
      </c>
    </row>
    <row r="574" spans="1:94" x14ac:dyDescent="0.25">
      <c r="A574" t="s">
        <v>1965</v>
      </c>
      <c r="B574" t="str">
        <f xml:space="preserve"> "" &amp; 747396094663</f>
        <v>747396094663</v>
      </c>
      <c r="C574" t="s">
        <v>1711</v>
      </c>
      <c r="D574" t="s">
        <v>6624</v>
      </c>
      <c r="E574" t="s">
        <v>1950</v>
      </c>
      <c r="F574" t="s">
        <v>240</v>
      </c>
      <c r="G574">
        <v>1</v>
      </c>
      <c r="H574">
        <v>1</v>
      </c>
      <c r="I574" t="s">
        <v>97</v>
      </c>
      <c r="J574" s="10">
        <v>225</v>
      </c>
      <c r="K574" s="10">
        <v>675</v>
      </c>
      <c r="L574" s="10">
        <v>0</v>
      </c>
      <c r="N574" s="10">
        <v>0</v>
      </c>
      <c r="O574" t="s">
        <v>99</v>
      </c>
      <c r="P574" s="10">
        <v>374.95</v>
      </c>
      <c r="S574">
        <v>23.5</v>
      </c>
      <c r="T574">
        <v>20</v>
      </c>
      <c r="U574">
        <v>20</v>
      </c>
      <c r="W574">
        <v>10.98</v>
      </c>
      <c r="Y574">
        <v>21</v>
      </c>
      <c r="Z574">
        <v>22.75</v>
      </c>
      <c r="AA574">
        <v>22.75</v>
      </c>
      <c r="AB574">
        <v>6.29</v>
      </c>
      <c r="AC574">
        <v>17.989999999999998</v>
      </c>
      <c r="AE574">
        <v>6</v>
      </c>
      <c r="AF574" t="s">
        <v>308</v>
      </c>
      <c r="AG574">
        <v>60</v>
      </c>
      <c r="AK574" t="s">
        <v>98</v>
      </c>
      <c r="AM574" t="s">
        <v>98</v>
      </c>
      <c r="AN574" t="s">
        <v>99</v>
      </c>
      <c r="AO574" t="s">
        <v>98</v>
      </c>
      <c r="AP574" t="s">
        <v>100</v>
      </c>
      <c r="AQ574" t="s">
        <v>101</v>
      </c>
      <c r="AV574" t="s">
        <v>98</v>
      </c>
      <c r="AX574" t="s">
        <v>1951</v>
      </c>
      <c r="AZ574" t="s">
        <v>102</v>
      </c>
      <c r="BB574" t="s">
        <v>7528</v>
      </c>
      <c r="BC574" t="s">
        <v>7528</v>
      </c>
      <c r="BD574" t="s">
        <v>7528</v>
      </c>
      <c r="BF574" t="s">
        <v>1966</v>
      </c>
      <c r="BG574" t="s">
        <v>98</v>
      </c>
      <c r="BH574" t="s">
        <v>98</v>
      </c>
      <c r="BI574" t="s">
        <v>98</v>
      </c>
      <c r="BK574" t="s">
        <v>127</v>
      </c>
      <c r="BL574" t="s">
        <v>7528</v>
      </c>
      <c r="BQ574">
        <v>5.38</v>
      </c>
      <c r="BR574">
        <v>0.75</v>
      </c>
      <c r="BS574">
        <v>5.38</v>
      </c>
      <c r="BT574">
        <v>5.38</v>
      </c>
      <c r="CA574">
        <v>4348</v>
      </c>
      <c r="CB574" t="s">
        <v>1951</v>
      </c>
      <c r="CL574" t="s">
        <v>99</v>
      </c>
      <c r="CM574" t="s">
        <v>99</v>
      </c>
      <c r="CN574" t="s">
        <v>1957</v>
      </c>
      <c r="CO574" s="1">
        <v>41942</v>
      </c>
      <c r="CP574" s="1">
        <v>43633</v>
      </c>
    </row>
    <row r="575" spans="1:94" x14ac:dyDescent="0.25">
      <c r="A575" t="s">
        <v>1967</v>
      </c>
      <c r="B575" t="str">
        <f xml:space="preserve"> "" &amp; 747396099699</f>
        <v>747396099699</v>
      </c>
      <c r="C575" t="s">
        <v>1968</v>
      </c>
      <c r="D575" t="s">
        <v>6624</v>
      </c>
      <c r="E575" t="s">
        <v>1950</v>
      </c>
      <c r="F575" t="s">
        <v>240</v>
      </c>
      <c r="G575">
        <v>1</v>
      </c>
      <c r="H575">
        <v>1</v>
      </c>
      <c r="I575" t="s">
        <v>97</v>
      </c>
      <c r="J575" s="10">
        <v>289</v>
      </c>
      <c r="K575" s="10">
        <v>867</v>
      </c>
      <c r="L575" s="10">
        <v>0</v>
      </c>
      <c r="N575" s="10">
        <v>0</v>
      </c>
      <c r="O575" t="s">
        <v>99</v>
      </c>
      <c r="P575" s="10">
        <v>479.95</v>
      </c>
      <c r="S575">
        <v>41</v>
      </c>
      <c r="T575">
        <v>22.75</v>
      </c>
      <c r="U575">
        <v>22.75</v>
      </c>
      <c r="W575">
        <v>17.420000000000002</v>
      </c>
      <c r="X575">
        <v>1</v>
      </c>
      <c r="Y575">
        <v>37.630000000000003</v>
      </c>
      <c r="Z575">
        <v>25.63</v>
      </c>
      <c r="AA575">
        <v>25.63</v>
      </c>
      <c r="AB575">
        <v>14.305</v>
      </c>
      <c r="AC575">
        <v>29.32</v>
      </c>
      <c r="AE575">
        <v>8</v>
      </c>
      <c r="AF575" t="s">
        <v>1969</v>
      </c>
      <c r="AG575">
        <v>60</v>
      </c>
      <c r="AK575" t="s">
        <v>98</v>
      </c>
      <c r="AM575" t="s">
        <v>98</v>
      </c>
      <c r="AN575" t="s">
        <v>99</v>
      </c>
      <c r="AO575" t="s">
        <v>98</v>
      </c>
      <c r="AP575" t="s">
        <v>259</v>
      </c>
      <c r="AQ575" t="s">
        <v>101</v>
      </c>
      <c r="AV575" t="s">
        <v>98</v>
      </c>
      <c r="AX575" t="s">
        <v>1970</v>
      </c>
      <c r="AZ575" t="s">
        <v>124</v>
      </c>
      <c r="BB575" t="s">
        <v>125</v>
      </c>
      <c r="BC575" t="s">
        <v>7528</v>
      </c>
      <c r="BD575" t="s">
        <v>7528</v>
      </c>
      <c r="BF575" t="s">
        <v>1971</v>
      </c>
      <c r="BG575" t="s">
        <v>98</v>
      </c>
      <c r="BH575" t="s">
        <v>98</v>
      </c>
      <c r="BI575" t="s">
        <v>98</v>
      </c>
      <c r="BK575" t="s">
        <v>127</v>
      </c>
      <c r="BL575" t="s">
        <v>7528</v>
      </c>
      <c r="BR575">
        <v>0.75</v>
      </c>
      <c r="BS575">
        <v>5.38</v>
      </c>
      <c r="BT575">
        <v>5.38</v>
      </c>
      <c r="CA575">
        <v>4349</v>
      </c>
      <c r="CB575" t="s">
        <v>1970</v>
      </c>
      <c r="CL575" t="s">
        <v>99</v>
      </c>
      <c r="CM575" t="s">
        <v>99</v>
      </c>
      <c r="CN575" t="s">
        <v>1957</v>
      </c>
      <c r="CO575" s="1">
        <v>42572</v>
      </c>
      <c r="CP575" s="1">
        <v>43633</v>
      </c>
    </row>
    <row r="576" spans="1:94" x14ac:dyDescent="0.25">
      <c r="A576" t="s">
        <v>1972</v>
      </c>
      <c r="B576" t="str">
        <f xml:space="preserve"> "" &amp; 747396094540</f>
        <v>747396094540</v>
      </c>
      <c r="C576" t="s">
        <v>850</v>
      </c>
      <c r="D576" t="s">
        <v>6625</v>
      </c>
      <c r="E576" t="s">
        <v>1973</v>
      </c>
      <c r="F576" t="s">
        <v>240</v>
      </c>
      <c r="G576">
        <v>1</v>
      </c>
      <c r="H576">
        <v>1</v>
      </c>
      <c r="I576" t="s">
        <v>97</v>
      </c>
      <c r="J576" s="10">
        <v>199</v>
      </c>
      <c r="K576" s="10">
        <v>597</v>
      </c>
      <c r="L576" s="10">
        <v>0</v>
      </c>
      <c r="N576" s="10">
        <v>0</v>
      </c>
      <c r="O576" t="s">
        <v>99</v>
      </c>
      <c r="P576" s="10">
        <v>419.95</v>
      </c>
      <c r="S576">
        <v>22</v>
      </c>
      <c r="T576">
        <v>26</v>
      </c>
      <c r="U576">
        <v>26</v>
      </c>
      <c r="W576">
        <v>10.32</v>
      </c>
      <c r="Y576">
        <v>22</v>
      </c>
      <c r="Z576">
        <v>31</v>
      </c>
      <c r="AA576">
        <v>31</v>
      </c>
      <c r="AB576">
        <v>12.234999999999999</v>
      </c>
      <c r="AC576">
        <v>20.28</v>
      </c>
      <c r="AE576">
        <v>5</v>
      </c>
      <c r="AF576" t="s">
        <v>308</v>
      </c>
      <c r="AG576">
        <v>60</v>
      </c>
      <c r="AK576" t="s">
        <v>98</v>
      </c>
      <c r="AM576" t="s">
        <v>98</v>
      </c>
      <c r="AN576" t="s">
        <v>99</v>
      </c>
      <c r="AO576" t="s">
        <v>98</v>
      </c>
      <c r="AP576" t="s">
        <v>259</v>
      </c>
      <c r="AQ576" t="s">
        <v>101</v>
      </c>
      <c r="AV576" t="s">
        <v>98</v>
      </c>
      <c r="AX576" t="s">
        <v>1951</v>
      </c>
      <c r="AZ576" t="s">
        <v>124</v>
      </c>
      <c r="BB576" t="s">
        <v>197</v>
      </c>
      <c r="BC576" t="s">
        <v>303</v>
      </c>
      <c r="BD576" t="s">
        <v>1974</v>
      </c>
      <c r="BF576" t="s">
        <v>1975</v>
      </c>
      <c r="BG576" t="s">
        <v>98</v>
      </c>
      <c r="BH576" t="s">
        <v>98</v>
      </c>
      <c r="BI576" t="s">
        <v>98</v>
      </c>
      <c r="BK576" t="s">
        <v>110</v>
      </c>
      <c r="BL576" t="s">
        <v>7528</v>
      </c>
      <c r="BQ576">
        <v>5.5</v>
      </c>
      <c r="BR576">
        <v>1</v>
      </c>
      <c r="BS576">
        <v>5.5</v>
      </c>
      <c r="BT576">
        <v>5.5</v>
      </c>
      <c r="CA576">
        <v>4355</v>
      </c>
      <c r="CB576" t="s">
        <v>1951</v>
      </c>
      <c r="CL576" t="s">
        <v>99</v>
      </c>
      <c r="CM576" t="s">
        <v>99</v>
      </c>
      <c r="CN576" t="s">
        <v>1976</v>
      </c>
      <c r="CO576" s="1">
        <v>42010</v>
      </c>
      <c r="CP576" s="1">
        <v>43633</v>
      </c>
    </row>
    <row r="577" spans="1:94" x14ac:dyDescent="0.25">
      <c r="A577" t="s">
        <v>1977</v>
      </c>
      <c r="B577" t="str">
        <f xml:space="preserve"> "" &amp; 747396071947</f>
        <v>747396071947</v>
      </c>
      <c r="C577" t="s">
        <v>239</v>
      </c>
      <c r="D577" t="s">
        <v>1978</v>
      </c>
      <c r="E577" t="s">
        <v>1979</v>
      </c>
      <c r="F577" t="s">
        <v>240</v>
      </c>
      <c r="G577">
        <v>1</v>
      </c>
      <c r="H577">
        <v>1</v>
      </c>
      <c r="I577" t="s">
        <v>97</v>
      </c>
      <c r="J577" s="10">
        <v>49.95</v>
      </c>
      <c r="K577" s="10">
        <v>149.85</v>
      </c>
      <c r="L577" s="10">
        <v>0</v>
      </c>
      <c r="N577" s="10">
        <v>0</v>
      </c>
      <c r="O577" t="s">
        <v>99</v>
      </c>
      <c r="P577" s="10">
        <v>99.95</v>
      </c>
      <c r="S577">
        <v>12.5</v>
      </c>
      <c r="T577">
        <v>6.5</v>
      </c>
      <c r="U577">
        <v>3.5</v>
      </c>
      <c r="W577">
        <v>13.76</v>
      </c>
      <c r="Y577">
        <v>7.75</v>
      </c>
      <c r="Z577">
        <v>14</v>
      </c>
      <c r="AA577">
        <v>8.75</v>
      </c>
      <c r="AB577">
        <v>0.54900000000000004</v>
      </c>
      <c r="AC577">
        <v>19.97</v>
      </c>
      <c r="AE577">
        <v>1</v>
      </c>
      <c r="AF577" t="s">
        <v>1050</v>
      </c>
      <c r="AG577">
        <v>60</v>
      </c>
      <c r="AK577" t="s">
        <v>98</v>
      </c>
      <c r="AM577" t="s">
        <v>98</v>
      </c>
      <c r="AN577" t="s">
        <v>98</v>
      </c>
      <c r="AO577" t="s">
        <v>99</v>
      </c>
      <c r="AP577" t="s">
        <v>100</v>
      </c>
      <c r="AQ577" t="s">
        <v>101</v>
      </c>
      <c r="AV577" t="s">
        <v>98</v>
      </c>
      <c r="AX577" t="s">
        <v>367</v>
      </c>
      <c r="AZ577" t="s">
        <v>102</v>
      </c>
      <c r="BB577" t="s">
        <v>235</v>
      </c>
      <c r="BC577" t="s">
        <v>1980</v>
      </c>
      <c r="BD577" t="s">
        <v>7528</v>
      </c>
      <c r="BF577" t="s">
        <v>1981</v>
      </c>
      <c r="BG577" t="s">
        <v>98</v>
      </c>
      <c r="BH577" t="s">
        <v>98</v>
      </c>
      <c r="BI577" t="s">
        <v>98</v>
      </c>
      <c r="BK577" t="s">
        <v>110</v>
      </c>
      <c r="BL577" t="s">
        <v>7528</v>
      </c>
      <c r="BQ577">
        <v>4.88</v>
      </c>
      <c r="BR577">
        <v>1</v>
      </c>
      <c r="BT577">
        <v>4.88</v>
      </c>
      <c r="CA577">
        <v>4361</v>
      </c>
      <c r="CB577" t="s">
        <v>367</v>
      </c>
      <c r="CL577" t="s">
        <v>99</v>
      </c>
      <c r="CM577" t="s">
        <v>99</v>
      </c>
      <c r="CN577" t="s">
        <v>365</v>
      </c>
      <c r="CO577" s="1">
        <v>40116</v>
      </c>
      <c r="CP577" s="1">
        <v>43633</v>
      </c>
    </row>
    <row r="578" spans="1:94" x14ac:dyDescent="0.25">
      <c r="A578" t="s">
        <v>1982</v>
      </c>
      <c r="B578" t="str">
        <f xml:space="preserve"> "" &amp; 747396072937</f>
        <v>747396072937</v>
      </c>
      <c r="C578" t="s">
        <v>243</v>
      </c>
      <c r="D578" t="s">
        <v>1983</v>
      </c>
      <c r="E578" t="s">
        <v>1979</v>
      </c>
      <c r="F578" t="s">
        <v>240</v>
      </c>
      <c r="G578">
        <v>1</v>
      </c>
      <c r="H578">
        <v>1</v>
      </c>
      <c r="I578" t="s">
        <v>97</v>
      </c>
      <c r="J578" s="10">
        <v>129</v>
      </c>
      <c r="K578" s="10">
        <v>387</v>
      </c>
      <c r="L578" s="10">
        <v>0</v>
      </c>
      <c r="N578" s="10">
        <v>0</v>
      </c>
      <c r="S578">
        <v>25.75</v>
      </c>
      <c r="T578">
        <v>24</v>
      </c>
      <c r="U578">
        <v>24</v>
      </c>
      <c r="W578">
        <v>10.93</v>
      </c>
      <c r="Y578">
        <v>13.25</v>
      </c>
      <c r="Z578">
        <v>25.5</v>
      </c>
      <c r="AA578">
        <v>25.5</v>
      </c>
      <c r="AB578">
        <v>4.9859999999999998</v>
      </c>
      <c r="AC578">
        <v>18.21</v>
      </c>
      <c r="AE578">
        <v>3</v>
      </c>
      <c r="AF578" t="s">
        <v>233</v>
      </c>
      <c r="AG578">
        <v>100</v>
      </c>
      <c r="AK578" t="s">
        <v>98</v>
      </c>
      <c r="AM578" t="s">
        <v>98</v>
      </c>
      <c r="AN578" t="s">
        <v>98</v>
      </c>
      <c r="AO578" t="s">
        <v>99</v>
      </c>
      <c r="AP578" t="s">
        <v>100</v>
      </c>
      <c r="AQ578" t="s">
        <v>101</v>
      </c>
      <c r="AV578" t="s">
        <v>98</v>
      </c>
      <c r="AX578" t="s">
        <v>367</v>
      </c>
      <c r="AZ578" t="s">
        <v>102</v>
      </c>
      <c r="BB578" t="s">
        <v>1984</v>
      </c>
      <c r="BC578" t="s">
        <v>285</v>
      </c>
      <c r="BD578" t="s">
        <v>7528</v>
      </c>
      <c r="BF578" t="s">
        <v>1985</v>
      </c>
      <c r="BG578" t="s">
        <v>98</v>
      </c>
      <c r="BH578" t="s">
        <v>98</v>
      </c>
      <c r="BI578" t="s">
        <v>98</v>
      </c>
      <c r="BK578" t="s">
        <v>110</v>
      </c>
      <c r="BL578" t="s">
        <v>7528</v>
      </c>
      <c r="BQ578">
        <v>5</v>
      </c>
      <c r="BR578">
        <v>2.38</v>
      </c>
      <c r="BS578">
        <v>5</v>
      </c>
      <c r="BT578">
        <v>5</v>
      </c>
      <c r="CA578">
        <v>4362</v>
      </c>
      <c r="CB578" t="s">
        <v>367</v>
      </c>
      <c r="CL578" t="s">
        <v>99</v>
      </c>
      <c r="CM578" t="s">
        <v>99</v>
      </c>
      <c r="CN578" t="s">
        <v>1986</v>
      </c>
      <c r="CO578" s="1">
        <v>40116</v>
      </c>
      <c r="CP578" s="1">
        <v>43633</v>
      </c>
    </row>
    <row r="579" spans="1:94" x14ac:dyDescent="0.25">
      <c r="A579" t="s">
        <v>1987</v>
      </c>
      <c r="B579" t="str">
        <f xml:space="preserve"> "" &amp; 747396083261</f>
        <v>747396083261</v>
      </c>
      <c r="C579" t="s">
        <v>476</v>
      </c>
      <c r="D579" t="s">
        <v>1988</v>
      </c>
      <c r="E579" t="s">
        <v>1885</v>
      </c>
      <c r="F579" t="s">
        <v>478</v>
      </c>
      <c r="G579">
        <v>1</v>
      </c>
      <c r="H579">
        <v>1</v>
      </c>
      <c r="I579" t="s">
        <v>97</v>
      </c>
      <c r="J579" s="10">
        <v>74</v>
      </c>
      <c r="K579" s="10">
        <v>222</v>
      </c>
      <c r="L579" s="10">
        <v>0</v>
      </c>
      <c r="N579" s="10">
        <v>0</v>
      </c>
      <c r="O579" t="s">
        <v>99</v>
      </c>
      <c r="P579" s="10">
        <v>129.94999999999999</v>
      </c>
      <c r="S579">
        <v>6.5</v>
      </c>
      <c r="T579">
        <v>13.5</v>
      </c>
      <c r="U579">
        <v>13.5</v>
      </c>
      <c r="W579">
        <v>4.83</v>
      </c>
      <c r="X579">
        <v>1</v>
      </c>
      <c r="Y579">
        <v>8</v>
      </c>
      <c r="Z579">
        <v>15</v>
      </c>
      <c r="AA579">
        <v>15</v>
      </c>
      <c r="AB579">
        <v>1.042</v>
      </c>
      <c r="AC579">
        <v>7.72</v>
      </c>
      <c r="AE579">
        <v>2</v>
      </c>
      <c r="AF579" t="s">
        <v>282</v>
      </c>
      <c r="AG579">
        <v>60</v>
      </c>
      <c r="AK579" t="s">
        <v>98</v>
      </c>
      <c r="AM579" t="s">
        <v>98</v>
      </c>
      <c r="AN579" t="s">
        <v>98</v>
      </c>
      <c r="AO579" t="s">
        <v>99</v>
      </c>
      <c r="AP579" t="s">
        <v>100</v>
      </c>
      <c r="AQ579" t="s">
        <v>101</v>
      </c>
      <c r="AV579" t="s">
        <v>98</v>
      </c>
      <c r="AX579" t="s">
        <v>560</v>
      </c>
      <c r="AZ579" t="s">
        <v>102</v>
      </c>
      <c r="BB579" t="s">
        <v>235</v>
      </c>
      <c r="BC579" t="s">
        <v>460</v>
      </c>
      <c r="BD579" t="s">
        <v>7528</v>
      </c>
      <c r="BF579" t="s">
        <v>1989</v>
      </c>
      <c r="BG579" t="s">
        <v>98</v>
      </c>
      <c r="BH579" t="s">
        <v>98</v>
      </c>
      <c r="BI579" t="s">
        <v>98</v>
      </c>
      <c r="BK579" t="s">
        <v>127</v>
      </c>
      <c r="BL579" t="s">
        <v>7528</v>
      </c>
      <c r="CA579">
        <v>4365</v>
      </c>
      <c r="CB579" t="s">
        <v>560</v>
      </c>
      <c r="CL579" t="s">
        <v>99</v>
      </c>
      <c r="CM579" t="s">
        <v>98</v>
      </c>
      <c r="CN579" t="s">
        <v>442</v>
      </c>
      <c r="CO579" s="1">
        <v>40787</v>
      </c>
      <c r="CP579" s="1">
        <v>43633</v>
      </c>
    </row>
    <row r="580" spans="1:94" x14ac:dyDescent="0.25">
      <c r="A580" t="s">
        <v>1990</v>
      </c>
      <c r="B580" t="str">
        <f xml:space="preserve"> "" &amp; 747396071954</f>
        <v>747396071954</v>
      </c>
      <c r="C580" t="s">
        <v>476</v>
      </c>
      <c r="D580" t="s">
        <v>1988</v>
      </c>
      <c r="E580" t="s">
        <v>1885</v>
      </c>
      <c r="F580" t="s">
        <v>478</v>
      </c>
      <c r="G580">
        <v>1</v>
      </c>
      <c r="H580">
        <v>1</v>
      </c>
      <c r="I580" t="s">
        <v>97</v>
      </c>
      <c r="J580" s="10">
        <v>74</v>
      </c>
      <c r="K580" s="10">
        <v>222</v>
      </c>
      <c r="L580" s="10">
        <v>0</v>
      </c>
      <c r="N580" s="10">
        <v>0</v>
      </c>
      <c r="O580" t="s">
        <v>99</v>
      </c>
      <c r="P580" s="10">
        <v>129.94999999999999</v>
      </c>
      <c r="S580">
        <v>6.5</v>
      </c>
      <c r="T580">
        <v>13.5</v>
      </c>
      <c r="U580">
        <v>13.5</v>
      </c>
      <c r="W580">
        <v>4.8499999999999996</v>
      </c>
      <c r="Y580">
        <v>8</v>
      </c>
      <c r="Z580">
        <v>15</v>
      </c>
      <c r="AA580">
        <v>15</v>
      </c>
      <c r="AB580">
        <v>1.042</v>
      </c>
      <c r="AC580">
        <v>7.72</v>
      </c>
      <c r="AE580">
        <v>2</v>
      </c>
      <c r="AF580" t="s">
        <v>233</v>
      </c>
      <c r="AG580">
        <v>60</v>
      </c>
      <c r="AK580" t="s">
        <v>98</v>
      </c>
      <c r="AM580" t="s">
        <v>98</v>
      </c>
      <c r="AN580" t="s">
        <v>98</v>
      </c>
      <c r="AO580" t="s">
        <v>99</v>
      </c>
      <c r="AP580" t="s">
        <v>100</v>
      </c>
      <c r="AQ580" t="s">
        <v>101</v>
      </c>
      <c r="AV580" t="s">
        <v>98</v>
      </c>
      <c r="AX580" t="s">
        <v>367</v>
      </c>
      <c r="AZ580" t="s">
        <v>102</v>
      </c>
      <c r="BB580" t="s">
        <v>235</v>
      </c>
      <c r="BC580" t="s">
        <v>460</v>
      </c>
      <c r="BD580" t="s">
        <v>7528</v>
      </c>
      <c r="BF580" t="s">
        <v>1991</v>
      </c>
      <c r="BG580" t="s">
        <v>98</v>
      </c>
      <c r="BH580" t="s">
        <v>98</v>
      </c>
      <c r="BI580" t="s">
        <v>98</v>
      </c>
      <c r="BK580" t="s">
        <v>127</v>
      </c>
      <c r="BL580" t="s">
        <v>7528</v>
      </c>
      <c r="CA580">
        <v>4365</v>
      </c>
      <c r="CB580" t="s">
        <v>367</v>
      </c>
      <c r="CL580" t="s">
        <v>99</v>
      </c>
      <c r="CM580" t="s">
        <v>98</v>
      </c>
      <c r="CN580" t="s">
        <v>365</v>
      </c>
      <c r="CO580" s="1">
        <v>40116</v>
      </c>
      <c r="CP580" s="1">
        <v>43633</v>
      </c>
    </row>
    <row r="581" spans="1:94" x14ac:dyDescent="0.25">
      <c r="A581" t="s">
        <v>1992</v>
      </c>
      <c r="B581" t="str">
        <f xml:space="preserve"> "" &amp; 747396083254</f>
        <v>747396083254</v>
      </c>
      <c r="C581" t="s">
        <v>476</v>
      </c>
      <c r="D581" t="s">
        <v>1988</v>
      </c>
      <c r="E581" t="s">
        <v>1885</v>
      </c>
      <c r="F581" t="s">
        <v>478</v>
      </c>
      <c r="G581">
        <v>1</v>
      </c>
      <c r="H581">
        <v>1</v>
      </c>
      <c r="I581" t="s">
        <v>97</v>
      </c>
      <c r="J581" s="10">
        <v>74</v>
      </c>
      <c r="K581" s="10">
        <v>222</v>
      </c>
      <c r="L581" s="10">
        <v>0</v>
      </c>
      <c r="N581" s="10">
        <v>0</v>
      </c>
      <c r="S581">
        <v>6.5</v>
      </c>
      <c r="T581">
        <v>13.5</v>
      </c>
      <c r="U581">
        <v>13.5</v>
      </c>
      <c r="W581">
        <v>4.8499999999999996</v>
      </c>
      <c r="X581">
        <v>1</v>
      </c>
      <c r="Y581">
        <v>8</v>
      </c>
      <c r="Z581">
        <v>15</v>
      </c>
      <c r="AA581">
        <v>15</v>
      </c>
      <c r="AB581">
        <v>1.042</v>
      </c>
      <c r="AC581">
        <v>7.05</v>
      </c>
      <c r="AE581">
        <v>2</v>
      </c>
      <c r="AF581" t="s">
        <v>282</v>
      </c>
      <c r="AG581">
        <v>60</v>
      </c>
      <c r="AK581" t="s">
        <v>98</v>
      </c>
      <c r="AM581" t="s">
        <v>98</v>
      </c>
      <c r="AN581" t="s">
        <v>98</v>
      </c>
      <c r="AO581" t="s">
        <v>99</v>
      </c>
      <c r="AP581" t="s">
        <v>100</v>
      </c>
      <c r="AQ581" t="s">
        <v>101</v>
      </c>
      <c r="AV581" t="s">
        <v>98</v>
      </c>
      <c r="AX581" t="s">
        <v>484</v>
      </c>
      <c r="AZ581" t="s">
        <v>124</v>
      </c>
      <c r="BB581" t="s">
        <v>235</v>
      </c>
      <c r="BC581" t="s">
        <v>460</v>
      </c>
      <c r="BD581" t="s">
        <v>7528</v>
      </c>
      <c r="BF581" t="s">
        <v>1993</v>
      </c>
      <c r="BG581" t="s">
        <v>98</v>
      </c>
      <c r="BH581" t="s">
        <v>98</v>
      </c>
      <c r="BI581" t="s">
        <v>98</v>
      </c>
      <c r="BK581" t="s">
        <v>127</v>
      </c>
      <c r="BL581" t="s">
        <v>7528</v>
      </c>
      <c r="CA581">
        <v>4365</v>
      </c>
      <c r="CB581" t="s">
        <v>484</v>
      </c>
      <c r="CL581" t="s">
        <v>99</v>
      </c>
      <c r="CM581" t="s">
        <v>98</v>
      </c>
      <c r="CN581" t="s">
        <v>442</v>
      </c>
      <c r="CO581" s="1">
        <v>40787</v>
      </c>
      <c r="CP581" s="1">
        <v>43633</v>
      </c>
    </row>
    <row r="582" spans="1:94" x14ac:dyDescent="0.25">
      <c r="A582" t="s">
        <v>1994</v>
      </c>
      <c r="B582" t="str">
        <f xml:space="preserve"> "" &amp; 747396030517</f>
        <v>747396030517</v>
      </c>
      <c r="C582" t="s">
        <v>476</v>
      </c>
      <c r="D582" t="s">
        <v>1988</v>
      </c>
      <c r="E582" t="s">
        <v>1885</v>
      </c>
      <c r="F582" t="s">
        <v>478</v>
      </c>
      <c r="G582">
        <v>1</v>
      </c>
      <c r="H582">
        <v>1</v>
      </c>
      <c r="I582" t="s">
        <v>97</v>
      </c>
      <c r="J582" s="10">
        <v>74</v>
      </c>
      <c r="K582" s="10">
        <v>222</v>
      </c>
      <c r="L582" s="10">
        <v>0</v>
      </c>
      <c r="N582" s="10">
        <v>0</v>
      </c>
      <c r="S582">
        <v>6.5</v>
      </c>
      <c r="T582">
        <v>13.5</v>
      </c>
      <c r="U582">
        <v>13.5</v>
      </c>
      <c r="W582">
        <v>4.83</v>
      </c>
      <c r="X582">
        <v>1</v>
      </c>
      <c r="Y582">
        <v>8</v>
      </c>
      <c r="Z582">
        <v>15</v>
      </c>
      <c r="AA582">
        <v>15</v>
      </c>
      <c r="AB582">
        <v>1.042</v>
      </c>
      <c r="AC582">
        <v>7.72</v>
      </c>
      <c r="AE582">
        <v>2</v>
      </c>
      <c r="AF582" t="s">
        <v>2629</v>
      </c>
      <c r="AG582">
        <v>60</v>
      </c>
      <c r="AK582" t="s">
        <v>98</v>
      </c>
      <c r="AM582" t="s">
        <v>98</v>
      </c>
      <c r="AN582" t="s">
        <v>98</v>
      </c>
      <c r="AO582" t="s">
        <v>99</v>
      </c>
      <c r="AP582" t="s">
        <v>100</v>
      </c>
      <c r="AQ582" t="s">
        <v>101</v>
      </c>
      <c r="AV582" t="s">
        <v>98</v>
      </c>
      <c r="AX582" t="s">
        <v>279</v>
      </c>
      <c r="AZ582" t="s">
        <v>102</v>
      </c>
      <c r="BB582" t="s">
        <v>235</v>
      </c>
      <c r="BC582" t="s">
        <v>460</v>
      </c>
      <c r="BD582" t="s">
        <v>7528</v>
      </c>
      <c r="BF582" t="s">
        <v>1995</v>
      </c>
      <c r="BG582" t="s">
        <v>98</v>
      </c>
      <c r="BH582" t="s">
        <v>98</v>
      </c>
      <c r="BI582" t="s">
        <v>98</v>
      </c>
      <c r="BK582" t="s">
        <v>127</v>
      </c>
      <c r="BL582" t="s">
        <v>7528</v>
      </c>
      <c r="BQ582">
        <v>13.5</v>
      </c>
      <c r="BR582">
        <v>1.25</v>
      </c>
      <c r="BS582">
        <v>13.5</v>
      </c>
      <c r="BT582">
        <v>13.5</v>
      </c>
      <c r="CA582">
        <v>4365</v>
      </c>
      <c r="CB582" t="s">
        <v>279</v>
      </c>
      <c r="CL582" t="s">
        <v>99</v>
      </c>
      <c r="CM582" t="s">
        <v>98</v>
      </c>
      <c r="CN582" t="s">
        <v>592</v>
      </c>
      <c r="CO582" s="1">
        <v>41457</v>
      </c>
      <c r="CP582" s="1">
        <v>43633</v>
      </c>
    </row>
    <row r="583" spans="1:94" x14ac:dyDescent="0.25">
      <c r="A583" t="s">
        <v>1996</v>
      </c>
      <c r="B583" t="str">
        <f xml:space="preserve"> "" &amp; 747396072005</f>
        <v>747396072005</v>
      </c>
      <c r="C583" t="s">
        <v>252</v>
      </c>
      <c r="D583" t="s">
        <v>1997</v>
      </c>
      <c r="E583" t="s">
        <v>1979</v>
      </c>
      <c r="F583" t="s">
        <v>249</v>
      </c>
      <c r="G583">
        <v>1</v>
      </c>
      <c r="H583">
        <v>1</v>
      </c>
      <c r="I583" t="s">
        <v>97</v>
      </c>
      <c r="J583" s="10">
        <v>149.94999999999999</v>
      </c>
      <c r="K583" s="10">
        <v>449.85</v>
      </c>
      <c r="L583" s="10">
        <v>0</v>
      </c>
      <c r="N583" s="10">
        <v>0</v>
      </c>
      <c r="S583">
        <v>20</v>
      </c>
      <c r="T583">
        <v>26</v>
      </c>
      <c r="U583">
        <v>26</v>
      </c>
      <c r="W583">
        <v>12.79</v>
      </c>
      <c r="Y583">
        <v>8</v>
      </c>
      <c r="Z583">
        <v>28</v>
      </c>
      <c r="AA583">
        <v>25</v>
      </c>
      <c r="AB583">
        <v>3.2410000000000001</v>
      </c>
      <c r="AC583">
        <v>20.13</v>
      </c>
      <c r="AE583">
        <v>6</v>
      </c>
      <c r="AF583" t="s">
        <v>1998</v>
      </c>
      <c r="AG583">
        <v>60</v>
      </c>
      <c r="AK583" t="s">
        <v>98</v>
      </c>
      <c r="AL583">
        <v>6</v>
      </c>
      <c r="AM583" t="s">
        <v>98</v>
      </c>
      <c r="AN583" t="s">
        <v>98</v>
      </c>
      <c r="AO583" t="s">
        <v>99</v>
      </c>
      <c r="AP583" t="s">
        <v>100</v>
      </c>
      <c r="AQ583" t="s">
        <v>101</v>
      </c>
      <c r="AV583" t="s">
        <v>98</v>
      </c>
      <c r="AX583" t="s">
        <v>367</v>
      </c>
      <c r="AZ583" t="s">
        <v>102</v>
      </c>
      <c r="BB583" t="s">
        <v>235</v>
      </c>
      <c r="BC583" t="s">
        <v>746</v>
      </c>
      <c r="BD583" t="s">
        <v>7528</v>
      </c>
      <c r="BF583" t="s">
        <v>1999</v>
      </c>
      <c r="BG583" t="s">
        <v>98</v>
      </c>
      <c r="BH583" t="s">
        <v>98</v>
      </c>
      <c r="BI583" t="s">
        <v>98</v>
      </c>
      <c r="BK583" t="s">
        <v>110</v>
      </c>
      <c r="BL583" t="s">
        <v>7528</v>
      </c>
      <c r="BR583">
        <v>1</v>
      </c>
      <c r="BT583">
        <v>5</v>
      </c>
      <c r="CA583">
        <v>4366</v>
      </c>
      <c r="CB583" t="s">
        <v>367</v>
      </c>
      <c r="CL583" t="s">
        <v>99</v>
      </c>
      <c r="CM583" t="s">
        <v>99</v>
      </c>
      <c r="CN583" t="s">
        <v>365</v>
      </c>
      <c r="CO583" s="1">
        <v>40116</v>
      </c>
      <c r="CP583" s="1">
        <v>43633</v>
      </c>
    </row>
    <row r="584" spans="1:94" x14ac:dyDescent="0.25">
      <c r="A584" t="s">
        <v>2000</v>
      </c>
      <c r="B584" t="str">
        <f xml:space="preserve"> "" &amp; 747396071961</f>
        <v>747396071961</v>
      </c>
      <c r="C584" t="s">
        <v>243</v>
      </c>
      <c r="D584" t="s">
        <v>1983</v>
      </c>
      <c r="E584" t="s">
        <v>1979</v>
      </c>
      <c r="F584" t="s">
        <v>240</v>
      </c>
      <c r="G584">
        <v>1</v>
      </c>
      <c r="H584">
        <v>1</v>
      </c>
      <c r="I584" t="s">
        <v>97</v>
      </c>
      <c r="J584" s="10">
        <v>199.95</v>
      </c>
      <c r="K584" s="10">
        <v>599.85</v>
      </c>
      <c r="L584" s="10">
        <v>0</v>
      </c>
      <c r="N584" s="10">
        <v>0</v>
      </c>
      <c r="O584" t="s">
        <v>99</v>
      </c>
      <c r="P584" s="10">
        <v>399.9</v>
      </c>
      <c r="S584">
        <v>27.25</v>
      </c>
      <c r="T584">
        <v>11.75</v>
      </c>
      <c r="U584">
        <v>11.75</v>
      </c>
      <c r="W584">
        <v>14.33</v>
      </c>
      <c r="Y584">
        <v>18.75</v>
      </c>
      <c r="Z584">
        <v>27.5</v>
      </c>
      <c r="AA584">
        <v>15.5</v>
      </c>
      <c r="AB584">
        <v>4.625</v>
      </c>
      <c r="AC584">
        <v>18.079999999999998</v>
      </c>
      <c r="AE584">
        <v>3</v>
      </c>
      <c r="AF584" t="s">
        <v>308</v>
      </c>
      <c r="AG584">
        <v>60</v>
      </c>
      <c r="AK584" t="s">
        <v>98</v>
      </c>
      <c r="AM584" t="s">
        <v>98</v>
      </c>
      <c r="AN584" t="s">
        <v>98</v>
      </c>
      <c r="AO584" t="s">
        <v>99</v>
      </c>
      <c r="AP584" t="s">
        <v>100</v>
      </c>
      <c r="AQ584" t="s">
        <v>101</v>
      </c>
      <c r="AV584" t="s">
        <v>98</v>
      </c>
      <c r="AX584" t="s">
        <v>367</v>
      </c>
      <c r="AZ584" t="s">
        <v>102</v>
      </c>
      <c r="BB584" t="s">
        <v>235</v>
      </c>
      <c r="BC584" t="s">
        <v>746</v>
      </c>
      <c r="BD584" t="s">
        <v>7528</v>
      </c>
      <c r="BF584" t="s">
        <v>2001</v>
      </c>
      <c r="BG584" t="s">
        <v>98</v>
      </c>
      <c r="BH584" t="s">
        <v>98</v>
      </c>
      <c r="BI584" t="s">
        <v>98</v>
      </c>
      <c r="BK584" t="s">
        <v>110</v>
      </c>
      <c r="BL584" t="s">
        <v>7528</v>
      </c>
      <c r="BQ584">
        <v>5</v>
      </c>
      <c r="BR584">
        <v>1</v>
      </c>
      <c r="BS584">
        <v>5</v>
      </c>
      <c r="BT584">
        <v>5</v>
      </c>
      <c r="CA584">
        <v>4367</v>
      </c>
      <c r="CB584" t="s">
        <v>367</v>
      </c>
      <c r="CL584" t="s">
        <v>99</v>
      </c>
      <c r="CM584" t="s">
        <v>99</v>
      </c>
      <c r="CN584" t="s">
        <v>365</v>
      </c>
      <c r="CO584" s="1">
        <v>40116</v>
      </c>
      <c r="CP584" s="1">
        <v>43633</v>
      </c>
    </row>
    <row r="585" spans="1:94" x14ac:dyDescent="0.25">
      <c r="A585" t="s">
        <v>2002</v>
      </c>
      <c r="B585" t="str">
        <f xml:space="preserve"> "" &amp; 747396071978</f>
        <v>747396071978</v>
      </c>
      <c r="C585" t="s">
        <v>1711</v>
      </c>
      <c r="D585" t="s">
        <v>2003</v>
      </c>
      <c r="E585" t="s">
        <v>1979</v>
      </c>
      <c r="F585" t="s">
        <v>240</v>
      </c>
      <c r="G585">
        <v>1</v>
      </c>
      <c r="H585">
        <v>1</v>
      </c>
      <c r="I585" t="s">
        <v>97</v>
      </c>
      <c r="J585" s="10">
        <v>264.95</v>
      </c>
      <c r="K585" s="10">
        <v>794.85</v>
      </c>
      <c r="L585" s="10">
        <v>0</v>
      </c>
      <c r="N585" s="10">
        <v>0</v>
      </c>
      <c r="O585" t="s">
        <v>99</v>
      </c>
      <c r="P585" s="10">
        <v>529.9</v>
      </c>
      <c r="S585">
        <v>37</v>
      </c>
      <c r="T585">
        <v>17</v>
      </c>
      <c r="U585">
        <v>17</v>
      </c>
      <c r="W585">
        <v>24.69</v>
      </c>
      <c r="Y585">
        <v>23.75</v>
      </c>
      <c r="Z585">
        <v>28</v>
      </c>
      <c r="AA585">
        <v>18.5</v>
      </c>
      <c r="AB585">
        <v>7.12</v>
      </c>
      <c r="AC585">
        <v>33.07</v>
      </c>
      <c r="AE585">
        <v>6</v>
      </c>
      <c r="AF585" t="s">
        <v>308</v>
      </c>
      <c r="AG585">
        <v>60</v>
      </c>
      <c r="AK585" t="s">
        <v>98</v>
      </c>
      <c r="AM585" t="s">
        <v>98</v>
      </c>
      <c r="AN585" t="s">
        <v>98</v>
      </c>
      <c r="AO585" t="s">
        <v>99</v>
      </c>
      <c r="AP585" t="s">
        <v>100</v>
      </c>
      <c r="AQ585" t="s">
        <v>101</v>
      </c>
      <c r="AV585" t="s">
        <v>98</v>
      </c>
      <c r="AX585" t="s">
        <v>367</v>
      </c>
      <c r="AZ585" t="s">
        <v>102</v>
      </c>
      <c r="BB585" t="s">
        <v>235</v>
      </c>
      <c r="BC585" t="s">
        <v>746</v>
      </c>
      <c r="BD585" t="s">
        <v>7528</v>
      </c>
      <c r="BF585" t="s">
        <v>2004</v>
      </c>
      <c r="BG585" t="s">
        <v>98</v>
      </c>
      <c r="BH585" t="s">
        <v>98</v>
      </c>
      <c r="BI585" t="s">
        <v>98</v>
      </c>
      <c r="BK585" t="s">
        <v>110</v>
      </c>
      <c r="BL585" t="s">
        <v>7528</v>
      </c>
      <c r="BQ585">
        <v>5</v>
      </c>
      <c r="BR585">
        <v>1</v>
      </c>
      <c r="BS585">
        <v>5</v>
      </c>
      <c r="BT585">
        <v>5</v>
      </c>
      <c r="CA585">
        <v>4368</v>
      </c>
      <c r="CB585" t="s">
        <v>367</v>
      </c>
      <c r="CL585" t="s">
        <v>99</v>
      </c>
      <c r="CM585" t="s">
        <v>98</v>
      </c>
      <c r="CN585" t="s">
        <v>365</v>
      </c>
      <c r="CO585" s="1">
        <v>40116</v>
      </c>
      <c r="CP585" s="1">
        <v>43633</v>
      </c>
    </row>
    <row r="586" spans="1:94" x14ac:dyDescent="0.25">
      <c r="A586" t="s">
        <v>2005</v>
      </c>
      <c r="B586" t="str">
        <f xml:space="preserve"> "" &amp; 747396095103</f>
        <v>747396095103</v>
      </c>
      <c r="C586" t="s">
        <v>850</v>
      </c>
      <c r="D586" t="s">
        <v>2006</v>
      </c>
      <c r="E586" t="s">
        <v>2007</v>
      </c>
      <c r="F586" t="s">
        <v>240</v>
      </c>
      <c r="G586">
        <v>1</v>
      </c>
      <c r="H586">
        <v>1</v>
      </c>
      <c r="I586" t="s">
        <v>97</v>
      </c>
      <c r="J586" s="10">
        <v>139</v>
      </c>
      <c r="K586" s="10">
        <v>417</v>
      </c>
      <c r="L586" s="10">
        <v>0</v>
      </c>
      <c r="N586" s="10">
        <v>0</v>
      </c>
      <c r="O586" t="s">
        <v>99</v>
      </c>
      <c r="P586" s="10">
        <v>249.95</v>
      </c>
      <c r="S586">
        <v>26.75</v>
      </c>
      <c r="T586">
        <v>14</v>
      </c>
      <c r="U586">
        <v>14</v>
      </c>
      <c r="W586">
        <v>10.1</v>
      </c>
      <c r="Y586">
        <v>27.25</v>
      </c>
      <c r="Z586">
        <v>15.88</v>
      </c>
      <c r="AA586">
        <v>15.25</v>
      </c>
      <c r="AB586">
        <v>3.819</v>
      </c>
      <c r="AC586">
        <v>14.55</v>
      </c>
      <c r="AE586">
        <v>5</v>
      </c>
      <c r="AF586" t="s">
        <v>308</v>
      </c>
      <c r="AG586">
        <v>60</v>
      </c>
      <c r="AK586" t="s">
        <v>98</v>
      </c>
      <c r="AM586" t="s">
        <v>98</v>
      </c>
      <c r="AN586" t="s">
        <v>99</v>
      </c>
      <c r="AO586" t="s">
        <v>98</v>
      </c>
      <c r="AP586" t="s">
        <v>100</v>
      </c>
      <c r="AQ586" t="s">
        <v>101</v>
      </c>
      <c r="AV586" t="s">
        <v>98</v>
      </c>
      <c r="AX586" t="s">
        <v>2008</v>
      </c>
      <c r="AZ586" t="s">
        <v>102</v>
      </c>
      <c r="BB586" t="s">
        <v>7528</v>
      </c>
      <c r="BC586" t="s">
        <v>7528</v>
      </c>
      <c r="BD586" t="s">
        <v>7528</v>
      </c>
      <c r="BF586" t="s">
        <v>2009</v>
      </c>
      <c r="BG586" t="s">
        <v>98</v>
      </c>
      <c r="BH586" t="s">
        <v>98</v>
      </c>
      <c r="BI586" t="s">
        <v>98</v>
      </c>
      <c r="BK586" t="s">
        <v>110</v>
      </c>
      <c r="BL586" t="s">
        <v>7528</v>
      </c>
      <c r="BQ586">
        <v>5.5</v>
      </c>
      <c r="BR586">
        <v>1</v>
      </c>
      <c r="BS586">
        <v>5.5</v>
      </c>
      <c r="BT586">
        <v>5.5</v>
      </c>
      <c r="CA586">
        <v>4372</v>
      </c>
      <c r="CB586" t="s">
        <v>2008</v>
      </c>
      <c r="CL586" t="s">
        <v>99</v>
      </c>
      <c r="CM586" t="s">
        <v>99</v>
      </c>
      <c r="CN586" t="s">
        <v>692</v>
      </c>
      <c r="CO586" s="1">
        <v>42041</v>
      </c>
      <c r="CP586" s="1">
        <v>43633</v>
      </c>
    </row>
    <row r="587" spans="1:94" x14ac:dyDescent="0.25">
      <c r="A587" t="s">
        <v>2010</v>
      </c>
      <c r="B587" t="str">
        <f xml:space="preserve"> "" &amp; 747396095110</f>
        <v>747396095110</v>
      </c>
      <c r="C587" t="s">
        <v>850</v>
      </c>
      <c r="D587" t="s">
        <v>2006</v>
      </c>
      <c r="E587" t="s">
        <v>2007</v>
      </c>
      <c r="F587" t="s">
        <v>240</v>
      </c>
      <c r="G587">
        <v>1</v>
      </c>
      <c r="H587">
        <v>1</v>
      </c>
      <c r="I587" t="s">
        <v>97</v>
      </c>
      <c r="J587" s="10">
        <v>139</v>
      </c>
      <c r="K587" s="10">
        <v>417</v>
      </c>
      <c r="L587" s="10">
        <v>0</v>
      </c>
      <c r="N587" s="10">
        <v>0</v>
      </c>
      <c r="O587" t="s">
        <v>99</v>
      </c>
      <c r="P587" s="10">
        <v>289.95</v>
      </c>
      <c r="S587">
        <v>30</v>
      </c>
      <c r="T587">
        <v>17</v>
      </c>
      <c r="U587">
        <v>17</v>
      </c>
      <c r="W587">
        <v>11.29</v>
      </c>
      <c r="Y587">
        <v>30.5</v>
      </c>
      <c r="Z587">
        <v>18.75</v>
      </c>
      <c r="AA587">
        <v>18</v>
      </c>
      <c r="AB587">
        <v>5.9569999999999999</v>
      </c>
      <c r="AC587">
        <v>17.77</v>
      </c>
      <c r="AE587">
        <v>5</v>
      </c>
      <c r="AF587" t="s">
        <v>308</v>
      </c>
      <c r="AG587">
        <v>60</v>
      </c>
      <c r="AK587" t="s">
        <v>98</v>
      </c>
      <c r="AM587" t="s">
        <v>98</v>
      </c>
      <c r="AN587" t="s">
        <v>99</v>
      </c>
      <c r="AO587" t="s">
        <v>98</v>
      </c>
      <c r="AP587" t="s">
        <v>100</v>
      </c>
      <c r="AQ587" t="s">
        <v>101</v>
      </c>
      <c r="AV587" t="s">
        <v>98</v>
      </c>
      <c r="AX587" t="s">
        <v>2008</v>
      </c>
      <c r="AZ587" t="s">
        <v>102</v>
      </c>
      <c r="BB587" t="s">
        <v>7528</v>
      </c>
      <c r="BC587" t="s">
        <v>7528</v>
      </c>
      <c r="BD587" t="s">
        <v>7528</v>
      </c>
      <c r="BF587" t="s">
        <v>2011</v>
      </c>
      <c r="BG587" t="s">
        <v>98</v>
      </c>
      <c r="BH587" t="s">
        <v>98</v>
      </c>
      <c r="BI587" t="s">
        <v>98</v>
      </c>
      <c r="BK587" t="s">
        <v>110</v>
      </c>
      <c r="BL587" t="s">
        <v>7528</v>
      </c>
      <c r="BQ587">
        <v>5.5</v>
      </c>
      <c r="BR587">
        <v>1</v>
      </c>
      <c r="BS587">
        <v>5.5</v>
      </c>
      <c r="BT587">
        <v>5.5</v>
      </c>
      <c r="CA587">
        <v>4373</v>
      </c>
      <c r="CB587" t="s">
        <v>2008</v>
      </c>
      <c r="CL587" t="s">
        <v>99</v>
      </c>
      <c r="CM587" t="s">
        <v>99</v>
      </c>
      <c r="CN587" t="s">
        <v>692</v>
      </c>
      <c r="CO587" s="1">
        <v>42041</v>
      </c>
      <c r="CP587" s="1">
        <v>43633</v>
      </c>
    </row>
    <row r="588" spans="1:94" x14ac:dyDescent="0.25">
      <c r="A588" t="s">
        <v>2012</v>
      </c>
      <c r="B588" t="str">
        <f xml:space="preserve"> "" &amp; 747396095127</f>
        <v>747396095127</v>
      </c>
      <c r="C588" t="s">
        <v>1233</v>
      </c>
      <c r="D588" t="s">
        <v>2013</v>
      </c>
      <c r="E588" t="s">
        <v>2007</v>
      </c>
      <c r="F588" t="s">
        <v>249</v>
      </c>
      <c r="G588">
        <v>1</v>
      </c>
      <c r="H588">
        <v>1</v>
      </c>
      <c r="I588" t="s">
        <v>97</v>
      </c>
      <c r="J588" s="10">
        <v>95</v>
      </c>
      <c r="K588" s="10">
        <v>285</v>
      </c>
      <c r="L588" s="10">
        <v>0</v>
      </c>
      <c r="N588" s="10">
        <v>0</v>
      </c>
      <c r="O588" t="s">
        <v>99</v>
      </c>
      <c r="P588" s="10">
        <v>199.95</v>
      </c>
      <c r="S588">
        <v>20.25</v>
      </c>
      <c r="T588">
        <v>16</v>
      </c>
      <c r="U588">
        <v>16</v>
      </c>
      <c r="W588">
        <v>6.42</v>
      </c>
      <c r="Y588">
        <v>20.63</v>
      </c>
      <c r="Z588">
        <v>13.88</v>
      </c>
      <c r="AA588">
        <v>13.88</v>
      </c>
      <c r="AB588">
        <v>2.2999999999999998</v>
      </c>
      <c r="AC588">
        <v>9.5500000000000007</v>
      </c>
      <c r="AE588">
        <v>4</v>
      </c>
      <c r="AF588" t="s">
        <v>308</v>
      </c>
      <c r="AG588">
        <v>60</v>
      </c>
      <c r="AK588" t="s">
        <v>98</v>
      </c>
      <c r="AM588" t="s">
        <v>98</v>
      </c>
      <c r="AN588" t="s">
        <v>99</v>
      </c>
      <c r="AO588" t="s">
        <v>98</v>
      </c>
      <c r="AP588" t="s">
        <v>100</v>
      </c>
      <c r="AQ588" t="s">
        <v>101</v>
      </c>
      <c r="AV588" t="s">
        <v>98</v>
      </c>
      <c r="AX588" t="s">
        <v>2008</v>
      </c>
      <c r="AZ588" t="s">
        <v>102</v>
      </c>
      <c r="BB588" t="s">
        <v>7528</v>
      </c>
      <c r="BC588" t="s">
        <v>7528</v>
      </c>
      <c r="BD588" t="s">
        <v>7528</v>
      </c>
      <c r="BF588" t="s">
        <v>2014</v>
      </c>
      <c r="BG588" t="s">
        <v>98</v>
      </c>
      <c r="BH588" t="s">
        <v>98</v>
      </c>
      <c r="BI588" t="s">
        <v>98</v>
      </c>
      <c r="BK588" t="s">
        <v>110</v>
      </c>
      <c r="BL588" t="s">
        <v>7528</v>
      </c>
      <c r="BQ588">
        <v>5.5</v>
      </c>
      <c r="BR588">
        <v>1</v>
      </c>
      <c r="BS588">
        <v>5.5</v>
      </c>
      <c r="BT588">
        <v>5.5</v>
      </c>
      <c r="CA588">
        <v>4374</v>
      </c>
      <c r="CB588" t="s">
        <v>2008</v>
      </c>
      <c r="CL588" t="s">
        <v>99</v>
      </c>
      <c r="CM588" t="s">
        <v>99</v>
      </c>
      <c r="CN588" t="s">
        <v>692</v>
      </c>
      <c r="CO588" s="1">
        <v>42041</v>
      </c>
      <c r="CP588" s="1">
        <v>43633</v>
      </c>
    </row>
    <row r="589" spans="1:94" x14ac:dyDescent="0.25">
      <c r="A589" t="s">
        <v>2015</v>
      </c>
      <c r="B589" t="str">
        <f xml:space="preserve"> "" &amp; 747396095134</f>
        <v>747396095134</v>
      </c>
      <c r="C589" t="s">
        <v>343</v>
      </c>
      <c r="D589" t="s">
        <v>2016</v>
      </c>
      <c r="E589" t="s">
        <v>2007</v>
      </c>
      <c r="F589" t="s">
        <v>249</v>
      </c>
      <c r="G589">
        <v>1</v>
      </c>
      <c r="H589">
        <v>1</v>
      </c>
      <c r="I589" t="s">
        <v>97</v>
      </c>
      <c r="J589" s="10">
        <v>155</v>
      </c>
      <c r="K589" s="10">
        <v>465</v>
      </c>
      <c r="L589" s="10">
        <v>0</v>
      </c>
      <c r="N589" s="10">
        <v>0</v>
      </c>
      <c r="O589" t="s">
        <v>99</v>
      </c>
      <c r="P589" s="10">
        <v>324.95</v>
      </c>
      <c r="S589">
        <v>23.75</v>
      </c>
      <c r="T589">
        <v>23</v>
      </c>
      <c r="U589">
        <v>23</v>
      </c>
      <c r="W589">
        <v>9.52</v>
      </c>
      <c r="Y589">
        <v>24</v>
      </c>
      <c r="Z589">
        <v>24.5</v>
      </c>
      <c r="AA589">
        <v>23.88</v>
      </c>
      <c r="AB589">
        <v>8.1259999999999994</v>
      </c>
      <c r="AC589">
        <v>17.2</v>
      </c>
      <c r="AE589">
        <v>5</v>
      </c>
      <c r="AF589" t="s">
        <v>308</v>
      </c>
      <c r="AG589">
        <v>60</v>
      </c>
      <c r="AK589" t="s">
        <v>98</v>
      </c>
      <c r="AM589" t="s">
        <v>98</v>
      </c>
      <c r="AN589" t="s">
        <v>99</v>
      </c>
      <c r="AO589" t="s">
        <v>98</v>
      </c>
      <c r="AP589" t="s">
        <v>100</v>
      </c>
      <c r="AQ589" t="s">
        <v>101</v>
      </c>
      <c r="AV589" t="s">
        <v>98</v>
      </c>
      <c r="AX589" t="s">
        <v>2008</v>
      </c>
      <c r="AZ589" t="s">
        <v>102</v>
      </c>
      <c r="BB589" t="s">
        <v>7528</v>
      </c>
      <c r="BC589" t="s">
        <v>7528</v>
      </c>
      <c r="BD589" t="s">
        <v>7528</v>
      </c>
      <c r="BF589" t="s">
        <v>2017</v>
      </c>
      <c r="BG589" t="s">
        <v>98</v>
      </c>
      <c r="BH589" t="s">
        <v>98</v>
      </c>
      <c r="BI589" t="s">
        <v>98</v>
      </c>
      <c r="BK589" t="s">
        <v>110</v>
      </c>
      <c r="BL589" t="s">
        <v>7528</v>
      </c>
      <c r="BQ589">
        <v>5.5</v>
      </c>
      <c r="BR589">
        <v>1</v>
      </c>
      <c r="BS589">
        <v>5.5</v>
      </c>
      <c r="BT589">
        <v>5.5</v>
      </c>
      <c r="CA589">
        <v>4375</v>
      </c>
      <c r="CB589" t="s">
        <v>2008</v>
      </c>
      <c r="CL589" t="s">
        <v>99</v>
      </c>
      <c r="CM589" t="s">
        <v>99</v>
      </c>
      <c r="CN589" t="s">
        <v>692</v>
      </c>
      <c r="CO589" s="1">
        <v>42041</v>
      </c>
      <c r="CP589" s="1">
        <v>43633</v>
      </c>
    </row>
    <row r="590" spans="1:94" x14ac:dyDescent="0.25">
      <c r="A590" t="s">
        <v>2018</v>
      </c>
      <c r="B590" t="str">
        <f xml:space="preserve"> "" &amp; 747396095141</f>
        <v>747396095141</v>
      </c>
      <c r="C590" t="s">
        <v>252</v>
      </c>
      <c r="D590" t="s">
        <v>2019</v>
      </c>
      <c r="E590" t="s">
        <v>2007</v>
      </c>
      <c r="F590" t="s">
        <v>249</v>
      </c>
      <c r="G590">
        <v>1</v>
      </c>
      <c r="H590">
        <v>1</v>
      </c>
      <c r="I590" t="s">
        <v>97</v>
      </c>
      <c r="J590" s="10">
        <v>209</v>
      </c>
      <c r="K590" s="10">
        <v>627</v>
      </c>
      <c r="L590" s="10">
        <v>0</v>
      </c>
      <c r="N590" s="10">
        <v>0</v>
      </c>
      <c r="O590" t="s">
        <v>99</v>
      </c>
      <c r="P590" s="10">
        <v>439.95</v>
      </c>
      <c r="S590">
        <v>21.25</v>
      </c>
      <c r="T590">
        <v>34</v>
      </c>
      <c r="U590">
        <v>26</v>
      </c>
      <c r="W590">
        <v>12.39</v>
      </c>
      <c r="Y590">
        <v>21.75</v>
      </c>
      <c r="Z590">
        <v>36.5</v>
      </c>
      <c r="AA590">
        <v>25.13</v>
      </c>
      <c r="AB590">
        <v>11.545</v>
      </c>
      <c r="AC590">
        <v>22.77</v>
      </c>
      <c r="AE590">
        <v>6</v>
      </c>
      <c r="AF590" t="s">
        <v>308</v>
      </c>
      <c r="AG590">
        <v>60</v>
      </c>
      <c r="AK590" t="s">
        <v>98</v>
      </c>
      <c r="AM590" t="s">
        <v>98</v>
      </c>
      <c r="AN590" t="s">
        <v>99</v>
      </c>
      <c r="AO590" t="s">
        <v>98</v>
      </c>
      <c r="AP590" t="s">
        <v>100</v>
      </c>
      <c r="AQ590" t="s">
        <v>101</v>
      </c>
      <c r="AV590" t="s">
        <v>98</v>
      </c>
      <c r="AX590" t="s">
        <v>2008</v>
      </c>
      <c r="AZ590" t="s">
        <v>102</v>
      </c>
      <c r="BB590" t="s">
        <v>7528</v>
      </c>
      <c r="BC590" t="s">
        <v>7528</v>
      </c>
      <c r="BD590" t="s">
        <v>7528</v>
      </c>
      <c r="BF590" t="s">
        <v>2020</v>
      </c>
      <c r="BG590" t="s">
        <v>98</v>
      </c>
      <c r="BH590" t="s">
        <v>98</v>
      </c>
      <c r="BI590" t="s">
        <v>98</v>
      </c>
      <c r="BK590" t="s">
        <v>110</v>
      </c>
      <c r="BL590" t="s">
        <v>7528</v>
      </c>
      <c r="BQ590">
        <v>5.5</v>
      </c>
      <c r="BR590">
        <v>1</v>
      </c>
      <c r="BS590">
        <v>5.5</v>
      </c>
      <c r="BT590">
        <v>5.5</v>
      </c>
      <c r="CA590">
        <v>4376</v>
      </c>
      <c r="CB590" t="s">
        <v>2008</v>
      </c>
      <c r="CL590" t="s">
        <v>99</v>
      </c>
      <c r="CM590" t="s">
        <v>99</v>
      </c>
      <c r="CN590" t="s">
        <v>692</v>
      </c>
      <c r="CO590" s="1">
        <v>42041</v>
      </c>
      <c r="CP590" s="1">
        <v>43633</v>
      </c>
    </row>
    <row r="591" spans="1:94" x14ac:dyDescent="0.25">
      <c r="A591" t="s">
        <v>2021</v>
      </c>
      <c r="B591" t="str">
        <f xml:space="preserve"> "" &amp; 747396072302</f>
        <v>747396072302</v>
      </c>
      <c r="C591" t="s">
        <v>239</v>
      </c>
      <c r="D591" t="s">
        <v>6626</v>
      </c>
      <c r="E591" t="s">
        <v>2022</v>
      </c>
      <c r="F591" t="s">
        <v>240</v>
      </c>
      <c r="G591">
        <v>1</v>
      </c>
      <c r="H591">
        <v>1</v>
      </c>
      <c r="I591" t="s">
        <v>97</v>
      </c>
      <c r="J591" s="10">
        <v>74.95</v>
      </c>
      <c r="K591" s="10">
        <v>224.85</v>
      </c>
      <c r="L591" s="10">
        <v>0</v>
      </c>
      <c r="N591" s="10">
        <v>0</v>
      </c>
      <c r="O591" t="s">
        <v>99</v>
      </c>
      <c r="P591" s="10">
        <v>149.94999999999999</v>
      </c>
      <c r="S591">
        <v>13.25</v>
      </c>
      <c r="T591">
        <v>4.75</v>
      </c>
      <c r="U591">
        <v>3.5</v>
      </c>
      <c r="W591">
        <v>3.64</v>
      </c>
      <c r="Y591">
        <v>8</v>
      </c>
      <c r="Z591">
        <v>16</v>
      </c>
      <c r="AA591">
        <v>7.5</v>
      </c>
      <c r="AB591">
        <v>0.55600000000000005</v>
      </c>
      <c r="AC591">
        <v>4.5</v>
      </c>
      <c r="AE591">
        <v>1</v>
      </c>
      <c r="AF591" t="s">
        <v>1054</v>
      </c>
      <c r="AG591">
        <v>60</v>
      </c>
      <c r="AK591" t="s">
        <v>98</v>
      </c>
      <c r="AM591" t="s">
        <v>98</v>
      </c>
      <c r="AN591" t="s">
        <v>99</v>
      </c>
      <c r="AO591" t="s">
        <v>98</v>
      </c>
      <c r="AP591" t="s">
        <v>100</v>
      </c>
      <c r="AQ591" t="s">
        <v>101</v>
      </c>
      <c r="AV591" t="s">
        <v>98</v>
      </c>
      <c r="AX591" t="s">
        <v>2023</v>
      </c>
      <c r="AZ591" t="s">
        <v>392</v>
      </c>
      <c r="BB591" t="s">
        <v>235</v>
      </c>
      <c r="BC591" t="s">
        <v>2024</v>
      </c>
      <c r="BD591" t="s">
        <v>7528</v>
      </c>
      <c r="BF591" t="s">
        <v>2025</v>
      </c>
      <c r="BG591" t="s">
        <v>98</v>
      </c>
      <c r="BH591" t="s">
        <v>98</v>
      </c>
      <c r="BI591" t="s">
        <v>98</v>
      </c>
      <c r="BK591" t="s">
        <v>110</v>
      </c>
      <c r="BL591" t="s">
        <v>7528</v>
      </c>
      <c r="BQ591">
        <v>5.25</v>
      </c>
      <c r="BR591">
        <v>1</v>
      </c>
      <c r="BS591">
        <v>5.25</v>
      </c>
      <c r="BT591">
        <v>5.25</v>
      </c>
      <c r="CA591">
        <v>4391</v>
      </c>
      <c r="CB591" t="s">
        <v>2023</v>
      </c>
      <c r="CL591" t="s">
        <v>99</v>
      </c>
      <c r="CM591" t="s">
        <v>99</v>
      </c>
      <c r="CN591" t="s">
        <v>237</v>
      </c>
      <c r="CO591" s="1">
        <v>40108</v>
      </c>
      <c r="CP591" s="1">
        <v>43633</v>
      </c>
    </row>
    <row r="592" spans="1:94" x14ac:dyDescent="0.25">
      <c r="A592" t="s">
        <v>2026</v>
      </c>
      <c r="B592" t="str">
        <f xml:space="preserve"> "" &amp; 747396082332</f>
        <v>747396082332</v>
      </c>
      <c r="C592" t="s">
        <v>239</v>
      </c>
      <c r="D592" t="s">
        <v>6626</v>
      </c>
      <c r="E592" t="s">
        <v>2022</v>
      </c>
      <c r="F592" t="s">
        <v>240</v>
      </c>
      <c r="G592">
        <v>1</v>
      </c>
      <c r="H592">
        <v>1</v>
      </c>
      <c r="I592" t="s">
        <v>97</v>
      </c>
      <c r="J592" s="10">
        <v>79</v>
      </c>
      <c r="K592" s="10">
        <v>237</v>
      </c>
      <c r="L592" s="10">
        <v>0</v>
      </c>
      <c r="N592" s="10">
        <v>0</v>
      </c>
      <c r="O592" t="s">
        <v>99</v>
      </c>
      <c r="P592" s="10">
        <v>159.94999999999999</v>
      </c>
      <c r="S592">
        <v>13.5</v>
      </c>
      <c r="T592">
        <v>4.75</v>
      </c>
      <c r="U592">
        <v>3.5</v>
      </c>
      <c r="W592">
        <v>3.53</v>
      </c>
      <c r="Y592">
        <v>8</v>
      </c>
      <c r="Z592">
        <v>16</v>
      </c>
      <c r="AA592">
        <v>7.5</v>
      </c>
      <c r="AB592">
        <v>0.55600000000000005</v>
      </c>
      <c r="AC592">
        <v>4.5</v>
      </c>
      <c r="AE592">
        <v>1</v>
      </c>
      <c r="AF592" t="s">
        <v>794</v>
      </c>
      <c r="AG592">
        <v>60</v>
      </c>
      <c r="AK592" t="s">
        <v>98</v>
      </c>
      <c r="AM592" t="s">
        <v>98</v>
      </c>
      <c r="AN592" t="s">
        <v>99</v>
      </c>
      <c r="AO592" t="s">
        <v>98</v>
      </c>
      <c r="AP592" t="s">
        <v>100</v>
      </c>
      <c r="AQ592" t="s">
        <v>101</v>
      </c>
      <c r="AV592" t="s">
        <v>98</v>
      </c>
      <c r="AX592" t="s">
        <v>399</v>
      </c>
      <c r="AZ592" t="s">
        <v>392</v>
      </c>
      <c r="BB592" t="s">
        <v>235</v>
      </c>
      <c r="BC592" t="s">
        <v>1601</v>
      </c>
      <c r="BD592" t="s">
        <v>7528</v>
      </c>
      <c r="BF592" t="s">
        <v>2027</v>
      </c>
      <c r="BG592" t="s">
        <v>98</v>
      </c>
      <c r="BH592" t="s">
        <v>98</v>
      </c>
      <c r="BI592" t="s">
        <v>98</v>
      </c>
      <c r="BK592" t="s">
        <v>110</v>
      </c>
      <c r="BL592" t="s">
        <v>7528</v>
      </c>
      <c r="BQ592">
        <v>5.25</v>
      </c>
      <c r="BR592">
        <v>1</v>
      </c>
      <c r="BS592">
        <v>5.25</v>
      </c>
      <c r="BT592">
        <v>5.25</v>
      </c>
      <c r="CA592">
        <v>4391</v>
      </c>
      <c r="CB592" t="s">
        <v>399</v>
      </c>
      <c r="CL592" t="s">
        <v>99</v>
      </c>
      <c r="CM592" t="s">
        <v>99</v>
      </c>
      <c r="CN592" t="s">
        <v>394</v>
      </c>
      <c r="CO592" s="1">
        <v>40662</v>
      </c>
      <c r="CP592" s="1">
        <v>43633</v>
      </c>
    </row>
    <row r="593" spans="1:94" x14ac:dyDescent="0.25">
      <c r="A593" t="s">
        <v>2028</v>
      </c>
      <c r="B593" t="str">
        <f xml:space="preserve"> "" &amp; 747396072319</f>
        <v>747396072319</v>
      </c>
      <c r="C593" t="s">
        <v>243</v>
      </c>
      <c r="D593" t="s">
        <v>6627</v>
      </c>
      <c r="E593" t="s">
        <v>2022</v>
      </c>
      <c r="F593" t="s">
        <v>240</v>
      </c>
      <c r="G593">
        <v>1</v>
      </c>
      <c r="H593">
        <v>1</v>
      </c>
      <c r="I593" t="s">
        <v>97</v>
      </c>
      <c r="J593" s="10">
        <v>209.95</v>
      </c>
      <c r="K593" s="10">
        <v>629.85</v>
      </c>
      <c r="L593" s="10">
        <v>0</v>
      </c>
      <c r="N593" s="10">
        <v>0</v>
      </c>
      <c r="O593" t="s">
        <v>99</v>
      </c>
      <c r="P593" s="10">
        <v>419.95</v>
      </c>
      <c r="S593">
        <v>23.25</v>
      </c>
      <c r="T593">
        <v>12</v>
      </c>
      <c r="U593">
        <v>12</v>
      </c>
      <c r="W593">
        <v>11.29</v>
      </c>
      <c r="Y593">
        <v>23.75</v>
      </c>
      <c r="Z593">
        <v>13</v>
      </c>
      <c r="AA593">
        <v>11.5</v>
      </c>
      <c r="AB593">
        <v>2.0550000000000002</v>
      </c>
      <c r="AC593">
        <v>14.88</v>
      </c>
      <c r="AE593">
        <v>3</v>
      </c>
      <c r="AF593" t="s">
        <v>2029</v>
      </c>
      <c r="AG593">
        <v>60</v>
      </c>
      <c r="AK593" t="s">
        <v>98</v>
      </c>
      <c r="AM593" t="s">
        <v>98</v>
      </c>
      <c r="AN593" t="s">
        <v>99</v>
      </c>
      <c r="AO593" t="s">
        <v>98</v>
      </c>
      <c r="AP593" t="s">
        <v>259</v>
      </c>
      <c r="AQ593" t="s">
        <v>101</v>
      </c>
      <c r="AV593" t="s">
        <v>98</v>
      </c>
      <c r="AX593" t="s">
        <v>2023</v>
      </c>
      <c r="AZ593" t="s">
        <v>392</v>
      </c>
      <c r="BB593" t="s">
        <v>235</v>
      </c>
      <c r="BC593" t="s">
        <v>2024</v>
      </c>
      <c r="BD593" t="s">
        <v>7528</v>
      </c>
      <c r="BF593" t="s">
        <v>2030</v>
      </c>
      <c r="BG593" t="s">
        <v>98</v>
      </c>
      <c r="BH593" t="s">
        <v>98</v>
      </c>
      <c r="BI593" t="s">
        <v>98</v>
      </c>
      <c r="BK593" t="s">
        <v>110</v>
      </c>
      <c r="BL593" t="s">
        <v>7528</v>
      </c>
      <c r="BQ593">
        <v>5.13</v>
      </c>
      <c r="BR593">
        <v>1</v>
      </c>
      <c r="BS593">
        <v>5.13</v>
      </c>
      <c r="BT593">
        <v>5.13</v>
      </c>
      <c r="CA593">
        <v>4392</v>
      </c>
      <c r="CB593" t="s">
        <v>2023</v>
      </c>
      <c r="CL593" t="s">
        <v>99</v>
      </c>
      <c r="CM593" t="s">
        <v>99</v>
      </c>
      <c r="CN593" t="s">
        <v>237</v>
      </c>
      <c r="CO593" s="1">
        <v>40108</v>
      </c>
      <c r="CP593" s="1">
        <v>43633</v>
      </c>
    </row>
    <row r="594" spans="1:94" x14ac:dyDescent="0.25">
      <c r="A594" t="s">
        <v>2031</v>
      </c>
      <c r="B594" t="str">
        <f xml:space="preserve"> "" &amp; 747396082356</f>
        <v>747396082356</v>
      </c>
      <c r="C594" t="s">
        <v>243</v>
      </c>
      <c r="D594" t="s">
        <v>6627</v>
      </c>
      <c r="E594" t="s">
        <v>2022</v>
      </c>
      <c r="F594" t="s">
        <v>240</v>
      </c>
      <c r="G594">
        <v>1</v>
      </c>
      <c r="H594">
        <v>1</v>
      </c>
      <c r="I594" t="s">
        <v>97</v>
      </c>
      <c r="J594" s="10">
        <v>224</v>
      </c>
      <c r="K594" s="10">
        <v>672</v>
      </c>
      <c r="L594" s="10">
        <v>0</v>
      </c>
      <c r="N594" s="10">
        <v>0</v>
      </c>
      <c r="O594" t="s">
        <v>99</v>
      </c>
      <c r="P594" s="10">
        <v>449.95</v>
      </c>
      <c r="S594">
        <v>21</v>
      </c>
      <c r="T594">
        <v>12</v>
      </c>
      <c r="U594">
        <v>12</v>
      </c>
      <c r="W594">
        <v>11.2</v>
      </c>
      <c r="Y594">
        <v>23.75</v>
      </c>
      <c r="Z594">
        <v>13</v>
      </c>
      <c r="AA594">
        <v>11.5</v>
      </c>
      <c r="AB594">
        <v>2.0550000000000002</v>
      </c>
      <c r="AC594">
        <v>14.86</v>
      </c>
      <c r="AE594">
        <v>3</v>
      </c>
      <c r="AF594" t="s">
        <v>870</v>
      </c>
      <c r="AG594">
        <v>60</v>
      </c>
      <c r="AK594" t="s">
        <v>98</v>
      </c>
      <c r="AM594" t="s">
        <v>98</v>
      </c>
      <c r="AN594" t="s">
        <v>99</v>
      </c>
      <c r="AO594" t="s">
        <v>98</v>
      </c>
      <c r="AP594" t="s">
        <v>259</v>
      </c>
      <c r="AQ594" t="s">
        <v>101</v>
      </c>
      <c r="AV594" t="s">
        <v>98</v>
      </c>
      <c r="AX594" t="s">
        <v>399</v>
      </c>
      <c r="AZ594" t="s">
        <v>392</v>
      </c>
      <c r="BB594" t="s">
        <v>235</v>
      </c>
      <c r="BC594" t="s">
        <v>1601</v>
      </c>
      <c r="BD594" t="s">
        <v>7528</v>
      </c>
      <c r="BF594" t="s">
        <v>2032</v>
      </c>
      <c r="BG594" t="s">
        <v>98</v>
      </c>
      <c r="BH594" t="s">
        <v>98</v>
      </c>
      <c r="BI594" t="s">
        <v>98</v>
      </c>
      <c r="BK594" t="s">
        <v>110</v>
      </c>
      <c r="BL594" t="s">
        <v>7528</v>
      </c>
      <c r="BR594">
        <v>1</v>
      </c>
      <c r="BT594">
        <v>5</v>
      </c>
      <c r="CA594">
        <v>4392</v>
      </c>
      <c r="CB594" t="s">
        <v>399</v>
      </c>
      <c r="CL594" t="s">
        <v>99</v>
      </c>
      <c r="CM594" t="s">
        <v>99</v>
      </c>
      <c r="CN594" t="s">
        <v>394</v>
      </c>
      <c r="CO594" s="1">
        <v>40662</v>
      </c>
      <c r="CP594" s="1">
        <v>43633</v>
      </c>
    </row>
    <row r="595" spans="1:94" x14ac:dyDescent="0.25">
      <c r="A595" t="s">
        <v>2033</v>
      </c>
      <c r="B595" t="str">
        <f xml:space="preserve"> "" &amp; 747396072296</f>
        <v>747396072296</v>
      </c>
      <c r="C595" t="s">
        <v>1604</v>
      </c>
      <c r="D595" t="s">
        <v>6628</v>
      </c>
      <c r="E595" t="s">
        <v>2022</v>
      </c>
      <c r="F595" t="s">
        <v>232</v>
      </c>
      <c r="G595">
        <v>1</v>
      </c>
      <c r="H595">
        <v>1</v>
      </c>
      <c r="I595" t="s">
        <v>97</v>
      </c>
      <c r="J595" s="10">
        <v>94.95</v>
      </c>
      <c r="K595" s="10">
        <v>284.85000000000002</v>
      </c>
      <c r="L595" s="10">
        <v>0</v>
      </c>
      <c r="N595" s="10">
        <v>0</v>
      </c>
      <c r="O595" t="s">
        <v>99</v>
      </c>
      <c r="P595" s="10">
        <v>194.95</v>
      </c>
      <c r="S595">
        <v>21.75</v>
      </c>
      <c r="U595">
        <v>5</v>
      </c>
      <c r="V595">
        <v>4</v>
      </c>
      <c r="W595">
        <v>5.29</v>
      </c>
      <c r="Y595">
        <v>8.75</v>
      </c>
      <c r="Z595">
        <v>25.25</v>
      </c>
      <c r="AA595">
        <v>7.5</v>
      </c>
      <c r="AB595">
        <v>0.95899999999999996</v>
      </c>
      <c r="AC595">
        <v>6.66</v>
      </c>
      <c r="AE595">
        <v>3</v>
      </c>
      <c r="AF595" t="s">
        <v>308</v>
      </c>
      <c r="AG595">
        <v>60</v>
      </c>
      <c r="AK595" t="s">
        <v>98</v>
      </c>
      <c r="AM595" t="s">
        <v>98</v>
      </c>
      <c r="AN595" t="s">
        <v>98</v>
      </c>
      <c r="AO595" t="s">
        <v>98</v>
      </c>
      <c r="AP595" t="s">
        <v>100</v>
      </c>
      <c r="AQ595" t="s">
        <v>101</v>
      </c>
      <c r="AV595" t="s">
        <v>98</v>
      </c>
      <c r="AX595" t="s">
        <v>2023</v>
      </c>
      <c r="AZ595" t="s">
        <v>392</v>
      </c>
      <c r="BB595" t="s">
        <v>235</v>
      </c>
      <c r="BC595" t="s">
        <v>2024</v>
      </c>
      <c r="BD595" t="s">
        <v>7528</v>
      </c>
      <c r="BF595" t="s">
        <v>2034</v>
      </c>
      <c r="BG595" t="s">
        <v>98</v>
      </c>
      <c r="BH595" t="s">
        <v>99</v>
      </c>
      <c r="BI595" t="s">
        <v>98</v>
      </c>
      <c r="BK595" t="s">
        <v>127</v>
      </c>
      <c r="BL595" t="s">
        <v>645</v>
      </c>
      <c r="BR595">
        <v>8</v>
      </c>
      <c r="BT595">
        <v>4</v>
      </c>
      <c r="CA595">
        <v>4393</v>
      </c>
      <c r="CB595" t="s">
        <v>2023</v>
      </c>
      <c r="CL595" t="s">
        <v>99</v>
      </c>
      <c r="CM595" t="s">
        <v>98</v>
      </c>
      <c r="CN595" t="s">
        <v>237</v>
      </c>
      <c r="CO595" s="1">
        <v>40108</v>
      </c>
      <c r="CP595" s="1">
        <v>43633</v>
      </c>
    </row>
    <row r="596" spans="1:94" x14ac:dyDescent="0.25">
      <c r="A596" t="s">
        <v>2035</v>
      </c>
      <c r="B596" t="str">
        <f xml:space="preserve"> "" &amp; 747396077390</f>
        <v>747396077390</v>
      </c>
      <c r="C596" t="s">
        <v>1604</v>
      </c>
      <c r="D596" t="s">
        <v>6628</v>
      </c>
      <c r="E596" t="s">
        <v>2022</v>
      </c>
      <c r="F596" t="s">
        <v>232</v>
      </c>
      <c r="G596">
        <v>1</v>
      </c>
      <c r="H596">
        <v>1</v>
      </c>
      <c r="I596" t="s">
        <v>97</v>
      </c>
      <c r="J596" s="10">
        <v>94.95</v>
      </c>
      <c r="K596" s="10">
        <v>284.85000000000002</v>
      </c>
      <c r="L596" s="10">
        <v>0</v>
      </c>
      <c r="N596" s="10">
        <v>0</v>
      </c>
      <c r="O596" t="s">
        <v>99</v>
      </c>
      <c r="P596" s="10">
        <v>194.95</v>
      </c>
      <c r="S596">
        <v>21.75</v>
      </c>
      <c r="U596">
        <v>5</v>
      </c>
      <c r="V596">
        <v>4</v>
      </c>
      <c r="W596">
        <v>5.29</v>
      </c>
      <c r="Y596">
        <v>8.75</v>
      </c>
      <c r="Z596">
        <v>25.25</v>
      </c>
      <c r="AA596">
        <v>7.5</v>
      </c>
      <c r="AB596">
        <v>0.95899999999999996</v>
      </c>
      <c r="AC596">
        <v>6.66</v>
      </c>
      <c r="AE596">
        <v>3</v>
      </c>
      <c r="AF596" t="s">
        <v>772</v>
      </c>
      <c r="AG596">
        <v>60</v>
      </c>
      <c r="AK596" t="s">
        <v>98</v>
      </c>
      <c r="AM596" t="s">
        <v>98</v>
      </c>
      <c r="AN596" t="s">
        <v>99</v>
      </c>
      <c r="AO596" t="s">
        <v>98</v>
      </c>
      <c r="AP596" t="s">
        <v>100</v>
      </c>
      <c r="AQ596" t="s">
        <v>101</v>
      </c>
      <c r="AV596" t="s">
        <v>98</v>
      </c>
      <c r="AX596" t="s">
        <v>399</v>
      </c>
      <c r="AZ596" t="s">
        <v>392</v>
      </c>
      <c r="BB596" t="s">
        <v>235</v>
      </c>
      <c r="BC596" t="s">
        <v>1601</v>
      </c>
      <c r="BD596" t="s">
        <v>7528</v>
      </c>
      <c r="BF596" t="s">
        <v>2036</v>
      </c>
      <c r="BG596" t="s">
        <v>98</v>
      </c>
      <c r="BH596" t="s">
        <v>99</v>
      </c>
      <c r="BI596" t="s">
        <v>98</v>
      </c>
      <c r="BK596" t="s">
        <v>127</v>
      </c>
      <c r="BL596" t="s">
        <v>645</v>
      </c>
      <c r="BR596">
        <v>8</v>
      </c>
      <c r="BT596">
        <v>4</v>
      </c>
      <c r="CA596">
        <v>4393</v>
      </c>
      <c r="CB596" t="s">
        <v>399</v>
      </c>
      <c r="CL596" t="s">
        <v>99</v>
      </c>
      <c r="CM596" t="s">
        <v>98</v>
      </c>
      <c r="CN596" t="s">
        <v>442</v>
      </c>
      <c r="CO596" s="1">
        <v>40500</v>
      </c>
      <c r="CP596" s="1">
        <v>43633</v>
      </c>
    </row>
    <row r="597" spans="1:94" x14ac:dyDescent="0.25">
      <c r="A597" t="s">
        <v>2037</v>
      </c>
      <c r="B597" t="str">
        <f xml:space="preserve"> "" &amp; 747396072340</f>
        <v>747396072340</v>
      </c>
      <c r="C597" t="s">
        <v>1711</v>
      </c>
      <c r="D597" t="s">
        <v>6629</v>
      </c>
      <c r="E597" t="s">
        <v>2022</v>
      </c>
      <c r="F597" t="s">
        <v>249</v>
      </c>
      <c r="G597">
        <v>1</v>
      </c>
      <c r="H597">
        <v>1</v>
      </c>
      <c r="I597" t="s">
        <v>97</v>
      </c>
      <c r="J597" s="10">
        <v>255.95</v>
      </c>
      <c r="K597" s="10">
        <v>767.85</v>
      </c>
      <c r="L597" s="10">
        <v>0</v>
      </c>
      <c r="N597" s="10">
        <v>0</v>
      </c>
      <c r="O597" t="s">
        <v>99</v>
      </c>
      <c r="P597" s="10">
        <v>519.95000000000005</v>
      </c>
      <c r="S597">
        <v>23.5</v>
      </c>
      <c r="T597">
        <v>24</v>
      </c>
      <c r="U597">
        <v>24</v>
      </c>
      <c r="W597">
        <v>20.37</v>
      </c>
      <c r="Y597">
        <v>0</v>
      </c>
      <c r="Z597">
        <v>0</v>
      </c>
      <c r="AA597">
        <v>0</v>
      </c>
      <c r="AB597">
        <v>0</v>
      </c>
      <c r="AC597">
        <v>26.81</v>
      </c>
      <c r="AE597">
        <v>6</v>
      </c>
      <c r="AF597" t="s">
        <v>2029</v>
      </c>
      <c r="AG597">
        <v>60</v>
      </c>
      <c r="AK597" t="s">
        <v>98</v>
      </c>
      <c r="AM597" t="s">
        <v>98</v>
      </c>
      <c r="AN597" t="s">
        <v>99</v>
      </c>
      <c r="AO597" t="s">
        <v>98</v>
      </c>
      <c r="AP597" t="s">
        <v>100</v>
      </c>
      <c r="AQ597" t="s">
        <v>101</v>
      </c>
      <c r="AV597" t="s">
        <v>98</v>
      </c>
      <c r="AX597" t="s">
        <v>2023</v>
      </c>
      <c r="AZ597" t="s">
        <v>392</v>
      </c>
      <c r="BB597" t="s">
        <v>235</v>
      </c>
      <c r="BC597" t="s">
        <v>2024</v>
      </c>
      <c r="BD597" t="s">
        <v>7528</v>
      </c>
      <c r="BF597" t="s">
        <v>2038</v>
      </c>
      <c r="BG597" t="s">
        <v>98</v>
      </c>
      <c r="BH597" t="s">
        <v>98</v>
      </c>
      <c r="BI597" t="s">
        <v>98</v>
      </c>
      <c r="BK597" t="s">
        <v>110</v>
      </c>
      <c r="BL597" t="s">
        <v>7528</v>
      </c>
      <c r="BQ597">
        <v>5</v>
      </c>
      <c r="BR597">
        <v>1</v>
      </c>
      <c r="BS597">
        <v>5</v>
      </c>
      <c r="BT597">
        <v>5</v>
      </c>
      <c r="CA597">
        <v>4396</v>
      </c>
      <c r="CB597" t="s">
        <v>2023</v>
      </c>
      <c r="CL597" t="s">
        <v>99</v>
      </c>
      <c r="CM597" t="s">
        <v>99</v>
      </c>
      <c r="CN597" t="s">
        <v>237</v>
      </c>
      <c r="CO597" s="1">
        <v>40108</v>
      </c>
      <c r="CP597" s="1">
        <v>43633</v>
      </c>
    </row>
    <row r="598" spans="1:94" x14ac:dyDescent="0.25">
      <c r="A598" t="s">
        <v>2039</v>
      </c>
      <c r="B598" t="str">
        <f xml:space="preserve"> "" &amp; 747396082318</f>
        <v>747396082318</v>
      </c>
      <c r="C598" t="s">
        <v>1711</v>
      </c>
      <c r="D598" t="s">
        <v>6629</v>
      </c>
      <c r="E598" t="s">
        <v>2022</v>
      </c>
      <c r="F598" t="s">
        <v>249</v>
      </c>
      <c r="G598">
        <v>1</v>
      </c>
      <c r="H598">
        <v>1</v>
      </c>
      <c r="I598" t="s">
        <v>97</v>
      </c>
      <c r="J598" s="10">
        <v>255.95</v>
      </c>
      <c r="K598" s="10">
        <v>767.85</v>
      </c>
      <c r="L598" s="10">
        <v>0</v>
      </c>
      <c r="N598" s="10">
        <v>0</v>
      </c>
      <c r="O598" t="s">
        <v>99</v>
      </c>
      <c r="P598" s="10">
        <v>519.95000000000005</v>
      </c>
      <c r="S598">
        <v>21.25</v>
      </c>
      <c r="T598">
        <v>24</v>
      </c>
      <c r="U598">
        <v>24</v>
      </c>
      <c r="W598">
        <v>16.73</v>
      </c>
      <c r="Y598">
        <v>24</v>
      </c>
      <c r="Z598">
        <v>20</v>
      </c>
      <c r="AA598">
        <v>20</v>
      </c>
      <c r="AB598">
        <v>5.556</v>
      </c>
      <c r="AC598">
        <v>23.5</v>
      </c>
      <c r="AE598">
        <v>6</v>
      </c>
      <c r="AF598" t="s">
        <v>870</v>
      </c>
      <c r="AG598">
        <v>60</v>
      </c>
      <c r="AK598" t="s">
        <v>98</v>
      </c>
      <c r="AM598" t="s">
        <v>98</v>
      </c>
      <c r="AN598" t="s">
        <v>99</v>
      </c>
      <c r="AO598" t="s">
        <v>98</v>
      </c>
      <c r="AP598" t="s">
        <v>100</v>
      </c>
      <c r="AQ598" t="s">
        <v>101</v>
      </c>
      <c r="AV598" t="s">
        <v>98</v>
      </c>
      <c r="AX598" t="s">
        <v>399</v>
      </c>
      <c r="AZ598" t="s">
        <v>392</v>
      </c>
      <c r="BB598" t="s">
        <v>235</v>
      </c>
      <c r="BC598" t="s">
        <v>1601</v>
      </c>
      <c r="BD598" t="s">
        <v>7528</v>
      </c>
      <c r="BF598" t="s">
        <v>2040</v>
      </c>
      <c r="BG598" t="s">
        <v>98</v>
      </c>
      <c r="BH598" t="s">
        <v>98</v>
      </c>
      <c r="BI598" t="s">
        <v>98</v>
      </c>
      <c r="BK598" t="s">
        <v>110</v>
      </c>
      <c r="BL598" t="s">
        <v>7528</v>
      </c>
      <c r="BQ598">
        <v>5</v>
      </c>
      <c r="BR598">
        <v>1</v>
      </c>
      <c r="BS598">
        <v>5</v>
      </c>
      <c r="BT598">
        <v>5</v>
      </c>
      <c r="CA598">
        <v>4396</v>
      </c>
      <c r="CB598" t="s">
        <v>399</v>
      </c>
      <c r="CL598" t="s">
        <v>99</v>
      </c>
      <c r="CM598" t="s">
        <v>99</v>
      </c>
      <c r="CN598" t="s">
        <v>394</v>
      </c>
      <c r="CO598" s="1">
        <v>40662</v>
      </c>
      <c r="CP598" s="1">
        <v>43633</v>
      </c>
    </row>
    <row r="599" spans="1:94" x14ac:dyDescent="0.25">
      <c r="A599" t="s">
        <v>2041</v>
      </c>
      <c r="B599" t="str">
        <f xml:space="preserve"> "" &amp; 747396072326</f>
        <v>747396072326</v>
      </c>
      <c r="C599" t="s">
        <v>376</v>
      </c>
      <c r="D599" t="s">
        <v>6630</v>
      </c>
      <c r="E599" t="s">
        <v>2022</v>
      </c>
      <c r="F599" t="s">
        <v>377</v>
      </c>
      <c r="G599">
        <v>1</v>
      </c>
      <c r="H599">
        <v>1</v>
      </c>
      <c r="I599" t="s">
        <v>97</v>
      </c>
      <c r="J599" s="10">
        <v>132</v>
      </c>
      <c r="K599" s="10">
        <v>396</v>
      </c>
      <c r="L599" s="10">
        <v>0</v>
      </c>
      <c r="N599" s="10">
        <v>0</v>
      </c>
      <c r="O599" t="s">
        <v>99</v>
      </c>
      <c r="P599" s="10">
        <v>264.95</v>
      </c>
      <c r="S599">
        <v>9.75</v>
      </c>
      <c r="T599">
        <v>17</v>
      </c>
      <c r="U599">
        <v>17</v>
      </c>
      <c r="W599">
        <v>14.53</v>
      </c>
      <c r="Y599">
        <v>14</v>
      </c>
      <c r="Z599">
        <v>18.25</v>
      </c>
      <c r="AA599">
        <v>18.25</v>
      </c>
      <c r="AB599">
        <v>2.698</v>
      </c>
      <c r="AC599">
        <v>17.77</v>
      </c>
      <c r="AE599">
        <v>3</v>
      </c>
      <c r="AF599" t="s">
        <v>233</v>
      </c>
      <c r="AG599">
        <v>60</v>
      </c>
      <c r="AK599" t="s">
        <v>98</v>
      </c>
      <c r="AM599" t="s">
        <v>98</v>
      </c>
      <c r="AN599" t="s">
        <v>99</v>
      </c>
      <c r="AO599" t="s">
        <v>98</v>
      </c>
      <c r="AP599" t="s">
        <v>100</v>
      </c>
      <c r="AQ599" t="s">
        <v>101</v>
      </c>
      <c r="AV599" t="s">
        <v>98</v>
      </c>
      <c r="AX599" t="s">
        <v>2023</v>
      </c>
      <c r="AZ599" t="s">
        <v>392</v>
      </c>
      <c r="BB599" t="s">
        <v>235</v>
      </c>
      <c r="BC599" t="s">
        <v>2024</v>
      </c>
      <c r="BD599" t="s">
        <v>7528</v>
      </c>
      <c r="BF599" t="s">
        <v>2042</v>
      </c>
      <c r="BG599" t="s">
        <v>98</v>
      </c>
      <c r="BH599" t="s">
        <v>98</v>
      </c>
      <c r="BI599" t="s">
        <v>98</v>
      </c>
      <c r="BK599" t="s">
        <v>127</v>
      </c>
      <c r="BL599" t="s">
        <v>7528</v>
      </c>
      <c r="BQ599">
        <v>5.13</v>
      </c>
      <c r="BR599">
        <v>1</v>
      </c>
      <c r="BS599">
        <v>5.13</v>
      </c>
      <c r="BT599">
        <v>5.13</v>
      </c>
      <c r="CA599">
        <v>4397</v>
      </c>
      <c r="CB599" t="s">
        <v>2023</v>
      </c>
      <c r="CL599" t="s">
        <v>99</v>
      </c>
      <c r="CM599" t="s">
        <v>98</v>
      </c>
      <c r="CN599" t="s">
        <v>442</v>
      </c>
      <c r="CO599" s="1">
        <v>40500</v>
      </c>
      <c r="CP599" s="1">
        <v>43633</v>
      </c>
    </row>
    <row r="600" spans="1:94" x14ac:dyDescent="0.25">
      <c r="A600" t="s">
        <v>2043</v>
      </c>
      <c r="B600" t="str">
        <f xml:space="preserve"> "" &amp; 747396077383</f>
        <v>747396077383</v>
      </c>
      <c r="C600" t="s">
        <v>376</v>
      </c>
      <c r="D600" t="s">
        <v>6630</v>
      </c>
      <c r="E600" t="s">
        <v>2022</v>
      </c>
      <c r="F600" t="s">
        <v>377</v>
      </c>
      <c r="G600">
        <v>1</v>
      </c>
      <c r="H600">
        <v>1</v>
      </c>
      <c r="I600" t="s">
        <v>97</v>
      </c>
      <c r="J600" s="10">
        <v>132</v>
      </c>
      <c r="K600" s="10">
        <v>396</v>
      </c>
      <c r="L600" s="10">
        <v>0</v>
      </c>
      <c r="N600" s="10">
        <v>0</v>
      </c>
      <c r="O600" t="s">
        <v>99</v>
      </c>
      <c r="P600" s="10">
        <v>264.95</v>
      </c>
      <c r="S600">
        <v>9.75</v>
      </c>
      <c r="T600">
        <v>17</v>
      </c>
      <c r="U600">
        <v>17</v>
      </c>
      <c r="W600">
        <v>14.53</v>
      </c>
      <c r="Y600">
        <v>14</v>
      </c>
      <c r="Z600">
        <v>18.25</v>
      </c>
      <c r="AA600">
        <v>18.25</v>
      </c>
      <c r="AB600">
        <v>2.698</v>
      </c>
      <c r="AC600">
        <v>17.77</v>
      </c>
      <c r="AE600">
        <v>3</v>
      </c>
      <c r="AF600" t="s">
        <v>282</v>
      </c>
      <c r="AG600">
        <v>60</v>
      </c>
      <c r="AK600" t="s">
        <v>98</v>
      </c>
      <c r="AM600" t="s">
        <v>98</v>
      </c>
      <c r="AN600" t="s">
        <v>99</v>
      </c>
      <c r="AO600" t="s">
        <v>98</v>
      </c>
      <c r="AP600" t="s">
        <v>100</v>
      </c>
      <c r="AQ600" t="s">
        <v>101</v>
      </c>
      <c r="AV600" t="s">
        <v>98</v>
      </c>
      <c r="AX600" t="s">
        <v>399</v>
      </c>
      <c r="AZ600" t="s">
        <v>392</v>
      </c>
      <c r="BB600" t="s">
        <v>235</v>
      </c>
      <c r="BC600" t="s">
        <v>1601</v>
      </c>
      <c r="BD600" t="s">
        <v>7528</v>
      </c>
      <c r="BF600" t="s">
        <v>2044</v>
      </c>
      <c r="BG600" t="s">
        <v>98</v>
      </c>
      <c r="BH600" t="s">
        <v>98</v>
      </c>
      <c r="BI600" t="s">
        <v>98</v>
      </c>
      <c r="BK600" t="s">
        <v>127</v>
      </c>
      <c r="BL600" t="s">
        <v>7528</v>
      </c>
      <c r="BQ600">
        <v>5.13</v>
      </c>
      <c r="BR600">
        <v>1</v>
      </c>
      <c r="BS600">
        <v>5.13</v>
      </c>
      <c r="BT600">
        <v>5.13</v>
      </c>
      <c r="CA600">
        <v>4397</v>
      </c>
      <c r="CB600" t="s">
        <v>399</v>
      </c>
      <c r="CL600" t="s">
        <v>99</v>
      </c>
      <c r="CM600" t="s">
        <v>98</v>
      </c>
      <c r="CN600" t="s">
        <v>442</v>
      </c>
      <c r="CO600" s="1">
        <v>40500</v>
      </c>
      <c r="CP600" s="1">
        <v>43633</v>
      </c>
    </row>
    <row r="601" spans="1:94" x14ac:dyDescent="0.25">
      <c r="A601" t="s">
        <v>2045</v>
      </c>
      <c r="B601" t="str">
        <f xml:space="preserve"> "" &amp; 747396072357</f>
        <v>747396072357</v>
      </c>
      <c r="C601" t="s">
        <v>2046</v>
      </c>
      <c r="D601" t="s">
        <v>6631</v>
      </c>
      <c r="E601" t="s">
        <v>2022</v>
      </c>
      <c r="F601" t="s">
        <v>240</v>
      </c>
      <c r="G601">
        <v>1</v>
      </c>
      <c r="H601">
        <v>1</v>
      </c>
      <c r="I601" t="s">
        <v>97</v>
      </c>
      <c r="J601" s="10">
        <v>399.95</v>
      </c>
      <c r="K601" s="10">
        <v>1199.8499999999999</v>
      </c>
      <c r="L601" s="10">
        <v>0</v>
      </c>
      <c r="N601" s="10">
        <v>0</v>
      </c>
      <c r="O601" t="s">
        <v>99</v>
      </c>
      <c r="P601" s="10">
        <v>799.95</v>
      </c>
      <c r="S601">
        <v>25</v>
      </c>
      <c r="T601">
        <v>36</v>
      </c>
      <c r="U601">
        <v>21.25</v>
      </c>
      <c r="W601">
        <v>25.79</v>
      </c>
      <c r="Y601">
        <v>26.88</v>
      </c>
      <c r="Z601">
        <v>39</v>
      </c>
      <c r="AA601">
        <v>24.5</v>
      </c>
      <c r="AB601">
        <v>14.863</v>
      </c>
      <c r="AC601">
        <v>40.340000000000003</v>
      </c>
      <c r="AE601">
        <v>6</v>
      </c>
      <c r="AF601" t="s">
        <v>2029</v>
      </c>
      <c r="AG601">
        <v>60</v>
      </c>
      <c r="AK601" t="s">
        <v>98</v>
      </c>
      <c r="AM601" t="s">
        <v>98</v>
      </c>
      <c r="AN601" t="s">
        <v>99</v>
      </c>
      <c r="AO601" t="s">
        <v>98</v>
      </c>
      <c r="AP601" t="s">
        <v>259</v>
      </c>
      <c r="AQ601" t="s">
        <v>101</v>
      </c>
      <c r="AV601" t="s">
        <v>98</v>
      </c>
      <c r="AX601" t="s">
        <v>2023</v>
      </c>
      <c r="AZ601" t="s">
        <v>392</v>
      </c>
      <c r="BB601" t="s">
        <v>235</v>
      </c>
      <c r="BC601" t="s">
        <v>2024</v>
      </c>
      <c r="BD601" t="s">
        <v>7528</v>
      </c>
      <c r="BF601" t="s">
        <v>2047</v>
      </c>
      <c r="BG601" t="s">
        <v>98</v>
      </c>
      <c r="BH601" t="s">
        <v>98</v>
      </c>
      <c r="BI601" t="s">
        <v>98</v>
      </c>
      <c r="BK601" t="s">
        <v>110</v>
      </c>
      <c r="BL601" t="s">
        <v>7528</v>
      </c>
      <c r="BR601">
        <v>1</v>
      </c>
      <c r="BS601">
        <v>9</v>
      </c>
      <c r="BT601">
        <v>5</v>
      </c>
      <c r="CA601">
        <v>4398</v>
      </c>
      <c r="CB601" t="s">
        <v>2023</v>
      </c>
      <c r="CL601" t="s">
        <v>99</v>
      </c>
      <c r="CM601" t="s">
        <v>99</v>
      </c>
      <c r="CN601" t="s">
        <v>442</v>
      </c>
      <c r="CO601" s="1">
        <v>40108</v>
      </c>
      <c r="CP601" s="1">
        <v>43633</v>
      </c>
    </row>
    <row r="602" spans="1:94" x14ac:dyDescent="0.25">
      <c r="A602" t="s">
        <v>2048</v>
      </c>
      <c r="B602" t="str">
        <f xml:space="preserve"> "" &amp; 747396082349</f>
        <v>747396082349</v>
      </c>
      <c r="C602" t="s">
        <v>2046</v>
      </c>
      <c r="D602" t="s">
        <v>6632</v>
      </c>
      <c r="E602" t="s">
        <v>2022</v>
      </c>
      <c r="F602" t="s">
        <v>240</v>
      </c>
      <c r="G602">
        <v>1</v>
      </c>
      <c r="H602">
        <v>1</v>
      </c>
      <c r="I602" t="s">
        <v>97</v>
      </c>
      <c r="J602" s="10">
        <v>424</v>
      </c>
      <c r="K602" s="10">
        <v>1272</v>
      </c>
      <c r="L602" s="10">
        <v>0</v>
      </c>
      <c r="N602" s="10">
        <v>0</v>
      </c>
      <c r="O602" t="s">
        <v>99</v>
      </c>
      <c r="P602" s="10">
        <v>849.95</v>
      </c>
      <c r="S602">
        <v>24.75</v>
      </c>
      <c r="T602">
        <v>36</v>
      </c>
      <c r="U602">
        <v>21.5</v>
      </c>
      <c r="W602">
        <v>19.95</v>
      </c>
      <c r="Y602">
        <v>26.88</v>
      </c>
      <c r="Z602">
        <v>39</v>
      </c>
      <c r="AA602">
        <v>24.5</v>
      </c>
      <c r="AB602">
        <v>14.863</v>
      </c>
      <c r="AC602">
        <v>34</v>
      </c>
      <c r="AE602">
        <v>6</v>
      </c>
      <c r="AF602" t="s">
        <v>870</v>
      </c>
      <c r="AG602">
        <v>60</v>
      </c>
      <c r="AK602" t="s">
        <v>98</v>
      </c>
      <c r="AM602" t="s">
        <v>98</v>
      </c>
      <c r="AN602" t="s">
        <v>99</v>
      </c>
      <c r="AO602" t="s">
        <v>98</v>
      </c>
      <c r="AP602" t="s">
        <v>259</v>
      </c>
      <c r="AQ602" t="s">
        <v>101</v>
      </c>
      <c r="AV602" t="s">
        <v>98</v>
      </c>
      <c r="AX602" t="s">
        <v>399</v>
      </c>
      <c r="AZ602" t="s">
        <v>392</v>
      </c>
      <c r="BB602" t="s">
        <v>235</v>
      </c>
      <c r="BC602" t="s">
        <v>1601</v>
      </c>
      <c r="BD602" t="s">
        <v>7528</v>
      </c>
      <c r="BF602" t="s">
        <v>2049</v>
      </c>
      <c r="BG602" t="s">
        <v>98</v>
      </c>
      <c r="BH602" t="s">
        <v>98</v>
      </c>
      <c r="BI602" t="s">
        <v>98</v>
      </c>
      <c r="BK602" t="s">
        <v>110</v>
      </c>
      <c r="BL602" t="s">
        <v>7528</v>
      </c>
      <c r="BQ602">
        <v>5</v>
      </c>
      <c r="BR602">
        <v>1</v>
      </c>
      <c r="BS602">
        <v>9</v>
      </c>
      <c r="BT602">
        <v>5</v>
      </c>
      <c r="CA602">
        <v>4398</v>
      </c>
      <c r="CB602" t="s">
        <v>399</v>
      </c>
      <c r="CL602" t="s">
        <v>99</v>
      </c>
      <c r="CM602" t="s">
        <v>99</v>
      </c>
      <c r="CN602" t="s">
        <v>394</v>
      </c>
      <c r="CO602" s="1">
        <v>40662</v>
      </c>
      <c r="CP602" s="1">
        <v>43633</v>
      </c>
    </row>
    <row r="603" spans="1:94" x14ac:dyDescent="0.25">
      <c r="A603" t="s">
        <v>2050</v>
      </c>
      <c r="B603" t="str">
        <f xml:space="preserve"> "" &amp; 747396095165</f>
        <v>747396095165</v>
      </c>
      <c r="C603" t="s">
        <v>6633</v>
      </c>
      <c r="D603" t="s">
        <v>6634</v>
      </c>
      <c r="E603" t="s">
        <v>2051</v>
      </c>
      <c r="F603" t="s">
        <v>377</v>
      </c>
      <c r="G603">
        <v>1</v>
      </c>
      <c r="H603">
        <v>1</v>
      </c>
      <c r="I603" t="s">
        <v>97</v>
      </c>
      <c r="J603" s="10">
        <v>145</v>
      </c>
      <c r="K603" s="10">
        <v>435</v>
      </c>
      <c r="L603" s="10">
        <v>0</v>
      </c>
      <c r="N603" s="10">
        <v>0</v>
      </c>
      <c r="O603" t="s">
        <v>99</v>
      </c>
      <c r="P603" s="10">
        <v>304.95</v>
      </c>
      <c r="S603">
        <v>18.5</v>
      </c>
      <c r="T603">
        <v>16</v>
      </c>
      <c r="U603">
        <v>16</v>
      </c>
      <c r="W603">
        <v>7.72</v>
      </c>
      <c r="Y603">
        <v>13.38</v>
      </c>
      <c r="Z603">
        <v>17.75</v>
      </c>
      <c r="AA603">
        <v>17.75</v>
      </c>
      <c r="AB603">
        <v>2.44</v>
      </c>
      <c r="AC603">
        <v>11.27</v>
      </c>
      <c r="AE603">
        <v>4</v>
      </c>
      <c r="AF603" t="s">
        <v>2052</v>
      </c>
      <c r="AG603">
        <v>60</v>
      </c>
      <c r="AK603" t="s">
        <v>98</v>
      </c>
      <c r="AM603" t="s">
        <v>98</v>
      </c>
      <c r="AN603" t="s">
        <v>98</v>
      </c>
      <c r="AO603" t="s">
        <v>99</v>
      </c>
      <c r="AP603" t="s">
        <v>100</v>
      </c>
      <c r="AQ603" t="s">
        <v>101</v>
      </c>
      <c r="AV603" t="s">
        <v>98</v>
      </c>
      <c r="AX603" t="s">
        <v>2053</v>
      </c>
      <c r="AZ603" t="s">
        <v>124</v>
      </c>
      <c r="BB603" t="s">
        <v>7528</v>
      </c>
      <c r="BC603" t="s">
        <v>7528</v>
      </c>
      <c r="BD603" t="s">
        <v>7528</v>
      </c>
      <c r="BF603" t="s">
        <v>2054</v>
      </c>
      <c r="BG603" t="s">
        <v>98</v>
      </c>
      <c r="BH603" t="s">
        <v>98</v>
      </c>
      <c r="BI603" t="s">
        <v>98</v>
      </c>
      <c r="BK603" t="s">
        <v>127</v>
      </c>
      <c r="BL603" t="s">
        <v>7528</v>
      </c>
      <c r="BQ603">
        <v>5.25</v>
      </c>
      <c r="BR603">
        <v>0.75</v>
      </c>
      <c r="BS603">
        <v>5.25</v>
      </c>
      <c r="BT603">
        <v>5.25</v>
      </c>
      <c r="CA603">
        <v>4403</v>
      </c>
      <c r="CB603" t="s">
        <v>2053</v>
      </c>
      <c r="CL603" t="s">
        <v>99</v>
      </c>
      <c r="CM603" t="s">
        <v>99</v>
      </c>
      <c r="CN603" t="s">
        <v>838</v>
      </c>
      <c r="CO603" s="1">
        <v>42019</v>
      </c>
      <c r="CP603" s="1">
        <v>43633</v>
      </c>
    </row>
    <row r="604" spans="1:94" x14ac:dyDescent="0.25">
      <c r="A604" t="s">
        <v>2055</v>
      </c>
      <c r="B604" t="str">
        <f xml:space="preserve"> "" &amp; 747396095172</f>
        <v>747396095172</v>
      </c>
      <c r="C604" t="s">
        <v>343</v>
      </c>
      <c r="D604" t="s">
        <v>2056</v>
      </c>
      <c r="E604" t="s">
        <v>2051</v>
      </c>
      <c r="F604" t="s">
        <v>249</v>
      </c>
      <c r="G604">
        <v>1</v>
      </c>
      <c r="H604">
        <v>1</v>
      </c>
      <c r="I604" t="s">
        <v>97</v>
      </c>
      <c r="J604" s="10">
        <v>169</v>
      </c>
      <c r="K604" s="10">
        <v>507</v>
      </c>
      <c r="L604" s="10">
        <v>0</v>
      </c>
      <c r="N604" s="10">
        <v>0</v>
      </c>
      <c r="O604" t="s">
        <v>99</v>
      </c>
      <c r="P604" s="10">
        <v>354.95</v>
      </c>
      <c r="S604">
        <v>21</v>
      </c>
      <c r="T604">
        <v>20.5</v>
      </c>
      <c r="U604">
        <v>20.5</v>
      </c>
      <c r="W604">
        <v>9.6999999999999993</v>
      </c>
      <c r="Y604">
        <v>15.38</v>
      </c>
      <c r="Z604">
        <v>22.38</v>
      </c>
      <c r="AA604">
        <v>22.38</v>
      </c>
      <c r="AB604">
        <v>4.4580000000000002</v>
      </c>
      <c r="AC604">
        <v>14.84</v>
      </c>
      <c r="AE604">
        <v>5</v>
      </c>
      <c r="AF604" t="s">
        <v>308</v>
      </c>
      <c r="AG604">
        <v>60</v>
      </c>
      <c r="AK604" t="s">
        <v>98</v>
      </c>
      <c r="AM604" t="s">
        <v>98</v>
      </c>
      <c r="AN604" t="s">
        <v>98</v>
      </c>
      <c r="AO604" t="s">
        <v>99</v>
      </c>
      <c r="AP604" t="s">
        <v>100</v>
      </c>
      <c r="AQ604" t="s">
        <v>101</v>
      </c>
      <c r="AV604" t="s">
        <v>98</v>
      </c>
      <c r="AX604" t="s">
        <v>2053</v>
      </c>
      <c r="AZ604" t="s">
        <v>124</v>
      </c>
      <c r="BB604" t="s">
        <v>7528</v>
      </c>
      <c r="BC604" t="s">
        <v>7528</v>
      </c>
      <c r="BD604" t="s">
        <v>7528</v>
      </c>
      <c r="BF604" t="s">
        <v>2057</v>
      </c>
      <c r="BG604" t="s">
        <v>98</v>
      </c>
      <c r="BH604" t="s">
        <v>98</v>
      </c>
      <c r="BI604" t="s">
        <v>98</v>
      </c>
      <c r="BK604" t="s">
        <v>110</v>
      </c>
      <c r="BL604" t="s">
        <v>7528</v>
      </c>
      <c r="BQ604">
        <v>5.25</v>
      </c>
      <c r="BR604">
        <v>0.75</v>
      </c>
      <c r="BS604">
        <v>5.25</v>
      </c>
      <c r="BT604">
        <v>5.25</v>
      </c>
      <c r="CA604">
        <v>4404</v>
      </c>
      <c r="CB604" t="s">
        <v>2053</v>
      </c>
      <c r="CL604" t="s">
        <v>99</v>
      </c>
      <c r="CM604" t="s">
        <v>99</v>
      </c>
      <c r="CN604" t="s">
        <v>838</v>
      </c>
      <c r="CO604" s="1">
        <v>42019</v>
      </c>
      <c r="CP604" s="1">
        <v>43633</v>
      </c>
    </row>
    <row r="605" spans="1:94" x14ac:dyDescent="0.25">
      <c r="A605" t="s">
        <v>2058</v>
      </c>
      <c r="B605" t="str">
        <f xml:space="preserve"> "" &amp; 747396095189</f>
        <v>747396095189</v>
      </c>
      <c r="C605" t="s">
        <v>850</v>
      </c>
      <c r="D605" t="s">
        <v>2059</v>
      </c>
      <c r="E605" t="s">
        <v>2051</v>
      </c>
      <c r="F605" t="s">
        <v>249</v>
      </c>
      <c r="G605">
        <v>1</v>
      </c>
      <c r="H605">
        <v>1</v>
      </c>
      <c r="I605" t="s">
        <v>97</v>
      </c>
      <c r="J605" s="10">
        <v>229</v>
      </c>
      <c r="K605" s="10">
        <v>687</v>
      </c>
      <c r="L605" s="10">
        <v>0</v>
      </c>
      <c r="N605" s="10">
        <v>0</v>
      </c>
      <c r="O605" t="s">
        <v>99</v>
      </c>
      <c r="P605" s="10">
        <v>484.95</v>
      </c>
      <c r="S605">
        <v>30.5</v>
      </c>
      <c r="T605">
        <v>18.25</v>
      </c>
      <c r="U605">
        <v>18.25</v>
      </c>
      <c r="W605">
        <v>11.02</v>
      </c>
      <c r="Y605">
        <v>30.75</v>
      </c>
      <c r="Z605">
        <v>20</v>
      </c>
      <c r="AA605">
        <v>20</v>
      </c>
      <c r="AB605">
        <v>7.1180000000000003</v>
      </c>
      <c r="AC605">
        <v>17.28</v>
      </c>
      <c r="AE605">
        <v>5</v>
      </c>
      <c r="AF605" t="s">
        <v>308</v>
      </c>
      <c r="AG605">
        <v>60</v>
      </c>
      <c r="AK605" t="s">
        <v>98</v>
      </c>
      <c r="AM605" t="s">
        <v>98</v>
      </c>
      <c r="AN605" t="s">
        <v>98</v>
      </c>
      <c r="AO605" t="s">
        <v>99</v>
      </c>
      <c r="AP605" t="s">
        <v>259</v>
      </c>
      <c r="AQ605" t="s">
        <v>101</v>
      </c>
      <c r="AV605" t="s">
        <v>98</v>
      </c>
      <c r="AX605" t="s">
        <v>2053</v>
      </c>
      <c r="AZ605" t="s">
        <v>124</v>
      </c>
      <c r="BB605" t="s">
        <v>7528</v>
      </c>
      <c r="BC605" t="s">
        <v>7528</v>
      </c>
      <c r="BD605" t="s">
        <v>7528</v>
      </c>
      <c r="BF605" t="s">
        <v>2060</v>
      </c>
      <c r="BG605" t="s">
        <v>98</v>
      </c>
      <c r="BH605" t="s">
        <v>98</v>
      </c>
      <c r="BI605" t="s">
        <v>98</v>
      </c>
      <c r="BK605" t="s">
        <v>110</v>
      </c>
      <c r="BL605" t="s">
        <v>7528</v>
      </c>
      <c r="BQ605">
        <v>5.25</v>
      </c>
      <c r="BR605">
        <v>0.75</v>
      </c>
      <c r="BS605">
        <v>5.25</v>
      </c>
      <c r="BT605">
        <v>5.25</v>
      </c>
      <c r="CA605">
        <v>4405</v>
      </c>
      <c r="CB605" t="s">
        <v>2053</v>
      </c>
      <c r="CL605" t="s">
        <v>99</v>
      </c>
      <c r="CM605" t="s">
        <v>99</v>
      </c>
      <c r="CN605" t="s">
        <v>838</v>
      </c>
      <c r="CO605" s="1">
        <v>42019</v>
      </c>
      <c r="CP605" s="1">
        <v>43633</v>
      </c>
    </row>
    <row r="606" spans="1:94" x14ac:dyDescent="0.25">
      <c r="A606" t="s">
        <v>2061</v>
      </c>
      <c r="B606" t="str">
        <f xml:space="preserve"> "" &amp; 747396095196</f>
        <v>747396095196</v>
      </c>
      <c r="C606" t="s">
        <v>252</v>
      </c>
      <c r="D606" t="s">
        <v>2056</v>
      </c>
      <c r="E606" t="s">
        <v>2051</v>
      </c>
      <c r="F606" t="s">
        <v>249</v>
      </c>
      <c r="G606">
        <v>1</v>
      </c>
      <c r="H606">
        <v>1</v>
      </c>
      <c r="I606" t="s">
        <v>97</v>
      </c>
      <c r="J606" s="10">
        <v>239</v>
      </c>
      <c r="K606" s="10">
        <v>717</v>
      </c>
      <c r="L606" s="10">
        <v>0</v>
      </c>
      <c r="N606" s="10">
        <v>0</v>
      </c>
      <c r="O606" t="s">
        <v>99</v>
      </c>
      <c r="P606" s="10">
        <v>504.95</v>
      </c>
      <c r="S606">
        <v>21.5</v>
      </c>
      <c r="T606">
        <v>24</v>
      </c>
      <c r="U606">
        <v>24</v>
      </c>
      <c r="W606">
        <v>10.8</v>
      </c>
      <c r="Y606">
        <v>15.5</v>
      </c>
      <c r="Z606">
        <v>25.75</v>
      </c>
      <c r="AA606">
        <v>25.75</v>
      </c>
      <c r="AB606">
        <v>5.9480000000000004</v>
      </c>
      <c r="AC606">
        <v>17.55</v>
      </c>
      <c r="AE606">
        <v>6</v>
      </c>
      <c r="AF606" t="s">
        <v>308</v>
      </c>
      <c r="AG606">
        <v>60</v>
      </c>
      <c r="AK606" t="s">
        <v>98</v>
      </c>
      <c r="AM606" t="s">
        <v>98</v>
      </c>
      <c r="AN606" t="s">
        <v>98</v>
      </c>
      <c r="AO606" t="s">
        <v>99</v>
      </c>
      <c r="AP606" t="s">
        <v>100</v>
      </c>
      <c r="AQ606" t="s">
        <v>101</v>
      </c>
      <c r="AV606" t="s">
        <v>98</v>
      </c>
      <c r="AX606" t="s">
        <v>2053</v>
      </c>
      <c r="AZ606" t="s">
        <v>124</v>
      </c>
      <c r="BB606" t="s">
        <v>7528</v>
      </c>
      <c r="BC606" t="s">
        <v>7528</v>
      </c>
      <c r="BD606" t="s">
        <v>7528</v>
      </c>
      <c r="BF606" t="s">
        <v>2062</v>
      </c>
      <c r="BG606" t="s">
        <v>98</v>
      </c>
      <c r="BH606" t="s">
        <v>98</v>
      </c>
      <c r="BI606" t="s">
        <v>98</v>
      </c>
      <c r="BK606" t="s">
        <v>110</v>
      </c>
      <c r="BL606" t="s">
        <v>7528</v>
      </c>
      <c r="BQ606">
        <v>5.25</v>
      </c>
      <c r="BR606">
        <v>0.75</v>
      </c>
      <c r="BS606">
        <v>5.25</v>
      </c>
      <c r="BT606">
        <v>5.25</v>
      </c>
      <c r="CA606">
        <v>4406</v>
      </c>
      <c r="CB606" t="s">
        <v>2053</v>
      </c>
      <c r="CL606" t="s">
        <v>99</v>
      </c>
      <c r="CM606" t="s">
        <v>99</v>
      </c>
      <c r="CN606" t="s">
        <v>838</v>
      </c>
      <c r="CO606" s="1">
        <v>42019</v>
      </c>
      <c r="CP606" s="1">
        <v>43633</v>
      </c>
    </row>
    <row r="607" spans="1:94" x14ac:dyDescent="0.25">
      <c r="A607" t="s">
        <v>2063</v>
      </c>
      <c r="B607" t="str">
        <f xml:space="preserve"> "" &amp; 747396095202</f>
        <v>747396095202</v>
      </c>
      <c r="C607" t="s">
        <v>1135</v>
      </c>
      <c r="D607" t="s">
        <v>6635</v>
      </c>
      <c r="E607" t="s">
        <v>2051</v>
      </c>
      <c r="F607" t="s">
        <v>314</v>
      </c>
      <c r="G607">
        <v>1</v>
      </c>
      <c r="H607">
        <v>1</v>
      </c>
      <c r="I607" t="s">
        <v>97</v>
      </c>
      <c r="J607" s="10">
        <v>245</v>
      </c>
      <c r="K607" s="10">
        <v>735</v>
      </c>
      <c r="L607" s="10">
        <v>0</v>
      </c>
      <c r="N607" s="10">
        <v>0</v>
      </c>
      <c r="O607" t="s">
        <v>99</v>
      </c>
      <c r="P607" s="10">
        <v>514.95000000000005</v>
      </c>
      <c r="S607">
        <v>23.5</v>
      </c>
      <c r="T607">
        <v>36</v>
      </c>
      <c r="U607">
        <v>15.75</v>
      </c>
      <c r="W607">
        <v>12.5</v>
      </c>
      <c r="Y607">
        <v>16.63</v>
      </c>
      <c r="Z607">
        <v>38</v>
      </c>
      <c r="AA607">
        <v>18</v>
      </c>
      <c r="AB607">
        <v>6.5830000000000002</v>
      </c>
      <c r="AC607">
        <v>19.27</v>
      </c>
      <c r="AE607">
        <v>6</v>
      </c>
      <c r="AF607" t="s">
        <v>519</v>
      </c>
      <c r="AG607">
        <v>60</v>
      </c>
      <c r="AK607" t="s">
        <v>98</v>
      </c>
      <c r="AM607" t="s">
        <v>98</v>
      </c>
      <c r="AN607" t="s">
        <v>98</v>
      </c>
      <c r="AO607" t="s">
        <v>99</v>
      </c>
      <c r="AP607" t="s">
        <v>100</v>
      </c>
      <c r="AQ607" t="s">
        <v>101</v>
      </c>
      <c r="AV607" t="s">
        <v>98</v>
      </c>
      <c r="AX607" t="s">
        <v>2053</v>
      </c>
      <c r="AZ607" t="s">
        <v>124</v>
      </c>
      <c r="BB607" t="s">
        <v>7528</v>
      </c>
      <c r="BC607" t="s">
        <v>7528</v>
      </c>
      <c r="BD607" t="s">
        <v>7528</v>
      </c>
      <c r="BF607" t="s">
        <v>2064</v>
      </c>
      <c r="BG607" t="s">
        <v>98</v>
      </c>
      <c r="BH607" t="s">
        <v>98</v>
      </c>
      <c r="BI607" t="s">
        <v>98</v>
      </c>
      <c r="BK607" t="s">
        <v>110</v>
      </c>
      <c r="BL607" t="s">
        <v>7528</v>
      </c>
      <c r="BQ607">
        <v>5.25</v>
      </c>
      <c r="BR607">
        <v>0.75</v>
      </c>
      <c r="BS607">
        <v>5.25</v>
      </c>
      <c r="BT607">
        <v>5.25</v>
      </c>
      <c r="CA607">
        <v>4407</v>
      </c>
      <c r="CB607" t="s">
        <v>2053</v>
      </c>
      <c r="CL607" t="s">
        <v>99</v>
      </c>
      <c r="CM607" t="s">
        <v>99</v>
      </c>
      <c r="CN607" t="s">
        <v>838</v>
      </c>
      <c r="CO607" s="1">
        <v>42019</v>
      </c>
      <c r="CP607" s="1">
        <v>43633</v>
      </c>
    </row>
    <row r="608" spans="1:94" x14ac:dyDescent="0.25">
      <c r="A608" t="s">
        <v>2065</v>
      </c>
      <c r="B608" t="str">
        <f xml:space="preserve"> "" &amp; 747396097220</f>
        <v>747396097220</v>
      </c>
      <c r="C608" t="s">
        <v>853</v>
      </c>
      <c r="D608" t="s">
        <v>2066</v>
      </c>
      <c r="E608" t="s">
        <v>1544</v>
      </c>
      <c r="F608" t="s">
        <v>377</v>
      </c>
      <c r="G608">
        <v>1</v>
      </c>
      <c r="H608">
        <v>1</v>
      </c>
      <c r="I608" t="s">
        <v>97</v>
      </c>
      <c r="J608" s="10">
        <v>99</v>
      </c>
      <c r="K608" s="10">
        <v>297</v>
      </c>
      <c r="L608" s="10">
        <v>0</v>
      </c>
      <c r="N608" s="10">
        <v>0</v>
      </c>
      <c r="O608" t="s">
        <v>99</v>
      </c>
      <c r="P608" s="10">
        <v>207.9</v>
      </c>
      <c r="S608">
        <v>12.25</v>
      </c>
      <c r="T608">
        <v>17</v>
      </c>
      <c r="U608">
        <v>17</v>
      </c>
      <c r="W608">
        <v>5.18</v>
      </c>
      <c r="Y608">
        <v>10.38</v>
      </c>
      <c r="Z608">
        <v>19.5</v>
      </c>
      <c r="AA608">
        <v>19.5</v>
      </c>
      <c r="AB608">
        <v>2.2839999999999998</v>
      </c>
      <c r="AC608">
        <v>8.66</v>
      </c>
      <c r="AE608">
        <v>4</v>
      </c>
      <c r="AF608" t="s">
        <v>519</v>
      </c>
      <c r="AG608">
        <v>60</v>
      </c>
      <c r="AK608" t="s">
        <v>98</v>
      </c>
      <c r="AM608" t="s">
        <v>98</v>
      </c>
      <c r="AN608" t="s">
        <v>99</v>
      </c>
      <c r="AO608" t="s">
        <v>98</v>
      </c>
      <c r="AP608" t="s">
        <v>100</v>
      </c>
      <c r="AQ608" t="s">
        <v>101</v>
      </c>
      <c r="AV608" t="s">
        <v>98</v>
      </c>
      <c r="AX608" t="s">
        <v>440</v>
      </c>
      <c r="AZ608" t="s">
        <v>102</v>
      </c>
      <c r="BB608" t="s">
        <v>1546</v>
      </c>
      <c r="BC608" t="s">
        <v>2067</v>
      </c>
      <c r="BD608" t="s">
        <v>7633</v>
      </c>
      <c r="BF608" t="s">
        <v>2068</v>
      </c>
      <c r="BG608" t="s">
        <v>98</v>
      </c>
      <c r="BH608" t="s">
        <v>98</v>
      </c>
      <c r="BI608" t="s">
        <v>98</v>
      </c>
      <c r="BK608" t="s">
        <v>127</v>
      </c>
      <c r="BL608" t="s">
        <v>7528</v>
      </c>
      <c r="BQ608">
        <v>5</v>
      </c>
      <c r="BR608">
        <v>1</v>
      </c>
      <c r="BS608">
        <v>5</v>
      </c>
      <c r="BT608">
        <v>5</v>
      </c>
      <c r="CA608">
        <v>4434</v>
      </c>
      <c r="CB608" t="s">
        <v>440</v>
      </c>
      <c r="CL608" t="s">
        <v>99</v>
      </c>
      <c r="CM608" t="s">
        <v>98</v>
      </c>
      <c r="CN608" t="s">
        <v>1492</v>
      </c>
      <c r="CO608" s="1">
        <v>42363</v>
      </c>
      <c r="CP608" s="1">
        <v>43633</v>
      </c>
    </row>
    <row r="609" spans="1:94" x14ac:dyDescent="0.25">
      <c r="A609" t="s">
        <v>2069</v>
      </c>
      <c r="B609" t="str">
        <f xml:space="preserve"> "" &amp; 747396097237</f>
        <v>747396097237</v>
      </c>
      <c r="C609" t="s">
        <v>6636</v>
      </c>
      <c r="D609" t="s">
        <v>2070</v>
      </c>
      <c r="E609" t="s">
        <v>1544</v>
      </c>
      <c r="F609" t="s">
        <v>240</v>
      </c>
      <c r="G609">
        <v>1</v>
      </c>
      <c r="H609">
        <v>1</v>
      </c>
      <c r="I609" t="s">
        <v>97</v>
      </c>
      <c r="J609" s="10">
        <v>139</v>
      </c>
      <c r="K609" s="10">
        <v>417</v>
      </c>
      <c r="L609" s="10">
        <v>0</v>
      </c>
      <c r="N609" s="10">
        <v>0</v>
      </c>
      <c r="O609" t="s">
        <v>99</v>
      </c>
      <c r="P609" s="10">
        <v>291.89999999999998</v>
      </c>
      <c r="S609">
        <v>13</v>
      </c>
      <c r="T609">
        <v>21</v>
      </c>
      <c r="U609">
        <v>21</v>
      </c>
      <c r="W609">
        <v>8.09</v>
      </c>
      <c r="Y609">
        <v>10.38</v>
      </c>
      <c r="Z609">
        <v>23.5</v>
      </c>
      <c r="AA609">
        <v>23.5</v>
      </c>
      <c r="AB609">
        <v>3.3170000000000002</v>
      </c>
      <c r="AC609">
        <v>13.01</v>
      </c>
      <c r="AE609">
        <v>5</v>
      </c>
      <c r="AF609" t="s">
        <v>1545</v>
      </c>
      <c r="AG609">
        <v>60</v>
      </c>
      <c r="AK609" t="s">
        <v>98</v>
      </c>
      <c r="AM609" t="s">
        <v>98</v>
      </c>
      <c r="AN609" t="s">
        <v>99</v>
      </c>
      <c r="AO609" t="s">
        <v>98</v>
      </c>
      <c r="AP609" t="s">
        <v>100</v>
      </c>
      <c r="AQ609" t="s">
        <v>101</v>
      </c>
      <c r="AV609" t="s">
        <v>98</v>
      </c>
      <c r="AX609" t="s">
        <v>440</v>
      </c>
      <c r="AZ609" t="s">
        <v>102</v>
      </c>
      <c r="BB609" t="s">
        <v>1546</v>
      </c>
      <c r="BC609" t="s">
        <v>2067</v>
      </c>
      <c r="BD609" t="s">
        <v>7528</v>
      </c>
      <c r="BF609" t="s">
        <v>2071</v>
      </c>
      <c r="BG609" t="s">
        <v>98</v>
      </c>
      <c r="BH609" t="s">
        <v>98</v>
      </c>
      <c r="BI609" t="s">
        <v>98</v>
      </c>
      <c r="BK609" t="s">
        <v>110</v>
      </c>
      <c r="BL609" t="s">
        <v>7528</v>
      </c>
      <c r="BQ609">
        <v>5</v>
      </c>
      <c r="BR609">
        <v>1</v>
      </c>
      <c r="BS609">
        <v>5</v>
      </c>
      <c r="BT609">
        <v>5</v>
      </c>
      <c r="CA609">
        <v>4435</v>
      </c>
      <c r="CB609" t="s">
        <v>440</v>
      </c>
      <c r="CL609" t="s">
        <v>99</v>
      </c>
      <c r="CM609" t="s">
        <v>99</v>
      </c>
      <c r="CN609" t="s">
        <v>1548</v>
      </c>
      <c r="CO609" s="1">
        <v>42363</v>
      </c>
      <c r="CP609" s="1">
        <v>43633</v>
      </c>
    </row>
    <row r="610" spans="1:94" x14ac:dyDescent="0.25">
      <c r="A610" t="s">
        <v>2072</v>
      </c>
      <c r="B610" t="str">
        <f xml:space="preserve"> "" &amp; 747396097251</f>
        <v>747396097251</v>
      </c>
      <c r="C610" t="s">
        <v>866</v>
      </c>
      <c r="D610" t="s">
        <v>2073</v>
      </c>
      <c r="E610" t="s">
        <v>1544</v>
      </c>
      <c r="F610" t="s">
        <v>240</v>
      </c>
      <c r="G610">
        <v>1</v>
      </c>
      <c r="H610">
        <v>1</v>
      </c>
      <c r="I610" t="s">
        <v>97</v>
      </c>
      <c r="J610" s="10">
        <v>149</v>
      </c>
      <c r="K610" s="10">
        <v>447</v>
      </c>
      <c r="L610" s="10">
        <v>0</v>
      </c>
      <c r="N610" s="10">
        <v>0</v>
      </c>
      <c r="O610" t="s">
        <v>99</v>
      </c>
      <c r="P610" s="10">
        <v>312.89999999999998</v>
      </c>
      <c r="S610">
        <v>23.25</v>
      </c>
      <c r="T610">
        <v>11.25</v>
      </c>
      <c r="U610">
        <v>11.25</v>
      </c>
      <c r="W610">
        <v>7.74</v>
      </c>
      <c r="Y610">
        <v>24.25</v>
      </c>
      <c r="Z610">
        <v>13.5</v>
      </c>
      <c r="AA610">
        <v>13.5</v>
      </c>
      <c r="AB610">
        <v>2.5579999999999998</v>
      </c>
      <c r="AC610">
        <v>10.98</v>
      </c>
      <c r="AE610">
        <v>8</v>
      </c>
      <c r="AF610" t="s">
        <v>1545</v>
      </c>
      <c r="AG610">
        <v>60</v>
      </c>
      <c r="AK610" t="s">
        <v>98</v>
      </c>
      <c r="AM610" t="s">
        <v>98</v>
      </c>
      <c r="AN610" t="s">
        <v>99</v>
      </c>
      <c r="AO610" t="s">
        <v>98</v>
      </c>
      <c r="AP610" t="s">
        <v>100</v>
      </c>
      <c r="AQ610" t="s">
        <v>101</v>
      </c>
      <c r="AV610" t="s">
        <v>98</v>
      </c>
      <c r="AX610" t="s">
        <v>440</v>
      </c>
      <c r="AZ610" t="s">
        <v>102</v>
      </c>
      <c r="BB610" t="s">
        <v>1546</v>
      </c>
      <c r="BC610" t="s">
        <v>2067</v>
      </c>
      <c r="BD610" t="s">
        <v>7528</v>
      </c>
      <c r="BF610" t="s">
        <v>2074</v>
      </c>
      <c r="BG610" t="s">
        <v>98</v>
      </c>
      <c r="BH610" t="s">
        <v>98</v>
      </c>
      <c r="BI610" t="s">
        <v>98</v>
      </c>
      <c r="BK610" t="s">
        <v>110</v>
      </c>
      <c r="BL610" t="s">
        <v>7528</v>
      </c>
      <c r="BQ610">
        <v>5</v>
      </c>
      <c r="BR610">
        <v>1</v>
      </c>
      <c r="BS610">
        <v>5</v>
      </c>
      <c r="BT610">
        <v>5</v>
      </c>
      <c r="CA610">
        <v>4438</v>
      </c>
      <c r="CB610" t="s">
        <v>440</v>
      </c>
      <c r="CL610" t="s">
        <v>99</v>
      </c>
      <c r="CM610" t="s">
        <v>99</v>
      </c>
      <c r="CN610" t="s">
        <v>1548</v>
      </c>
      <c r="CO610" s="1">
        <v>42363</v>
      </c>
      <c r="CP610" s="1">
        <v>43633</v>
      </c>
    </row>
    <row r="611" spans="1:94" x14ac:dyDescent="0.25">
      <c r="A611" t="s">
        <v>2075</v>
      </c>
      <c r="B611" t="str">
        <f xml:space="preserve"> "" &amp; 747396098050</f>
        <v>747396098050</v>
      </c>
      <c r="C611" t="s">
        <v>1876</v>
      </c>
      <c r="D611" t="s">
        <v>6637</v>
      </c>
      <c r="E611" t="s">
        <v>2076</v>
      </c>
      <c r="F611" t="s">
        <v>240</v>
      </c>
      <c r="G611">
        <v>1</v>
      </c>
      <c r="H611">
        <v>1</v>
      </c>
      <c r="I611" t="s">
        <v>97</v>
      </c>
      <c r="J611" s="10">
        <v>129</v>
      </c>
      <c r="K611" s="10">
        <v>387</v>
      </c>
      <c r="L611" s="10">
        <v>0</v>
      </c>
      <c r="N611" s="10">
        <v>0</v>
      </c>
      <c r="O611" t="s">
        <v>99</v>
      </c>
      <c r="P611" s="10">
        <v>259.95</v>
      </c>
      <c r="S611">
        <v>19.25</v>
      </c>
      <c r="T611">
        <v>20</v>
      </c>
      <c r="U611">
        <v>20</v>
      </c>
      <c r="W611">
        <v>5.95</v>
      </c>
      <c r="Y611">
        <v>10</v>
      </c>
      <c r="Z611">
        <v>22.5</v>
      </c>
      <c r="AA611">
        <v>22.5</v>
      </c>
      <c r="AB611">
        <v>2.93</v>
      </c>
      <c r="AC611">
        <v>10.56</v>
      </c>
      <c r="AE611">
        <v>4</v>
      </c>
      <c r="AF611" t="s">
        <v>1545</v>
      </c>
      <c r="AG611">
        <v>60</v>
      </c>
      <c r="AK611" t="s">
        <v>98</v>
      </c>
      <c r="AM611" t="s">
        <v>98</v>
      </c>
      <c r="AN611" t="s">
        <v>99</v>
      </c>
      <c r="AO611" t="s">
        <v>98</v>
      </c>
      <c r="AP611" t="s">
        <v>100</v>
      </c>
      <c r="AQ611" t="s">
        <v>101</v>
      </c>
      <c r="AV611" t="s">
        <v>98</v>
      </c>
      <c r="AX611" t="s">
        <v>2077</v>
      </c>
      <c r="AZ611" t="s">
        <v>124</v>
      </c>
      <c r="BB611" t="s">
        <v>1546</v>
      </c>
      <c r="BC611" t="s">
        <v>2078</v>
      </c>
      <c r="BD611" t="s">
        <v>7528</v>
      </c>
      <c r="BF611" t="s">
        <v>2079</v>
      </c>
      <c r="BG611" t="s">
        <v>98</v>
      </c>
      <c r="BH611" t="s">
        <v>98</v>
      </c>
      <c r="BI611" t="s">
        <v>98</v>
      </c>
      <c r="BK611" t="s">
        <v>127</v>
      </c>
      <c r="BL611" t="s">
        <v>7528</v>
      </c>
      <c r="BQ611">
        <v>5.25</v>
      </c>
      <c r="BR611">
        <v>0.75</v>
      </c>
      <c r="BS611">
        <v>5.25</v>
      </c>
      <c r="BT611">
        <v>5.25</v>
      </c>
      <c r="CA611">
        <v>4443</v>
      </c>
      <c r="CB611" t="s">
        <v>2077</v>
      </c>
      <c r="CL611" t="s">
        <v>99</v>
      </c>
      <c r="CM611" t="s">
        <v>99</v>
      </c>
      <c r="CN611" t="s">
        <v>838</v>
      </c>
      <c r="CO611" s="1">
        <v>42324</v>
      </c>
      <c r="CP611" s="1">
        <v>43633</v>
      </c>
    </row>
    <row r="612" spans="1:94" x14ac:dyDescent="0.25">
      <c r="A612" t="s">
        <v>2080</v>
      </c>
      <c r="B612" t="str">
        <f xml:space="preserve"> "" &amp; 747396098067</f>
        <v>747396098067</v>
      </c>
      <c r="C612" t="s">
        <v>1281</v>
      </c>
      <c r="D612" t="s">
        <v>2081</v>
      </c>
      <c r="E612" t="s">
        <v>2076</v>
      </c>
      <c r="F612" t="s">
        <v>249</v>
      </c>
      <c r="G612">
        <v>1</v>
      </c>
      <c r="H612">
        <v>1</v>
      </c>
      <c r="I612" t="s">
        <v>97</v>
      </c>
      <c r="J612" s="10">
        <v>109</v>
      </c>
      <c r="K612" s="10">
        <v>327</v>
      </c>
      <c r="L612" s="10">
        <v>0</v>
      </c>
      <c r="N612" s="10">
        <v>0</v>
      </c>
      <c r="O612" t="s">
        <v>99</v>
      </c>
      <c r="P612" s="10">
        <v>219.95</v>
      </c>
      <c r="S612">
        <v>22</v>
      </c>
      <c r="T612">
        <v>18</v>
      </c>
      <c r="U612">
        <v>18</v>
      </c>
      <c r="W612">
        <v>6.13</v>
      </c>
      <c r="Y612">
        <v>19</v>
      </c>
      <c r="Z612">
        <v>19.63</v>
      </c>
      <c r="AA612">
        <v>6.5</v>
      </c>
      <c r="AB612">
        <v>1.403</v>
      </c>
      <c r="AC612">
        <v>8.3800000000000008</v>
      </c>
      <c r="AE612">
        <v>4</v>
      </c>
      <c r="AF612" t="s">
        <v>1545</v>
      </c>
      <c r="AG612">
        <v>60</v>
      </c>
      <c r="AK612" t="s">
        <v>98</v>
      </c>
      <c r="AM612" t="s">
        <v>98</v>
      </c>
      <c r="AN612" t="s">
        <v>99</v>
      </c>
      <c r="AO612" t="s">
        <v>98</v>
      </c>
      <c r="AP612" t="s">
        <v>100</v>
      </c>
      <c r="AQ612" t="s">
        <v>101</v>
      </c>
      <c r="AV612" t="s">
        <v>98</v>
      </c>
      <c r="AX612" t="s">
        <v>2077</v>
      </c>
      <c r="AZ612" t="s">
        <v>124</v>
      </c>
      <c r="BB612" t="s">
        <v>235</v>
      </c>
      <c r="BC612" t="s">
        <v>840</v>
      </c>
      <c r="BD612" t="s">
        <v>7528</v>
      </c>
      <c r="BF612" t="s">
        <v>2082</v>
      </c>
      <c r="BG612" t="s">
        <v>98</v>
      </c>
      <c r="BH612" t="s">
        <v>98</v>
      </c>
      <c r="BI612" t="s">
        <v>98</v>
      </c>
      <c r="BK612" t="s">
        <v>110</v>
      </c>
      <c r="BL612" t="s">
        <v>7528</v>
      </c>
      <c r="BQ612">
        <v>5.38</v>
      </c>
      <c r="BR612">
        <v>0.75</v>
      </c>
      <c r="BS612">
        <v>5.38</v>
      </c>
      <c r="BT612">
        <v>5.38</v>
      </c>
      <c r="CA612">
        <v>4444</v>
      </c>
      <c r="CB612" t="s">
        <v>2077</v>
      </c>
      <c r="CL612" t="s">
        <v>99</v>
      </c>
      <c r="CM612" t="s">
        <v>99</v>
      </c>
      <c r="CN612" t="s">
        <v>838</v>
      </c>
      <c r="CO612" s="1">
        <v>42324</v>
      </c>
      <c r="CP612" s="1">
        <v>43633</v>
      </c>
    </row>
    <row r="613" spans="1:94" x14ac:dyDescent="0.25">
      <c r="A613" t="s">
        <v>2083</v>
      </c>
      <c r="B613" t="str">
        <f xml:space="preserve"> "" &amp; 747396098074</f>
        <v>747396098074</v>
      </c>
      <c r="C613" t="s">
        <v>339</v>
      </c>
      <c r="D613" t="s">
        <v>6637</v>
      </c>
      <c r="E613" t="s">
        <v>2076</v>
      </c>
      <c r="F613" t="s">
        <v>240</v>
      </c>
      <c r="G613">
        <v>1</v>
      </c>
      <c r="H613">
        <v>1</v>
      </c>
      <c r="I613" t="s">
        <v>97</v>
      </c>
      <c r="J613" s="10">
        <v>85</v>
      </c>
      <c r="K613" s="10">
        <v>255</v>
      </c>
      <c r="L613" s="10">
        <v>0</v>
      </c>
      <c r="N613" s="10">
        <v>0</v>
      </c>
      <c r="O613" t="s">
        <v>99</v>
      </c>
      <c r="P613" s="10">
        <v>169.95</v>
      </c>
      <c r="S613">
        <v>15</v>
      </c>
      <c r="T613">
        <v>10</v>
      </c>
      <c r="U613">
        <v>10</v>
      </c>
      <c r="W613">
        <v>5.1100000000000003</v>
      </c>
      <c r="Y613">
        <v>15.25</v>
      </c>
      <c r="Z613">
        <v>12.5</v>
      </c>
      <c r="AA613">
        <v>12.5</v>
      </c>
      <c r="AB613">
        <v>1.379</v>
      </c>
      <c r="AC613">
        <v>7.21</v>
      </c>
      <c r="AE613">
        <v>4</v>
      </c>
      <c r="AF613" t="s">
        <v>1545</v>
      </c>
      <c r="AG613">
        <v>60</v>
      </c>
      <c r="AK613" t="s">
        <v>98</v>
      </c>
      <c r="AM613" t="s">
        <v>98</v>
      </c>
      <c r="AN613" t="s">
        <v>99</v>
      </c>
      <c r="AO613" t="s">
        <v>98</v>
      </c>
      <c r="AP613" t="s">
        <v>100</v>
      </c>
      <c r="AQ613" t="s">
        <v>101</v>
      </c>
      <c r="AV613" t="s">
        <v>98</v>
      </c>
      <c r="AX613" t="s">
        <v>2077</v>
      </c>
      <c r="AZ613" t="s">
        <v>124</v>
      </c>
      <c r="BB613" t="s">
        <v>7528</v>
      </c>
      <c r="BC613" t="s">
        <v>7528</v>
      </c>
      <c r="BD613" t="s">
        <v>7528</v>
      </c>
      <c r="BF613" t="s">
        <v>2084</v>
      </c>
      <c r="BG613" t="s">
        <v>98</v>
      </c>
      <c r="BH613" t="s">
        <v>98</v>
      </c>
      <c r="BI613" t="s">
        <v>98</v>
      </c>
      <c r="BK613" t="s">
        <v>127</v>
      </c>
      <c r="BL613" t="s">
        <v>7528</v>
      </c>
      <c r="BQ613">
        <v>5.38</v>
      </c>
      <c r="BR613">
        <v>0.75</v>
      </c>
      <c r="BS613">
        <v>5.38</v>
      </c>
      <c r="BT613">
        <v>5.38</v>
      </c>
      <c r="CA613">
        <v>4445</v>
      </c>
      <c r="CB613" t="s">
        <v>2077</v>
      </c>
      <c r="CL613" t="s">
        <v>99</v>
      </c>
      <c r="CM613" t="s">
        <v>99</v>
      </c>
      <c r="CN613" t="s">
        <v>2085</v>
      </c>
      <c r="CO613" s="1">
        <v>42324</v>
      </c>
      <c r="CP613" s="1">
        <v>43633</v>
      </c>
    </row>
    <row r="614" spans="1:94" x14ac:dyDescent="0.25">
      <c r="A614" t="s">
        <v>2086</v>
      </c>
      <c r="B614" t="str">
        <f xml:space="preserve"> "" &amp; 747396098043</f>
        <v>747396098043</v>
      </c>
      <c r="C614" t="s">
        <v>252</v>
      </c>
      <c r="D614" t="s">
        <v>2087</v>
      </c>
      <c r="E614" t="s">
        <v>2076</v>
      </c>
      <c r="F614" t="s">
        <v>249</v>
      </c>
      <c r="G614">
        <v>1</v>
      </c>
      <c r="H614">
        <v>1</v>
      </c>
      <c r="I614" t="s">
        <v>97</v>
      </c>
      <c r="J614" s="10">
        <v>135</v>
      </c>
      <c r="K614" s="10">
        <v>405</v>
      </c>
      <c r="L614" s="10">
        <v>0</v>
      </c>
      <c r="N614" s="10">
        <v>0</v>
      </c>
      <c r="O614" t="s">
        <v>99</v>
      </c>
      <c r="P614" s="10">
        <v>269.95</v>
      </c>
      <c r="S614">
        <v>31.75</v>
      </c>
      <c r="T614">
        <v>26.75</v>
      </c>
      <c r="U614">
        <v>26.75</v>
      </c>
      <c r="W614">
        <v>9.8800000000000008</v>
      </c>
      <c r="Y614">
        <v>26.75</v>
      </c>
      <c r="Z614">
        <v>29.38</v>
      </c>
      <c r="AA614">
        <v>10</v>
      </c>
      <c r="AB614">
        <v>4.548</v>
      </c>
      <c r="AC614">
        <v>16.670000000000002</v>
      </c>
      <c r="AE614">
        <v>6</v>
      </c>
      <c r="AF614" t="s">
        <v>1545</v>
      </c>
      <c r="AG614">
        <v>60</v>
      </c>
      <c r="AK614" t="s">
        <v>98</v>
      </c>
      <c r="AL614">
        <v>6</v>
      </c>
      <c r="AM614" t="s">
        <v>98</v>
      </c>
      <c r="AN614" t="s">
        <v>99</v>
      </c>
      <c r="AO614" t="s">
        <v>98</v>
      </c>
      <c r="AP614" t="s">
        <v>100</v>
      </c>
      <c r="AQ614" t="s">
        <v>101</v>
      </c>
      <c r="AV614" t="s">
        <v>98</v>
      </c>
      <c r="AX614" t="s">
        <v>2077</v>
      </c>
      <c r="AZ614" t="s">
        <v>124</v>
      </c>
      <c r="BB614" t="s">
        <v>7528</v>
      </c>
      <c r="BC614" t="s">
        <v>7528</v>
      </c>
      <c r="BD614" t="s">
        <v>7528</v>
      </c>
      <c r="BF614" t="s">
        <v>2088</v>
      </c>
      <c r="BG614" t="s">
        <v>98</v>
      </c>
      <c r="BH614" t="s">
        <v>98</v>
      </c>
      <c r="BI614" t="s">
        <v>98</v>
      </c>
      <c r="BK614" t="s">
        <v>110</v>
      </c>
      <c r="BL614" t="s">
        <v>7528</v>
      </c>
      <c r="BQ614">
        <v>5.38</v>
      </c>
      <c r="BR614">
        <v>0.75</v>
      </c>
      <c r="BS614">
        <v>5.38</v>
      </c>
      <c r="BT614">
        <v>5.38</v>
      </c>
      <c r="CA614">
        <v>4446</v>
      </c>
      <c r="CB614" t="s">
        <v>2077</v>
      </c>
      <c r="CL614" t="s">
        <v>99</v>
      </c>
      <c r="CM614" t="s">
        <v>99</v>
      </c>
      <c r="CN614" t="s">
        <v>2085</v>
      </c>
      <c r="CO614" s="1">
        <v>42324</v>
      </c>
      <c r="CP614" s="1">
        <v>43633</v>
      </c>
    </row>
    <row r="615" spans="1:94" x14ac:dyDescent="0.25">
      <c r="A615" t="s">
        <v>2089</v>
      </c>
      <c r="B615" t="str">
        <f xml:space="preserve"> "" &amp; 747396098081</f>
        <v>747396098081</v>
      </c>
      <c r="C615" t="s">
        <v>339</v>
      </c>
      <c r="D615" t="s">
        <v>2090</v>
      </c>
      <c r="E615" t="s">
        <v>2076</v>
      </c>
      <c r="F615" t="s">
        <v>240</v>
      </c>
      <c r="G615">
        <v>1</v>
      </c>
      <c r="H615">
        <v>1</v>
      </c>
      <c r="I615" t="s">
        <v>97</v>
      </c>
      <c r="J615" s="10">
        <v>99</v>
      </c>
      <c r="K615" s="10">
        <v>297</v>
      </c>
      <c r="L615" s="10">
        <v>0</v>
      </c>
      <c r="N615" s="10">
        <v>0</v>
      </c>
      <c r="O615" t="s">
        <v>99</v>
      </c>
      <c r="P615" s="10">
        <v>199.95</v>
      </c>
      <c r="S615">
        <v>19.25</v>
      </c>
      <c r="T615">
        <v>14.25</v>
      </c>
      <c r="U615">
        <v>14.25</v>
      </c>
      <c r="W615">
        <v>6.72</v>
      </c>
      <c r="Y615">
        <v>14.63</v>
      </c>
      <c r="Z615">
        <v>16.63</v>
      </c>
      <c r="AA615">
        <v>16.63</v>
      </c>
      <c r="AB615">
        <v>2.3410000000000002</v>
      </c>
      <c r="AC615">
        <v>9.92</v>
      </c>
      <c r="AE615">
        <v>4</v>
      </c>
      <c r="AF615" t="s">
        <v>519</v>
      </c>
      <c r="AG615">
        <v>60</v>
      </c>
      <c r="AK615" t="s">
        <v>98</v>
      </c>
      <c r="AM615" t="s">
        <v>98</v>
      </c>
      <c r="AN615" t="s">
        <v>99</v>
      </c>
      <c r="AO615" t="s">
        <v>98</v>
      </c>
      <c r="AP615" t="s">
        <v>100</v>
      </c>
      <c r="AQ615" t="s">
        <v>101</v>
      </c>
      <c r="AV615" t="s">
        <v>98</v>
      </c>
      <c r="AX615" t="s">
        <v>2077</v>
      </c>
      <c r="AZ615" t="s">
        <v>124</v>
      </c>
      <c r="BB615" t="s">
        <v>235</v>
      </c>
      <c r="BC615" t="s">
        <v>746</v>
      </c>
      <c r="BD615" t="s">
        <v>7528</v>
      </c>
      <c r="BF615" t="s">
        <v>2091</v>
      </c>
      <c r="BG615" t="s">
        <v>98</v>
      </c>
      <c r="BH615" t="s">
        <v>98</v>
      </c>
      <c r="BI615" t="s">
        <v>98</v>
      </c>
      <c r="BK615" t="s">
        <v>110</v>
      </c>
      <c r="BL615" t="s">
        <v>7528</v>
      </c>
      <c r="BQ615">
        <v>5.38</v>
      </c>
      <c r="BR615">
        <v>0.75</v>
      </c>
      <c r="BS615">
        <v>5.38</v>
      </c>
      <c r="BT615">
        <v>5.38</v>
      </c>
      <c r="CA615">
        <v>4447</v>
      </c>
      <c r="CB615" t="s">
        <v>2077</v>
      </c>
      <c r="CL615" t="s">
        <v>99</v>
      </c>
      <c r="CM615" t="s">
        <v>99</v>
      </c>
      <c r="CN615" t="s">
        <v>2085</v>
      </c>
      <c r="CO615" s="1">
        <v>42324</v>
      </c>
      <c r="CP615" s="1">
        <v>43633</v>
      </c>
    </row>
    <row r="616" spans="1:94" x14ac:dyDescent="0.25">
      <c r="A616" t="s">
        <v>2092</v>
      </c>
      <c r="B616" t="str">
        <f xml:space="preserve"> "" &amp; 747396098098</f>
        <v>747396098098</v>
      </c>
      <c r="C616" t="s">
        <v>339</v>
      </c>
      <c r="D616" t="s">
        <v>6637</v>
      </c>
      <c r="E616" t="s">
        <v>2076</v>
      </c>
      <c r="F616" t="s">
        <v>240</v>
      </c>
      <c r="G616">
        <v>1</v>
      </c>
      <c r="H616">
        <v>1</v>
      </c>
      <c r="I616" t="s">
        <v>97</v>
      </c>
      <c r="J616" s="10">
        <v>125</v>
      </c>
      <c r="K616" s="10">
        <v>375</v>
      </c>
      <c r="L616" s="10">
        <v>0</v>
      </c>
      <c r="N616" s="10">
        <v>0</v>
      </c>
      <c r="O616" t="s">
        <v>99</v>
      </c>
      <c r="P616" s="10">
        <v>249.95</v>
      </c>
      <c r="S616">
        <v>29.75</v>
      </c>
      <c r="T616">
        <v>17</v>
      </c>
      <c r="U616">
        <v>17</v>
      </c>
      <c r="W616">
        <v>9.8800000000000008</v>
      </c>
      <c r="Y616">
        <v>25.5</v>
      </c>
      <c r="Z616">
        <v>19.5</v>
      </c>
      <c r="AA616">
        <v>19.5</v>
      </c>
      <c r="AB616">
        <v>5.6109999999999998</v>
      </c>
      <c r="AC616">
        <v>16.600000000000001</v>
      </c>
      <c r="AE616">
        <v>4</v>
      </c>
      <c r="AF616" t="s">
        <v>519</v>
      </c>
      <c r="AG616">
        <v>60</v>
      </c>
      <c r="AK616" t="s">
        <v>98</v>
      </c>
      <c r="AM616" t="s">
        <v>98</v>
      </c>
      <c r="AN616" t="s">
        <v>99</v>
      </c>
      <c r="AO616" t="s">
        <v>98</v>
      </c>
      <c r="AP616" t="s">
        <v>100</v>
      </c>
      <c r="AQ616" t="s">
        <v>101</v>
      </c>
      <c r="AV616" t="s">
        <v>98</v>
      </c>
      <c r="AX616" t="s">
        <v>2077</v>
      </c>
      <c r="AZ616" t="s">
        <v>124</v>
      </c>
      <c r="BB616" t="s">
        <v>235</v>
      </c>
      <c r="BC616" t="s">
        <v>7528</v>
      </c>
      <c r="BD616" t="s">
        <v>7528</v>
      </c>
      <c r="BF616" t="s">
        <v>2093</v>
      </c>
      <c r="BG616" t="s">
        <v>98</v>
      </c>
      <c r="BH616" t="s">
        <v>98</v>
      </c>
      <c r="BI616" t="s">
        <v>98</v>
      </c>
      <c r="BK616" t="s">
        <v>127</v>
      </c>
      <c r="BL616" t="s">
        <v>7528</v>
      </c>
      <c r="BQ616">
        <v>5.38</v>
      </c>
      <c r="BR616">
        <v>0.75</v>
      </c>
      <c r="BS616">
        <v>5.38</v>
      </c>
      <c r="BT616">
        <v>5.38</v>
      </c>
      <c r="CA616">
        <v>4448</v>
      </c>
      <c r="CB616" t="s">
        <v>2077</v>
      </c>
      <c r="CL616" t="s">
        <v>99</v>
      </c>
      <c r="CM616" t="s">
        <v>99</v>
      </c>
      <c r="CN616" t="s">
        <v>2085</v>
      </c>
      <c r="CO616" s="1">
        <v>42324</v>
      </c>
      <c r="CP616" s="1">
        <v>43633</v>
      </c>
    </row>
    <row r="617" spans="1:94" x14ac:dyDescent="0.25">
      <c r="A617" t="s">
        <v>2094</v>
      </c>
      <c r="B617" t="str">
        <f xml:space="preserve"> "" &amp; 747396098104</f>
        <v>747396098104</v>
      </c>
      <c r="C617" t="s">
        <v>350</v>
      </c>
      <c r="D617" t="s">
        <v>2095</v>
      </c>
      <c r="E617" t="s">
        <v>2076</v>
      </c>
      <c r="F617" t="s">
        <v>249</v>
      </c>
      <c r="G617">
        <v>1</v>
      </c>
      <c r="H617">
        <v>1</v>
      </c>
      <c r="I617" t="s">
        <v>97</v>
      </c>
      <c r="J617" s="10">
        <v>215</v>
      </c>
      <c r="K617" s="10">
        <v>645</v>
      </c>
      <c r="L617" s="10">
        <v>0</v>
      </c>
      <c r="N617" s="10">
        <v>0</v>
      </c>
      <c r="O617" t="s">
        <v>99</v>
      </c>
      <c r="P617" s="10">
        <v>429.95</v>
      </c>
      <c r="S617">
        <v>37.5</v>
      </c>
      <c r="T617">
        <v>31.5</v>
      </c>
      <c r="U617">
        <v>31.5</v>
      </c>
      <c r="W617">
        <v>12.87</v>
      </c>
      <c r="Y617">
        <v>32.75</v>
      </c>
      <c r="Z617">
        <v>34</v>
      </c>
      <c r="AA617">
        <v>12</v>
      </c>
      <c r="AB617">
        <v>7.7329999999999997</v>
      </c>
      <c r="AC617">
        <v>22.2</v>
      </c>
      <c r="AE617">
        <v>9</v>
      </c>
      <c r="AF617" t="s">
        <v>1545</v>
      </c>
      <c r="AG617">
        <v>60</v>
      </c>
      <c r="AK617" t="s">
        <v>98</v>
      </c>
      <c r="AM617" t="s">
        <v>98</v>
      </c>
      <c r="AN617" t="s">
        <v>99</v>
      </c>
      <c r="AO617" t="s">
        <v>98</v>
      </c>
      <c r="AP617" t="s">
        <v>100</v>
      </c>
      <c r="AQ617" t="s">
        <v>101</v>
      </c>
      <c r="AV617" t="s">
        <v>98</v>
      </c>
      <c r="AX617" t="s">
        <v>2077</v>
      </c>
      <c r="AZ617" t="s">
        <v>124</v>
      </c>
      <c r="BB617" t="s">
        <v>235</v>
      </c>
      <c r="BC617" t="s">
        <v>7528</v>
      </c>
      <c r="BD617" t="s">
        <v>7528</v>
      </c>
      <c r="BF617" t="s">
        <v>2096</v>
      </c>
      <c r="BG617" t="s">
        <v>98</v>
      </c>
      <c r="BH617" t="s">
        <v>98</v>
      </c>
      <c r="BI617" t="s">
        <v>98</v>
      </c>
      <c r="BK617" t="s">
        <v>110</v>
      </c>
      <c r="BL617" t="s">
        <v>7528</v>
      </c>
      <c r="BQ617">
        <v>5.38</v>
      </c>
      <c r="BR617">
        <v>0.75</v>
      </c>
      <c r="BS617">
        <v>5.38</v>
      </c>
      <c r="BT617">
        <v>5.38</v>
      </c>
      <c r="CA617">
        <v>4449</v>
      </c>
      <c r="CB617" t="s">
        <v>2077</v>
      </c>
      <c r="CL617" t="s">
        <v>99</v>
      </c>
      <c r="CM617" t="s">
        <v>99</v>
      </c>
      <c r="CN617" t="s">
        <v>2085</v>
      </c>
      <c r="CO617" s="1">
        <v>42324</v>
      </c>
      <c r="CP617" s="1">
        <v>43633</v>
      </c>
    </row>
    <row r="618" spans="1:94" x14ac:dyDescent="0.25">
      <c r="A618" t="s">
        <v>2097</v>
      </c>
      <c r="B618" t="str">
        <f xml:space="preserve"> "" &amp; 747396099705</f>
        <v>747396099705</v>
      </c>
      <c r="C618" t="s">
        <v>239</v>
      </c>
      <c r="D618" t="s">
        <v>2098</v>
      </c>
      <c r="E618" t="s">
        <v>1561</v>
      </c>
      <c r="F618" t="s">
        <v>240</v>
      </c>
      <c r="G618">
        <v>1</v>
      </c>
      <c r="H618">
        <v>1</v>
      </c>
      <c r="I618" t="s">
        <v>97</v>
      </c>
      <c r="J618" s="10">
        <v>44</v>
      </c>
      <c r="K618" s="10">
        <v>132</v>
      </c>
      <c r="L618" s="10">
        <v>0</v>
      </c>
      <c r="N618" s="10">
        <v>0</v>
      </c>
      <c r="O618" t="s">
        <v>99</v>
      </c>
      <c r="P618" s="10">
        <v>89.95</v>
      </c>
      <c r="S618">
        <v>9.25</v>
      </c>
      <c r="T618">
        <v>9.5</v>
      </c>
      <c r="U618">
        <v>7.75</v>
      </c>
      <c r="W618">
        <v>8.73</v>
      </c>
      <c r="X618">
        <v>1</v>
      </c>
      <c r="Y618">
        <v>5.5</v>
      </c>
      <c r="Z618">
        <v>9.5</v>
      </c>
      <c r="AA618">
        <v>8.6300000000000008</v>
      </c>
      <c r="AB618">
        <v>0.26100000000000001</v>
      </c>
      <c r="AC618">
        <v>12.35</v>
      </c>
      <c r="AE618">
        <v>1</v>
      </c>
      <c r="AF618" t="s">
        <v>696</v>
      </c>
      <c r="AG618">
        <v>40</v>
      </c>
      <c r="AK618" t="s">
        <v>98</v>
      </c>
      <c r="AM618" t="s">
        <v>98</v>
      </c>
      <c r="AN618" t="s">
        <v>99</v>
      </c>
      <c r="AO618" t="s">
        <v>98</v>
      </c>
      <c r="AP618" t="s">
        <v>100</v>
      </c>
      <c r="AQ618" t="s">
        <v>101</v>
      </c>
      <c r="AV618" t="s">
        <v>98</v>
      </c>
      <c r="AX618" t="s">
        <v>2099</v>
      </c>
      <c r="AZ618" t="s">
        <v>124</v>
      </c>
      <c r="BB618" t="s">
        <v>7528</v>
      </c>
      <c r="BC618" t="s">
        <v>7528</v>
      </c>
      <c r="BD618" t="s">
        <v>7528</v>
      </c>
      <c r="BF618" t="s">
        <v>2100</v>
      </c>
      <c r="BG618" t="s">
        <v>98</v>
      </c>
      <c r="BH618" t="s">
        <v>98</v>
      </c>
      <c r="BI618" t="s">
        <v>98</v>
      </c>
      <c r="BK618" t="s">
        <v>110</v>
      </c>
      <c r="BL618" t="s">
        <v>7528</v>
      </c>
      <c r="BQ618">
        <v>4.88</v>
      </c>
      <c r="BR618">
        <v>1</v>
      </c>
      <c r="BS618">
        <v>4.88</v>
      </c>
      <c r="BT618">
        <v>4.88</v>
      </c>
      <c r="CA618">
        <v>4451</v>
      </c>
      <c r="CB618" t="s">
        <v>2099</v>
      </c>
      <c r="CL618" t="s">
        <v>99</v>
      </c>
      <c r="CM618" t="s">
        <v>99</v>
      </c>
      <c r="CN618" t="s">
        <v>692</v>
      </c>
      <c r="CO618" s="1">
        <v>42580</v>
      </c>
      <c r="CP618" s="1">
        <v>43633</v>
      </c>
    </row>
    <row r="619" spans="1:94" x14ac:dyDescent="0.25">
      <c r="A619" t="s">
        <v>2101</v>
      </c>
      <c r="B619" t="str">
        <f xml:space="preserve"> "" &amp; 840253051004</f>
        <v>840253051004</v>
      </c>
      <c r="C619" t="s">
        <v>2102</v>
      </c>
      <c r="D619" t="s">
        <v>2103</v>
      </c>
      <c r="E619" t="s">
        <v>7528</v>
      </c>
      <c r="F619" t="s">
        <v>2104</v>
      </c>
      <c r="G619">
        <v>1</v>
      </c>
      <c r="H619">
        <v>1</v>
      </c>
      <c r="I619" t="s">
        <v>97</v>
      </c>
      <c r="J619" s="10">
        <v>1099.95</v>
      </c>
      <c r="K619" s="10">
        <v>3299.85</v>
      </c>
      <c r="L619" s="10">
        <v>0</v>
      </c>
      <c r="N619" s="10">
        <v>0</v>
      </c>
      <c r="S619">
        <v>41</v>
      </c>
      <c r="T619">
        <v>21</v>
      </c>
      <c r="U619">
        <v>62</v>
      </c>
      <c r="W619">
        <v>268.95999999999998</v>
      </c>
      <c r="Y619">
        <v>45.5</v>
      </c>
      <c r="Z619">
        <v>65.5</v>
      </c>
      <c r="AA619">
        <v>24.5</v>
      </c>
      <c r="AB619">
        <v>42.255000000000003</v>
      </c>
      <c r="AC619">
        <v>365.97</v>
      </c>
      <c r="AE619">
        <v>0</v>
      </c>
      <c r="AF619" t="e">
        <v>#N/A</v>
      </c>
      <c r="AG619">
        <v>0</v>
      </c>
      <c r="AH619">
        <v>0</v>
      </c>
      <c r="AJ619">
        <v>0</v>
      </c>
      <c r="AK619" t="s">
        <v>98</v>
      </c>
      <c r="AM619" t="s">
        <v>98</v>
      </c>
      <c r="AN619" t="s">
        <v>98</v>
      </c>
      <c r="AO619" t="s">
        <v>98</v>
      </c>
      <c r="AP619" t="s">
        <v>259</v>
      </c>
      <c r="AQ619" t="s">
        <v>101</v>
      </c>
      <c r="AV619" t="s">
        <v>98</v>
      </c>
      <c r="AX619" t="s">
        <v>2105</v>
      </c>
      <c r="AZ619" t="s">
        <v>7528</v>
      </c>
      <c r="BB619" t="s">
        <v>7528</v>
      </c>
      <c r="BC619" t="s">
        <v>7528</v>
      </c>
      <c r="BD619" t="s">
        <v>7528</v>
      </c>
      <c r="BF619" t="s">
        <v>2106</v>
      </c>
      <c r="BG619" t="s">
        <v>98</v>
      </c>
      <c r="BH619" t="s">
        <v>98</v>
      </c>
      <c r="BI619" t="s">
        <v>98</v>
      </c>
      <c r="BK619" t="e">
        <v>#N/A</v>
      </c>
      <c r="BL619" t="s">
        <v>7528</v>
      </c>
      <c r="CA619" t="s">
        <v>2101</v>
      </c>
      <c r="CB619" t="s">
        <v>2105</v>
      </c>
      <c r="CL619" t="s">
        <v>98</v>
      </c>
      <c r="CM619" t="s">
        <v>98</v>
      </c>
      <c r="CN619" t="s">
        <v>2107</v>
      </c>
      <c r="CO619" s="1">
        <v>39990</v>
      </c>
      <c r="CP619" s="1">
        <v>43633</v>
      </c>
    </row>
    <row r="620" spans="1:94" x14ac:dyDescent="0.25">
      <c r="A620" t="s">
        <v>2108</v>
      </c>
      <c r="B620" t="str">
        <f xml:space="preserve"> "" &amp; 747396098302</f>
        <v>747396098302</v>
      </c>
      <c r="C620" t="s">
        <v>1876</v>
      </c>
      <c r="D620" t="s">
        <v>2109</v>
      </c>
      <c r="E620" t="s">
        <v>1561</v>
      </c>
      <c r="F620" t="s">
        <v>377</v>
      </c>
      <c r="G620">
        <v>1</v>
      </c>
      <c r="H620">
        <v>1</v>
      </c>
      <c r="I620" t="s">
        <v>97</v>
      </c>
      <c r="J620" s="10">
        <v>119</v>
      </c>
      <c r="K620" s="10">
        <v>357</v>
      </c>
      <c r="L620" s="10">
        <v>0</v>
      </c>
      <c r="N620" s="10">
        <v>0</v>
      </c>
      <c r="O620" t="s">
        <v>99</v>
      </c>
      <c r="P620" s="10">
        <v>249.95</v>
      </c>
      <c r="S620">
        <v>12.5</v>
      </c>
      <c r="T620">
        <v>14</v>
      </c>
      <c r="U620">
        <v>14</v>
      </c>
      <c r="W620">
        <v>5.93</v>
      </c>
      <c r="Y620">
        <v>7.75</v>
      </c>
      <c r="Z620">
        <v>16.5</v>
      </c>
      <c r="AA620">
        <v>16.5</v>
      </c>
      <c r="AB620">
        <v>1.2210000000000001</v>
      </c>
      <c r="AC620">
        <v>7.89</v>
      </c>
      <c r="AE620">
        <v>4</v>
      </c>
      <c r="AF620" t="s">
        <v>745</v>
      </c>
      <c r="AG620">
        <v>40</v>
      </c>
      <c r="AK620" t="s">
        <v>98</v>
      </c>
      <c r="AL620">
        <v>4</v>
      </c>
      <c r="AM620" t="s">
        <v>98</v>
      </c>
      <c r="AN620" t="s">
        <v>99</v>
      </c>
      <c r="AO620" t="s">
        <v>98</v>
      </c>
      <c r="AP620" t="s">
        <v>100</v>
      </c>
      <c r="AQ620" t="s">
        <v>101</v>
      </c>
      <c r="AV620" t="s">
        <v>98</v>
      </c>
      <c r="AX620" t="s">
        <v>2099</v>
      </c>
      <c r="AZ620" t="s">
        <v>102</v>
      </c>
      <c r="BB620" t="s">
        <v>7528</v>
      </c>
      <c r="BC620" t="s">
        <v>7528</v>
      </c>
      <c r="BD620" t="s">
        <v>7528</v>
      </c>
      <c r="BF620" t="s">
        <v>2110</v>
      </c>
      <c r="BG620" t="s">
        <v>98</v>
      </c>
      <c r="BH620" t="s">
        <v>98</v>
      </c>
      <c r="BI620" t="s">
        <v>98</v>
      </c>
      <c r="BK620" t="s">
        <v>127</v>
      </c>
      <c r="BL620" t="s">
        <v>7528</v>
      </c>
      <c r="BQ620">
        <v>5.38</v>
      </c>
      <c r="BR620">
        <v>1</v>
      </c>
      <c r="BS620">
        <v>5.38</v>
      </c>
      <c r="BT620">
        <v>5.38</v>
      </c>
      <c r="CA620">
        <v>4454</v>
      </c>
      <c r="CB620" t="s">
        <v>2099</v>
      </c>
      <c r="CL620" t="s">
        <v>99</v>
      </c>
      <c r="CM620" t="s">
        <v>99</v>
      </c>
      <c r="CN620" t="s">
        <v>692</v>
      </c>
      <c r="CO620" s="1">
        <v>42363</v>
      </c>
      <c r="CP620" s="1">
        <v>43633</v>
      </c>
    </row>
    <row r="621" spans="1:94" x14ac:dyDescent="0.25">
      <c r="A621" t="s">
        <v>2111</v>
      </c>
      <c r="B621" t="str">
        <f xml:space="preserve"> "" &amp; 747396098333</f>
        <v>747396098333</v>
      </c>
      <c r="C621" t="s">
        <v>255</v>
      </c>
      <c r="D621" t="s">
        <v>2112</v>
      </c>
      <c r="E621" t="s">
        <v>1561</v>
      </c>
      <c r="F621" t="s">
        <v>249</v>
      </c>
      <c r="G621">
        <v>1</v>
      </c>
      <c r="H621">
        <v>1</v>
      </c>
      <c r="I621" t="s">
        <v>97</v>
      </c>
      <c r="J621" s="10">
        <v>275</v>
      </c>
      <c r="K621" s="10">
        <v>825</v>
      </c>
      <c r="L621" s="10">
        <v>0</v>
      </c>
      <c r="N621" s="10">
        <v>0</v>
      </c>
      <c r="O621" t="s">
        <v>99</v>
      </c>
      <c r="P621" s="10">
        <v>579.95000000000005</v>
      </c>
      <c r="S621">
        <v>28</v>
      </c>
      <c r="T621">
        <v>30</v>
      </c>
      <c r="U621">
        <v>30</v>
      </c>
      <c r="W621">
        <v>11.68</v>
      </c>
      <c r="Y621">
        <v>6.5</v>
      </c>
      <c r="Z621">
        <v>31.38</v>
      </c>
      <c r="AA621">
        <v>31.38</v>
      </c>
      <c r="AB621">
        <v>3.7040000000000002</v>
      </c>
      <c r="AC621">
        <v>17.809999999999999</v>
      </c>
      <c r="AE621">
        <v>8</v>
      </c>
      <c r="AF621" t="s">
        <v>745</v>
      </c>
      <c r="AG621">
        <v>40</v>
      </c>
      <c r="AK621" t="s">
        <v>98</v>
      </c>
      <c r="AM621" t="s">
        <v>98</v>
      </c>
      <c r="AN621" t="s">
        <v>99</v>
      </c>
      <c r="AO621" t="s">
        <v>98</v>
      </c>
      <c r="AP621" t="s">
        <v>100</v>
      </c>
      <c r="AQ621" t="s">
        <v>101</v>
      </c>
      <c r="AV621" t="s">
        <v>98</v>
      </c>
      <c r="AX621" t="s">
        <v>2099</v>
      </c>
      <c r="AZ621" t="s">
        <v>102</v>
      </c>
      <c r="BB621" t="s">
        <v>7528</v>
      </c>
      <c r="BC621" t="s">
        <v>7528</v>
      </c>
      <c r="BD621" t="s">
        <v>7528</v>
      </c>
      <c r="BF621" t="s">
        <v>2113</v>
      </c>
      <c r="BG621" t="s">
        <v>98</v>
      </c>
      <c r="BH621" t="s">
        <v>98</v>
      </c>
      <c r="BI621" t="s">
        <v>98</v>
      </c>
      <c r="BK621" t="s">
        <v>110</v>
      </c>
      <c r="BL621" t="s">
        <v>7528</v>
      </c>
      <c r="BQ621">
        <v>4.88</v>
      </c>
      <c r="BR621">
        <v>1</v>
      </c>
      <c r="BS621">
        <v>4.88</v>
      </c>
      <c r="BT621">
        <v>4.88</v>
      </c>
      <c r="CA621">
        <v>4458</v>
      </c>
      <c r="CB621" t="s">
        <v>2099</v>
      </c>
      <c r="CL621" t="s">
        <v>99</v>
      </c>
      <c r="CM621" t="s">
        <v>99</v>
      </c>
      <c r="CN621" t="s">
        <v>692</v>
      </c>
      <c r="CO621" s="1">
        <v>42363</v>
      </c>
      <c r="CP621" s="1">
        <v>43633</v>
      </c>
    </row>
    <row r="622" spans="1:94" x14ac:dyDescent="0.25">
      <c r="A622" t="s">
        <v>2114</v>
      </c>
      <c r="B622" t="str">
        <f xml:space="preserve"> "" &amp; 747396098340</f>
        <v>747396098340</v>
      </c>
      <c r="C622" t="s">
        <v>350</v>
      </c>
      <c r="D622" t="s">
        <v>2115</v>
      </c>
      <c r="E622" t="s">
        <v>1561</v>
      </c>
      <c r="F622" t="s">
        <v>249</v>
      </c>
      <c r="G622">
        <v>1</v>
      </c>
      <c r="H622">
        <v>1</v>
      </c>
      <c r="I622" t="s">
        <v>97</v>
      </c>
      <c r="J622" s="10">
        <v>295</v>
      </c>
      <c r="K622" s="10">
        <v>885</v>
      </c>
      <c r="L622" s="10">
        <v>0</v>
      </c>
      <c r="N622" s="10">
        <v>0</v>
      </c>
      <c r="O622" t="s">
        <v>99</v>
      </c>
      <c r="P622" s="10">
        <v>619.5</v>
      </c>
      <c r="S622">
        <v>29.75</v>
      </c>
      <c r="T622">
        <v>27</v>
      </c>
      <c r="U622">
        <v>27</v>
      </c>
      <c r="W622">
        <v>16.010000000000002</v>
      </c>
      <c r="Y622">
        <v>6</v>
      </c>
      <c r="Z622">
        <v>29.5</v>
      </c>
      <c r="AA622">
        <v>28.5</v>
      </c>
      <c r="AB622">
        <v>2.919</v>
      </c>
      <c r="AC622">
        <v>21.16</v>
      </c>
      <c r="AE622">
        <v>9</v>
      </c>
      <c r="AF622" t="s">
        <v>745</v>
      </c>
      <c r="AG622">
        <v>40</v>
      </c>
      <c r="AK622" t="s">
        <v>98</v>
      </c>
      <c r="AM622" t="s">
        <v>98</v>
      </c>
      <c r="AN622" t="s">
        <v>99</v>
      </c>
      <c r="AO622" t="s">
        <v>98</v>
      </c>
      <c r="AP622" t="s">
        <v>100</v>
      </c>
      <c r="AQ622" t="s">
        <v>101</v>
      </c>
      <c r="AV622" t="s">
        <v>98</v>
      </c>
      <c r="AX622" t="s">
        <v>2099</v>
      </c>
      <c r="AZ622" t="s">
        <v>102</v>
      </c>
      <c r="BB622" t="s">
        <v>7528</v>
      </c>
      <c r="BC622" t="s">
        <v>7528</v>
      </c>
      <c r="BD622" t="s">
        <v>7528</v>
      </c>
      <c r="BF622" t="s">
        <v>2116</v>
      </c>
      <c r="BG622" t="s">
        <v>98</v>
      </c>
      <c r="BH622" t="s">
        <v>98</v>
      </c>
      <c r="BI622" t="s">
        <v>98</v>
      </c>
      <c r="BK622" t="s">
        <v>110</v>
      </c>
      <c r="BL622" t="s">
        <v>7528</v>
      </c>
      <c r="BQ622">
        <v>4.88</v>
      </c>
      <c r="BR622">
        <v>1</v>
      </c>
      <c r="BS622">
        <v>4.88</v>
      </c>
      <c r="BT622">
        <v>4.88</v>
      </c>
      <c r="CA622">
        <v>4459</v>
      </c>
      <c r="CB622" t="s">
        <v>2099</v>
      </c>
      <c r="CL622" t="s">
        <v>99</v>
      </c>
      <c r="CM622" t="s">
        <v>99</v>
      </c>
      <c r="CN622" t="s">
        <v>692</v>
      </c>
      <c r="CO622" s="1">
        <v>42363</v>
      </c>
      <c r="CP622" s="1">
        <v>43633</v>
      </c>
    </row>
    <row r="623" spans="1:94" x14ac:dyDescent="0.25">
      <c r="A623" t="s">
        <v>2117</v>
      </c>
      <c r="B623" t="str">
        <f xml:space="preserve"> "" &amp; 747396072128</f>
        <v>747396072128</v>
      </c>
      <c r="C623" t="s">
        <v>230</v>
      </c>
      <c r="D623" t="s">
        <v>2118</v>
      </c>
      <c r="E623" t="s">
        <v>2119</v>
      </c>
      <c r="F623" t="s">
        <v>232</v>
      </c>
      <c r="G623">
        <v>1</v>
      </c>
      <c r="H623">
        <v>1</v>
      </c>
      <c r="I623" t="s">
        <v>97</v>
      </c>
      <c r="J623" s="10">
        <v>39</v>
      </c>
      <c r="K623" s="10">
        <v>117</v>
      </c>
      <c r="L623" s="10">
        <v>0</v>
      </c>
      <c r="N623" s="10">
        <v>0</v>
      </c>
      <c r="O623" t="s">
        <v>99</v>
      </c>
      <c r="P623" s="10">
        <v>74.95</v>
      </c>
      <c r="S623">
        <v>15.25</v>
      </c>
      <c r="T623">
        <v>12.5</v>
      </c>
      <c r="U623">
        <v>4.25</v>
      </c>
      <c r="V623">
        <v>4</v>
      </c>
      <c r="W623">
        <v>2.09</v>
      </c>
      <c r="Y623">
        <v>7.5</v>
      </c>
      <c r="Z623">
        <v>12.5</v>
      </c>
      <c r="AA623">
        <v>7</v>
      </c>
      <c r="AB623">
        <v>0.38</v>
      </c>
      <c r="AC623">
        <v>3.44</v>
      </c>
      <c r="AE623">
        <v>1</v>
      </c>
      <c r="AF623" t="s">
        <v>1050</v>
      </c>
      <c r="AG623">
        <v>60</v>
      </c>
      <c r="AK623" t="s">
        <v>98</v>
      </c>
      <c r="AL623">
        <v>1</v>
      </c>
      <c r="AM623" t="s">
        <v>98</v>
      </c>
      <c r="AN623" t="s">
        <v>99</v>
      </c>
      <c r="AO623" t="s">
        <v>98</v>
      </c>
      <c r="AP623" t="s">
        <v>100</v>
      </c>
      <c r="AQ623" t="s">
        <v>101</v>
      </c>
      <c r="AV623" t="s">
        <v>98</v>
      </c>
      <c r="AX623" t="s">
        <v>2120</v>
      </c>
      <c r="AZ623" t="s">
        <v>102</v>
      </c>
      <c r="BB623" t="s">
        <v>235</v>
      </c>
      <c r="BC623" t="s">
        <v>460</v>
      </c>
      <c r="BD623" t="s">
        <v>7528</v>
      </c>
      <c r="BF623" t="s">
        <v>2121</v>
      </c>
      <c r="BG623" t="s">
        <v>98</v>
      </c>
      <c r="BH623" t="s">
        <v>99</v>
      </c>
      <c r="BI623" t="s">
        <v>98</v>
      </c>
      <c r="BK623" t="s">
        <v>127</v>
      </c>
      <c r="BL623" t="s">
        <v>236</v>
      </c>
      <c r="BM623">
        <v>4.25</v>
      </c>
      <c r="BN623">
        <v>0.63</v>
      </c>
      <c r="CA623">
        <v>4460</v>
      </c>
      <c r="CB623" t="s">
        <v>2120</v>
      </c>
      <c r="CL623" t="s">
        <v>99</v>
      </c>
      <c r="CM623" t="s">
        <v>98</v>
      </c>
      <c r="CN623" t="s">
        <v>2122</v>
      </c>
      <c r="CO623" s="1">
        <v>40108</v>
      </c>
      <c r="CP623" s="1">
        <v>43633</v>
      </c>
    </row>
    <row r="624" spans="1:94" x14ac:dyDescent="0.25">
      <c r="A624" t="s">
        <v>2123</v>
      </c>
      <c r="B624" t="str">
        <f xml:space="preserve"> "" &amp; 747396082479</f>
        <v>747396082479</v>
      </c>
      <c r="C624" t="s">
        <v>230</v>
      </c>
      <c r="D624" t="s">
        <v>230</v>
      </c>
      <c r="E624" t="s">
        <v>7528</v>
      </c>
      <c r="F624" t="s">
        <v>232</v>
      </c>
      <c r="G624">
        <v>1</v>
      </c>
      <c r="H624">
        <v>1</v>
      </c>
      <c r="I624" t="s">
        <v>97</v>
      </c>
      <c r="J624" s="10">
        <v>35</v>
      </c>
      <c r="K624" s="10">
        <v>105</v>
      </c>
      <c r="L624" s="10">
        <v>0</v>
      </c>
      <c r="N624" s="10">
        <v>0</v>
      </c>
      <c r="O624" t="s">
        <v>99</v>
      </c>
      <c r="P624" s="10">
        <v>69.95</v>
      </c>
      <c r="S624">
        <v>15.25</v>
      </c>
      <c r="T624">
        <v>12</v>
      </c>
      <c r="U624">
        <v>4.25</v>
      </c>
      <c r="V624">
        <v>4</v>
      </c>
      <c r="W624">
        <v>1.76</v>
      </c>
      <c r="Y624">
        <v>6.25</v>
      </c>
      <c r="Z624">
        <v>12</v>
      </c>
      <c r="AA624">
        <v>5.5</v>
      </c>
      <c r="AB624">
        <v>0.23899999999999999</v>
      </c>
      <c r="AC624">
        <v>2.4700000000000002</v>
      </c>
      <c r="AE624">
        <v>1</v>
      </c>
      <c r="AF624" t="s">
        <v>794</v>
      </c>
      <c r="AG624">
        <v>60</v>
      </c>
      <c r="AK624" t="s">
        <v>98</v>
      </c>
      <c r="AL624">
        <v>1</v>
      </c>
      <c r="AM624" t="s">
        <v>98</v>
      </c>
      <c r="AN624" t="s">
        <v>99</v>
      </c>
      <c r="AO624" t="s">
        <v>98</v>
      </c>
      <c r="AP624" t="s">
        <v>100</v>
      </c>
      <c r="AQ624" t="s">
        <v>101</v>
      </c>
      <c r="AV624" t="s">
        <v>98</v>
      </c>
      <c r="AX624" t="s">
        <v>697</v>
      </c>
      <c r="AZ624" t="s">
        <v>392</v>
      </c>
      <c r="BB624" t="s">
        <v>235</v>
      </c>
      <c r="BC624" t="s">
        <v>460</v>
      </c>
      <c r="BD624" t="s">
        <v>7528</v>
      </c>
      <c r="BF624" t="s">
        <v>2124</v>
      </c>
      <c r="BG624" t="s">
        <v>98</v>
      </c>
      <c r="BH624" t="s">
        <v>99</v>
      </c>
      <c r="BI624" t="s">
        <v>98</v>
      </c>
      <c r="BK624" t="s">
        <v>127</v>
      </c>
      <c r="BL624" t="s">
        <v>236</v>
      </c>
      <c r="BM624">
        <v>4.25</v>
      </c>
      <c r="BN624">
        <v>0.63</v>
      </c>
      <c r="CA624">
        <v>4460</v>
      </c>
      <c r="CB624" t="s">
        <v>697</v>
      </c>
      <c r="CL624" t="s">
        <v>99</v>
      </c>
      <c r="CM624" t="s">
        <v>99</v>
      </c>
      <c r="CN624" t="s">
        <v>442</v>
      </c>
      <c r="CO624" s="1">
        <v>40914</v>
      </c>
      <c r="CP624" s="1">
        <v>43633</v>
      </c>
    </row>
    <row r="625" spans="1:94" x14ac:dyDescent="0.25">
      <c r="A625" t="s">
        <v>2125</v>
      </c>
      <c r="B625" t="str">
        <f xml:space="preserve"> "" &amp; 747396082462</f>
        <v>747396082462</v>
      </c>
      <c r="C625" t="s">
        <v>230</v>
      </c>
      <c r="D625" t="s">
        <v>230</v>
      </c>
      <c r="E625" t="s">
        <v>7528</v>
      </c>
      <c r="F625" t="s">
        <v>232</v>
      </c>
      <c r="G625">
        <v>1</v>
      </c>
      <c r="H625">
        <v>1</v>
      </c>
      <c r="I625" t="s">
        <v>97</v>
      </c>
      <c r="J625" s="10">
        <v>35</v>
      </c>
      <c r="K625" s="10">
        <v>105</v>
      </c>
      <c r="L625" s="10">
        <v>0</v>
      </c>
      <c r="N625" s="10">
        <v>0</v>
      </c>
      <c r="O625" t="s">
        <v>99</v>
      </c>
      <c r="P625" s="10">
        <v>69.95</v>
      </c>
      <c r="S625">
        <v>15.25</v>
      </c>
      <c r="T625">
        <v>12</v>
      </c>
      <c r="U625">
        <v>4.25</v>
      </c>
      <c r="V625">
        <v>4</v>
      </c>
      <c r="W625">
        <v>1.76</v>
      </c>
      <c r="Y625">
        <v>6.25</v>
      </c>
      <c r="Z625">
        <v>12</v>
      </c>
      <c r="AA625">
        <v>5.5</v>
      </c>
      <c r="AB625">
        <v>0.23899999999999999</v>
      </c>
      <c r="AC625">
        <v>2.4700000000000002</v>
      </c>
      <c r="AE625">
        <v>1</v>
      </c>
      <c r="AF625" t="s">
        <v>794</v>
      </c>
      <c r="AG625">
        <v>60</v>
      </c>
      <c r="AK625" t="s">
        <v>98</v>
      </c>
      <c r="AL625">
        <v>1</v>
      </c>
      <c r="AM625" t="s">
        <v>98</v>
      </c>
      <c r="AN625" t="s">
        <v>99</v>
      </c>
      <c r="AO625" t="s">
        <v>98</v>
      </c>
      <c r="AP625" t="s">
        <v>100</v>
      </c>
      <c r="AQ625" t="s">
        <v>101</v>
      </c>
      <c r="AV625" t="s">
        <v>98</v>
      </c>
      <c r="AX625" t="s">
        <v>279</v>
      </c>
      <c r="AZ625" t="s">
        <v>392</v>
      </c>
      <c r="BB625" t="s">
        <v>235</v>
      </c>
      <c r="BC625" t="s">
        <v>460</v>
      </c>
      <c r="BD625" t="s">
        <v>7528</v>
      </c>
      <c r="BF625" t="s">
        <v>2126</v>
      </c>
      <c r="BG625" t="s">
        <v>98</v>
      </c>
      <c r="BH625" t="s">
        <v>99</v>
      </c>
      <c r="BI625" t="s">
        <v>98</v>
      </c>
      <c r="BK625" t="s">
        <v>127</v>
      </c>
      <c r="BL625" t="s">
        <v>236</v>
      </c>
      <c r="BM625">
        <v>4.25</v>
      </c>
      <c r="BN625">
        <v>0.63</v>
      </c>
      <c r="CA625">
        <v>4460</v>
      </c>
      <c r="CB625" t="s">
        <v>279</v>
      </c>
      <c r="CL625" t="s">
        <v>99</v>
      </c>
      <c r="CM625" t="s">
        <v>98</v>
      </c>
      <c r="CN625" t="s">
        <v>442</v>
      </c>
      <c r="CO625" s="1">
        <v>40914</v>
      </c>
      <c r="CP625" s="1">
        <v>43633</v>
      </c>
    </row>
    <row r="626" spans="1:94" x14ac:dyDescent="0.25">
      <c r="A626" t="s">
        <v>2127</v>
      </c>
      <c r="B626" t="str">
        <f xml:space="preserve"> "" &amp; 747396072142</f>
        <v>747396072142</v>
      </c>
      <c r="C626" t="s">
        <v>322</v>
      </c>
      <c r="D626" t="s">
        <v>2128</v>
      </c>
      <c r="E626" t="s">
        <v>2119</v>
      </c>
      <c r="F626" t="s">
        <v>232</v>
      </c>
      <c r="G626">
        <v>1</v>
      </c>
      <c r="H626">
        <v>1</v>
      </c>
      <c r="I626" t="s">
        <v>97</v>
      </c>
      <c r="J626" s="10">
        <v>55</v>
      </c>
      <c r="K626" s="10">
        <v>165</v>
      </c>
      <c r="L626" s="10">
        <v>0</v>
      </c>
      <c r="N626" s="10">
        <v>0</v>
      </c>
      <c r="O626" t="s">
        <v>99</v>
      </c>
      <c r="P626" s="10">
        <v>109.95</v>
      </c>
      <c r="S626">
        <v>18.5</v>
      </c>
      <c r="U626">
        <v>4.25</v>
      </c>
      <c r="V626">
        <v>5.5</v>
      </c>
      <c r="W626">
        <v>4.12</v>
      </c>
      <c r="Y626">
        <v>7.5</v>
      </c>
      <c r="Z626">
        <v>17.75</v>
      </c>
      <c r="AA626">
        <v>10.25</v>
      </c>
      <c r="AB626">
        <v>0.79</v>
      </c>
      <c r="AC626">
        <v>6.08</v>
      </c>
      <c r="AE626">
        <v>2</v>
      </c>
      <c r="AF626" t="s">
        <v>1998</v>
      </c>
      <c r="AG626">
        <v>60</v>
      </c>
      <c r="AK626" t="s">
        <v>98</v>
      </c>
      <c r="AL626">
        <v>1</v>
      </c>
      <c r="AM626" t="s">
        <v>98</v>
      </c>
      <c r="AN626" t="s">
        <v>99</v>
      </c>
      <c r="AO626" t="s">
        <v>98</v>
      </c>
      <c r="AP626" t="s">
        <v>100</v>
      </c>
      <c r="AQ626" t="s">
        <v>101</v>
      </c>
      <c r="AV626" t="s">
        <v>98</v>
      </c>
      <c r="AX626" t="s">
        <v>2120</v>
      </c>
      <c r="AZ626" t="s">
        <v>102</v>
      </c>
      <c r="BB626" t="s">
        <v>235</v>
      </c>
      <c r="BC626" t="s">
        <v>460</v>
      </c>
      <c r="BD626" t="s">
        <v>7528</v>
      </c>
      <c r="BF626" t="s">
        <v>2129</v>
      </c>
      <c r="BG626" t="s">
        <v>98</v>
      </c>
      <c r="BH626" t="s">
        <v>98</v>
      </c>
      <c r="BI626" t="s">
        <v>98</v>
      </c>
      <c r="BK626" t="s">
        <v>127</v>
      </c>
      <c r="BL626" t="s">
        <v>979</v>
      </c>
      <c r="BR626">
        <v>5</v>
      </c>
      <c r="BT626">
        <v>4</v>
      </c>
      <c r="CA626">
        <v>4462</v>
      </c>
      <c r="CB626" t="s">
        <v>2120</v>
      </c>
      <c r="CL626" t="s">
        <v>99</v>
      </c>
      <c r="CM626" t="s">
        <v>98</v>
      </c>
      <c r="CN626" t="s">
        <v>2122</v>
      </c>
      <c r="CO626" s="1">
        <v>40108</v>
      </c>
      <c r="CP626" s="1">
        <v>43633</v>
      </c>
    </row>
    <row r="627" spans="1:94" x14ac:dyDescent="0.25">
      <c r="A627" t="s">
        <v>2130</v>
      </c>
      <c r="B627" t="str">
        <f xml:space="preserve"> "" &amp; 747396082455</f>
        <v>747396082455</v>
      </c>
      <c r="C627" t="s">
        <v>322</v>
      </c>
      <c r="D627" t="s">
        <v>322</v>
      </c>
      <c r="E627" t="s">
        <v>7528</v>
      </c>
      <c r="F627" t="s">
        <v>232</v>
      </c>
      <c r="G627">
        <v>1</v>
      </c>
      <c r="H627">
        <v>1</v>
      </c>
      <c r="I627" t="s">
        <v>97</v>
      </c>
      <c r="J627" s="10">
        <v>55</v>
      </c>
      <c r="K627" s="10">
        <v>165</v>
      </c>
      <c r="L627" s="10">
        <v>0</v>
      </c>
      <c r="N627" s="10">
        <v>0</v>
      </c>
      <c r="O627" t="s">
        <v>99</v>
      </c>
      <c r="P627" s="10">
        <v>109.95</v>
      </c>
      <c r="S627">
        <v>18.5</v>
      </c>
      <c r="U627">
        <v>4.25</v>
      </c>
      <c r="V627">
        <v>5.5</v>
      </c>
      <c r="W627">
        <v>2.95</v>
      </c>
      <c r="Y627">
        <v>7.5</v>
      </c>
      <c r="Z627">
        <v>17.75</v>
      </c>
      <c r="AA627">
        <v>10.25</v>
      </c>
      <c r="AB627">
        <v>0.79</v>
      </c>
      <c r="AC627">
        <v>4.92</v>
      </c>
      <c r="AE627">
        <v>2</v>
      </c>
      <c r="AF627" t="s">
        <v>794</v>
      </c>
      <c r="AG627">
        <v>60</v>
      </c>
      <c r="AK627" t="s">
        <v>98</v>
      </c>
      <c r="AL627">
        <v>1</v>
      </c>
      <c r="AM627" t="s">
        <v>98</v>
      </c>
      <c r="AN627" t="s">
        <v>99</v>
      </c>
      <c r="AO627" t="s">
        <v>98</v>
      </c>
      <c r="AP627" t="s">
        <v>100</v>
      </c>
      <c r="AQ627" t="s">
        <v>101</v>
      </c>
      <c r="AV627" t="s">
        <v>98</v>
      </c>
      <c r="AX627" t="s">
        <v>697</v>
      </c>
      <c r="AZ627" t="s">
        <v>102</v>
      </c>
      <c r="BB627" t="s">
        <v>235</v>
      </c>
      <c r="BC627" t="s">
        <v>460</v>
      </c>
      <c r="BD627" t="s">
        <v>7528</v>
      </c>
      <c r="BF627" t="s">
        <v>2131</v>
      </c>
      <c r="BG627" t="s">
        <v>98</v>
      </c>
      <c r="BH627" t="s">
        <v>98</v>
      </c>
      <c r="BI627" t="s">
        <v>98</v>
      </c>
      <c r="BK627" t="s">
        <v>127</v>
      </c>
      <c r="BL627" t="s">
        <v>979</v>
      </c>
      <c r="BR627">
        <v>5.25</v>
      </c>
      <c r="BT627">
        <v>4.25</v>
      </c>
      <c r="CA627">
        <v>4462</v>
      </c>
      <c r="CB627" t="s">
        <v>697</v>
      </c>
      <c r="CL627" t="s">
        <v>99</v>
      </c>
      <c r="CM627" t="s">
        <v>98</v>
      </c>
      <c r="CN627" t="s">
        <v>442</v>
      </c>
      <c r="CO627" s="1">
        <v>40800</v>
      </c>
      <c r="CP627" s="1">
        <v>43633</v>
      </c>
    </row>
    <row r="628" spans="1:94" x14ac:dyDescent="0.25">
      <c r="A628" t="s">
        <v>2132</v>
      </c>
      <c r="B628" t="str">
        <f xml:space="preserve"> "" &amp; 747396082448</f>
        <v>747396082448</v>
      </c>
      <c r="C628" t="s">
        <v>322</v>
      </c>
      <c r="D628" t="s">
        <v>322</v>
      </c>
      <c r="E628" t="s">
        <v>7528</v>
      </c>
      <c r="F628" t="s">
        <v>232</v>
      </c>
      <c r="G628">
        <v>1</v>
      </c>
      <c r="H628">
        <v>1</v>
      </c>
      <c r="I628" t="s">
        <v>97</v>
      </c>
      <c r="J628" s="10">
        <v>55</v>
      </c>
      <c r="K628" s="10">
        <v>165</v>
      </c>
      <c r="L628" s="10">
        <v>0</v>
      </c>
      <c r="N628" s="10">
        <v>0</v>
      </c>
      <c r="O628" t="s">
        <v>99</v>
      </c>
      <c r="P628" s="10">
        <v>109.95</v>
      </c>
      <c r="S628">
        <v>18.5</v>
      </c>
      <c r="U628">
        <v>4.25</v>
      </c>
      <c r="V628">
        <v>5.5</v>
      </c>
      <c r="W628">
        <v>2.95</v>
      </c>
      <c r="Y628">
        <v>7.5</v>
      </c>
      <c r="Z628">
        <v>17.75</v>
      </c>
      <c r="AA628">
        <v>10.25</v>
      </c>
      <c r="AB628">
        <v>0.79</v>
      </c>
      <c r="AC628">
        <v>4.92</v>
      </c>
      <c r="AE628">
        <v>2</v>
      </c>
      <c r="AF628" t="s">
        <v>794</v>
      </c>
      <c r="AG628">
        <v>60</v>
      </c>
      <c r="AK628" t="s">
        <v>98</v>
      </c>
      <c r="AL628">
        <v>1</v>
      </c>
      <c r="AM628" t="s">
        <v>98</v>
      </c>
      <c r="AN628" t="s">
        <v>99</v>
      </c>
      <c r="AO628" t="s">
        <v>98</v>
      </c>
      <c r="AP628" t="s">
        <v>100</v>
      </c>
      <c r="AQ628" t="s">
        <v>101</v>
      </c>
      <c r="AV628" t="s">
        <v>98</v>
      </c>
      <c r="AX628" t="s">
        <v>279</v>
      </c>
      <c r="AZ628" t="s">
        <v>102</v>
      </c>
      <c r="BB628" t="s">
        <v>235</v>
      </c>
      <c r="BC628" t="s">
        <v>460</v>
      </c>
      <c r="BD628" t="s">
        <v>7528</v>
      </c>
      <c r="BF628" t="s">
        <v>2133</v>
      </c>
      <c r="BG628" t="s">
        <v>98</v>
      </c>
      <c r="BH628" t="s">
        <v>98</v>
      </c>
      <c r="BI628" t="s">
        <v>98</v>
      </c>
      <c r="BK628" t="s">
        <v>127</v>
      </c>
      <c r="BL628" t="s">
        <v>979</v>
      </c>
      <c r="BR628">
        <v>5.25</v>
      </c>
      <c r="BT628">
        <v>4.25</v>
      </c>
      <c r="CA628">
        <v>4462</v>
      </c>
      <c r="CB628" t="s">
        <v>279</v>
      </c>
      <c r="CL628" t="s">
        <v>99</v>
      </c>
      <c r="CM628" t="s">
        <v>98</v>
      </c>
      <c r="CN628" t="s">
        <v>442</v>
      </c>
      <c r="CO628" s="1">
        <v>40800</v>
      </c>
      <c r="CP628" s="1">
        <v>43633</v>
      </c>
    </row>
    <row r="629" spans="1:94" x14ac:dyDescent="0.25">
      <c r="A629" t="s">
        <v>2134</v>
      </c>
      <c r="B629" t="str">
        <f xml:space="preserve"> "" &amp; 747396072869</f>
        <v>747396072869</v>
      </c>
      <c r="C629" t="s">
        <v>376</v>
      </c>
      <c r="D629" t="s">
        <v>2135</v>
      </c>
      <c r="E629" t="s">
        <v>2136</v>
      </c>
      <c r="F629" t="s">
        <v>377</v>
      </c>
      <c r="G629">
        <v>1</v>
      </c>
      <c r="H629">
        <v>1</v>
      </c>
      <c r="I629" t="s">
        <v>97</v>
      </c>
      <c r="J629" s="10">
        <v>117</v>
      </c>
      <c r="K629" s="10">
        <v>351</v>
      </c>
      <c r="L629" s="10">
        <v>0</v>
      </c>
      <c r="N629" s="10">
        <v>0</v>
      </c>
      <c r="O629" t="s">
        <v>99</v>
      </c>
      <c r="P629" s="10">
        <v>234.95</v>
      </c>
      <c r="S629">
        <v>11.5</v>
      </c>
      <c r="T629">
        <v>18</v>
      </c>
      <c r="U629">
        <v>18</v>
      </c>
      <c r="W629">
        <v>6.42</v>
      </c>
      <c r="Y629">
        <v>14</v>
      </c>
      <c r="Z629">
        <v>19.5</v>
      </c>
      <c r="AA629">
        <v>19.5</v>
      </c>
      <c r="AB629">
        <v>3.081</v>
      </c>
      <c r="AC629">
        <v>10.38</v>
      </c>
      <c r="AE629">
        <v>3</v>
      </c>
      <c r="AF629" t="s">
        <v>233</v>
      </c>
      <c r="AG629">
        <v>60</v>
      </c>
      <c r="AK629" t="s">
        <v>98</v>
      </c>
      <c r="AM629" t="s">
        <v>98</v>
      </c>
      <c r="AN629" t="s">
        <v>99</v>
      </c>
      <c r="AO629" t="s">
        <v>98</v>
      </c>
      <c r="AP629" t="s">
        <v>100</v>
      </c>
      <c r="AQ629" t="s">
        <v>101</v>
      </c>
      <c r="AV629" t="s">
        <v>98</v>
      </c>
      <c r="AX629" t="s">
        <v>2137</v>
      </c>
      <c r="AZ629" t="s">
        <v>392</v>
      </c>
      <c r="BB629" t="s">
        <v>197</v>
      </c>
      <c r="BC629" t="s">
        <v>2138</v>
      </c>
      <c r="BD629" t="s">
        <v>7528</v>
      </c>
      <c r="BF629" t="s">
        <v>2139</v>
      </c>
      <c r="BG629" t="s">
        <v>98</v>
      </c>
      <c r="BH629" t="s">
        <v>98</v>
      </c>
      <c r="BI629" t="s">
        <v>98</v>
      </c>
      <c r="BK629" t="s">
        <v>127</v>
      </c>
      <c r="BL629" t="s">
        <v>7528</v>
      </c>
      <c r="BQ629">
        <v>7.5</v>
      </c>
      <c r="BS629">
        <v>7.5</v>
      </c>
      <c r="BT629">
        <v>7.5</v>
      </c>
      <c r="CA629">
        <v>4499</v>
      </c>
      <c r="CB629" t="s">
        <v>2137</v>
      </c>
      <c r="CL629" t="s">
        <v>99</v>
      </c>
      <c r="CM629" t="s">
        <v>98</v>
      </c>
      <c r="CN629" t="s">
        <v>2140</v>
      </c>
      <c r="CO629" s="1">
        <v>40137</v>
      </c>
      <c r="CP629" s="1">
        <v>43633</v>
      </c>
    </row>
    <row r="630" spans="1:94" x14ac:dyDescent="0.25">
      <c r="A630" t="s">
        <v>2141</v>
      </c>
      <c r="B630" t="str">
        <f xml:space="preserve"> "" &amp; 747396107516</f>
        <v>747396107516</v>
      </c>
      <c r="C630" t="s">
        <v>835</v>
      </c>
      <c r="D630" t="s">
        <v>6638</v>
      </c>
      <c r="E630" t="s">
        <v>2142</v>
      </c>
      <c r="F630" t="s">
        <v>232</v>
      </c>
      <c r="G630">
        <v>1</v>
      </c>
      <c r="H630">
        <v>1</v>
      </c>
      <c r="I630" t="s">
        <v>97</v>
      </c>
      <c r="J630" s="10">
        <v>95</v>
      </c>
      <c r="K630" s="10">
        <v>285</v>
      </c>
      <c r="L630" s="10">
        <v>0</v>
      </c>
      <c r="N630" s="10">
        <v>0</v>
      </c>
      <c r="O630" t="s">
        <v>99</v>
      </c>
      <c r="P630" s="10">
        <v>199.95</v>
      </c>
      <c r="S630">
        <v>13.5</v>
      </c>
      <c r="U630">
        <v>8.5</v>
      </c>
      <c r="V630">
        <v>6.25</v>
      </c>
      <c r="W630">
        <v>4.12</v>
      </c>
      <c r="X630">
        <v>1</v>
      </c>
      <c r="Y630">
        <v>7.5</v>
      </c>
      <c r="Z630">
        <v>21.25</v>
      </c>
      <c r="AA630">
        <v>10.75</v>
      </c>
      <c r="AB630">
        <v>0.99099999999999999</v>
      </c>
      <c r="AC630">
        <v>6.53</v>
      </c>
      <c r="AE630">
        <v>2</v>
      </c>
      <c r="AF630" t="s">
        <v>696</v>
      </c>
      <c r="AG630">
        <v>60</v>
      </c>
      <c r="AK630" t="s">
        <v>98</v>
      </c>
      <c r="AM630" t="s">
        <v>98</v>
      </c>
      <c r="AN630" t="s">
        <v>99</v>
      </c>
      <c r="AO630" t="s">
        <v>98</v>
      </c>
      <c r="AP630" t="s">
        <v>100</v>
      </c>
      <c r="AQ630" t="s">
        <v>101</v>
      </c>
      <c r="AV630" t="s">
        <v>98</v>
      </c>
      <c r="AX630" t="s">
        <v>2143</v>
      </c>
      <c r="AZ630" t="s">
        <v>102</v>
      </c>
      <c r="BB630" t="s">
        <v>235</v>
      </c>
      <c r="BC630" t="s">
        <v>708</v>
      </c>
      <c r="BD630" t="s">
        <v>7528</v>
      </c>
      <c r="BF630" t="s">
        <v>2144</v>
      </c>
      <c r="BG630" t="s">
        <v>98</v>
      </c>
      <c r="BH630" t="s">
        <v>98</v>
      </c>
      <c r="BI630" t="s">
        <v>98</v>
      </c>
      <c r="BK630" t="s">
        <v>127</v>
      </c>
      <c r="BL630" t="s">
        <v>7528</v>
      </c>
      <c r="BM630">
        <v>5</v>
      </c>
      <c r="BN630">
        <v>0.75</v>
      </c>
      <c r="CA630">
        <v>4511</v>
      </c>
      <c r="CB630" t="s">
        <v>2143</v>
      </c>
      <c r="CL630" t="s">
        <v>99</v>
      </c>
      <c r="CM630" t="s">
        <v>98</v>
      </c>
      <c r="CN630" t="s">
        <v>442</v>
      </c>
      <c r="CO630" s="1">
        <v>43108</v>
      </c>
      <c r="CP630" s="1">
        <v>43633</v>
      </c>
    </row>
    <row r="631" spans="1:94" x14ac:dyDescent="0.25">
      <c r="A631" t="s">
        <v>2145</v>
      </c>
      <c r="B631" t="str">
        <f xml:space="preserve"> "" &amp; 747396104553</f>
        <v>747396104553</v>
      </c>
      <c r="C631" t="s">
        <v>2146</v>
      </c>
      <c r="D631" t="s">
        <v>6639</v>
      </c>
      <c r="E631" t="s">
        <v>2142</v>
      </c>
      <c r="F631" t="s">
        <v>240</v>
      </c>
      <c r="G631">
        <v>1</v>
      </c>
      <c r="H631">
        <v>1</v>
      </c>
      <c r="I631" t="s">
        <v>97</v>
      </c>
      <c r="J631" s="10">
        <v>295</v>
      </c>
      <c r="K631" s="10">
        <v>885</v>
      </c>
      <c r="L631" s="10">
        <v>0</v>
      </c>
      <c r="N631" s="10">
        <v>0</v>
      </c>
      <c r="O631" t="s">
        <v>99</v>
      </c>
      <c r="P631" s="10">
        <v>619.95000000000005</v>
      </c>
      <c r="S631">
        <v>15.5</v>
      </c>
      <c r="T631">
        <v>40.25</v>
      </c>
      <c r="U631">
        <v>13.5</v>
      </c>
      <c r="W631">
        <v>18.739999999999998</v>
      </c>
      <c r="X631">
        <v>1</v>
      </c>
      <c r="Y631">
        <v>17.88</v>
      </c>
      <c r="Z631">
        <v>43</v>
      </c>
      <c r="AA631">
        <v>16.75</v>
      </c>
      <c r="AB631">
        <v>7.4530000000000003</v>
      </c>
      <c r="AC631">
        <v>27.65</v>
      </c>
      <c r="AE631">
        <v>4</v>
      </c>
      <c r="AF631" t="s">
        <v>2147</v>
      </c>
      <c r="AG631">
        <v>60</v>
      </c>
      <c r="AK631" t="s">
        <v>98</v>
      </c>
      <c r="AM631" t="s">
        <v>98</v>
      </c>
      <c r="AN631" t="s">
        <v>99</v>
      </c>
      <c r="AO631" t="s">
        <v>98</v>
      </c>
      <c r="AP631" t="s">
        <v>100</v>
      </c>
      <c r="AQ631" t="s">
        <v>101</v>
      </c>
      <c r="AV631" t="s">
        <v>98</v>
      </c>
      <c r="AX631" t="s">
        <v>2143</v>
      </c>
      <c r="AZ631" t="s">
        <v>102</v>
      </c>
      <c r="BB631" t="s">
        <v>235</v>
      </c>
      <c r="BC631" t="s">
        <v>708</v>
      </c>
      <c r="BD631" t="s">
        <v>7528</v>
      </c>
      <c r="BF631" t="s">
        <v>2148</v>
      </c>
      <c r="BG631" t="s">
        <v>98</v>
      </c>
      <c r="BH631" t="s">
        <v>98</v>
      </c>
      <c r="BI631" t="s">
        <v>98</v>
      </c>
      <c r="BK631" t="s">
        <v>110</v>
      </c>
      <c r="BL631" t="s">
        <v>7528</v>
      </c>
      <c r="BR631">
        <v>0.75</v>
      </c>
      <c r="BS631">
        <v>8</v>
      </c>
      <c r="BT631">
        <v>8</v>
      </c>
      <c r="CA631">
        <v>4513</v>
      </c>
      <c r="CB631" t="s">
        <v>2143</v>
      </c>
      <c r="CL631" t="s">
        <v>99</v>
      </c>
      <c r="CM631" t="s">
        <v>99</v>
      </c>
      <c r="CN631" t="s">
        <v>442</v>
      </c>
      <c r="CO631" s="1">
        <v>43010</v>
      </c>
      <c r="CP631" s="1">
        <v>43633</v>
      </c>
    </row>
    <row r="632" spans="1:94" x14ac:dyDescent="0.25">
      <c r="A632" t="s">
        <v>2149</v>
      </c>
      <c r="B632" t="str">
        <f xml:space="preserve"> "" &amp; 747396104577</f>
        <v>747396104577</v>
      </c>
      <c r="C632" t="s">
        <v>1371</v>
      </c>
      <c r="D632" t="s">
        <v>6640</v>
      </c>
      <c r="E632" t="s">
        <v>2142</v>
      </c>
      <c r="F632" t="s">
        <v>377</v>
      </c>
      <c r="G632">
        <v>1</v>
      </c>
      <c r="H632">
        <v>1</v>
      </c>
      <c r="I632" t="s">
        <v>97</v>
      </c>
      <c r="J632" s="10">
        <v>139</v>
      </c>
      <c r="K632" s="10">
        <v>417</v>
      </c>
      <c r="L632" s="10">
        <v>0</v>
      </c>
      <c r="N632" s="10">
        <v>0</v>
      </c>
      <c r="O632" t="s">
        <v>99</v>
      </c>
      <c r="P632" s="10">
        <v>294.95</v>
      </c>
      <c r="S632">
        <v>10.25</v>
      </c>
      <c r="T632">
        <v>14.5</v>
      </c>
      <c r="U632">
        <v>14.5</v>
      </c>
      <c r="W632">
        <v>7.01</v>
      </c>
      <c r="X632">
        <v>1</v>
      </c>
      <c r="Y632">
        <v>12.75</v>
      </c>
      <c r="Z632">
        <v>16.5</v>
      </c>
      <c r="AA632">
        <v>16.5</v>
      </c>
      <c r="AB632">
        <v>2.0089999999999999</v>
      </c>
      <c r="AC632">
        <v>9.6300000000000008</v>
      </c>
      <c r="AE632">
        <v>4</v>
      </c>
      <c r="AF632" t="s">
        <v>2150</v>
      </c>
      <c r="AG632">
        <v>60</v>
      </c>
      <c r="AK632" t="s">
        <v>98</v>
      </c>
      <c r="AM632" t="s">
        <v>98</v>
      </c>
      <c r="AN632" t="s">
        <v>99</v>
      </c>
      <c r="AO632" t="s">
        <v>98</v>
      </c>
      <c r="AP632" t="s">
        <v>100</v>
      </c>
      <c r="AQ632" t="s">
        <v>101</v>
      </c>
      <c r="AV632" t="s">
        <v>98</v>
      </c>
      <c r="AX632" t="s">
        <v>2143</v>
      </c>
      <c r="AZ632" t="s">
        <v>102</v>
      </c>
      <c r="BB632" t="s">
        <v>235</v>
      </c>
      <c r="BC632" t="s">
        <v>708</v>
      </c>
      <c r="BD632" t="s">
        <v>7528</v>
      </c>
      <c r="BF632" t="s">
        <v>2151</v>
      </c>
      <c r="BG632" t="s">
        <v>98</v>
      </c>
      <c r="BH632" t="s">
        <v>98</v>
      </c>
      <c r="BI632" t="s">
        <v>98</v>
      </c>
      <c r="BK632" t="s">
        <v>110</v>
      </c>
      <c r="BL632" t="s">
        <v>7528</v>
      </c>
      <c r="BR632">
        <v>0.75</v>
      </c>
      <c r="BS632">
        <v>4.88</v>
      </c>
      <c r="BT632">
        <v>4.88</v>
      </c>
      <c r="CA632">
        <v>4514</v>
      </c>
      <c r="CB632" t="s">
        <v>2143</v>
      </c>
      <c r="CL632" t="s">
        <v>99</v>
      </c>
      <c r="CM632" t="s">
        <v>98</v>
      </c>
      <c r="CN632" t="s">
        <v>442</v>
      </c>
      <c r="CO632" s="1">
        <v>43010</v>
      </c>
      <c r="CP632" s="1">
        <v>43633</v>
      </c>
    </row>
    <row r="633" spans="1:94" x14ac:dyDescent="0.25">
      <c r="A633" t="s">
        <v>2152</v>
      </c>
      <c r="B633" t="str">
        <f xml:space="preserve"> "" &amp; 747396106748</f>
        <v>747396106748</v>
      </c>
      <c r="C633" t="s">
        <v>850</v>
      </c>
      <c r="D633" t="s">
        <v>6641</v>
      </c>
      <c r="E633" t="s">
        <v>2142</v>
      </c>
      <c r="F633" t="s">
        <v>249</v>
      </c>
      <c r="G633">
        <v>1</v>
      </c>
      <c r="H633">
        <v>1</v>
      </c>
      <c r="I633" t="s">
        <v>97</v>
      </c>
      <c r="J633" s="10">
        <v>289</v>
      </c>
      <c r="K633" s="10">
        <v>867</v>
      </c>
      <c r="L633" s="10">
        <v>0</v>
      </c>
      <c r="N633" s="10">
        <v>0</v>
      </c>
      <c r="O633" t="s">
        <v>99</v>
      </c>
      <c r="P633" s="10">
        <v>604.95000000000005</v>
      </c>
      <c r="S633">
        <v>18.5</v>
      </c>
      <c r="T633">
        <v>25.5</v>
      </c>
      <c r="U633">
        <v>25.5</v>
      </c>
      <c r="W633">
        <v>15.74</v>
      </c>
      <c r="X633">
        <v>1</v>
      </c>
      <c r="Y633">
        <v>21.5</v>
      </c>
      <c r="Z633">
        <v>27.75</v>
      </c>
      <c r="AA633">
        <v>27.75</v>
      </c>
      <c r="AB633">
        <v>9.5809999999999995</v>
      </c>
      <c r="AC633">
        <v>26.54</v>
      </c>
      <c r="AE633">
        <v>5</v>
      </c>
      <c r="AF633" t="s">
        <v>2153</v>
      </c>
      <c r="AG633">
        <v>60</v>
      </c>
      <c r="AK633" t="s">
        <v>98</v>
      </c>
      <c r="AM633" t="s">
        <v>98</v>
      </c>
      <c r="AN633" t="s">
        <v>99</v>
      </c>
      <c r="AO633" t="s">
        <v>98</v>
      </c>
      <c r="AP633" t="s">
        <v>100</v>
      </c>
      <c r="AQ633" t="s">
        <v>101</v>
      </c>
      <c r="AV633" t="s">
        <v>98</v>
      </c>
      <c r="AX633" t="s">
        <v>2143</v>
      </c>
      <c r="AZ633" t="s">
        <v>102</v>
      </c>
      <c r="BB633" t="s">
        <v>235</v>
      </c>
      <c r="BC633" t="s">
        <v>708</v>
      </c>
      <c r="BD633" t="s">
        <v>7528</v>
      </c>
      <c r="BF633" t="s">
        <v>2154</v>
      </c>
      <c r="BG633" t="s">
        <v>98</v>
      </c>
      <c r="BH633" t="s">
        <v>98</v>
      </c>
      <c r="BI633" t="s">
        <v>98</v>
      </c>
      <c r="BK633" t="s">
        <v>110</v>
      </c>
      <c r="BL633" t="s">
        <v>7528</v>
      </c>
      <c r="BQ633">
        <v>5</v>
      </c>
      <c r="BR633">
        <v>1</v>
      </c>
      <c r="BS633">
        <v>5</v>
      </c>
      <c r="BT633">
        <v>5</v>
      </c>
      <c r="CA633">
        <v>4515</v>
      </c>
      <c r="CB633" t="s">
        <v>2143</v>
      </c>
      <c r="CL633" t="s">
        <v>99</v>
      </c>
      <c r="CM633" t="s">
        <v>99</v>
      </c>
      <c r="CN633" t="s">
        <v>442</v>
      </c>
      <c r="CO633" s="1">
        <v>43032</v>
      </c>
      <c r="CP633" s="1">
        <v>43633</v>
      </c>
    </row>
    <row r="634" spans="1:94" x14ac:dyDescent="0.25">
      <c r="A634" t="s">
        <v>2155</v>
      </c>
      <c r="B634" t="str">
        <f xml:space="preserve"> "" &amp; 747396104560</f>
        <v>747396104560</v>
      </c>
      <c r="C634" t="s">
        <v>339</v>
      </c>
      <c r="D634" t="s">
        <v>6642</v>
      </c>
      <c r="E634" t="s">
        <v>2142</v>
      </c>
      <c r="F634" t="s">
        <v>240</v>
      </c>
      <c r="G634">
        <v>1</v>
      </c>
      <c r="H634">
        <v>1</v>
      </c>
      <c r="I634" t="s">
        <v>97</v>
      </c>
      <c r="J634" s="10">
        <v>179</v>
      </c>
      <c r="K634" s="10">
        <v>537</v>
      </c>
      <c r="L634" s="10">
        <v>0</v>
      </c>
      <c r="N634" s="10">
        <v>0</v>
      </c>
      <c r="O634" t="s">
        <v>99</v>
      </c>
      <c r="P634" s="10">
        <v>374.95</v>
      </c>
      <c r="S634">
        <v>14.25</v>
      </c>
      <c r="T634">
        <v>20.5</v>
      </c>
      <c r="U634">
        <v>20.5</v>
      </c>
      <c r="W634">
        <v>15.1</v>
      </c>
      <c r="X634">
        <v>1</v>
      </c>
      <c r="Y634">
        <v>16.25</v>
      </c>
      <c r="Z634">
        <v>22.5</v>
      </c>
      <c r="AA634">
        <v>22.5</v>
      </c>
      <c r="AB634">
        <v>4.7610000000000001</v>
      </c>
      <c r="AC634">
        <v>21.67</v>
      </c>
      <c r="AE634">
        <v>4</v>
      </c>
      <c r="AF634" t="s">
        <v>2156</v>
      </c>
      <c r="AG634">
        <v>60</v>
      </c>
      <c r="AK634" t="s">
        <v>98</v>
      </c>
      <c r="AM634" t="s">
        <v>98</v>
      </c>
      <c r="AN634" t="s">
        <v>99</v>
      </c>
      <c r="AO634" t="s">
        <v>98</v>
      </c>
      <c r="AP634" t="s">
        <v>100</v>
      </c>
      <c r="AQ634" t="s">
        <v>101</v>
      </c>
      <c r="AV634" t="s">
        <v>98</v>
      </c>
      <c r="AX634" t="s">
        <v>2143</v>
      </c>
      <c r="AZ634" t="s">
        <v>102</v>
      </c>
      <c r="BB634" t="s">
        <v>235</v>
      </c>
      <c r="BC634" t="s">
        <v>708</v>
      </c>
      <c r="BD634" t="s">
        <v>7528</v>
      </c>
      <c r="BF634" t="s">
        <v>2157</v>
      </c>
      <c r="BG634" t="s">
        <v>98</v>
      </c>
      <c r="BH634" t="s">
        <v>98</v>
      </c>
      <c r="BI634" t="s">
        <v>98</v>
      </c>
      <c r="BK634" t="s">
        <v>110</v>
      </c>
      <c r="BL634" t="s">
        <v>7528</v>
      </c>
      <c r="BR634">
        <v>1</v>
      </c>
      <c r="BT634">
        <v>5</v>
      </c>
      <c r="CA634">
        <v>4516</v>
      </c>
      <c r="CB634" t="s">
        <v>2143</v>
      </c>
      <c r="CL634" t="s">
        <v>99</v>
      </c>
      <c r="CM634" t="s">
        <v>99</v>
      </c>
      <c r="CN634" t="s">
        <v>442</v>
      </c>
      <c r="CO634" s="1">
        <v>43010</v>
      </c>
      <c r="CP634" s="1">
        <v>43633</v>
      </c>
    </row>
    <row r="635" spans="1:94" x14ac:dyDescent="0.25">
      <c r="A635" t="s">
        <v>2158</v>
      </c>
      <c r="B635" t="str">
        <f xml:space="preserve"> "" &amp; 747396104539</f>
        <v>747396104539</v>
      </c>
      <c r="C635" t="s">
        <v>339</v>
      </c>
      <c r="D635" t="s">
        <v>6642</v>
      </c>
      <c r="E635" t="s">
        <v>2142</v>
      </c>
      <c r="F635" t="s">
        <v>240</v>
      </c>
      <c r="G635">
        <v>1</v>
      </c>
      <c r="H635">
        <v>1</v>
      </c>
      <c r="I635" t="s">
        <v>97</v>
      </c>
      <c r="J635" s="10">
        <v>219</v>
      </c>
      <c r="K635" s="10">
        <v>657</v>
      </c>
      <c r="L635" s="10">
        <v>0</v>
      </c>
      <c r="N635" s="10">
        <v>0</v>
      </c>
      <c r="O635" t="s">
        <v>99</v>
      </c>
      <c r="P635" s="10">
        <v>459.95</v>
      </c>
      <c r="S635">
        <v>23.25</v>
      </c>
      <c r="T635">
        <v>16.5</v>
      </c>
      <c r="U635">
        <v>16.5</v>
      </c>
      <c r="W635">
        <v>15.12</v>
      </c>
      <c r="X635">
        <v>1</v>
      </c>
      <c r="Y635">
        <v>26.5</v>
      </c>
      <c r="Z635">
        <v>18.75</v>
      </c>
      <c r="AA635">
        <v>18.75</v>
      </c>
      <c r="AB635">
        <v>5.391</v>
      </c>
      <c r="AC635">
        <v>23.15</v>
      </c>
      <c r="AE635">
        <v>4</v>
      </c>
      <c r="AF635" t="s">
        <v>2156</v>
      </c>
      <c r="AG635">
        <v>60</v>
      </c>
      <c r="AK635" t="s">
        <v>98</v>
      </c>
      <c r="AM635" t="s">
        <v>98</v>
      </c>
      <c r="AN635" t="s">
        <v>99</v>
      </c>
      <c r="AO635" t="s">
        <v>98</v>
      </c>
      <c r="AP635" t="s">
        <v>100</v>
      </c>
      <c r="AQ635" t="s">
        <v>101</v>
      </c>
      <c r="AV635" t="s">
        <v>98</v>
      </c>
      <c r="AX635" t="s">
        <v>2143</v>
      </c>
      <c r="AZ635" t="s">
        <v>102</v>
      </c>
      <c r="BB635" t="s">
        <v>235</v>
      </c>
      <c r="BC635" t="s">
        <v>708</v>
      </c>
      <c r="BD635" t="s">
        <v>7528</v>
      </c>
      <c r="BF635" t="s">
        <v>2159</v>
      </c>
      <c r="BG635" t="s">
        <v>98</v>
      </c>
      <c r="BH635" t="s">
        <v>98</v>
      </c>
      <c r="BI635" t="s">
        <v>98</v>
      </c>
      <c r="BK635" t="s">
        <v>110</v>
      </c>
      <c r="BL635" t="s">
        <v>7528</v>
      </c>
      <c r="BR635">
        <v>1</v>
      </c>
      <c r="BS635">
        <v>5</v>
      </c>
      <c r="BT635">
        <v>5</v>
      </c>
      <c r="CA635">
        <v>4517</v>
      </c>
      <c r="CB635" t="s">
        <v>2143</v>
      </c>
      <c r="CL635" t="s">
        <v>99</v>
      </c>
      <c r="CM635" t="s">
        <v>99</v>
      </c>
      <c r="CN635" t="s">
        <v>442</v>
      </c>
      <c r="CO635" s="1">
        <v>43010</v>
      </c>
      <c r="CP635" s="1">
        <v>43633</v>
      </c>
    </row>
    <row r="636" spans="1:94" x14ac:dyDescent="0.25">
      <c r="A636" t="s">
        <v>2160</v>
      </c>
      <c r="B636" t="str">
        <f xml:space="preserve"> "" &amp; 747396104546</f>
        <v>747396104546</v>
      </c>
      <c r="C636" t="s">
        <v>866</v>
      </c>
      <c r="D636" t="s">
        <v>6643</v>
      </c>
      <c r="E636" t="s">
        <v>2142</v>
      </c>
      <c r="F636" t="s">
        <v>240</v>
      </c>
      <c r="G636">
        <v>1</v>
      </c>
      <c r="H636">
        <v>1</v>
      </c>
      <c r="I636" t="s">
        <v>97</v>
      </c>
      <c r="J636" s="10">
        <v>359</v>
      </c>
      <c r="K636" s="10">
        <v>1077</v>
      </c>
      <c r="L636" s="10">
        <v>0</v>
      </c>
      <c r="N636" s="10">
        <v>0</v>
      </c>
      <c r="O636" t="s">
        <v>99</v>
      </c>
      <c r="P636" s="10">
        <v>749.95</v>
      </c>
      <c r="S636">
        <v>32</v>
      </c>
      <c r="T636">
        <v>18.25</v>
      </c>
      <c r="U636">
        <v>18.25</v>
      </c>
      <c r="W636">
        <v>23.15</v>
      </c>
      <c r="X636">
        <v>1</v>
      </c>
      <c r="Y636">
        <v>33.5</v>
      </c>
      <c r="Z636">
        <v>20.5</v>
      </c>
      <c r="AA636">
        <v>20.5</v>
      </c>
      <c r="AB636">
        <v>8.1470000000000002</v>
      </c>
      <c r="AC636">
        <v>15.1</v>
      </c>
      <c r="AE636">
        <v>8</v>
      </c>
      <c r="AF636" t="s">
        <v>696</v>
      </c>
      <c r="AG636">
        <v>60</v>
      </c>
      <c r="AK636" t="s">
        <v>98</v>
      </c>
      <c r="AM636" t="s">
        <v>98</v>
      </c>
      <c r="AN636" t="s">
        <v>99</v>
      </c>
      <c r="AO636" t="s">
        <v>98</v>
      </c>
      <c r="AP636" t="s">
        <v>100</v>
      </c>
      <c r="AQ636" t="s">
        <v>101</v>
      </c>
      <c r="AV636" t="s">
        <v>98</v>
      </c>
      <c r="AX636" t="s">
        <v>2143</v>
      </c>
      <c r="AZ636" t="s">
        <v>102</v>
      </c>
      <c r="BB636" t="s">
        <v>235</v>
      </c>
      <c r="BC636" t="s">
        <v>708</v>
      </c>
      <c r="BD636" t="s">
        <v>7528</v>
      </c>
      <c r="BF636" t="s">
        <v>2161</v>
      </c>
      <c r="BG636" t="s">
        <v>98</v>
      </c>
      <c r="BH636" t="s">
        <v>98</v>
      </c>
      <c r="BI636" t="s">
        <v>98</v>
      </c>
      <c r="BK636" t="s">
        <v>110</v>
      </c>
      <c r="BL636" t="s">
        <v>7528</v>
      </c>
      <c r="BR636">
        <v>1</v>
      </c>
      <c r="BS636">
        <v>5</v>
      </c>
      <c r="BT636">
        <v>5</v>
      </c>
      <c r="CA636">
        <v>4518</v>
      </c>
      <c r="CB636" t="s">
        <v>2143</v>
      </c>
      <c r="CL636" t="s">
        <v>99</v>
      </c>
      <c r="CM636" t="s">
        <v>98</v>
      </c>
      <c r="CN636" t="s">
        <v>442</v>
      </c>
      <c r="CO636" s="1">
        <v>43010</v>
      </c>
      <c r="CP636" s="1">
        <v>43633</v>
      </c>
    </row>
    <row r="637" spans="1:94" x14ac:dyDescent="0.25">
      <c r="A637" t="s">
        <v>2162</v>
      </c>
      <c r="B637" t="str">
        <f xml:space="preserve"> "" &amp; 747396107509</f>
        <v>747396107509</v>
      </c>
      <c r="C637" t="s">
        <v>464</v>
      </c>
      <c r="D637" t="s">
        <v>6644</v>
      </c>
      <c r="E637" t="s">
        <v>2142</v>
      </c>
      <c r="F637" t="s">
        <v>249</v>
      </c>
      <c r="G637">
        <v>1</v>
      </c>
      <c r="H637">
        <v>1</v>
      </c>
      <c r="I637" t="s">
        <v>97</v>
      </c>
      <c r="J637" s="10">
        <v>635</v>
      </c>
      <c r="K637" s="10">
        <v>1905</v>
      </c>
      <c r="L637" s="10">
        <v>0</v>
      </c>
      <c r="N637" s="10">
        <v>0</v>
      </c>
      <c r="O637" t="s">
        <v>99</v>
      </c>
      <c r="P637" s="10">
        <v>1334.95</v>
      </c>
      <c r="S637">
        <v>42</v>
      </c>
      <c r="U637">
        <v>24</v>
      </c>
      <c r="W637">
        <v>37.299999999999997</v>
      </c>
      <c r="X637">
        <v>1</v>
      </c>
      <c r="Y637">
        <v>26.5</v>
      </c>
      <c r="Z637">
        <v>44.75</v>
      </c>
      <c r="AA637">
        <v>26.5</v>
      </c>
      <c r="AB637">
        <v>18.186</v>
      </c>
      <c r="AC637">
        <v>51.35</v>
      </c>
      <c r="AE637">
        <v>12</v>
      </c>
      <c r="AF637" t="s">
        <v>696</v>
      </c>
      <c r="AG637">
        <v>60</v>
      </c>
      <c r="AK637" t="s">
        <v>98</v>
      </c>
      <c r="AM637" t="s">
        <v>98</v>
      </c>
      <c r="AN637" t="s">
        <v>99</v>
      </c>
      <c r="AO637" t="s">
        <v>98</v>
      </c>
      <c r="AP637" t="s">
        <v>100</v>
      </c>
      <c r="AQ637" t="s">
        <v>101</v>
      </c>
      <c r="AV637" t="s">
        <v>98</v>
      </c>
      <c r="AX637" t="s">
        <v>2143</v>
      </c>
      <c r="AZ637" t="s">
        <v>102</v>
      </c>
      <c r="BB637" t="s">
        <v>235</v>
      </c>
      <c r="BC637" t="s">
        <v>708</v>
      </c>
      <c r="BD637" t="s">
        <v>7528</v>
      </c>
      <c r="BF637" t="s">
        <v>2163</v>
      </c>
      <c r="BG637" t="s">
        <v>98</v>
      </c>
      <c r="BH637" t="s">
        <v>98</v>
      </c>
      <c r="BI637" t="s">
        <v>98</v>
      </c>
      <c r="BK637" t="s">
        <v>110</v>
      </c>
      <c r="BL637" t="s">
        <v>7528</v>
      </c>
      <c r="BR637">
        <v>1</v>
      </c>
      <c r="BS637">
        <v>5</v>
      </c>
      <c r="BT637">
        <v>5</v>
      </c>
      <c r="CA637">
        <v>4519</v>
      </c>
      <c r="CB637" t="s">
        <v>2143</v>
      </c>
      <c r="CL637" t="s">
        <v>99</v>
      </c>
      <c r="CM637" t="s">
        <v>98</v>
      </c>
      <c r="CN637" t="s">
        <v>442</v>
      </c>
      <c r="CO637" s="1">
        <v>43108</v>
      </c>
      <c r="CP637" s="1">
        <v>43633</v>
      </c>
    </row>
    <row r="638" spans="1:94" x14ac:dyDescent="0.25">
      <c r="A638" t="s">
        <v>2164</v>
      </c>
      <c r="B638" t="str">
        <f xml:space="preserve"> "" &amp; 747396088105</f>
        <v>747396088105</v>
      </c>
      <c r="C638" t="s">
        <v>751</v>
      </c>
      <c r="D638" t="s">
        <v>751</v>
      </c>
      <c r="E638" t="s">
        <v>7528</v>
      </c>
      <c r="F638" t="s">
        <v>323</v>
      </c>
      <c r="G638">
        <v>1</v>
      </c>
      <c r="H638">
        <v>1</v>
      </c>
      <c r="I638" t="s">
        <v>97</v>
      </c>
      <c r="J638" s="10">
        <v>44</v>
      </c>
      <c r="K638" s="10">
        <v>132</v>
      </c>
      <c r="L638" s="10">
        <v>0</v>
      </c>
      <c r="N638" s="10">
        <v>0</v>
      </c>
      <c r="O638" t="s">
        <v>99</v>
      </c>
      <c r="P638" s="10">
        <v>89.95</v>
      </c>
      <c r="S638">
        <v>5.75</v>
      </c>
      <c r="T638">
        <v>10.63</v>
      </c>
      <c r="U638">
        <v>4.5</v>
      </c>
      <c r="V638">
        <v>7.5</v>
      </c>
      <c r="W638">
        <v>2.34</v>
      </c>
      <c r="X638">
        <v>1</v>
      </c>
      <c r="Y638">
        <v>7.88</v>
      </c>
      <c r="Z638">
        <v>10.63</v>
      </c>
      <c r="AA638">
        <v>6.38</v>
      </c>
      <c r="AB638">
        <v>0.309</v>
      </c>
      <c r="AC638">
        <v>2.95</v>
      </c>
      <c r="AE638">
        <v>1</v>
      </c>
      <c r="AF638" t="s">
        <v>282</v>
      </c>
      <c r="AG638">
        <v>100</v>
      </c>
      <c r="AK638" t="s">
        <v>98</v>
      </c>
      <c r="AL638">
        <v>1</v>
      </c>
      <c r="AM638" t="s">
        <v>98</v>
      </c>
      <c r="AN638" t="s">
        <v>99</v>
      </c>
      <c r="AO638" t="s">
        <v>98</v>
      </c>
      <c r="AP638" t="s">
        <v>100</v>
      </c>
      <c r="AQ638" t="s">
        <v>101</v>
      </c>
      <c r="AV638" t="s">
        <v>98</v>
      </c>
      <c r="AX638" t="s">
        <v>2165</v>
      </c>
      <c r="AZ638" t="s">
        <v>124</v>
      </c>
      <c r="BB638" t="s">
        <v>235</v>
      </c>
      <c r="BC638" t="s">
        <v>561</v>
      </c>
      <c r="BD638" t="s">
        <v>7528</v>
      </c>
      <c r="BF638" t="s">
        <v>2166</v>
      </c>
      <c r="BG638" t="s">
        <v>98</v>
      </c>
      <c r="BH638" t="s">
        <v>98</v>
      </c>
      <c r="BI638" t="s">
        <v>98</v>
      </c>
      <c r="BK638" t="s">
        <v>127</v>
      </c>
      <c r="BL638" t="s">
        <v>756</v>
      </c>
      <c r="BR638">
        <v>7.25</v>
      </c>
      <c r="CA638">
        <v>4531</v>
      </c>
      <c r="CB638" t="s">
        <v>2165</v>
      </c>
      <c r="CL638" t="s">
        <v>99</v>
      </c>
      <c r="CM638" t="s">
        <v>98</v>
      </c>
      <c r="CN638" t="s">
        <v>442</v>
      </c>
      <c r="CO638" s="1">
        <v>41244</v>
      </c>
      <c r="CP638" s="1">
        <v>43633</v>
      </c>
    </row>
    <row r="639" spans="1:94" x14ac:dyDescent="0.25">
      <c r="A639" t="s">
        <v>2167</v>
      </c>
      <c r="B639" t="str">
        <f xml:space="preserve"> "" &amp; 747396088099</f>
        <v>747396088099</v>
      </c>
      <c r="C639" t="s">
        <v>751</v>
      </c>
      <c r="D639" t="s">
        <v>751</v>
      </c>
      <c r="E639" t="s">
        <v>7528</v>
      </c>
      <c r="F639" t="s">
        <v>323</v>
      </c>
      <c r="G639">
        <v>1</v>
      </c>
      <c r="H639">
        <v>1</v>
      </c>
      <c r="I639" t="s">
        <v>97</v>
      </c>
      <c r="J639" s="10">
        <v>44</v>
      </c>
      <c r="K639" s="10">
        <v>132</v>
      </c>
      <c r="L639" s="10">
        <v>0</v>
      </c>
      <c r="N639" s="10">
        <v>0</v>
      </c>
      <c r="O639" t="s">
        <v>99</v>
      </c>
      <c r="P639" s="10">
        <v>89.95</v>
      </c>
      <c r="S639">
        <v>7.5</v>
      </c>
      <c r="T639">
        <v>10.63</v>
      </c>
      <c r="U639">
        <v>4.5</v>
      </c>
      <c r="V639">
        <v>5.75</v>
      </c>
      <c r="W639">
        <v>2.34</v>
      </c>
      <c r="X639">
        <v>1</v>
      </c>
      <c r="Y639">
        <v>7.88</v>
      </c>
      <c r="Z639">
        <v>10.63</v>
      </c>
      <c r="AA639">
        <v>6.38</v>
      </c>
      <c r="AB639">
        <v>0.309</v>
      </c>
      <c r="AC639">
        <v>2.95</v>
      </c>
      <c r="AE639">
        <v>1</v>
      </c>
      <c r="AF639" t="s">
        <v>598</v>
      </c>
      <c r="AG639">
        <v>100</v>
      </c>
      <c r="AK639" t="s">
        <v>98</v>
      </c>
      <c r="AL639">
        <v>1</v>
      </c>
      <c r="AM639" t="s">
        <v>98</v>
      </c>
      <c r="AN639" t="s">
        <v>99</v>
      </c>
      <c r="AO639" t="s">
        <v>98</v>
      </c>
      <c r="AP639" t="s">
        <v>100</v>
      </c>
      <c r="AQ639" t="s">
        <v>101</v>
      </c>
      <c r="AV639" t="s">
        <v>98</v>
      </c>
      <c r="AX639" t="s">
        <v>484</v>
      </c>
      <c r="AZ639" t="s">
        <v>124</v>
      </c>
      <c r="BB639" t="s">
        <v>235</v>
      </c>
      <c r="BC639" t="s">
        <v>2168</v>
      </c>
      <c r="BD639" t="s">
        <v>7528</v>
      </c>
      <c r="BF639" t="s">
        <v>2169</v>
      </c>
      <c r="BG639" t="s">
        <v>98</v>
      </c>
      <c r="BH639" t="s">
        <v>98</v>
      </c>
      <c r="BI639" t="s">
        <v>98</v>
      </c>
      <c r="BK639" t="s">
        <v>127</v>
      </c>
      <c r="BL639" t="s">
        <v>756</v>
      </c>
      <c r="BR639">
        <v>7.25</v>
      </c>
      <c r="CA639">
        <v>4561</v>
      </c>
      <c r="CB639" t="s">
        <v>484</v>
      </c>
      <c r="CL639" t="s">
        <v>99</v>
      </c>
      <c r="CM639" t="s">
        <v>98</v>
      </c>
      <c r="CN639" t="s">
        <v>442</v>
      </c>
      <c r="CO639" s="1">
        <v>41244</v>
      </c>
      <c r="CP639" s="1">
        <v>43633</v>
      </c>
    </row>
    <row r="640" spans="1:94" x14ac:dyDescent="0.25">
      <c r="A640" t="s">
        <v>2170</v>
      </c>
      <c r="B640" t="str">
        <f xml:space="preserve"> "" &amp; 747396088129</f>
        <v>747396088129</v>
      </c>
      <c r="C640" t="s">
        <v>758</v>
      </c>
      <c r="D640" t="s">
        <v>758</v>
      </c>
      <c r="E640" t="s">
        <v>7528</v>
      </c>
      <c r="F640" t="s">
        <v>323</v>
      </c>
      <c r="G640">
        <v>1</v>
      </c>
      <c r="H640">
        <v>1</v>
      </c>
      <c r="I640" t="s">
        <v>97</v>
      </c>
      <c r="J640" s="10">
        <v>69</v>
      </c>
      <c r="K640" s="10">
        <v>207</v>
      </c>
      <c r="L640" s="10">
        <v>0</v>
      </c>
      <c r="N640" s="10">
        <v>0</v>
      </c>
      <c r="O640" t="s">
        <v>99</v>
      </c>
      <c r="P640" s="10">
        <v>139.94999999999999</v>
      </c>
      <c r="S640">
        <v>7.25</v>
      </c>
      <c r="T640">
        <v>13.38</v>
      </c>
      <c r="U640">
        <v>13.5</v>
      </c>
      <c r="V640">
        <v>6.75</v>
      </c>
      <c r="W640">
        <v>4.9400000000000004</v>
      </c>
      <c r="X640">
        <v>1</v>
      </c>
      <c r="Y640">
        <v>11.13</v>
      </c>
      <c r="Z640">
        <v>13.38</v>
      </c>
      <c r="AA640">
        <v>8.1300000000000008</v>
      </c>
      <c r="AB640">
        <v>0.70099999999999996</v>
      </c>
      <c r="AC640">
        <v>6.61</v>
      </c>
      <c r="AE640">
        <v>2</v>
      </c>
      <c r="AF640" t="s">
        <v>598</v>
      </c>
      <c r="AG640">
        <v>100</v>
      </c>
      <c r="AK640" t="s">
        <v>98</v>
      </c>
      <c r="AL640">
        <v>2</v>
      </c>
      <c r="AM640" t="s">
        <v>98</v>
      </c>
      <c r="AN640" t="s">
        <v>99</v>
      </c>
      <c r="AO640" t="s">
        <v>98</v>
      </c>
      <c r="AP640" t="s">
        <v>100</v>
      </c>
      <c r="AQ640" t="s">
        <v>101</v>
      </c>
      <c r="AV640" t="s">
        <v>98</v>
      </c>
      <c r="AX640" t="s">
        <v>2165</v>
      </c>
      <c r="AZ640" t="s">
        <v>124</v>
      </c>
      <c r="BB640" t="s">
        <v>235</v>
      </c>
      <c r="BC640" t="s">
        <v>561</v>
      </c>
      <c r="BD640" t="s">
        <v>7528</v>
      </c>
      <c r="BF640" t="s">
        <v>2171</v>
      </c>
      <c r="BG640" t="s">
        <v>98</v>
      </c>
      <c r="BH640" t="s">
        <v>98</v>
      </c>
      <c r="BI640" t="s">
        <v>98</v>
      </c>
      <c r="BK640" t="s">
        <v>127</v>
      </c>
      <c r="BL640" t="s">
        <v>756</v>
      </c>
      <c r="BT640">
        <v>7.25</v>
      </c>
      <c r="CA640">
        <v>4532</v>
      </c>
      <c r="CB640" t="s">
        <v>2165</v>
      </c>
      <c r="CL640" t="s">
        <v>99</v>
      </c>
      <c r="CM640" t="s">
        <v>98</v>
      </c>
      <c r="CN640" t="s">
        <v>442</v>
      </c>
      <c r="CO640" s="1">
        <v>41244</v>
      </c>
      <c r="CP640" s="1">
        <v>43633</v>
      </c>
    </row>
    <row r="641" spans="1:94" x14ac:dyDescent="0.25">
      <c r="A641" t="s">
        <v>2172</v>
      </c>
      <c r="B641" t="str">
        <f xml:space="preserve"> "" &amp; 747396088112</f>
        <v>747396088112</v>
      </c>
      <c r="C641" t="s">
        <v>758</v>
      </c>
      <c r="D641" t="s">
        <v>758</v>
      </c>
      <c r="E641" t="s">
        <v>7528</v>
      </c>
      <c r="F641" t="s">
        <v>323</v>
      </c>
      <c r="G641">
        <v>1</v>
      </c>
      <c r="H641">
        <v>1</v>
      </c>
      <c r="I641" t="s">
        <v>97</v>
      </c>
      <c r="J641" s="10">
        <v>69</v>
      </c>
      <c r="K641" s="10">
        <v>207</v>
      </c>
      <c r="L641" s="10">
        <v>0</v>
      </c>
      <c r="N641" s="10">
        <v>0</v>
      </c>
      <c r="O641" t="s">
        <v>99</v>
      </c>
      <c r="P641" s="10">
        <v>139.94999999999999</v>
      </c>
      <c r="S641">
        <v>7.25</v>
      </c>
      <c r="T641">
        <v>13.38</v>
      </c>
      <c r="U641">
        <v>13.5</v>
      </c>
      <c r="V641">
        <v>6.75</v>
      </c>
      <c r="W641">
        <v>4.9400000000000004</v>
      </c>
      <c r="X641">
        <v>1</v>
      </c>
      <c r="Y641">
        <v>11.13</v>
      </c>
      <c r="Z641">
        <v>13.38</v>
      </c>
      <c r="AA641">
        <v>8.1300000000000008</v>
      </c>
      <c r="AB641">
        <v>0.70099999999999996</v>
      </c>
      <c r="AC641">
        <v>6.61</v>
      </c>
      <c r="AE641">
        <v>2</v>
      </c>
      <c r="AF641" t="s">
        <v>598</v>
      </c>
      <c r="AG641">
        <v>100</v>
      </c>
      <c r="AK641" t="s">
        <v>98</v>
      </c>
      <c r="AL641">
        <v>2</v>
      </c>
      <c r="AM641" t="s">
        <v>98</v>
      </c>
      <c r="AN641" t="s">
        <v>99</v>
      </c>
      <c r="AO641" t="s">
        <v>98</v>
      </c>
      <c r="AP641" t="s">
        <v>100</v>
      </c>
      <c r="AQ641" t="s">
        <v>101</v>
      </c>
      <c r="AV641" t="s">
        <v>98</v>
      </c>
      <c r="AX641" t="s">
        <v>484</v>
      </c>
      <c r="AZ641" t="s">
        <v>124</v>
      </c>
      <c r="BB641" t="s">
        <v>235</v>
      </c>
      <c r="BC641" t="s">
        <v>2173</v>
      </c>
      <c r="BD641" t="s">
        <v>7528</v>
      </c>
      <c r="BF641" t="s">
        <v>2174</v>
      </c>
      <c r="BG641" t="s">
        <v>98</v>
      </c>
      <c r="BH641" t="s">
        <v>98</v>
      </c>
      <c r="BI641" t="s">
        <v>98</v>
      </c>
      <c r="BK641" t="s">
        <v>127</v>
      </c>
      <c r="BL641" t="s">
        <v>756</v>
      </c>
      <c r="BT641">
        <v>7.25</v>
      </c>
      <c r="CA641">
        <v>4532</v>
      </c>
      <c r="CB641" t="s">
        <v>484</v>
      </c>
      <c r="CL641" t="s">
        <v>99</v>
      </c>
      <c r="CM641" t="s">
        <v>98</v>
      </c>
      <c r="CN641" t="s">
        <v>442</v>
      </c>
      <c r="CO641" s="1">
        <v>41244</v>
      </c>
      <c r="CP641" s="1">
        <v>43633</v>
      </c>
    </row>
    <row r="642" spans="1:94" x14ac:dyDescent="0.25">
      <c r="A642" t="s">
        <v>2175</v>
      </c>
      <c r="B642" t="str">
        <f xml:space="preserve"> "" &amp; 747396088143</f>
        <v>747396088143</v>
      </c>
      <c r="C642" t="s">
        <v>762</v>
      </c>
      <c r="D642" t="s">
        <v>762</v>
      </c>
      <c r="E642" t="s">
        <v>7528</v>
      </c>
      <c r="F642" t="s">
        <v>323</v>
      </c>
      <c r="G642">
        <v>1</v>
      </c>
      <c r="H642">
        <v>1</v>
      </c>
      <c r="I642" t="s">
        <v>97</v>
      </c>
      <c r="J642" s="10">
        <v>94</v>
      </c>
      <c r="K642" s="10">
        <v>282</v>
      </c>
      <c r="L642" s="10">
        <v>0</v>
      </c>
      <c r="N642" s="10">
        <v>0</v>
      </c>
      <c r="O642" t="s">
        <v>99</v>
      </c>
      <c r="P642" s="10">
        <v>189.95</v>
      </c>
      <c r="S642">
        <v>7.25</v>
      </c>
      <c r="U642">
        <v>23.5</v>
      </c>
      <c r="V642">
        <v>6.75</v>
      </c>
      <c r="W642">
        <v>6.68</v>
      </c>
      <c r="X642">
        <v>1</v>
      </c>
      <c r="Y642">
        <v>11.13</v>
      </c>
      <c r="Z642">
        <v>23.25</v>
      </c>
      <c r="AA642">
        <v>8.1300000000000008</v>
      </c>
      <c r="AB642">
        <v>1.2170000000000001</v>
      </c>
      <c r="AC642">
        <v>9.17</v>
      </c>
      <c r="AE642">
        <v>3</v>
      </c>
      <c r="AF642" t="s">
        <v>598</v>
      </c>
      <c r="AG642">
        <v>100</v>
      </c>
      <c r="AK642" t="s">
        <v>98</v>
      </c>
      <c r="AL642">
        <v>3</v>
      </c>
      <c r="AM642" t="s">
        <v>98</v>
      </c>
      <c r="AN642" t="s">
        <v>99</v>
      </c>
      <c r="AO642" t="s">
        <v>98</v>
      </c>
      <c r="AP642" t="s">
        <v>100</v>
      </c>
      <c r="AQ642" t="s">
        <v>101</v>
      </c>
      <c r="AV642" t="s">
        <v>98</v>
      </c>
      <c r="AX642" t="s">
        <v>2165</v>
      </c>
      <c r="AZ642" t="s">
        <v>124</v>
      </c>
      <c r="BB642" t="s">
        <v>235</v>
      </c>
      <c r="BC642" t="s">
        <v>561</v>
      </c>
      <c r="BD642" t="s">
        <v>7528</v>
      </c>
      <c r="BF642" t="s">
        <v>2176</v>
      </c>
      <c r="BG642" t="s">
        <v>98</v>
      </c>
      <c r="BH642" t="s">
        <v>98</v>
      </c>
      <c r="BI642" t="s">
        <v>98</v>
      </c>
      <c r="BK642" t="s">
        <v>127</v>
      </c>
      <c r="BL642" t="s">
        <v>756</v>
      </c>
      <c r="BT642">
        <v>7.25</v>
      </c>
      <c r="CA642">
        <v>4533</v>
      </c>
      <c r="CB642" t="s">
        <v>2165</v>
      </c>
      <c r="CL642" t="s">
        <v>99</v>
      </c>
      <c r="CM642" t="s">
        <v>98</v>
      </c>
      <c r="CN642" t="s">
        <v>442</v>
      </c>
      <c r="CO642" s="1">
        <v>41244</v>
      </c>
      <c r="CP642" s="1">
        <v>43633</v>
      </c>
    </row>
    <row r="643" spans="1:94" x14ac:dyDescent="0.25">
      <c r="A643" t="s">
        <v>2177</v>
      </c>
      <c r="B643" t="str">
        <f xml:space="preserve"> "" &amp; 747396088136</f>
        <v>747396088136</v>
      </c>
      <c r="C643" t="s">
        <v>762</v>
      </c>
      <c r="D643" t="s">
        <v>762</v>
      </c>
      <c r="E643" t="s">
        <v>7528</v>
      </c>
      <c r="F643" t="s">
        <v>323</v>
      </c>
      <c r="G643">
        <v>1</v>
      </c>
      <c r="H643">
        <v>1</v>
      </c>
      <c r="I643" t="s">
        <v>97</v>
      </c>
      <c r="J643" s="10">
        <v>94</v>
      </c>
      <c r="K643" s="10">
        <v>282</v>
      </c>
      <c r="L643" s="10">
        <v>0</v>
      </c>
      <c r="N643" s="10">
        <v>0</v>
      </c>
      <c r="O643" t="s">
        <v>99</v>
      </c>
      <c r="P643" s="10">
        <v>189.95</v>
      </c>
      <c r="S643">
        <v>7.25</v>
      </c>
      <c r="U643">
        <v>23.5</v>
      </c>
      <c r="V643">
        <v>6.75</v>
      </c>
      <c r="W643">
        <v>6.68</v>
      </c>
      <c r="X643">
        <v>1</v>
      </c>
      <c r="Y643">
        <v>11.13</v>
      </c>
      <c r="Z643">
        <v>23.25</v>
      </c>
      <c r="AA643">
        <v>8.1300000000000008</v>
      </c>
      <c r="AB643">
        <v>1.2170000000000001</v>
      </c>
      <c r="AC643">
        <v>9.17</v>
      </c>
      <c r="AE643">
        <v>3</v>
      </c>
      <c r="AF643" t="s">
        <v>598</v>
      </c>
      <c r="AG643">
        <v>100</v>
      </c>
      <c r="AK643" t="s">
        <v>98</v>
      </c>
      <c r="AL643">
        <v>3</v>
      </c>
      <c r="AM643" t="s">
        <v>98</v>
      </c>
      <c r="AN643" t="s">
        <v>99</v>
      </c>
      <c r="AO643" t="s">
        <v>98</v>
      </c>
      <c r="AP643" t="s">
        <v>100</v>
      </c>
      <c r="AQ643" t="s">
        <v>101</v>
      </c>
      <c r="AV643" t="s">
        <v>98</v>
      </c>
      <c r="AX643" t="s">
        <v>484</v>
      </c>
      <c r="AZ643" t="s">
        <v>124</v>
      </c>
      <c r="BB643" t="s">
        <v>235</v>
      </c>
      <c r="BC643" t="s">
        <v>2178</v>
      </c>
      <c r="BD643" t="s">
        <v>7528</v>
      </c>
      <c r="BF643" t="s">
        <v>2179</v>
      </c>
      <c r="BG643" t="s">
        <v>98</v>
      </c>
      <c r="BH643" t="s">
        <v>98</v>
      </c>
      <c r="BI643" t="s">
        <v>98</v>
      </c>
      <c r="BK643" t="s">
        <v>127</v>
      </c>
      <c r="BL643" t="s">
        <v>756</v>
      </c>
      <c r="BT643">
        <v>7.25</v>
      </c>
      <c r="CA643">
        <v>4533</v>
      </c>
      <c r="CB643" t="s">
        <v>484</v>
      </c>
      <c r="CL643" t="s">
        <v>99</v>
      </c>
      <c r="CM643" t="s">
        <v>98</v>
      </c>
      <c r="CN643" t="s">
        <v>442</v>
      </c>
      <c r="CO643" s="1">
        <v>41244</v>
      </c>
      <c r="CP643" s="1">
        <v>43633</v>
      </c>
    </row>
    <row r="644" spans="1:94" x14ac:dyDescent="0.25">
      <c r="A644" t="s">
        <v>2180</v>
      </c>
      <c r="B644" t="str">
        <f xml:space="preserve"> "" &amp; 747396088167</f>
        <v>747396088167</v>
      </c>
      <c r="C644" t="s">
        <v>766</v>
      </c>
      <c r="D644" t="s">
        <v>766</v>
      </c>
      <c r="E644" t="s">
        <v>7528</v>
      </c>
      <c r="F644" t="s">
        <v>323</v>
      </c>
      <c r="G644">
        <v>1</v>
      </c>
      <c r="H644">
        <v>1</v>
      </c>
      <c r="I644" t="s">
        <v>97</v>
      </c>
      <c r="J644" s="10">
        <v>119</v>
      </c>
      <c r="K644" s="10">
        <v>357</v>
      </c>
      <c r="L644" s="10">
        <v>0</v>
      </c>
      <c r="N644" s="10">
        <v>0</v>
      </c>
      <c r="O644" t="s">
        <v>99</v>
      </c>
      <c r="P644" s="10">
        <v>239.95</v>
      </c>
      <c r="S644">
        <v>7.25</v>
      </c>
      <c r="U644">
        <v>31.75</v>
      </c>
      <c r="V644">
        <v>6.75</v>
      </c>
      <c r="W644">
        <v>8.6199999999999992</v>
      </c>
      <c r="Y644">
        <v>11.13</v>
      </c>
      <c r="Z644">
        <v>31.5</v>
      </c>
      <c r="AA644">
        <v>8.1300000000000008</v>
      </c>
      <c r="AB644">
        <v>1.65</v>
      </c>
      <c r="AC644">
        <v>12.1</v>
      </c>
      <c r="AE644">
        <v>4</v>
      </c>
      <c r="AF644" t="s">
        <v>282</v>
      </c>
      <c r="AG644">
        <v>100</v>
      </c>
      <c r="AK644" t="s">
        <v>98</v>
      </c>
      <c r="AL644">
        <v>4</v>
      </c>
      <c r="AM644" t="s">
        <v>98</v>
      </c>
      <c r="AN644" t="s">
        <v>99</v>
      </c>
      <c r="AO644" t="s">
        <v>98</v>
      </c>
      <c r="AP644" t="s">
        <v>100</v>
      </c>
      <c r="AQ644" t="s">
        <v>101</v>
      </c>
      <c r="AV644" t="s">
        <v>98</v>
      </c>
      <c r="AX644" t="s">
        <v>2165</v>
      </c>
      <c r="AZ644" t="s">
        <v>124</v>
      </c>
      <c r="BB644" t="s">
        <v>235</v>
      </c>
      <c r="BC644" t="s">
        <v>561</v>
      </c>
      <c r="BD644" t="s">
        <v>7528</v>
      </c>
      <c r="BF644" t="s">
        <v>2181</v>
      </c>
      <c r="BG644" t="s">
        <v>98</v>
      </c>
      <c r="BH644" t="s">
        <v>98</v>
      </c>
      <c r="BI644" t="s">
        <v>98</v>
      </c>
      <c r="BK644" t="s">
        <v>127</v>
      </c>
      <c r="BL644" t="s">
        <v>756</v>
      </c>
      <c r="BR644">
        <v>4.75</v>
      </c>
      <c r="BT644">
        <v>7.25</v>
      </c>
      <c r="CA644">
        <v>4534</v>
      </c>
      <c r="CB644" t="s">
        <v>2165</v>
      </c>
      <c r="CL644" t="s">
        <v>99</v>
      </c>
      <c r="CM644" t="s">
        <v>98</v>
      </c>
      <c r="CN644" t="s">
        <v>442</v>
      </c>
      <c r="CO644" s="1">
        <v>41565</v>
      </c>
      <c r="CP644" s="1">
        <v>43633</v>
      </c>
    </row>
    <row r="645" spans="1:94" x14ac:dyDescent="0.25">
      <c r="A645" t="s">
        <v>2182</v>
      </c>
      <c r="B645" t="str">
        <f xml:space="preserve"> "" &amp; 747396088150</f>
        <v>747396088150</v>
      </c>
      <c r="C645" t="s">
        <v>766</v>
      </c>
      <c r="D645" t="s">
        <v>766</v>
      </c>
      <c r="E645" t="s">
        <v>7528</v>
      </c>
      <c r="F645" t="s">
        <v>323</v>
      </c>
      <c r="G645">
        <v>1</v>
      </c>
      <c r="H645">
        <v>1</v>
      </c>
      <c r="I645" t="s">
        <v>97</v>
      </c>
      <c r="J645" s="10">
        <v>119</v>
      </c>
      <c r="K645" s="10">
        <v>357</v>
      </c>
      <c r="L645" s="10">
        <v>0</v>
      </c>
      <c r="N645" s="10">
        <v>0</v>
      </c>
      <c r="O645" t="s">
        <v>99</v>
      </c>
      <c r="P645" s="10">
        <v>239.95</v>
      </c>
      <c r="S645">
        <v>7.25</v>
      </c>
      <c r="U645">
        <v>31.75</v>
      </c>
      <c r="V645">
        <v>6.75</v>
      </c>
      <c r="W645">
        <v>8.6199999999999992</v>
      </c>
      <c r="Y645">
        <v>11.13</v>
      </c>
      <c r="Z645">
        <v>31.5</v>
      </c>
      <c r="AA645">
        <v>8.1300000000000008</v>
      </c>
      <c r="AB645">
        <v>1.65</v>
      </c>
      <c r="AC645">
        <v>12.1</v>
      </c>
      <c r="AE645">
        <v>4</v>
      </c>
      <c r="AF645" t="s">
        <v>598</v>
      </c>
      <c r="AG645">
        <v>100</v>
      </c>
      <c r="AK645" t="s">
        <v>98</v>
      </c>
      <c r="AL645">
        <v>4</v>
      </c>
      <c r="AM645" t="s">
        <v>98</v>
      </c>
      <c r="AN645" t="s">
        <v>99</v>
      </c>
      <c r="AO645" t="s">
        <v>98</v>
      </c>
      <c r="AP645" t="s">
        <v>100</v>
      </c>
      <c r="AQ645" t="s">
        <v>101</v>
      </c>
      <c r="AV645" t="s">
        <v>98</v>
      </c>
      <c r="AX645" t="s">
        <v>484</v>
      </c>
      <c r="AZ645" t="s">
        <v>124</v>
      </c>
      <c r="BB645" t="s">
        <v>235</v>
      </c>
      <c r="BC645" t="s">
        <v>2183</v>
      </c>
      <c r="BD645" t="s">
        <v>7528</v>
      </c>
      <c r="BF645" t="s">
        <v>2184</v>
      </c>
      <c r="BG645" t="s">
        <v>98</v>
      </c>
      <c r="BH645" t="s">
        <v>98</v>
      </c>
      <c r="BI645" t="s">
        <v>98</v>
      </c>
      <c r="BK645" t="s">
        <v>127</v>
      </c>
      <c r="BL645" t="s">
        <v>756</v>
      </c>
      <c r="BR645">
        <v>4.75</v>
      </c>
      <c r="BT645">
        <v>7.25</v>
      </c>
      <c r="CA645">
        <v>4534</v>
      </c>
      <c r="CB645" t="s">
        <v>484</v>
      </c>
      <c r="CL645" t="s">
        <v>99</v>
      </c>
      <c r="CM645" t="s">
        <v>98</v>
      </c>
      <c r="CN645" t="s">
        <v>442</v>
      </c>
      <c r="CO645" s="1">
        <v>41244</v>
      </c>
      <c r="CP645" s="1">
        <v>43633</v>
      </c>
    </row>
    <row r="646" spans="1:94" x14ac:dyDescent="0.25">
      <c r="A646" t="s">
        <v>2185</v>
      </c>
      <c r="B646" t="str">
        <f xml:space="preserve"> "" &amp; 747396099521</f>
        <v>747396099521</v>
      </c>
      <c r="C646" t="s">
        <v>6545</v>
      </c>
      <c r="D646" t="s">
        <v>2186</v>
      </c>
      <c r="E646" t="s">
        <v>1585</v>
      </c>
      <c r="F646" t="s">
        <v>377</v>
      </c>
      <c r="G646">
        <v>1</v>
      </c>
      <c r="H646">
        <v>1</v>
      </c>
      <c r="I646" t="s">
        <v>97</v>
      </c>
      <c r="J646" s="10">
        <v>117</v>
      </c>
      <c r="K646" s="10">
        <v>351</v>
      </c>
      <c r="L646" s="10">
        <v>0</v>
      </c>
      <c r="N646" s="10">
        <v>0</v>
      </c>
      <c r="O646" t="s">
        <v>99</v>
      </c>
      <c r="P646" s="10">
        <v>244.95</v>
      </c>
      <c r="S646">
        <v>14</v>
      </c>
      <c r="T646">
        <v>16</v>
      </c>
      <c r="U646">
        <v>16</v>
      </c>
      <c r="W646">
        <v>7.5</v>
      </c>
      <c r="X646">
        <v>1</v>
      </c>
      <c r="Y646">
        <v>9</v>
      </c>
      <c r="Z646">
        <v>17</v>
      </c>
      <c r="AA646">
        <v>17</v>
      </c>
      <c r="AB646">
        <v>1.5049999999999999</v>
      </c>
      <c r="AC646">
        <v>10.45</v>
      </c>
      <c r="AE646">
        <v>3</v>
      </c>
      <c r="AF646" t="s">
        <v>1586</v>
      </c>
      <c r="AG646">
        <v>60</v>
      </c>
      <c r="AK646" t="s">
        <v>98</v>
      </c>
      <c r="AM646" t="s">
        <v>98</v>
      </c>
      <c r="AN646" t="s">
        <v>99</v>
      </c>
      <c r="AO646" t="s">
        <v>98</v>
      </c>
      <c r="AP646" t="s">
        <v>100</v>
      </c>
      <c r="AQ646" t="s">
        <v>101</v>
      </c>
      <c r="AV646" t="s">
        <v>98</v>
      </c>
      <c r="AX646" t="s">
        <v>1587</v>
      </c>
      <c r="AZ646" t="s">
        <v>102</v>
      </c>
      <c r="BB646" t="s">
        <v>235</v>
      </c>
      <c r="BC646" t="s">
        <v>746</v>
      </c>
      <c r="BD646" t="s">
        <v>7528</v>
      </c>
      <c r="BF646" t="s">
        <v>2187</v>
      </c>
      <c r="BG646" t="s">
        <v>98</v>
      </c>
      <c r="BH646" t="s">
        <v>98</v>
      </c>
      <c r="BI646" t="s">
        <v>98</v>
      </c>
      <c r="BK646" t="s">
        <v>127</v>
      </c>
      <c r="BL646" t="s">
        <v>7528</v>
      </c>
      <c r="BR646">
        <v>1</v>
      </c>
      <c r="BS646">
        <v>4.75</v>
      </c>
      <c r="BT646">
        <v>4.75</v>
      </c>
      <c r="CA646">
        <v>4553</v>
      </c>
      <c r="CB646" t="s">
        <v>1587</v>
      </c>
      <c r="CL646" t="s">
        <v>99</v>
      </c>
      <c r="CM646" t="s">
        <v>99</v>
      </c>
      <c r="CN646" t="s">
        <v>442</v>
      </c>
      <c r="CO646" s="1">
        <v>42576</v>
      </c>
      <c r="CP646" s="1">
        <v>43633</v>
      </c>
    </row>
    <row r="647" spans="1:94" x14ac:dyDescent="0.25">
      <c r="A647" t="s">
        <v>2188</v>
      </c>
      <c r="B647" t="str">
        <f xml:space="preserve"> "" &amp; 747396099538</f>
        <v>747396099538</v>
      </c>
      <c r="C647" t="s">
        <v>343</v>
      </c>
      <c r="D647" t="s">
        <v>2189</v>
      </c>
      <c r="E647" t="s">
        <v>1585</v>
      </c>
      <c r="F647" t="s">
        <v>249</v>
      </c>
      <c r="G647">
        <v>1</v>
      </c>
      <c r="H647">
        <v>1</v>
      </c>
      <c r="I647" t="s">
        <v>97</v>
      </c>
      <c r="J647" s="10">
        <v>152</v>
      </c>
      <c r="K647" s="10">
        <v>456</v>
      </c>
      <c r="L647" s="10">
        <v>0</v>
      </c>
      <c r="N647" s="10">
        <v>0</v>
      </c>
      <c r="O647" t="s">
        <v>99</v>
      </c>
      <c r="P647" s="10">
        <v>319.95</v>
      </c>
      <c r="S647">
        <v>26</v>
      </c>
      <c r="T647">
        <v>24</v>
      </c>
      <c r="U647">
        <v>24</v>
      </c>
      <c r="W647">
        <v>11.09</v>
      </c>
      <c r="X647">
        <v>1</v>
      </c>
      <c r="Y647">
        <v>9</v>
      </c>
      <c r="Z647">
        <v>24</v>
      </c>
      <c r="AA647">
        <v>24</v>
      </c>
      <c r="AB647">
        <v>3</v>
      </c>
      <c r="AC647">
        <v>16.93</v>
      </c>
      <c r="AE647">
        <v>5</v>
      </c>
      <c r="AF647" t="s">
        <v>1586</v>
      </c>
      <c r="AG647">
        <v>60</v>
      </c>
      <c r="AK647" t="s">
        <v>98</v>
      </c>
      <c r="AM647" t="s">
        <v>98</v>
      </c>
      <c r="AN647" t="s">
        <v>99</v>
      </c>
      <c r="AO647" t="s">
        <v>98</v>
      </c>
      <c r="AP647" t="s">
        <v>100</v>
      </c>
      <c r="AQ647" t="s">
        <v>101</v>
      </c>
      <c r="AV647" t="s">
        <v>98</v>
      </c>
      <c r="AX647" t="s">
        <v>1587</v>
      </c>
      <c r="AZ647" t="s">
        <v>102</v>
      </c>
      <c r="BB647" t="s">
        <v>235</v>
      </c>
      <c r="BC647" t="s">
        <v>746</v>
      </c>
      <c r="BD647" t="s">
        <v>7528</v>
      </c>
      <c r="BF647" t="s">
        <v>2190</v>
      </c>
      <c r="BG647" t="s">
        <v>98</v>
      </c>
      <c r="BH647" t="s">
        <v>98</v>
      </c>
      <c r="BI647" t="s">
        <v>98</v>
      </c>
      <c r="BK647" t="s">
        <v>110</v>
      </c>
      <c r="BL647" t="s">
        <v>7528</v>
      </c>
      <c r="BR647">
        <v>1</v>
      </c>
      <c r="BS647">
        <v>4.75</v>
      </c>
      <c r="BT647">
        <v>4.75</v>
      </c>
      <c r="CA647">
        <v>4555</v>
      </c>
      <c r="CB647" t="s">
        <v>1587</v>
      </c>
      <c r="CL647" t="s">
        <v>99</v>
      </c>
      <c r="CM647" t="s">
        <v>99</v>
      </c>
      <c r="CN647" t="s">
        <v>442</v>
      </c>
      <c r="CO647" s="1">
        <v>42576</v>
      </c>
      <c r="CP647" s="1">
        <v>43633</v>
      </c>
    </row>
    <row r="648" spans="1:94" x14ac:dyDescent="0.25">
      <c r="A648" t="s">
        <v>2191</v>
      </c>
      <c r="B648" t="str">
        <f xml:space="preserve"> "" &amp; 747396099545</f>
        <v>747396099545</v>
      </c>
      <c r="C648" t="s">
        <v>879</v>
      </c>
      <c r="D648" t="s">
        <v>2192</v>
      </c>
      <c r="E648" t="s">
        <v>1585</v>
      </c>
      <c r="F648" t="s">
        <v>314</v>
      </c>
      <c r="G648">
        <v>1</v>
      </c>
      <c r="H648">
        <v>1</v>
      </c>
      <c r="I648" t="s">
        <v>97</v>
      </c>
      <c r="J648" s="10">
        <v>172</v>
      </c>
      <c r="K648" s="10">
        <v>516</v>
      </c>
      <c r="L648" s="10">
        <v>0</v>
      </c>
      <c r="N648" s="10">
        <v>0</v>
      </c>
      <c r="O648" t="s">
        <v>99</v>
      </c>
      <c r="P648" s="10">
        <v>359.95</v>
      </c>
      <c r="S648">
        <v>9.75</v>
      </c>
      <c r="T648">
        <v>38</v>
      </c>
      <c r="U648">
        <v>5</v>
      </c>
      <c r="W648">
        <v>9.6300000000000008</v>
      </c>
      <c r="X648">
        <v>1</v>
      </c>
      <c r="Y648">
        <v>9.8800000000000008</v>
      </c>
      <c r="Z648">
        <v>39.380000000000003</v>
      </c>
      <c r="AA648">
        <v>10.63</v>
      </c>
      <c r="AB648">
        <v>2.3929999999999998</v>
      </c>
      <c r="AC648">
        <v>13.93</v>
      </c>
      <c r="AE648">
        <v>5</v>
      </c>
      <c r="AF648" t="s">
        <v>1586</v>
      </c>
      <c r="AG648">
        <v>60</v>
      </c>
      <c r="AK648" t="s">
        <v>98</v>
      </c>
      <c r="AM648" t="s">
        <v>98</v>
      </c>
      <c r="AN648" t="s">
        <v>99</v>
      </c>
      <c r="AO648" t="s">
        <v>98</v>
      </c>
      <c r="AP648" t="s">
        <v>100</v>
      </c>
      <c r="AQ648" t="s">
        <v>101</v>
      </c>
      <c r="AV648" t="s">
        <v>98</v>
      </c>
      <c r="AX648" t="s">
        <v>1587</v>
      </c>
      <c r="AZ648" t="s">
        <v>102</v>
      </c>
      <c r="BB648" t="s">
        <v>235</v>
      </c>
      <c r="BC648" t="s">
        <v>746</v>
      </c>
      <c r="BD648" t="s">
        <v>7528</v>
      </c>
      <c r="BF648" t="s">
        <v>2193</v>
      </c>
      <c r="BG648" t="s">
        <v>98</v>
      </c>
      <c r="BH648" t="s">
        <v>98</v>
      </c>
      <c r="BI648" t="s">
        <v>98</v>
      </c>
      <c r="BK648" t="s">
        <v>110</v>
      </c>
      <c r="BL648" t="s">
        <v>7528</v>
      </c>
      <c r="BR648">
        <v>1</v>
      </c>
      <c r="BS648">
        <v>8.8800000000000008</v>
      </c>
      <c r="BT648">
        <v>8.8800000000000008</v>
      </c>
      <c r="CA648">
        <v>4556</v>
      </c>
      <c r="CB648" t="s">
        <v>1587</v>
      </c>
      <c r="CL648" t="s">
        <v>99</v>
      </c>
      <c r="CM648" t="s">
        <v>99</v>
      </c>
      <c r="CN648" t="s">
        <v>442</v>
      </c>
      <c r="CO648" s="1">
        <v>42576</v>
      </c>
      <c r="CP648" s="1">
        <v>43633</v>
      </c>
    </row>
    <row r="649" spans="1:94" x14ac:dyDescent="0.25">
      <c r="A649" t="s">
        <v>2194</v>
      </c>
      <c r="B649" t="str">
        <f xml:space="preserve"> "" &amp; 747396099552</f>
        <v>747396099552</v>
      </c>
      <c r="C649" t="s">
        <v>1063</v>
      </c>
      <c r="D649" t="s">
        <v>2195</v>
      </c>
      <c r="E649" t="s">
        <v>1585</v>
      </c>
      <c r="F649" t="s">
        <v>249</v>
      </c>
      <c r="G649">
        <v>1</v>
      </c>
      <c r="H649">
        <v>1</v>
      </c>
      <c r="I649" t="s">
        <v>97</v>
      </c>
      <c r="J649" s="10">
        <v>239</v>
      </c>
      <c r="K649" s="10">
        <v>717</v>
      </c>
      <c r="L649" s="10">
        <v>0</v>
      </c>
      <c r="N649" s="10">
        <v>0</v>
      </c>
      <c r="O649" t="s">
        <v>99</v>
      </c>
      <c r="P649" s="10">
        <v>504.95</v>
      </c>
      <c r="S649">
        <v>31</v>
      </c>
      <c r="T649">
        <v>29</v>
      </c>
      <c r="U649">
        <v>29</v>
      </c>
      <c r="W649">
        <v>17.04</v>
      </c>
      <c r="X649">
        <v>1</v>
      </c>
      <c r="Y649">
        <v>9</v>
      </c>
      <c r="Z649">
        <v>30.25</v>
      </c>
      <c r="AA649">
        <v>28.25</v>
      </c>
      <c r="AB649">
        <v>4.4509999999999996</v>
      </c>
      <c r="AC649">
        <v>25.42</v>
      </c>
      <c r="AE649">
        <v>9</v>
      </c>
      <c r="AF649" t="s">
        <v>1586</v>
      </c>
      <c r="AG649">
        <v>60</v>
      </c>
      <c r="AK649" t="s">
        <v>98</v>
      </c>
      <c r="AM649" t="s">
        <v>98</v>
      </c>
      <c r="AN649" t="s">
        <v>99</v>
      </c>
      <c r="AO649" t="s">
        <v>98</v>
      </c>
      <c r="AP649" t="s">
        <v>100</v>
      </c>
      <c r="AQ649" t="s">
        <v>101</v>
      </c>
      <c r="AV649" t="s">
        <v>98</v>
      </c>
      <c r="AX649" t="s">
        <v>1587</v>
      </c>
      <c r="AZ649" t="s">
        <v>102</v>
      </c>
      <c r="BB649" t="s">
        <v>235</v>
      </c>
      <c r="BC649" t="s">
        <v>746</v>
      </c>
      <c r="BD649" t="s">
        <v>7528</v>
      </c>
      <c r="BF649" t="s">
        <v>2196</v>
      </c>
      <c r="BG649" t="s">
        <v>98</v>
      </c>
      <c r="BH649" t="s">
        <v>98</v>
      </c>
      <c r="BI649" t="s">
        <v>98</v>
      </c>
      <c r="BK649" t="s">
        <v>110</v>
      </c>
      <c r="BL649" t="s">
        <v>7528</v>
      </c>
      <c r="BR649">
        <v>1</v>
      </c>
      <c r="BS649">
        <v>4.75</v>
      </c>
      <c r="BT649">
        <v>4.75</v>
      </c>
      <c r="CB649" t="s">
        <v>1587</v>
      </c>
      <c r="CL649" t="s">
        <v>99</v>
      </c>
      <c r="CM649" t="s">
        <v>99</v>
      </c>
      <c r="CN649" t="s">
        <v>442</v>
      </c>
      <c r="CO649" s="1">
        <v>42576</v>
      </c>
      <c r="CP649" s="1">
        <v>43633</v>
      </c>
    </row>
    <row r="650" spans="1:94" x14ac:dyDescent="0.25">
      <c r="A650" t="s">
        <v>2197</v>
      </c>
      <c r="B650" t="str">
        <f xml:space="preserve"> "" &amp; 747396104416</f>
        <v>747396104416</v>
      </c>
      <c r="C650" t="s">
        <v>1604</v>
      </c>
      <c r="D650" t="s">
        <v>2198</v>
      </c>
      <c r="E650" t="s">
        <v>1600</v>
      </c>
      <c r="F650" t="s">
        <v>232</v>
      </c>
      <c r="G650">
        <v>1</v>
      </c>
      <c r="H650">
        <v>1</v>
      </c>
      <c r="I650" t="s">
        <v>97</v>
      </c>
      <c r="J650" s="10">
        <v>79</v>
      </c>
      <c r="K650" s="10">
        <v>237</v>
      </c>
      <c r="L650" s="10">
        <v>0</v>
      </c>
      <c r="N650" s="10">
        <v>0</v>
      </c>
      <c r="O650" t="s">
        <v>99</v>
      </c>
      <c r="P650" s="10">
        <v>169.95</v>
      </c>
      <c r="S650">
        <v>18</v>
      </c>
      <c r="U650">
        <v>9</v>
      </c>
      <c r="V650">
        <v>5.25</v>
      </c>
      <c r="W650">
        <v>8.91</v>
      </c>
      <c r="X650">
        <v>1</v>
      </c>
      <c r="Y650">
        <v>20.25</v>
      </c>
      <c r="Z650">
        <v>12.25</v>
      </c>
      <c r="AA650">
        <v>11.25</v>
      </c>
      <c r="AB650">
        <v>1.615</v>
      </c>
      <c r="AC650">
        <v>10.93</v>
      </c>
      <c r="AE650">
        <v>3</v>
      </c>
      <c r="AF650" t="s">
        <v>519</v>
      </c>
      <c r="AG650">
        <v>60</v>
      </c>
      <c r="AK650" t="s">
        <v>98</v>
      </c>
      <c r="AM650" t="s">
        <v>98</v>
      </c>
      <c r="AN650" t="s">
        <v>99</v>
      </c>
      <c r="AO650" t="s">
        <v>98</v>
      </c>
      <c r="AP650" t="s">
        <v>100</v>
      </c>
      <c r="AQ650" t="s">
        <v>101</v>
      </c>
      <c r="AV650" t="s">
        <v>98</v>
      </c>
      <c r="AX650" t="s">
        <v>1445</v>
      </c>
      <c r="AZ650" t="s">
        <v>102</v>
      </c>
      <c r="BB650" t="s">
        <v>235</v>
      </c>
      <c r="BC650" t="s">
        <v>1601</v>
      </c>
      <c r="BD650" t="s">
        <v>7528</v>
      </c>
      <c r="BF650" t="s">
        <v>2199</v>
      </c>
      <c r="BG650" t="s">
        <v>98</v>
      </c>
      <c r="BH650" t="s">
        <v>98</v>
      </c>
      <c r="BI650" t="s">
        <v>98</v>
      </c>
      <c r="BK650" t="s">
        <v>127</v>
      </c>
      <c r="BL650" t="s">
        <v>7528</v>
      </c>
      <c r="BM650">
        <v>9</v>
      </c>
      <c r="BN650">
        <v>18</v>
      </c>
      <c r="CA650">
        <v>4560</v>
      </c>
      <c r="CB650" t="s">
        <v>1445</v>
      </c>
      <c r="CL650" t="s">
        <v>99</v>
      </c>
      <c r="CM650" t="s">
        <v>98</v>
      </c>
      <c r="CN650" t="s">
        <v>442</v>
      </c>
      <c r="CO650" s="1">
        <v>43118</v>
      </c>
      <c r="CP650" s="1">
        <v>43118</v>
      </c>
    </row>
    <row r="651" spans="1:94" x14ac:dyDescent="0.25">
      <c r="A651" t="s">
        <v>2197</v>
      </c>
      <c r="B651" t="str">
        <f xml:space="preserve"> "" &amp; 747396104416</f>
        <v>747396104416</v>
      </c>
      <c r="C651" t="s">
        <v>1604</v>
      </c>
      <c r="D651" t="s">
        <v>2198</v>
      </c>
      <c r="E651" t="s">
        <v>1600</v>
      </c>
      <c r="F651" t="s">
        <v>232</v>
      </c>
      <c r="G651">
        <v>1</v>
      </c>
      <c r="H651">
        <v>1</v>
      </c>
      <c r="I651" t="s">
        <v>97</v>
      </c>
      <c r="J651" s="10">
        <v>79</v>
      </c>
      <c r="K651" s="10">
        <v>237</v>
      </c>
      <c r="L651" s="10">
        <v>0</v>
      </c>
      <c r="N651" s="10">
        <v>0</v>
      </c>
      <c r="O651" t="s">
        <v>99</v>
      </c>
      <c r="P651" s="10">
        <v>169.95</v>
      </c>
      <c r="S651">
        <v>18</v>
      </c>
      <c r="U651">
        <v>9</v>
      </c>
      <c r="V651">
        <v>5.25</v>
      </c>
      <c r="W651">
        <v>8.91</v>
      </c>
      <c r="X651">
        <v>1</v>
      </c>
      <c r="Y651">
        <v>20.25</v>
      </c>
      <c r="Z651">
        <v>12.25</v>
      </c>
      <c r="AA651">
        <v>11.25</v>
      </c>
      <c r="AB651">
        <v>1.615</v>
      </c>
      <c r="AC651">
        <v>10.93</v>
      </c>
      <c r="AE651">
        <v>3</v>
      </c>
      <c r="AF651" t="s">
        <v>1205</v>
      </c>
      <c r="AG651">
        <v>60</v>
      </c>
      <c r="AK651" t="s">
        <v>98</v>
      </c>
      <c r="AM651" t="s">
        <v>98</v>
      </c>
      <c r="AN651" t="s">
        <v>99</v>
      </c>
      <c r="AO651" t="s">
        <v>98</v>
      </c>
      <c r="AP651" t="s">
        <v>100</v>
      </c>
      <c r="AQ651" t="s">
        <v>101</v>
      </c>
      <c r="AV651" t="s">
        <v>98</v>
      </c>
      <c r="AX651" t="s">
        <v>1445</v>
      </c>
      <c r="AZ651" t="s">
        <v>102</v>
      </c>
      <c r="BB651" t="s">
        <v>235</v>
      </c>
      <c r="BC651" t="s">
        <v>1601</v>
      </c>
      <c r="BD651" t="s">
        <v>7528</v>
      </c>
      <c r="BF651" t="s">
        <v>2199</v>
      </c>
      <c r="BG651" t="s">
        <v>98</v>
      </c>
      <c r="BH651" t="s">
        <v>98</v>
      </c>
      <c r="BI651" t="s">
        <v>98</v>
      </c>
      <c r="BK651" t="s">
        <v>127</v>
      </c>
      <c r="BL651" t="s">
        <v>7528</v>
      </c>
      <c r="BM651">
        <v>9</v>
      </c>
      <c r="BN651">
        <v>18</v>
      </c>
      <c r="CA651">
        <v>4560</v>
      </c>
      <c r="CB651" t="s">
        <v>1445</v>
      </c>
      <c r="CL651" t="s">
        <v>99</v>
      </c>
      <c r="CM651" t="s">
        <v>98</v>
      </c>
      <c r="CN651" t="s">
        <v>442</v>
      </c>
      <c r="CO651" s="1">
        <v>42996</v>
      </c>
      <c r="CP651" s="1">
        <v>43118</v>
      </c>
    </row>
    <row r="652" spans="1:94" x14ac:dyDescent="0.25">
      <c r="A652" t="s">
        <v>2200</v>
      </c>
      <c r="B652" t="str">
        <f xml:space="preserve"> "" &amp; 747396104409</f>
        <v>747396104409</v>
      </c>
      <c r="C652" t="s">
        <v>339</v>
      </c>
      <c r="D652" t="s">
        <v>6645</v>
      </c>
      <c r="E652" t="s">
        <v>1600</v>
      </c>
      <c r="F652" t="s">
        <v>240</v>
      </c>
      <c r="G652">
        <v>1</v>
      </c>
      <c r="H652">
        <v>1</v>
      </c>
      <c r="I652" t="s">
        <v>97</v>
      </c>
      <c r="J652" s="10">
        <v>189</v>
      </c>
      <c r="K652" s="10">
        <v>567</v>
      </c>
      <c r="L652" s="10">
        <v>0</v>
      </c>
      <c r="N652" s="10">
        <v>0</v>
      </c>
      <c r="O652" t="s">
        <v>99</v>
      </c>
      <c r="P652" s="10">
        <v>399.95</v>
      </c>
      <c r="S652">
        <v>10</v>
      </c>
      <c r="T652">
        <v>17</v>
      </c>
      <c r="U652">
        <v>17</v>
      </c>
      <c r="W652">
        <v>13.93</v>
      </c>
      <c r="X652">
        <v>1</v>
      </c>
      <c r="Y652">
        <v>13</v>
      </c>
      <c r="Z652">
        <v>24.25</v>
      </c>
      <c r="AA652">
        <v>19.5</v>
      </c>
      <c r="AB652">
        <v>3.5579999999999998</v>
      </c>
      <c r="AC652">
        <v>18.7</v>
      </c>
      <c r="AE652">
        <v>4</v>
      </c>
      <c r="AF652" t="s">
        <v>519</v>
      </c>
      <c r="AG652">
        <v>60</v>
      </c>
      <c r="AK652" t="s">
        <v>98</v>
      </c>
      <c r="AM652" t="s">
        <v>98</v>
      </c>
      <c r="AN652" t="s">
        <v>99</v>
      </c>
      <c r="AO652" t="s">
        <v>98</v>
      </c>
      <c r="AP652" t="s">
        <v>100</v>
      </c>
      <c r="AQ652" t="s">
        <v>101</v>
      </c>
      <c r="AV652" t="s">
        <v>98</v>
      </c>
      <c r="AX652" t="s">
        <v>1445</v>
      </c>
      <c r="AZ652" t="s">
        <v>102</v>
      </c>
      <c r="BB652" t="s">
        <v>235</v>
      </c>
      <c r="BC652" t="s">
        <v>1601</v>
      </c>
      <c r="BD652" t="s">
        <v>7528</v>
      </c>
      <c r="BF652" t="s">
        <v>2201</v>
      </c>
      <c r="BG652" t="s">
        <v>98</v>
      </c>
      <c r="BH652" t="s">
        <v>98</v>
      </c>
      <c r="BI652" t="s">
        <v>98</v>
      </c>
      <c r="BK652" t="s">
        <v>127</v>
      </c>
      <c r="BL652" t="s">
        <v>7528</v>
      </c>
      <c r="BR652">
        <v>1</v>
      </c>
      <c r="BS652">
        <v>5</v>
      </c>
      <c r="BT652">
        <v>5</v>
      </c>
      <c r="CA652">
        <v>4561</v>
      </c>
      <c r="CB652" t="s">
        <v>1445</v>
      </c>
      <c r="CL652" t="s">
        <v>99</v>
      </c>
      <c r="CM652" t="s">
        <v>99</v>
      </c>
      <c r="CN652" t="s">
        <v>442</v>
      </c>
      <c r="CO652" s="1">
        <v>42996</v>
      </c>
      <c r="CP652" s="1">
        <v>43633</v>
      </c>
    </row>
    <row r="653" spans="1:94" x14ac:dyDescent="0.25">
      <c r="A653" t="s">
        <v>2202</v>
      </c>
      <c r="B653" t="str">
        <f xml:space="preserve"> "" &amp; 747396104386</f>
        <v>747396104386</v>
      </c>
      <c r="C653" t="s">
        <v>339</v>
      </c>
      <c r="D653" t="s">
        <v>6646</v>
      </c>
      <c r="E653" t="s">
        <v>1600</v>
      </c>
      <c r="F653" t="s">
        <v>240</v>
      </c>
      <c r="G653">
        <v>1</v>
      </c>
      <c r="H653">
        <v>1</v>
      </c>
      <c r="I653" t="s">
        <v>97</v>
      </c>
      <c r="J653" s="10">
        <v>189</v>
      </c>
      <c r="K653" s="10">
        <v>567</v>
      </c>
      <c r="L653" s="10">
        <v>0</v>
      </c>
      <c r="N653" s="10">
        <v>0</v>
      </c>
      <c r="O653" t="s">
        <v>99</v>
      </c>
      <c r="P653" s="10">
        <v>399.95</v>
      </c>
      <c r="S653">
        <v>18</v>
      </c>
      <c r="T653">
        <v>10</v>
      </c>
      <c r="U653">
        <v>10</v>
      </c>
      <c r="W653">
        <v>15.04</v>
      </c>
      <c r="X653">
        <v>1</v>
      </c>
      <c r="Y653">
        <v>21</v>
      </c>
      <c r="Z653">
        <v>17.75</v>
      </c>
      <c r="AA653">
        <v>12.5</v>
      </c>
      <c r="AB653">
        <v>2.6960000000000002</v>
      </c>
      <c r="AC653">
        <v>18.010000000000002</v>
      </c>
      <c r="AE653">
        <v>4</v>
      </c>
      <c r="AF653" t="s">
        <v>519</v>
      </c>
      <c r="AG653">
        <v>60</v>
      </c>
      <c r="AK653" t="s">
        <v>98</v>
      </c>
      <c r="AM653" t="s">
        <v>98</v>
      </c>
      <c r="AN653" t="s">
        <v>99</v>
      </c>
      <c r="AO653" t="s">
        <v>98</v>
      </c>
      <c r="AP653" t="s">
        <v>100</v>
      </c>
      <c r="AQ653" t="s">
        <v>101</v>
      </c>
      <c r="AV653" t="s">
        <v>98</v>
      </c>
      <c r="AX653" t="s">
        <v>1445</v>
      </c>
      <c r="AZ653" t="s">
        <v>102</v>
      </c>
      <c r="BB653" t="s">
        <v>235</v>
      </c>
      <c r="BC653" t="s">
        <v>1601</v>
      </c>
      <c r="BD653" t="s">
        <v>7528</v>
      </c>
      <c r="BF653" t="s">
        <v>2203</v>
      </c>
      <c r="BG653" t="s">
        <v>98</v>
      </c>
      <c r="BH653" t="s">
        <v>98</v>
      </c>
      <c r="BI653" t="s">
        <v>98</v>
      </c>
      <c r="BK653" t="s">
        <v>110</v>
      </c>
      <c r="BL653" t="s">
        <v>7528</v>
      </c>
      <c r="BR653">
        <v>1</v>
      </c>
      <c r="BS653">
        <v>5</v>
      </c>
      <c r="BT653">
        <v>5</v>
      </c>
      <c r="CA653">
        <v>4562</v>
      </c>
      <c r="CB653" t="s">
        <v>1445</v>
      </c>
      <c r="CL653" t="s">
        <v>99</v>
      </c>
      <c r="CM653" t="s">
        <v>99</v>
      </c>
      <c r="CN653" t="s">
        <v>442</v>
      </c>
      <c r="CO653" s="1">
        <v>42993</v>
      </c>
      <c r="CP653" s="1">
        <v>43633</v>
      </c>
    </row>
    <row r="654" spans="1:94" x14ac:dyDescent="0.25">
      <c r="A654" t="s">
        <v>2204</v>
      </c>
      <c r="B654" t="str">
        <f xml:space="preserve"> "" &amp; 747396104362</f>
        <v>747396104362</v>
      </c>
      <c r="C654" t="s">
        <v>762</v>
      </c>
      <c r="D654" t="s">
        <v>6647</v>
      </c>
      <c r="E654" t="s">
        <v>1600</v>
      </c>
      <c r="F654" t="s">
        <v>323</v>
      </c>
      <c r="G654">
        <v>1</v>
      </c>
      <c r="H654">
        <v>1</v>
      </c>
      <c r="I654" t="s">
        <v>97</v>
      </c>
      <c r="J654" s="10">
        <v>79</v>
      </c>
      <c r="K654" s="10">
        <v>237</v>
      </c>
      <c r="L654" s="10">
        <v>0</v>
      </c>
      <c r="N654" s="10">
        <v>0</v>
      </c>
      <c r="O654" t="s">
        <v>99</v>
      </c>
      <c r="P654" s="10">
        <v>169.95</v>
      </c>
      <c r="S654">
        <v>7</v>
      </c>
      <c r="U654">
        <v>16</v>
      </c>
      <c r="V654">
        <v>4.75</v>
      </c>
      <c r="W654">
        <v>7.05</v>
      </c>
      <c r="X654">
        <v>1</v>
      </c>
      <c r="Y654">
        <v>9.5</v>
      </c>
      <c r="Z654">
        <v>18.5</v>
      </c>
      <c r="AA654">
        <v>11.25</v>
      </c>
      <c r="AB654">
        <v>1.1439999999999999</v>
      </c>
      <c r="AC654">
        <v>8.6</v>
      </c>
      <c r="AE654">
        <v>3</v>
      </c>
      <c r="AF654" t="s">
        <v>519</v>
      </c>
      <c r="AG654">
        <v>60</v>
      </c>
      <c r="AK654" t="s">
        <v>98</v>
      </c>
      <c r="AM654" t="s">
        <v>98</v>
      </c>
      <c r="AN654" t="s">
        <v>99</v>
      </c>
      <c r="AO654" t="s">
        <v>98</v>
      </c>
      <c r="AP654" t="s">
        <v>100</v>
      </c>
      <c r="AQ654" t="s">
        <v>101</v>
      </c>
      <c r="AV654" t="s">
        <v>98</v>
      </c>
      <c r="AX654" t="s">
        <v>1445</v>
      </c>
      <c r="AZ654" t="s">
        <v>102</v>
      </c>
      <c r="BB654" t="s">
        <v>235</v>
      </c>
      <c r="BC654" t="s">
        <v>1601</v>
      </c>
      <c r="BD654" t="s">
        <v>7528</v>
      </c>
      <c r="BF654" t="s">
        <v>2205</v>
      </c>
      <c r="BG654" t="s">
        <v>98</v>
      </c>
      <c r="BH654" t="s">
        <v>98</v>
      </c>
      <c r="BI654" t="s">
        <v>98</v>
      </c>
      <c r="BK654" t="s">
        <v>127</v>
      </c>
      <c r="BL654" t="s">
        <v>7528</v>
      </c>
      <c r="BM654">
        <v>16</v>
      </c>
      <c r="BN654">
        <v>6.5</v>
      </c>
      <c r="CA654">
        <v>4563</v>
      </c>
      <c r="CB654" t="s">
        <v>1445</v>
      </c>
      <c r="CL654" t="s">
        <v>99</v>
      </c>
      <c r="CM654" t="s">
        <v>98</v>
      </c>
      <c r="CN654" t="s">
        <v>442</v>
      </c>
      <c r="CO654" s="1">
        <v>42993</v>
      </c>
      <c r="CP654" s="1">
        <v>43633</v>
      </c>
    </row>
    <row r="655" spans="1:94" x14ac:dyDescent="0.25">
      <c r="A655" t="s">
        <v>2206</v>
      </c>
      <c r="B655" t="str">
        <f xml:space="preserve"> "" &amp; 747396104355</f>
        <v>747396104355</v>
      </c>
      <c r="C655" t="s">
        <v>2207</v>
      </c>
      <c r="D655" t="s">
        <v>6648</v>
      </c>
      <c r="E655" t="s">
        <v>1600</v>
      </c>
      <c r="F655" t="s">
        <v>323</v>
      </c>
      <c r="G655">
        <v>1</v>
      </c>
      <c r="H655">
        <v>1</v>
      </c>
      <c r="I655" t="s">
        <v>97</v>
      </c>
      <c r="J655" s="10">
        <v>105</v>
      </c>
      <c r="K655" s="10">
        <v>315</v>
      </c>
      <c r="L655" s="10">
        <v>0</v>
      </c>
      <c r="N655" s="10">
        <v>0</v>
      </c>
      <c r="O655" t="s">
        <v>99</v>
      </c>
      <c r="P655" s="10">
        <v>219.95</v>
      </c>
      <c r="S655">
        <v>7</v>
      </c>
      <c r="U655">
        <v>24</v>
      </c>
      <c r="V655">
        <v>4.75</v>
      </c>
      <c r="W655">
        <v>9.59</v>
      </c>
      <c r="X655">
        <v>1</v>
      </c>
      <c r="Y655">
        <v>9.5</v>
      </c>
      <c r="Z655">
        <v>26.5</v>
      </c>
      <c r="AA655">
        <v>11.25</v>
      </c>
      <c r="AB655">
        <v>1.639</v>
      </c>
      <c r="AC655">
        <v>11.75</v>
      </c>
      <c r="AE655">
        <v>5</v>
      </c>
      <c r="AF655" t="s">
        <v>519</v>
      </c>
      <c r="AG655">
        <v>60</v>
      </c>
      <c r="AK655" t="s">
        <v>98</v>
      </c>
      <c r="AM655" t="s">
        <v>98</v>
      </c>
      <c r="AN655" t="s">
        <v>99</v>
      </c>
      <c r="AO655" t="s">
        <v>98</v>
      </c>
      <c r="AP655" t="s">
        <v>100</v>
      </c>
      <c r="AQ655" t="s">
        <v>101</v>
      </c>
      <c r="AV655" t="s">
        <v>98</v>
      </c>
      <c r="AX655" t="s">
        <v>1445</v>
      </c>
      <c r="AZ655" t="s">
        <v>102</v>
      </c>
      <c r="BB655" t="s">
        <v>235</v>
      </c>
      <c r="BC655" t="s">
        <v>1601</v>
      </c>
      <c r="BD655" t="s">
        <v>7528</v>
      </c>
      <c r="BF655" t="s">
        <v>2208</v>
      </c>
      <c r="BG655" t="s">
        <v>98</v>
      </c>
      <c r="BH655" t="s">
        <v>98</v>
      </c>
      <c r="BI655" t="s">
        <v>98</v>
      </c>
      <c r="BK655" t="s">
        <v>127</v>
      </c>
      <c r="BL655" t="s">
        <v>7528</v>
      </c>
      <c r="BM655">
        <v>24</v>
      </c>
      <c r="BN655">
        <v>6.5</v>
      </c>
      <c r="CA655">
        <v>4565</v>
      </c>
      <c r="CB655" t="s">
        <v>1445</v>
      </c>
      <c r="CL655" t="s">
        <v>99</v>
      </c>
      <c r="CM655" t="s">
        <v>98</v>
      </c>
      <c r="CN655" t="s">
        <v>442</v>
      </c>
      <c r="CO655" s="1">
        <v>42993</v>
      </c>
      <c r="CP655" s="1">
        <v>43633</v>
      </c>
    </row>
    <row r="656" spans="1:94" x14ac:dyDescent="0.25">
      <c r="A656" t="s">
        <v>2209</v>
      </c>
      <c r="B656" t="str">
        <f xml:space="preserve"> "" &amp; 747396104379</f>
        <v>747396104379</v>
      </c>
      <c r="C656" t="s">
        <v>875</v>
      </c>
      <c r="D656" t="s">
        <v>6649</v>
      </c>
      <c r="E656" t="s">
        <v>1600</v>
      </c>
      <c r="F656" t="s">
        <v>323</v>
      </c>
      <c r="G656">
        <v>1</v>
      </c>
      <c r="H656">
        <v>1</v>
      </c>
      <c r="I656" t="s">
        <v>97</v>
      </c>
      <c r="J656" s="10">
        <v>129</v>
      </c>
      <c r="K656" s="10">
        <v>387</v>
      </c>
      <c r="L656" s="10">
        <v>0</v>
      </c>
      <c r="N656" s="10">
        <v>0</v>
      </c>
      <c r="O656" t="s">
        <v>99</v>
      </c>
      <c r="P656" s="10">
        <v>269.95</v>
      </c>
      <c r="S656">
        <v>7</v>
      </c>
      <c r="U656">
        <v>32</v>
      </c>
      <c r="V656">
        <v>4.75</v>
      </c>
      <c r="W656">
        <v>12.28</v>
      </c>
      <c r="X656">
        <v>1</v>
      </c>
      <c r="Y656">
        <v>9.5</v>
      </c>
      <c r="Z656">
        <v>34.5</v>
      </c>
      <c r="AA656">
        <v>11.25</v>
      </c>
      <c r="AB656">
        <v>2.1339999999999999</v>
      </c>
      <c r="AC656">
        <v>15.65</v>
      </c>
      <c r="AE656">
        <v>6</v>
      </c>
      <c r="AF656" t="s">
        <v>772</v>
      </c>
      <c r="AG656">
        <v>60</v>
      </c>
      <c r="AK656" t="s">
        <v>98</v>
      </c>
      <c r="AM656" t="s">
        <v>98</v>
      </c>
      <c r="AN656" t="s">
        <v>99</v>
      </c>
      <c r="AO656" t="s">
        <v>98</v>
      </c>
      <c r="AP656" t="s">
        <v>100</v>
      </c>
      <c r="AQ656" t="s">
        <v>101</v>
      </c>
      <c r="AV656" t="s">
        <v>98</v>
      </c>
      <c r="AX656" t="s">
        <v>1445</v>
      </c>
      <c r="AZ656" t="s">
        <v>102</v>
      </c>
      <c r="BB656" t="s">
        <v>235</v>
      </c>
      <c r="BC656" t="s">
        <v>1601</v>
      </c>
      <c r="BD656" t="s">
        <v>7528</v>
      </c>
      <c r="BF656" t="s">
        <v>2210</v>
      </c>
      <c r="BG656" t="s">
        <v>98</v>
      </c>
      <c r="BH656" t="s">
        <v>98</v>
      </c>
      <c r="BI656" t="s">
        <v>98</v>
      </c>
      <c r="BK656" t="s">
        <v>127</v>
      </c>
      <c r="BL656" t="s">
        <v>7528</v>
      </c>
      <c r="BM656">
        <v>32</v>
      </c>
      <c r="BN656">
        <v>6.5</v>
      </c>
      <c r="CA656">
        <v>4566</v>
      </c>
      <c r="CB656" t="s">
        <v>1445</v>
      </c>
      <c r="CL656" t="s">
        <v>99</v>
      </c>
      <c r="CM656" t="s">
        <v>98</v>
      </c>
      <c r="CN656" t="s">
        <v>442</v>
      </c>
      <c r="CO656" s="1">
        <v>42993</v>
      </c>
      <c r="CP656" s="1">
        <v>43633</v>
      </c>
    </row>
    <row r="657" spans="1:94" x14ac:dyDescent="0.25">
      <c r="A657" t="s">
        <v>2211</v>
      </c>
      <c r="B657" t="str">
        <f xml:space="preserve"> "" &amp; 747396104348</f>
        <v>747396104348</v>
      </c>
      <c r="C657" t="s">
        <v>1711</v>
      </c>
      <c r="D657" t="s">
        <v>6650</v>
      </c>
      <c r="E657" t="s">
        <v>1600</v>
      </c>
      <c r="F657" t="s">
        <v>240</v>
      </c>
      <c r="G657">
        <v>1</v>
      </c>
      <c r="H657">
        <v>1</v>
      </c>
      <c r="I657" t="s">
        <v>97</v>
      </c>
      <c r="J657" s="10">
        <v>265</v>
      </c>
      <c r="K657" s="10">
        <v>795</v>
      </c>
      <c r="L657" s="10">
        <v>0</v>
      </c>
      <c r="N657" s="10">
        <v>0</v>
      </c>
      <c r="O657" t="s">
        <v>99</v>
      </c>
      <c r="P657" s="10">
        <v>554.95000000000005</v>
      </c>
      <c r="S657">
        <v>12</v>
      </c>
      <c r="T657">
        <v>24</v>
      </c>
      <c r="U657">
        <v>24</v>
      </c>
      <c r="W657">
        <v>20.02</v>
      </c>
      <c r="X657">
        <v>1</v>
      </c>
      <c r="Y657">
        <v>15</v>
      </c>
      <c r="Z657">
        <v>32.5</v>
      </c>
      <c r="AA657">
        <v>26.5</v>
      </c>
      <c r="AB657">
        <v>7.476</v>
      </c>
      <c r="AC657">
        <v>28.33</v>
      </c>
      <c r="AE657">
        <v>6</v>
      </c>
      <c r="AF657" t="s">
        <v>519</v>
      </c>
      <c r="AG657">
        <v>60</v>
      </c>
      <c r="AK657" t="s">
        <v>98</v>
      </c>
      <c r="AM657" t="s">
        <v>98</v>
      </c>
      <c r="AN657" t="s">
        <v>99</v>
      </c>
      <c r="AO657" t="s">
        <v>98</v>
      </c>
      <c r="AP657" t="s">
        <v>100</v>
      </c>
      <c r="AQ657" t="s">
        <v>101</v>
      </c>
      <c r="AV657" t="s">
        <v>98</v>
      </c>
      <c r="AX657" t="s">
        <v>1445</v>
      </c>
      <c r="AZ657" t="s">
        <v>102</v>
      </c>
      <c r="BB657" t="s">
        <v>235</v>
      </c>
      <c r="BC657" t="s">
        <v>1601</v>
      </c>
      <c r="BD657" t="s">
        <v>7528</v>
      </c>
      <c r="BF657" t="s">
        <v>2212</v>
      </c>
      <c r="BG657" t="s">
        <v>98</v>
      </c>
      <c r="BH657" t="s">
        <v>98</v>
      </c>
      <c r="BI657" t="s">
        <v>98</v>
      </c>
      <c r="BK657" t="s">
        <v>110</v>
      </c>
      <c r="BL657" t="s">
        <v>7528</v>
      </c>
      <c r="BR657">
        <v>1</v>
      </c>
      <c r="BS657">
        <v>5</v>
      </c>
      <c r="BT657">
        <v>5</v>
      </c>
      <c r="CA657">
        <v>4567</v>
      </c>
      <c r="CB657" t="s">
        <v>1445</v>
      </c>
      <c r="CL657" t="s">
        <v>99</v>
      </c>
      <c r="CM657" t="s">
        <v>99</v>
      </c>
      <c r="CN657" t="s">
        <v>442</v>
      </c>
      <c r="CO657" s="1">
        <v>42993</v>
      </c>
      <c r="CP657" s="1">
        <v>43633</v>
      </c>
    </row>
    <row r="658" spans="1:94" x14ac:dyDescent="0.25">
      <c r="A658" t="s">
        <v>2213</v>
      </c>
      <c r="B658" t="str">
        <f xml:space="preserve"> "" &amp; 747396104331</f>
        <v>747396104331</v>
      </c>
      <c r="C658" t="s">
        <v>866</v>
      </c>
      <c r="D658" t="s">
        <v>6651</v>
      </c>
      <c r="E658" t="s">
        <v>1600</v>
      </c>
      <c r="F658" t="s">
        <v>240</v>
      </c>
      <c r="G658">
        <v>1</v>
      </c>
      <c r="H658">
        <v>1</v>
      </c>
      <c r="I658" t="s">
        <v>97</v>
      </c>
      <c r="J658" s="10">
        <v>289</v>
      </c>
      <c r="K658" s="10">
        <v>867</v>
      </c>
      <c r="L658" s="10">
        <v>0</v>
      </c>
      <c r="N658" s="10">
        <v>0</v>
      </c>
      <c r="O658" t="s">
        <v>99</v>
      </c>
      <c r="P658" s="10">
        <v>604.95000000000005</v>
      </c>
      <c r="S658">
        <v>25</v>
      </c>
      <c r="T658">
        <v>14</v>
      </c>
      <c r="U658">
        <v>14</v>
      </c>
      <c r="W658">
        <v>24.45</v>
      </c>
      <c r="X658">
        <v>1</v>
      </c>
      <c r="Y658">
        <v>28</v>
      </c>
      <c r="Z658">
        <v>22.25</v>
      </c>
      <c r="AA658">
        <v>16.5</v>
      </c>
      <c r="AB658">
        <v>5.9489999999999998</v>
      </c>
      <c r="AC658">
        <v>30.95</v>
      </c>
      <c r="AE658">
        <v>8</v>
      </c>
      <c r="AF658" t="s">
        <v>519</v>
      </c>
      <c r="AG658">
        <v>60</v>
      </c>
      <c r="AK658" t="s">
        <v>98</v>
      </c>
      <c r="AM658" t="s">
        <v>98</v>
      </c>
      <c r="AN658" t="s">
        <v>99</v>
      </c>
      <c r="AO658" t="s">
        <v>98</v>
      </c>
      <c r="AP658" t="s">
        <v>100</v>
      </c>
      <c r="AQ658" t="s">
        <v>101</v>
      </c>
      <c r="AV658" t="s">
        <v>98</v>
      </c>
      <c r="AX658" t="s">
        <v>1445</v>
      </c>
      <c r="AZ658" t="s">
        <v>102</v>
      </c>
      <c r="BB658" t="s">
        <v>235</v>
      </c>
      <c r="BC658" t="s">
        <v>1601</v>
      </c>
      <c r="BD658" t="s">
        <v>7528</v>
      </c>
      <c r="BF658" t="s">
        <v>2214</v>
      </c>
      <c r="BG658" t="s">
        <v>98</v>
      </c>
      <c r="BH658" t="s">
        <v>98</v>
      </c>
      <c r="BI658" t="s">
        <v>98</v>
      </c>
      <c r="BK658" t="s">
        <v>110</v>
      </c>
      <c r="BL658" t="s">
        <v>7528</v>
      </c>
      <c r="BR658">
        <v>1</v>
      </c>
      <c r="BS658">
        <v>5</v>
      </c>
      <c r="BT658">
        <v>5</v>
      </c>
      <c r="CA658">
        <v>4568</v>
      </c>
      <c r="CB658" t="s">
        <v>1445</v>
      </c>
      <c r="CL658" t="s">
        <v>99</v>
      </c>
      <c r="CM658" t="s">
        <v>98</v>
      </c>
      <c r="CN658" t="s">
        <v>442</v>
      </c>
      <c r="CO658" s="1">
        <v>42993</v>
      </c>
      <c r="CP658" s="1">
        <v>43633</v>
      </c>
    </row>
    <row r="659" spans="1:94" x14ac:dyDescent="0.25">
      <c r="A659" t="s">
        <v>2215</v>
      </c>
      <c r="B659" t="str">
        <f xml:space="preserve"> "" &amp; 747396104393</f>
        <v>747396104393</v>
      </c>
      <c r="C659" t="s">
        <v>1690</v>
      </c>
      <c r="D659" t="s">
        <v>6652</v>
      </c>
      <c r="E659" t="s">
        <v>1600</v>
      </c>
      <c r="F659" t="s">
        <v>314</v>
      </c>
      <c r="G659">
        <v>1</v>
      </c>
      <c r="H659">
        <v>1</v>
      </c>
      <c r="I659" t="s">
        <v>97</v>
      </c>
      <c r="J659" s="10">
        <v>295</v>
      </c>
      <c r="K659" s="10">
        <v>885</v>
      </c>
      <c r="L659" s="10">
        <v>0</v>
      </c>
      <c r="N659" s="10">
        <v>0</v>
      </c>
      <c r="O659" t="s">
        <v>99</v>
      </c>
      <c r="P659" s="10">
        <v>619.95000000000005</v>
      </c>
      <c r="S659">
        <v>13</v>
      </c>
      <c r="T659">
        <v>42</v>
      </c>
      <c r="U659">
        <v>12</v>
      </c>
      <c r="W659">
        <v>30.64</v>
      </c>
      <c r="X659">
        <v>1</v>
      </c>
      <c r="Y659">
        <v>17.75</v>
      </c>
      <c r="Z659">
        <v>54</v>
      </c>
      <c r="AA659">
        <v>14.5</v>
      </c>
      <c r="AB659">
        <v>8.0429999999999993</v>
      </c>
      <c r="AC659">
        <v>37.770000000000003</v>
      </c>
      <c r="AE659">
        <v>6</v>
      </c>
      <c r="AF659" t="s">
        <v>519</v>
      </c>
      <c r="AG659">
        <v>60</v>
      </c>
      <c r="AK659" t="s">
        <v>98</v>
      </c>
      <c r="AM659" t="s">
        <v>98</v>
      </c>
      <c r="AN659" t="s">
        <v>99</v>
      </c>
      <c r="AO659" t="s">
        <v>98</v>
      </c>
      <c r="AP659" t="s">
        <v>100</v>
      </c>
      <c r="AQ659" t="s">
        <v>101</v>
      </c>
      <c r="AV659" t="s">
        <v>98</v>
      </c>
      <c r="AX659" t="s">
        <v>1445</v>
      </c>
      <c r="AZ659" t="s">
        <v>102</v>
      </c>
      <c r="BB659" t="s">
        <v>235</v>
      </c>
      <c r="BC659" t="s">
        <v>1601</v>
      </c>
      <c r="BD659" t="s">
        <v>7528</v>
      </c>
      <c r="BF659" t="s">
        <v>2216</v>
      </c>
      <c r="BG659" t="s">
        <v>98</v>
      </c>
      <c r="BH659" t="s">
        <v>98</v>
      </c>
      <c r="BI659" t="s">
        <v>98</v>
      </c>
      <c r="BK659" t="s">
        <v>110</v>
      </c>
      <c r="BL659" t="s">
        <v>7528</v>
      </c>
      <c r="BR659">
        <v>0.88</v>
      </c>
      <c r="BS659">
        <v>15</v>
      </c>
      <c r="BT659">
        <v>15</v>
      </c>
      <c r="CA659">
        <v>4569</v>
      </c>
      <c r="CB659" t="s">
        <v>1445</v>
      </c>
      <c r="CL659" t="s">
        <v>99</v>
      </c>
      <c r="CM659" t="s">
        <v>98</v>
      </c>
      <c r="CN659" t="s">
        <v>442</v>
      </c>
      <c r="CO659" s="1">
        <v>42996</v>
      </c>
      <c r="CP659" s="1">
        <v>43633</v>
      </c>
    </row>
    <row r="660" spans="1:94" x14ac:dyDescent="0.25">
      <c r="A660" t="s">
        <v>2217</v>
      </c>
      <c r="B660" t="str">
        <f xml:space="preserve"> "" &amp; 747396104591</f>
        <v>747396104591</v>
      </c>
      <c r="C660" t="s">
        <v>2218</v>
      </c>
      <c r="D660" t="s">
        <v>6653</v>
      </c>
      <c r="E660" t="s">
        <v>2219</v>
      </c>
      <c r="F660" t="s">
        <v>232</v>
      </c>
      <c r="G660">
        <v>1</v>
      </c>
      <c r="H660">
        <v>1</v>
      </c>
      <c r="I660" t="s">
        <v>97</v>
      </c>
      <c r="J660" s="10">
        <v>69</v>
      </c>
      <c r="K660" s="10">
        <v>207</v>
      </c>
      <c r="L660" s="10">
        <v>0</v>
      </c>
      <c r="N660" s="10">
        <v>0</v>
      </c>
      <c r="O660" t="s">
        <v>99</v>
      </c>
      <c r="P660" s="10">
        <v>164.95</v>
      </c>
      <c r="S660">
        <v>12</v>
      </c>
      <c r="U660">
        <v>14.5</v>
      </c>
      <c r="V660">
        <v>8</v>
      </c>
      <c r="W660">
        <v>3.24</v>
      </c>
      <c r="X660">
        <v>1</v>
      </c>
      <c r="Y660">
        <v>15.38</v>
      </c>
      <c r="Z660">
        <v>16.75</v>
      </c>
      <c r="AA660">
        <v>10.5</v>
      </c>
      <c r="AB660">
        <v>1.5649999999999999</v>
      </c>
      <c r="AC660">
        <v>5.97</v>
      </c>
      <c r="AE660">
        <v>2</v>
      </c>
      <c r="AF660" t="s">
        <v>870</v>
      </c>
      <c r="AG660">
        <v>40</v>
      </c>
      <c r="AK660" t="s">
        <v>98</v>
      </c>
      <c r="AM660" t="s">
        <v>98</v>
      </c>
      <c r="AN660" t="s">
        <v>99</v>
      </c>
      <c r="AO660" t="s">
        <v>98</v>
      </c>
      <c r="AP660" t="s">
        <v>100</v>
      </c>
      <c r="AQ660" t="s">
        <v>101</v>
      </c>
      <c r="AV660" t="s">
        <v>98</v>
      </c>
      <c r="AX660" t="s">
        <v>2220</v>
      </c>
      <c r="AZ660" t="s">
        <v>102</v>
      </c>
      <c r="BB660" t="s">
        <v>235</v>
      </c>
      <c r="BC660" t="s">
        <v>713</v>
      </c>
      <c r="BD660" t="s">
        <v>7528</v>
      </c>
      <c r="BF660" t="s">
        <v>2221</v>
      </c>
      <c r="BG660" t="s">
        <v>98</v>
      </c>
      <c r="BH660" t="s">
        <v>98</v>
      </c>
      <c r="BI660" t="s">
        <v>98</v>
      </c>
      <c r="BK660" t="s">
        <v>127</v>
      </c>
      <c r="BL660" t="s">
        <v>7528</v>
      </c>
      <c r="BM660">
        <v>4.88</v>
      </c>
      <c r="BN660">
        <v>1</v>
      </c>
      <c r="CA660">
        <v>4590</v>
      </c>
      <c r="CB660" t="s">
        <v>2220</v>
      </c>
      <c r="CL660" t="s">
        <v>99</v>
      </c>
      <c r="CM660" t="s">
        <v>98</v>
      </c>
      <c r="CN660" t="s">
        <v>442</v>
      </c>
      <c r="CO660" s="1">
        <v>42996</v>
      </c>
      <c r="CP660" s="1">
        <v>43633</v>
      </c>
    </row>
    <row r="661" spans="1:94" x14ac:dyDescent="0.25">
      <c r="A661" t="s">
        <v>2222</v>
      </c>
      <c r="B661" t="str">
        <f xml:space="preserve"> "" &amp; 747396104614</f>
        <v>747396104614</v>
      </c>
      <c r="C661" t="s">
        <v>751</v>
      </c>
      <c r="D661" t="s">
        <v>6654</v>
      </c>
      <c r="E661" t="s">
        <v>2219</v>
      </c>
      <c r="F661" t="s">
        <v>323</v>
      </c>
      <c r="G661">
        <v>1</v>
      </c>
      <c r="H661">
        <v>1</v>
      </c>
      <c r="I661" t="s">
        <v>97</v>
      </c>
      <c r="J661" s="10">
        <v>39</v>
      </c>
      <c r="K661" s="10">
        <v>117</v>
      </c>
      <c r="L661" s="10">
        <v>0</v>
      </c>
      <c r="N661" s="10">
        <v>0</v>
      </c>
      <c r="S661">
        <v>11.25</v>
      </c>
      <c r="T661">
        <v>11.25</v>
      </c>
      <c r="U661">
        <v>6.25</v>
      </c>
      <c r="V661">
        <v>7</v>
      </c>
      <c r="W661">
        <v>6.88</v>
      </c>
      <c r="X661">
        <v>1</v>
      </c>
      <c r="Y661">
        <v>8.5</v>
      </c>
      <c r="Z661">
        <v>11.25</v>
      </c>
      <c r="AA661">
        <v>10</v>
      </c>
      <c r="AB661">
        <v>0.55300000000000005</v>
      </c>
      <c r="AC661">
        <v>12.65</v>
      </c>
      <c r="AE661">
        <v>1</v>
      </c>
      <c r="AF661" t="s">
        <v>870</v>
      </c>
      <c r="AG661">
        <v>40</v>
      </c>
      <c r="AK661" t="s">
        <v>98</v>
      </c>
      <c r="AM661" t="s">
        <v>98</v>
      </c>
      <c r="AN661" t="s">
        <v>99</v>
      </c>
      <c r="AO661" t="s">
        <v>98</v>
      </c>
      <c r="AP661" t="s">
        <v>100</v>
      </c>
      <c r="AQ661" t="s">
        <v>101</v>
      </c>
      <c r="AV661" t="s">
        <v>98</v>
      </c>
      <c r="AX661" t="s">
        <v>2220</v>
      </c>
      <c r="AZ661" t="s">
        <v>102</v>
      </c>
      <c r="BB661" t="s">
        <v>235</v>
      </c>
      <c r="BC661" t="s">
        <v>713</v>
      </c>
      <c r="BD661" t="s">
        <v>7528</v>
      </c>
      <c r="BF661" t="s">
        <v>2223</v>
      </c>
      <c r="BG661" t="s">
        <v>98</v>
      </c>
      <c r="BH661" t="s">
        <v>98</v>
      </c>
      <c r="BI661" t="s">
        <v>98</v>
      </c>
      <c r="BK661" t="s">
        <v>127</v>
      </c>
      <c r="BL661" t="s">
        <v>7528</v>
      </c>
      <c r="BM661">
        <v>4.5</v>
      </c>
      <c r="BN661">
        <v>0.75</v>
      </c>
      <c r="CA661">
        <v>4591</v>
      </c>
      <c r="CB661" t="s">
        <v>2220</v>
      </c>
      <c r="CL661" t="s">
        <v>99</v>
      </c>
      <c r="CM661" t="s">
        <v>98</v>
      </c>
      <c r="CN661" t="s">
        <v>2224</v>
      </c>
      <c r="CO661" s="1">
        <v>43003</v>
      </c>
      <c r="CP661" s="1">
        <v>43633</v>
      </c>
    </row>
    <row r="662" spans="1:94" x14ac:dyDescent="0.25">
      <c r="A662" t="s">
        <v>2225</v>
      </c>
      <c r="B662" t="str">
        <f xml:space="preserve"> "" &amp; 747396104621</f>
        <v>747396104621</v>
      </c>
      <c r="C662" t="s">
        <v>758</v>
      </c>
      <c r="D662" t="s">
        <v>6655</v>
      </c>
      <c r="E662" t="s">
        <v>2219</v>
      </c>
      <c r="F662" t="s">
        <v>323</v>
      </c>
      <c r="G662">
        <v>1</v>
      </c>
      <c r="H662">
        <v>1</v>
      </c>
      <c r="I662" t="s">
        <v>97</v>
      </c>
      <c r="J662" s="10">
        <v>59</v>
      </c>
      <c r="K662" s="10">
        <v>177</v>
      </c>
      <c r="L662" s="10">
        <v>0</v>
      </c>
      <c r="N662" s="10">
        <v>0</v>
      </c>
      <c r="S662">
        <v>9.5</v>
      </c>
      <c r="U662">
        <v>15.25</v>
      </c>
      <c r="V662">
        <v>7</v>
      </c>
      <c r="W662">
        <v>3.57</v>
      </c>
      <c r="X662">
        <v>1</v>
      </c>
      <c r="Y662">
        <v>13</v>
      </c>
      <c r="Z662">
        <v>17.5</v>
      </c>
      <c r="AA662">
        <v>9.5</v>
      </c>
      <c r="AB662">
        <v>1.2509999999999999</v>
      </c>
      <c r="AC662">
        <v>6.35</v>
      </c>
      <c r="AE662">
        <v>2</v>
      </c>
      <c r="AF662" t="s">
        <v>2226</v>
      </c>
      <c r="AG662">
        <v>40</v>
      </c>
      <c r="AK662" t="s">
        <v>98</v>
      </c>
      <c r="AM662" t="s">
        <v>98</v>
      </c>
      <c r="AN662" t="s">
        <v>99</v>
      </c>
      <c r="AO662" t="s">
        <v>98</v>
      </c>
      <c r="AP662" t="s">
        <v>100</v>
      </c>
      <c r="AQ662" t="s">
        <v>101</v>
      </c>
      <c r="AV662" t="s">
        <v>98</v>
      </c>
      <c r="AX662" t="s">
        <v>2220</v>
      </c>
      <c r="AZ662" t="s">
        <v>102</v>
      </c>
      <c r="BB662" t="s">
        <v>235</v>
      </c>
      <c r="BC662" t="s">
        <v>713</v>
      </c>
      <c r="BD662" t="s">
        <v>7528</v>
      </c>
      <c r="BF662" t="s">
        <v>2227</v>
      </c>
      <c r="BG662" t="s">
        <v>98</v>
      </c>
      <c r="BH662" t="s">
        <v>98</v>
      </c>
      <c r="BI662" t="s">
        <v>98</v>
      </c>
      <c r="BK662" t="s">
        <v>127</v>
      </c>
      <c r="BL662" t="s">
        <v>7528</v>
      </c>
      <c r="BM662">
        <v>12</v>
      </c>
      <c r="BN662">
        <v>0.75</v>
      </c>
      <c r="CA662">
        <v>4592</v>
      </c>
      <c r="CB662" t="s">
        <v>2220</v>
      </c>
      <c r="CL662" t="s">
        <v>99</v>
      </c>
      <c r="CM662" t="s">
        <v>98</v>
      </c>
      <c r="CN662" t="s">
        <v>442</v>
      </c>
      <c r="CO662" s="1">
        <v>43003</v>
      </c>
      <c r="CP662" s="1">
        <v>43633</v>
      </c>
    </row>
    <row r="663" spans="1:94" x14ac:dyDescent="0.25">
      <c r="A663" t="s">
        <v>2228</v>
      </c>
      <c r="B663" t="str">
        <f xml:space="preserve"> "" &amp; 747396104645</f>
        <v>747396104645</v>
      </c>
      <c r="C663" t="s">
        <v>766</v>
      </c>
      <c r="D663" t="s">
        <v>6656</v>
      </c>
      <c r="E663" t="s">
        <v>2219</v>
      </c>
      <c r="F663" t="s">
        <v>323</v>
      </c>
      <c r="G663">
        <v>1</v>
      </c>
      <c r="H663">
        <v>1</v>
      </c>
      <c r="I663" t="s">
        <v>97</v>
      </c>
      <c r="J663" s="10">
        <v>89</v>
      </c>
      <c r="K663" s="10">
        <v>267</v>
      </c>
      <c r="L663" s="10">
        <v>0</v>
      </c>
      <c r="N663" s="10">
        <v>0</v>
      </c>
      <c r="S663">
        <v>9.5</v>
      </c>
      <c r="U663">
        <v>33.25</v>
      </c>
      <c r="V663">
        <v>7</v>
      </c>
      <c r="W663">
        <v>7.72</v>
      </c>
      <c r="X663">
        <v>1</v>
      </c>
      <c r="Y663">
        <v>13</v>
      </c>
      <c r="Z663">
        <v>35.5</v>
      </c>
      <c r="AA663">
        <v>9.5</v>
      </c>
      <c r="AB663">
        <v>2.5369999999999999</v>
      </c>
      <c r="AC663">
        <v>12.19</v>
      </c>
      <c r="AE663">
        <v>4</v>
      </c>
      <c r="AF663" t="s">
        <v>2226</v>
      </c>
      <c r="AG663">
        <v>40</v>
      </c>
      <c r="AK663" t="s">
        <v>98</v>
      </c>
      <c r="AM663" t="s">
        <v>98</v>
      </c>
      <c r="AN663" t="s">
        <v>99</v>
      </c>
      <c r="AO663" t="s">
        <v>98</v>
      </c>
      <c r="AP663" t="s">
        <v>100</v>
      </c>
      <c r="AQ663" t="s">
        <v>101</v>
      </c>
      <c r="AV663" t="s">
        <v>98</v>
      </c>
      <c r="AX663" t="s">
        <v>2220</v>
      </c>
      <c r="AZ663" t="s">
        <v>102</v>
      </c>
      <c r="BB663" t="s">
        <v>235</v>
      </c>
      <c r="BC663" t="s">
        <v>713</v>
      </c>
      <c r="BD663" t="s">
        <v>7528</v>
      </c>
      <c r="BF663" t="s">
        <v>2229</v>
      </c>
      <c r="BG663" t="s">
        <v>98</v>
      </c>
      <c r="BH663" t="s">
        <v>98</v>
      </c>
      <c r="BI663" t="s">
        <v>98</v>
      </c>
      <c r="BK663" t="s">
        <v>127</v>
      </c>
      <c r="BL663" t="s">
        <v>7528</v>
      </c>
      <c r="BM663">
        <v>30</v>
      </c>
      <c r="BN663">
        <v>0.75</v>
      </c>
      <c r="CA663">
        <v>4594</v>
      </c>
      <c r="CB663" t="s">
        <v>2220</v>
      </c>
      <c r="CL663" t="s">
        <v>99</v>
      </c>
      <c r="CM663" t="s">
        <v>98</v>
      </c>
      <c r="CN663" t="s">
        <v>442</v>
      </c>
      <c r="CO663" s="1">
        <v>43010</v>
      </c>
      <c r="CP663" s="1">
        <v>43633</v>
      </c>
    </row>
    <row r="664" spans="1:94" x14ac:dyDescent="0.25">
      <c r="A664" t="s">
        <v>2230</v>
      </c>
      <c r="B664" t="str">
        <f xml:space="preserve"> "" &amp; 747396104584</f>
        <v>747396104584</v>
      </c>
      <c r="C664" t="s">
        <v>343</v>
      </c>
      <c r="D664" t="s">
        <v>6657</v>
      </c>
      <c r="E664" t="s">
        <v>2219</v>
      </c>
      <c r="F664" t="s">
        <v>249</v>
      </c>
      <c r="G664">
        <v>1</v>
      </c>
      <c r="H664">
        <v>1</v>
      </c>
      <c r="I664" t="s">
        <v>97</v>
      </c>
      <c r="J664" s="10">
        <v>185</v>
      </c>
      <c r="K664" s="10">
        <v>555</v>
      </c>
      <c r="L664" s="10">
        <v>0</v>
      </c>
      <c r="N664" s="10">
        <v>0</v>
      </c>
      <c r="O664" t="s">
        <v>99</v>
      </c>
      <c r="P664" s="10">
        <v>389.95</v>
      </c>
      <c r="S664">
        <v>22</v>
      </c>
      <c r="T664">
        <v>26.5</v>
      </c>
      <c r="U664">
        <v>26.5</v>
      </c>
      <c r="W664">
        <v>9.44</v>
      </c>
      <c r="X664">
        <v>1</v>
      </c>
      <c r="Y664">
        <v>12</v>
      </c>
      <c r="Z664">
        <v>27.75</v>
      </c>
      <c r="AA664">
        <v>26.75</v>
      </c>
      <c r="AB664">
        <v>5.1550000000000002</v>
      </c>
      <c r="AC664">
        <v>15.34</v>
      </c>
      <c r="AE664">
        <v>5</v>
      </c>
      <c r="AF664" t="s">
        <v>870</v>
      </c>
      <c r="AG664">
        <v>40</v>
      </c>
      <c r="AK664" t="s">
        <v>98</v>
      </c>
      <c r="AM664" t="s">
        <v>98</v>
      </c>
      <c r="AN664" t="s">
        <v>99</v>
      </c>
      <c r="AO664" t="s">
        <v>98</v>
      </c>
      <c r="AP664" t="s">
        <v>100</v>
      </c>
      <c r="AQ664" t="s">
        <v>101</v>
      </c>
      <c r="AV664" t="s">
        <v>98</v>
      </c>
      <c r="AX664" t="s">
        <v>2220</v>
      </c>
      <c r="AZ664" t="s">
        <v>102</v>
      </c>
      <c r="BB664" t="s">
        <v>235</v>
      </c>
      <c r="BC664" t="s">
        <v>713</v>
      </c>
      <c r="BD664" t="s">
        <v>7528</v>
      </c>
      <c r="BF664" t="s">
        <v>2231</v>
      </c>
      <c r="BG664" t="s">
        <v>98</v>
      </c>
      <c r="BH664" t="s">
        <v>98</v>
      </c>
      <c r="BI664" t="s">
        <v>98</v>
      </c>
      <c r="BK664" t="s">
        <v>110</v>
      </c>
      <c r="BL664" t="s">
        <v>7528</v>
      </c>
      <c r="BQ664">
        <v>4.88</v>
      </c>
      <c r="BR664">
        <v>1</v>
      </c>
      <c r="BS664">
        <v>4.88</v>
      </c>
      <c r="BT664">
        <v>4.88</v>
      </c>
      <c r="CA664">
        <v>4595</v>
      </c>
      <c r="CB664" t="s">
        <v>2220</v>
      </c>
      <c r="CL664" t="s">
        <v>99</v>
      </c>
      <c r="CM664" t="s">
        <v>98</v>
      </c>
      <c r="CN664" t="s">
        <v>442</v>
      </c>
      <c r="CO664" s="1">
        <v>42996</v>
      </c>
      <c r="CP664" s="1">
        <v>43633</v>
      </c>
    </row>
    <row r="665" spans="1:94" x14ac:dyDescent="0.25">
      <c r="A665" t="s">
        <v>2232</v>
      </c>
      <c r="B665" t="str">
        <f xml:space="preserve"> "" &amp; 747396104652</f>
        <v>747396104652</v>
      </c>
      <c r="C665" t="s">
        <v>1690</v>
      </c>
      <c r="D665" t="s">
        <v>6658</v>
      </c>
      <c r="E665" t="s">
        <v>2219</v>
      </c>
      <c r="F665" t="s">
        <v>314</v>
      </c>
      <c r="G665">
        <v>1</v>
      </c>
      <c r="H665">
        <v>1</v>
      </c>
      <c r="I665" t="s">
        <v>97</v>
      </c>
      <c r="J665" s="10">
        <v>359</v>
      </c>
      <c r="K665" s="10">
        <v>1077</v>
      </c>
      <c r="L665" s="10">
        <v>0</v>
      </c>
      <c r="N665" s="10">
        <v>0</v>
      </c>
      <c r="O665" t="s">
        <v>99</v>
      </c>
      <c r="P665" s="10">
        <v>754.95</v>
      </c>
      <c r="S665">
        <v>18</v>
      </c>
      <c r="T665">
        <v>38</v>
      </c>
      <c r="U665">
        <v>38</v>
      </c>
      <c r="V665">
        <v>15</v>
      </c>
      <c r="W665">
        <v>13.93</v>
      </c>
      <c r="X665">
        <v>1</v>
      </c>
      <c r="Y665">
        <v>13.5</v>
      </c>
      <c r="Z665">
        <v>40.75</v>
      </c>
      <c r="AA665">
        <v>17.5</v>
      </c>
      <c r="AB665">
        <v>5.5709999999999997</v>
      </c>
      <c r="AC665">
        <v>19.399999999999999</v>
      </c>
      <c r="AE665">
        <v>6</v>
      </c>
      <c r="AF665" t="s">
        <v>2226</v>
      </c>
      <c r="AG665">
        <v>40</v>
      </c>
      <c r="AK665" t="s">
        <v>98</v>
      </c>
      <c r="AM665" t="s">
        <v>98</v>
      </c>
      <c r="AN665" t="s">
        <v>98</v>
      </c>
      <c r="AO665" t="s">
        <v>98</v>
      </c>
      <c r="AP665" t="s">
        <v>100</v>
      </c>
      <c r="AQ665" t="s">
        <v>101</v>
      </c>
      <c r="AV665" t="s">
        <v>98</v>
      </c>
      <c r="AX665" t="s">
        <v>2220</v>
      </c>
      <c r="AZ665" t="s">
        <v>102</v>
      </c>
      <c r="BB665" t="s">
        <v>7528</v>
      </c>
      <c r="BC665" t="s">
        <v>7528</v>
      </c>
      <c r="BD665" t="s">
        <v>7528</v>
      </c>
      <c r="BF665" t="s">
        <v>2233</v>
      </c>
      <c r="BG665" t="s">
        <v>98</v>
      </c>
      <c r="BH665" t="s">
        <v>98</v>
      </c>
      <c r="BI665" t="s">
        <v>98</v>
      </c>
      <c r="BK665" t="s">
        <v>110</v>
      </c>
      <c r="BL665" t="s">
        <v>7528</v>
      </c>
      <c r="CA665">
        <v>4596</v>
      </c>
      <c r="CB665" t="s">
        <v>2220</v>
      </c>
      <c r="CL665" t="s">
        <v>99</v>
      </c>
      <c r="CM665" t="s">
        <v>98</v>
      </c>
      <c r="CN665" t="s">
        <v>7528</v>
      </c>
      <c r="CO665" s="1">
        <v>43010</v>
      </c>
      <c r="CP665" s="1">
        <v>43633</v>
      </c>
    </row>
    <row r="666" spans="1:94" x14ac:dyDescent="0.25">
      <c r="A666" t="s">
        <v>2234</v>
      </c>
      <c r="B666" t="str">
        <f xml:space="preserve"> "" &amp; 747396104669</f>
        <v>747396104669</v>
      </c>
      <c r="C666" t="s">
        <v>1371</v>
      </c>
      <c r="D666" t="s">
        <v>6659</v>
      </c>
      <c r="E666" t="s">
        <v>2219</v>
      </c>
      <c r="F666" t="s">
        <v>377</v>
      </c>
      <c r="G666">
        <v>1</v>
      </c>
      <c r="H666">
        <v>1</v>
      </c>
      <c r="I666" t="s">
        <v>97</v>
      </c>
      <c r="J666" s="10">
        <v>129</v>
      </c>
      <c r="K666" s="10">
        <v>387</v>
      </c>
      <c r="L666" s="10">
        <v>0</v>
      </c>
      <c r="N666" s="10">
        <v>0</v>
      </c>
      <c r="O666" t="s">
        <v>99</v>
      </c>
      <c r="P666" s="10">
        <v>269.95</v>
      </c>
      <c r="S666">
        <v>14.5</v>
      </c>
      <c r="T666">
        <v>16</v>
      </c>
      <c r="U666">
        <v>16</v>
      </c>
      <c r="W666">
        <v>6.11</v>
      </c>
      <c r="X666">
        <v>1</v>
      </c>
      <c r="Y666">
        <v>13.25</v>
      </c>
      <c r="Z666">
        <v>15.63</v>
      </c>
      <c r="AA666">
        <v>15.63</v>
      </c>
      <c r="AB666">
        <v>1.873</v>
      </c>
      <c r="AC666">
        <v>9.9600000000000009</v>
      </c>
      <c r="AE666">
        <v>4</v>
      </c>
      <c r="AF666" t="s">
        <v>2226</v>
      </c>
      <c r="AG666">
        <v>40</v>
      </c>
      <c r="AK666" t="s">
        <v>98</v>
      </c>
      <c r="AM666" t="s">
        <v>98</v>
      </c>
      <c r="AN666" t="s">
        <v>99</v>
      </c>
      <c r="AO666" t="s">
        <v>98</v>
      </c>
      <c r="AP666" t="s">
        <v>100</v>
      </c>
      <c r="AQ666" t="s">
        <v>101</v>
      </c>
      <c r="AV666" t="s">
        <v>98</v>
      </c>
      <c r="AX666" t="s">
        <v>2220</v>
      </c>
      <c r="AZ666" t="s">
        <v>102</v>
      </c>
      <c r="BB666" t="s">
        <v>235</v>
      </c>
      <c r="BC666" t="s">
        <v>713</v>
      </c>
      <c r="BD666" t="s">
        <v>7528</v>
      </c>
      <c r="BF666" t="s">
        <v>2235</v>
      </c>
      <c r="BG666" t="s">
        <v>98</v>
      </c>
      <c r="BH666" t="s">
        <v>98</v>
      </c>
      <c r="BI666" t="s">
        <v>98</v>
      </c>
      <c r="BK666" t="s">
        <v>127</v>
      </c>
      <c r="BL666" t="s">
        <v>7528</v>
      </c>
      <c r="BQ666">
        <v>5</v>
      </c>
      <c r="BR666">
        <v>0.88</v>
      </c>
      <c r="BS666">
        <v>5</v>
      </c>
      <c r="BT666">
        <v>5</v>
      </c>
      <c r="CA666">
        <v>4597</v>
      </c>
      <c r="CB666" t="s">
        <v>2220</v>
      </c>
      <c r="CL666" t="s">
        <v>99</v>
      </c>
      <c r="CM666" t="s">
        <v>98</v>
      </c>
      <c r="CN666" t="s">
        <v>442</v>
      </c>
      <c r="CO666" s="1">
        <v>43010</v>
      </c>
      <c r="CP666" s="1">
        <v>43633</v>
      </c>
    </row>
    <row r="667" spans="1:94" x14ac:dyDescent="0.25">
      <c r="A667" t="s">
        <v>2236</v>
      </c>
      <c r="B667" t="str">
        <f xml:space="preserve"> "" &amp; 747396104607</f>
        <v>747396104607</v>
      </c>
      <c r="C667" t="s">
        <v>350</v>
      </c>
      <c r="D667" t="s">
        <v>6660</v>
      </c>
      <c r="E667" t="s">
        <v>2219</v>
      </c>
      <c r="F667" t="s">
        <v>249</v>
      </c>
      <c r="G667">
        <v>1</v>
      </c>
      <c r="H667">
        <v>1</v>
      </c>
      <c r="I667" t="s">
        <v>97</v>
      </c>
      <c r="J667" s="10">
        <v>369</v>
      </c>
      <c r="K667" s="10">
        <v>1107</v>
      </c>
      <c r="L667" s="10">
        <v>0</v>
      </c>
      <c r="N667" s="10">
        <v>0</v>
      </c>
      <c r="O667" t="s">
        <v>99</v>
      </c>
      <c r="P667" s="10">
        <v>774.95</v>
      </c>
      <c r="S667">
        <v>25.75</v>
      </c>
      <c r="T667">
        <v>30</v>
      </c>
      <c r="U667">
        <v>30</v>
      </c>
      <c r="W667">
        <v>16.09</v>
      </c>
      <c r="X667">
        <v>1</v>
      </c>
      <c r="Y667">
        <v>20.5</v>
      </c>
      <c r="Z667">
        <v>32.5</v>
      </c>
      <c r="AA667">
        <v>29.25</v>
      </c>
      <c r="AB667">
        <v>11.278</v>
      </c>
      <c r="AC667">
        <v>30.23</v>
      </c>
      <c r="AE667">
        <v>9</v>
      </c>
      <c r="AF667" t="s">
        <v>870</v>
      </c>
      <c r="AG667">
        <v>40</v>
      </c>
      <c r="AK667" t="s">
        <v>98</v>
      </c>
      <c r="AM667" t="s">
        <v>98</v>
      </c>
      <c r="AN667" t="s">
        <v>99</v>
      </c>
      <c r="AO667" t="s">
        <v>98</v>
      </c>
      <c r="AP667" t="s">
        <v>100</v>
      </c>
      <c r="AQ667" t="s">
        <v>101</v>
      </c>
      <c r="AV667" t="s">
        <v>98</v>
      </c>
      <c r="AX667" t="s">
        <v>2220</v>
      </c>
      <c r="AZ667" t="s">
        <v>102</v>
      </c>
      <c r="BB667" t="s">
        <v>235</v>
      </c>
      <c r="BC667" t="s">
        <v>713</v>
      </c>
      <c r="BD667" t="s">
        <v>7528</v>
      </c>
      <c r="BF667" t="s">
        <v>2237</v>
      </c>
      <c r="BG667" t="s">
        <v>98</v>
      </c>
      <c r="BH667" t="s">
        <v>98</v>
      </c>
      <c r="BI667" t="s">
        <v>98</v>
      </c>
      <c r="BK667" t="s">
        <v>110</v>
      </c>
      <c r="BL667" t="s">
        <v>7528</v>
      </c>
      <c r="BR667">
        <v>1</v>
      </c>
      <c r="BS667">
        <v>4.88</v>
      </c>
      <c r="BT667">
        <v>4.88</v>
      </c>
      <c r="CA667">
        <v>4598</v>
      </c>
      <c r="CB667" t="s">
        <v>2220</v>
      </c>
      <c r="CL667" t="s">
        <v>99</v>
      </c>
      <c r="CM667" t="s">
        <v>98</v>
      </c>
      <c r="CN667" t="s">
        <v>442</v>
      </c>
      <c r="CO667" s="1">
        <v>42996</v>
      </c>
      <c r="CP667" s="1">
        <v>43633</v>
      </c>
    </row>
    <row r="668" spans="1:94" x14ac:dyDescent="0.25">
      <c r="A668" t="s">
        <v>2238</v>
      </c>
      <c r="B668" t="str">
        <f xml:space="preserve"> "" &amp; 747396104676</f>
        <v>747396104676</v>
      </c>
      <c r="C668" t="s">
        <v>258</v>
      </c>
      <c r="D668" t="s">
        <v>6661</v>
      </c>
      <c r="E668" t="s">
        <v>2219</v>
      </c>
      <c r="F668" t="s">
        <v>249</v>
      </c>
      <c r="G668">
        <v>1</v>
      </c>
      <c r="H668">
        <v>1</v>
      </c>
      <c r="I668" t="s">
        <v>97</v>
      </c>
      <c r="J668" s="10">
        <v>525</v>
      </c>
      <c r="K668" s="10">
        <v>1575</v>
      </c>
      <c r="L668" s="10">
        <v>0</v>
      </c>
      <c r="N668" s="10">
        <v>0</v>
      </c>
      <c r="O668" t="s">
        <v>99</v>
      </c>
      <c r="P668" s="10">
        <v>1104.95</v>
      </c>
      <c r="S668">
        <v>36</v>
      </c>
      <c r="T668">
        <v>36</v>
      </c>
      <c r="U668">
        <v>36</v>
      </c>
      <c r="W668">
        <v>21.34</v>
      </c>
      <c r="X668">
        <v>1</v>
      </c>
      <c r="Y668">
        <v>24.25</v>
      </c>
      <c r="Z668">
        <v>39</v>
      </c>
      <c r="AA668">
        <v>34.5</v>
      </c>
      <c r="AB668">
        <v>18.882000000000001</v>
      </c>
      <c r="AC668">
        <v>42.68</v>
      </c>
      <c r="AE668">
        <v>12</v>
      </c>
      <c r="AF668" t="s">
        <v>870</v>
      </c>
      <c r="AG668">
        <v>40</v>
      </c>
      <c r="AK668" t="s">
        <v>98</v>
      </c>
      <c r="AM668" t="s">
        <v>98</v>
      </c>
      <c r="AN668" t="s">
        <v>99</v>
      </c>
      <c r="AO668" t="s">
        <v>98</v>
      </c>
      <c r="AP668" t="s">
        <v>100</v>
      </c>
      <c r="AQ668" t="s">
        <v>101</v>
      </c>
      <c r="AV668" t="s">
        <v>98</v>
      </c>
      <c r="AX668" t="s">
        <v>2220</v>
      </c>
      <c r="AZ668" t="s">
        <v>102</v>
      </c>
      <c r="BB668" t="s">
        <v>235</v>
      </c>
      <c r="BC668" t="s">
        <v>713</v>
      </c>
      <c r="BD668" t="s">
        <v>7528</v>
      </c>
      <c r="BF668" t="s">
        <v>2239</v>
      </c>
      <c r="BG668" t="s">
        <v>98</v>
      </c>
      <c r="BH668" t="s">
        <v>98</v>
      </c>
      <c r="BI668" t="s">
        <v>98</v>
      </c>
      <c r="BK668" t="s">
        <v>110</v>
      </c>
      <c r="BL668" t="s">
        <v>7528</v>
      </c>
      <c r="BR668">
        <v>1</v>
      </c>
      <c r="BS668">
        <v>4.88</v>
      </c>
      <c r="BT668">
        <v>4.88</v>
      </c>
      <c r="CA668">
        <v>4599</v>
      </c>
      <c r="CB668" t="s">
        <v>2220</v>
      </c>
      <c r="CL668" t="s">
        <v>99</v>
      </c>
      <c r="CM668" t="s">
        <v>98</v>
      </c>
      <c r="CN668" t="s">
        <v>442</v>
      </c>
      <c r="CO668" s="1">
        <v>43010</v>
      </c>
      <c r="CP668" s="1">
        <v>43633</v>
      </c>
    </row>
    <row r="669" spans="1:94" x14ac:dyDescent="0.25">
      <c r="A669" t="s">
        <v>2240</v>
      </c>
      <c r="B669" t="str">
        <f xml:space="preserve"> "" &amp; 747396104515</f>
        <v>747396104515</v>
      </c>
      <c r="C669" t="s">
        <v>230</v>
      </c>
      <c r="D669" t="s">
        <v>6662</v>
      </c>
      <c r="E669" t="s">
        <v>2241</v>
      </c>
      <c r="F669" t="s">
        <v>232</v>
      </c>
      <c r="G669">
        <v>1</v>
      </c>
      <c r="H669">
        <v>1</v>
      </c>
      <c r="I669" t="s">
        <v>97</v>
      </c>
      <c r="J669" s="10">
        <v>46</v>
      </c>
      <c r="K669" s="10">
        <v>138</v>
      </c>
      <c r="L669" s="10">
        <v>0</v>
      </c>
      <c r="N669" s="10">
        <v>0</v>
      </c>
      <c r="O669" t="s">
        <v>99</v>
      </c>
      <c r="P669" s="10">
        <v>94.95</v>
      </c>
      <c r="S669">
        <v>18</v>
      </c>
      <c r="T669">
        <v>17.13</v>
      </c>
      <c r="U669">
        <v>4.75</v>
      </c>
      <c r="V669">
        <v>5.5</v>
      </c>
      <c r="W669">
        <v>3.55</v>
      </c>
      <c r="X669">
        <v>1</v>
      </c>
      <c r="Y669">
        <v>9</v>
      </c>
      <c r="Z669">
        <v>17.13</v>
      </c>
      <c r="AA669">
        <v>8</v>
      </c>
      <c r="AB669">
        <v>0.71399999999999997</v>
      </c>
      <c r="AC669">
        <v>5.07</v>
      </c>
      <c r="AE669">
        <v>1</v>
      </c>
      <c r="AF669" t="s">
        <v>1050</v>
      </c>
      <c r="AG669">
        <v>60</v>
      </c>
      <c r="AK669" t="s">
        <v>98</v>
      </c>
      <c r="AM669" t="s">
        <v>98</v>
      </c>
      <c r="AN669" t="s">
        <v>99</v>
      </c>
      <c r="AO669" t="s">
        <v>98</v>
      </c>
      <c r="AP669" t="s">
        <v>100</v>
      </c>
      <c r="AQ669" t="s">
        <v>101</v>
      </c>
      <c r="AV669" t="s">
        <v>98</v>
      </c>
      <c r="AX669" t="s">
        <v>7577</v>
      </c>
      <c r="AZ669" t="s">
        <v>102</v>
      </c>
      <c r="BB669" t="s">
        <v>235</v>
      </c>
      <c r="BC669" t="s">
        <v>746</v>
      </c>
      <c r="BD669" t="s">
        <v>7528</v>
      </c>
      <c r="BF669" t="s">
        <v>2242</v>
      </c>
      <c r="BG669" t="s">
        <v>98</v>
      </c>
      <c r="BH669" t="s">
        <v>98</v>
      </c>
      <c r="BI669" t="s">
        <v>98</v>
      </c>
      <c r="BK669" t="s">
        <v>110</v>
      </c>
      <c r="BL669" t="s">
        <v>236</v>
      </c>
      <c r="BM669">
        <v>4.75</v>
      </c>
      <c r="BN669">
        <v>0.75</v>
      </c>
      <c r="CA669">
        <v>4600</v>
      </c>
      <c r="CB669" t="s">
        <v>7577</v>
      </c>
      <c r="CL669" t="s">
        <v>99</v>
      </c>
      <c r="CM669" t="s">
        <v>98</v>
      </c>
      <c r="CN669" t="s">
        <v>442</v>
      </c>
      <c r="CO669" s="1">
        <v>42996</v>
      </c>
      <c r="CP669" s="1">
        <v>43633</v>
      </c>
    </row>
    <row r="670" spans="1:94" x14ac:dyDescent="0.25">
      <c r="A670" t="s">
        <v>2243</v>
      </c>
      <c r="B670" t="str">
        <f xml:space="preserve"> "" &amp; 747396104461</f>
        <v>747396104461</v>
      </c>
      <c r="C670" t="s">
        <v>2244</v>
      </c>
      <c r="D670" t="s">
        <v>6663</v>
      </c>
      <c r="E670" t="s">
        <v>2241</v>
      </c>
      <c r="F670" t="s">
        <v>232</v>
      </c>
      <c r="G670">
        <v>1</v>
      </c>
      <c r="H670">
        <v>1</v>
      </c>
      <c r="I670" t="s">
        <v>97</v>
      </c>
      <c r="J670" s="10">
        <v>42</v>
      </c>
      <c r="K670" s="10">
        <v>126</v>
      </c>
      <c r="L670" s="10">
        <v>0</v>
      </c>
      <c r="N670" s="10">
        <v>0</v>
      </c>
      <c r="O670" t="s">
        <v>99</v>
      </c>
      <c r="P670" s="10">
        <v>89.95</v>
      </c>
      <c r="S670">
        <v>11</v>
      </c>
      <c r="T670">
        <v>12.25</v>
      </c>
      <c r="U670">
        <v>5</v>
      </c>
      <c r="V670">
        <v>4.75</v>
      </c>
      <c r="W670">
        <v>2.34</v>
      </c>
      <c r="X670">
        <v>1</v>
      </c>
      <c r="Y670">
        <v>9.25</v>
      </c>
      <c r="Z670">
        <v>12.25</v>
      </c>
      <c r="AA670">
        <v>7</v>
      </c>
      <c r="AB670">
        <v>0.45900000000000002</v>
      </c>
      <c r="AC670">
        <v>3.11</v>
      </c>
      <c r="AE670">
        <v>1</v>
      </c>
      <c r="AF670" t="s">
        <v>1050</v>
      </c>
      <c r="AG670">
        <v>60</v>
      </c>
      <c r="AK670" t="s">
        <v>98</v>
      </c>
      <c r="AM670" t="s">
        <v>98</v>
      </c>
      <c r="AN670" t="s">
        <v>99</v>
      </c>
      <c r="AO670" t="s">
        <v>98</v>
      </c>
      <c r="AP670" t="s">
        <v>100</v>
      </c>
      <c r="AQ670" t="s">
        <v>101</v>
      </c>
      <c r="AV670" t="s">
        <v>98</v>
      </c>
      <c r="AX670" t="s">
        <v>7577</v>
      </c>
      <c r="AZ670" t="s">
        <v>102</v>
      </c>
      <c r="BB670" t="s">
        <v>235</v>
      </c>
      <c r="BC670" t="s">
        <v>2245</v>
      </c>
      <c r="BD670" t="s">
        <v>7528</v>
      </c>
      <c r="BF670" t="s">
        <v>2246</v>
      </c>
      <c r="BG670" t="s">
        <v>98</v>
      </c>
      <c r="BH670" t="s">
        <v>98</v>
      </c>
      <c r="BI670" t="s">
        <v>98</v>
      </c>
      <c r="BK670" t="s">
        <v>110</v>
      </c>
      <c r="BL670" t="s">
        <v>7528</v>
      </c>
      <c r="BM670">
        <v>5</v>
      </c>
      <c r="BN670">
        <v>0.75</v>
      </c>
      <c r="CA670">
        <v>4601</v>
      </c>
      <c r="CB670" t="s">
        <v>7577</v>
      </c>
      <c r="CL670" t="s">
        <v>99</v>
      </c>
      <c r="CM670" t="s">
        <v>98</v>
      </c>
      <c r="CN670" t="s">
        <v>442</v>
      </c>
      <c r="CO670" s="1">
        <v>42996</v>
      </c>
      <c r="CP670" s="1">
        <v>43633</v>
      </c>
    </row>
    <row r="671" spans="1:94" x14ac:dyDescent="0.25">
      <c r="A671" t="s">
        <v>2247</v>
      </c>
      <c r="B671" t="str">
        <f xml:space="preserve"> "" &amp; 747396104478</f>
        <v>747396104478</v>
      </c>
      <c r="C671" t="s">
        <v>758</v>
      </c>
      <c r="D671" t="s">
        <v>6664</v>
      </c>
      <c r="E671" t="s">
        <v>2241</v>
      </c>
      <c r="F671" t="s">
        <v>323</v>
      </c>
      <c r="G671">
        <v>1</v>
      </c>
      <c r="H671">
        <v>1</v>
      </c>
      <c r="I671" t="s">
        <v>97</v>
      </c>
      <c r="J671" s="10">
        <v>64</v>
      </c>
      <c r="K671" s="10">
        <v>192</v>
      </c>
      <c r="L671" s="10">
        <v>0</v>
      </c>
      <c r="N671" s="10">
        <v>0</v>
      </c>
      <c r="O671" t="s">
        <v>99</v>
      </c>
      <c r="P671" s="10">
        <v>134.94999999999999</v>
      </c>
      <c r="S671">
        <v>9</v>
      </c>
      <c r="U671">
        <v>12.75</v>
      </c>
      <c r="V671">
        <v>4.75</v>
      </c>
      <c r="W671">
        <v>3.66</v>
      </c>
      <c r="X671">
        <v>1</v>
      </c>
      <c r="Y671">
        <v>10</v>
      </c>
      <c r="Z671">
        <v>17.5</v>
      </c>
      <c r="AA671">
        <v>7.25</v>
      </c>
      <c r="AB671">
        <v>0.73399999999999999</v>
      </c>
      <c r="AC671">
        <v>5.38</v>
      </c>
      <c r="AE671">
        <v>2</v>
      </c>
      <c r="AF671" t="s">
        <v>1050</v>
      </c>
      <c r="AG671">
        <v>60</v>
      </c>
      <c r="AK671" t="s">
        <v>98</v>
      </c>
      <c r="AM671" t="s">
        <v>98</v>
      </c>
      <c r="AN671" t="s">
        <v>99</v>
      </c>
      <c r="AO671" t="s">
        <v>98</v>
      </c>
      <c r="AP671" t="s">
        <v>100</v>
      </c>
      <c r="AQ671" t="s">
        <v>101</v>
      </c>
      <c r="AV671" t="s">
        <v>98</v>
      </c>
      <c r="AX671" t="s">
        <v>7577</v>
      </c>
      <c r="AZ671" t="s">
        <v>102</v>
      </c>
      <c r="BB671" t="s">
        <v>235</v>
      </c>
      <c r="BC671" t="s">
        <v>2245</v>
      </c>
      <c r="BD671" t="s">
        <v>7528</v>
      </c>
      <c r="BF671" t="s">
        <v>2248</v>
      </c>
      <c r="BG671" t="s">
        <v>98</v>
      </c>
      <c r="BH671" t="s">
        <v>98</v>
      </c>
      <c r="BI671" t="s">
        <v>98</v>
      </c>
      <c r="BK671" t="s">
        <v>127</v>
      </c>
      <c r="BL671" t="s">
        <v>756</v>
      </c>
      <c r="BM671">
        <v>8.75</v>
      </c>
      <c r="BN671">
        <v>0.75</v>
      </c>
      <c r="CA671">
        <v>4602</v>
      </c>
      <c r="CB671" t="s">
        <v>7577</v>
      </c>
      <c r="CL671" t="s">
        <v>99</v>
      </c>
      <c r="CM671" t="s">
        <v>98</v>
      </c>
      <c r="CN671" t="s">
        <v>442</v>
      </c>
      <c r="CO671" s="1">
        <v>42996</v>
      </c>
      <c r="CP671" s="1">
        <v>43633</v>
      </c>
    </row>
    <row r="672" spans="1:94" x14ac:dyDescent="0.25">
      <c r="A672" t="s">
        <v>2249</v>
      </c>
      <c r="B672" t="str">
        <f xml:space="preserve"> "" &amp; 747396104485</f>
        <v>747396104485</v>
      </c>
      <c r="C672" t="s">
        <v>762</v>
      </c>
      <c r="D672" t="s">
        <v>6665</v>
      </c>
      <c r="E672" t="s">
        <v>2241</v>
      </c>
      <c r="F672" t="s">
        <v>323</v>
      </c>
      <c r="G672">
        <v>1</v>
      </c>
      <c r="H672">
        <v>1</v>
      </c>
      <c r="I672" t="s">
        <v>97</v>
      </c>
      <c r="J672" s="10">
        <v>84</v>
      </c>
      <c r="K672" s="10">
        <v>252</v>
      </c>
      <c r="L672" s="10">
        <v>0</v>
      </c>
      <c r="N672" s="10">
        <v>0</v>
      </c>
      <c r="O672" t="s">
        <v>99</v>
      </c>
      <c r="P672" s="10">
        <v>174.95</v>
      </c>
      <c r="S672">
        <v>9</v>
      </c>
      <c r="U672">
        <v>21.25</v>
      </c>
      <c r="V672">
        <v>4.75</v>
      </c>
      <c r="W672">
        <v>5.14</v>
      </c>
      <c r="X672">
        <v>1</v>
      </c>
      <c r="Y672">
        <v>10</v>
      </c>
      <c r="Z672">
        <v>25.13</v>
      </c>
      <c r="AA672">
        <v>7.25</v>
      </c>
      <c r="AB672">
        <v>1.054</v>
      </c>
      <c r="AC672">
        <v>7.5</v>
      </c>
      <c r="AE672">
        <v>3</v>
      </c>
      <c r="AF672" t="s">
        <v>1050</v>
      </c>
      <c r="AG672">
        <v>60</v>
      </c>
      <c r="AK672" t="s">
        <v>98</v>
      </c>
      <c r="AM672" t="s">
        <v>98</v>
      </c>
      <c r="AN672" t="s">
        <v>99</v>
      </c>
      <c r="AO672" t="s">
        <v>98</v>
      </c>
      <c r="AP672" t="s">
        <v>100</v>
      </c>
      <c r="AQ672" t="s">
        <v>101</v>
      </c>
      <c r="AV672" t="s">
        <v>98</v>
      </c>
      <c r="AX672" t="s">
        <v>7577</v>
      </c>
      <c r="AZ672" t="s">
        <v>102</v>
      </c>
      <c r="BB672" t="s">
        <v>235</v>
      </c>
      <c r="BC672" t="s">
        <v>2245</v>
      </c>
      <c r="BD672" t="s">
        <v>7528</v>
      </c>
      <c r="BF672" t="s">
        <v>2250</v>
      </c>
      <c r="BG672" t="s">
        <v>98</v>
      </c>
      <c r="BH672" t="s">
        <v>98</v>
      </c>
      <c r="BI672" t="s">
        <v>98</v>
      </c>
      <c r="BK672" t="s">
        <v>127</v>
      </c>
      <c r="BL672" t="s">
        <v>7528</v>
      </c>
      <c r="BM672">
        <v>8.6300000000000008</v>
      </c>
      <c r="BN672">
        <v>0.63</v>
      </c>
      <c r="CA672">
        <v>4603</v>
      </c>
      <c r="CB672" t="s">
        <v>7577</v>
      </c>
      <c r="CL672" t="s">
        <v>99</v>
      </c>
      <c r="CM672" t="s">
        <v>98</v>
      </c>
      <c r="CN672" t="s">
        <v>442</v>
      </c>
      <c r="CO672" s="1">
        <v>42996</v>
      </c>
      <c r="CP672" s="1">
        <v>43633</v>
      </c>
    </row>
    <row r="673" spans="1:94" x14ac:dyDescent="0.25">
      <c r="A673" t="s">
        <v>2251</v>
      </c>
      <c r="B673" t="str">
        <f xml:space="preserve"> "" &amp; 747396104492</f>
        <v>747396104492</v>
      </c>
      <c r="C673" t="s">
        <v>766</v>
      </c>
      <c r="D673" t="s">
        <v>2252</v>
      </c>
      <c r="E673" t="s">
        <v>2241</v>
      </c>
      <c r="F673" t="s">
        <v>323</v>
      </c>
      <c r="G673">
        <v>1</v>
      </c>
      <c r="H673">
        <v>1</v>
      </c>
      <c r="I673" t="s">
        <v>97</v>
      </c>
      <c r="J673" s="10">
        <v>105</v>
      </c>
      <c r="K673" s="10">
        <v>315</v>
      </c>
      <c r="L673" s="10">
        <v>0</v>
      </c>
      <c r="N673" s="10">
        <v>0</v>
      </c>
      <c r="O673" t="s">
        <v>99</v>
      </c>
      <c r="P673" s="10">
        <v>224.95</v>
      </c>
      <c r="S673">
        <v>9</v>
      </c>
      <c r="U673">
        <v>29.75</v>
      </c>
      <c r="V673">
        <v>4.75</v>
      </c>
      <c r="W673">
        <v>6.46</v>
      </c>
      <c r="X673">
        <v>1</v>
      </c>
      <c r="Y673">
        <v>10</v>
      </c>
      <c r="Z673">
        <v>33.25</v>
      </c>
      <c r="AA673">
        <v>7.25</v>
      </c>
      <c r="AB673">
        <v>1.395</v>
      </c>
      <c r="AC673">
        <v>9.44</v>
      </c>
      <c r="AE673">
        <v>4</v>
      </c>
      <c r="AF673" t="s">
        <v>1050</v>
      </c>
      <c r="AG673">
        <v>60</v>
      </c>
      <c r="AK673" t="s">
        <v>98</v>
      </c>
      <c r="AM673" t="s">
        <v>98</v>
      </c>
      <c r="AN673" t="s">
        <v>99</v>
      </c>
      <c r="AO673" t="s">
        <v>98</v>
      </c>
      <c r="AP673" t="s">
        <v>100</v>
      </c>
      <c r="AQ673" t="s">
        <v>101</v>
      </c>
      <c r="AV673" t="s">
        <v>98</v>
      </c>
      <c r="AX673" t="s">
        <v>7577</v>
      </c>
      <c r="AZ673" t="s">
        <v>102</v>
      </c>
      <c r="BB673" t="s">
        <v>235</v>
      </c>
      <c r="BC673" t="s">
        <v>746</v>
      </c>
      <c r="BD673" t="s">
        <v>7528</v>
      </c>
      <c r="BF673" t="s">
        <v>2253</v>
      </c>
      <c r="BG673" t="s">
        <v>98</v>
      </c>
      <c r="BH673" t="s">
        <v>98</v>
      </c>
      <c r="BI673" t="s">
        <v>98</v>
      </c>
      <c r="BK673" t="s">
        <v>127</v>
      </c>
      <c r="BL673" t="s">
        <v>7528</v>
      </c>
      <c r="BM673">
        <v>8.6300000000000008</v>
      </c>
      <c r="BN673">
        <v>0.63</v>
      </c>
      <c r="CA673">
        <v>4604</v>
      </c>
      <c r="CB673" t="s">
        <v>7577</v>
      </c>
      <c r="CL673" t="s">
        <v>99</v>
      </c>
      <c r="CM673" t="s">
        <v>98</v>
      </c>
      <c r="CN673" t="s">
        <v>442</v>
      </c>
      <c r="CO673" s="1">
        <v>42996</v>
      </c>
      <c r="CP673" s="1">
        <v>43633</v>
      </c>
    </row>
    <row r="674" spans="1:94" x14ac:dyDescent="0.25">
      <c r="A674" t="s">
        <v>2254</v>
      </c>
      <c r="B674" t="str">
        <f xml:space="preserve"> "" &amp; 747396104522</f>
        <v>747396104522</v>
      </c>
      <c r="C674" t="s">
        <v>1371</v>
      </c>
      <c r="D674" t="s">
        <v>6666</v>
      </c>
      <c r="E674" t="s">
        <v>2241</v>
      </c>
      <c r="F674" t="s">
        <v>377</v>
      </c>
      <c r="G674">
        <v>1</v>
      </c>
      <c r="H674">
        <v>1</v>
      </c>
      <c r="I674" t="s">
        <v>97</v>
      </c>
      <c r="J674" s="10">
        <v>145</v>
      </c>
      <c r="K674" s="10">
        <v>435</v>
      </c>
      <c r="L674" s="10">
        <v>0</v>
      </c>
      <c r="N674" s="10">
        <v>0</v>
      </c>
      <c r="O674" t="s">
        <v>99</v>
      </c>
      <c r="P674" s="10">
        <v>304.95</v>
      </c>
      <c r="S674">
        <v>13.75</v>
      </c>
      <c r="U674">
        <v>15.75</v>
      </c>
      <c r="V674">
        <v>13.25</v>
      </c>
      <c r="W674">
        <v>7.58</v>
      </c>
      <c r="X674">
        <v>1</v>
      </c>
      <c r="Y674">
        <v>10</v>
      </c>
      <c r="Z674">
        <v>18.25</v>
      </c>
      <c r="AA674">
        <v>15.75</v>
      </c>
      <c r="AB674">
        <v>1.663</v>
      </c>
      <c r="AC674">
        <v>10.93</v>
      </c>
      <c r="AE674">
        <v>4</v>
      </c>
      <c r="AF674" t="s">
        <v>1050</v>
      </c>
      <c r="AG674">
        <v>60</v>
      </c>
      <c r="AK674" t="s">
        <v>98</v>
      </c>
      <c r="AM674" t="s">
        <v>98</v>
      </c>
      <c r="AN674" t="s">
        <v>99</v>
      </c>
      <c r="AO674" t="s">
        <v>98</v>
      </c>
      <c r="AP674" t="s">
        <v>100</v>
      </c>
      <c r="AQ674" t="s">
        <v>101</v>
      </c>
      <c r="AV674" t="s">
        <v>98</v>
      </c>
      <c r="AX674" t="s">
        <v>7577</v>
      </c>
      <c r="AZ674" t="s">
        <v>102</v>
      </c>
      <c r="BB674" t="s">
        <v>235</v>
      </c>
      <c r="BC674" t="s">
        <v>746</v>
      </c>
      <c r="BD674" t="s">
        <v>7528</v>
      </c>
      <c r="BF674" t="s">
        <v>2255</v>
      </c>
      <c r="BG674" t="s">
        <v>98</v>
      </c>
      <c r="BH674" t="s">
        <v>98</v>
      </c>
      <c r="BI674" t="s">
        <v>98</v>
      </c>
      <c r="BK674" t="s">
        <v>127</v>
      </c>
      <c r="BL674" t="s">
        <v>7528</v>
      </c>
      <c r="BR674">
        <v>0.57999999999999996</v>
      </c>
      <c r="BS674">
        <v>5</v>
      </c>
      <c r="BT674">
        <v>5</v>
      </c>
      <c r="CA674">
        <v>4605</v>
      </c>
      <c r="CB674" t="s">
        <v>7577</v>
      </c>
      <c r="CL674" t="s">
        <v>99</v>
      </c>
      <c r="CM674" t="s">
        <v>98</v>
      </c>
      <c r="CN674" t="s">
        <v>442</v>
      </c>
      <c r="CO674" s="1">
        <v>42996</v>
      </c>
      <c r="CP674" s="1">
        <v>43633</v>
      </c>
    </row>
    <row r="675" spans="1:94" x14ac:dyDescent="0.25">
      <c r="A675" t="s">
        <v>2256</v>
      </c>
      <c r="B675" t="str">
        <f xml:space="preserve"> "" &amp; 747396104454</f>
        <v>747396104454</v>
      </c>
      <c r="C675" t="s">
        <v>1690</v>
      </c>
      <c r="D675" t="s">
        <v>6667</v>
      </c>
      <c r="E675" t="s">
        <v>2241</v>
      </c>
      <c r="F675" t="s">
        <v>314</v>
      </c>
      <c r="G675">
        <v>1</v>
      </c>
      <c r="H675">
        <v>1</v>
      </c>
      <c r="I675" t="s">
        <v>97</v>
      </c>
      <c r="J675" s="10">
        <v>224</v>
      </c>
      <c r="K675" s="10">
        <v>672</v>
      </c>
      <c r="L675" s="10">
        <v>0</v>
      </c>
      <c r="N675" s="10">
        <v>0</v>
      </c>
      <c r="O675" t="s">
        <v>99</v>
      </c>
      <c r="P675" s="10">
        <v>469.95</v>
      </c>
      <c r="S675">
        <v>16</v>
      </c>
      <c r="U675">
        <v>45.25</v>
      </c>
      <c r="V675">
        <v>15</v>
      </c>
      <c r="W675">
        <v>16.87</v>
      </c>
      <c r="X675">
        <v>1</v>
      </c>
      <c r="Y675">
        <v>10.5</v>
      </c>
      <c r="Z675">
        <v>48.25</v>
      </c>
      <c r="AA675">
        <v>17.5</v>
      </c>
      <c r="AB675">
        <v>5.1310000000000002</v>
      </c>
      <c r="AC675">
        <v>24.54</v>
      </c>
      <c r="AE675">
        <v>6</v>
      </c>
      <c r="AF675" t="s">
        <v>1050</v>
      </c>
      <c r="AG675">
        <v>60</v>
      </c>
      <c r="AK675" t="s">
        <v>98</v>
      </c>
      <c r="AM675" t="s">
        <v>98</v>
      </c>
      <c r="AN675" t="s">
        <v>99</v>
      </c>
      <c r="AO675" t="s">
        <v>98</v>
      </c>
      <c r="AP675" t="s">
        <v>100</v>
      </c>
      <c r="AQ675" t="s">
        <v>101</v>
      </c>
      <c r="AV675" t="s">
        <v>98</v>
      </c>
      <c r="AX675" t="s">
        <v>7577</v>
      </c>
      <c r="AZ675" t="s">
        <v>102</v>
      </c>
      <c r="BB675" t="s">
        <v>235</v>
      </c>
      <c r="BC675" t="s">
        <v>2245</v>
      </c>
      <c r="BD675" t="s">
        <v>7528</v>
      </c>
      <c r="BF675" t="s">
        <v>2257</v>
      </c>
      <c r="BG675" t="s">
        <v>98</v>
      </c>
      <c r="BH675" t="s">
        <v>98</v>
      </c>
      <c r="BI675" t="s">
        <v>98</v>
      </c>
      <c r="BK675" t="s">
        <v>110</v>
      </c>
      <c r="BL675" t="s">
        <v>7528</v>
      </c>
      <c r="BQ675">
        <v>0.57999999999999996</v>
      </c>
      <c r="BR675">
        <v>0.57999999999999996</v>
      </c>
      <c r="BS675">
        <v>5</v>
      </c>
      <c r="BT675">
        <v>5</v>
      </c>
      <c r="CA675">
        <v>4606</v>
      </c>
      <c r="CB675" t="s">
        <v>7577</v>
      </c>
      <c r="CL675" t="s">
        <v>99</v>
      </c>
      <c r="CM675" t="s">
        <v>98</v>
      </c>
      <c r="CN675" t="s">
        <v>442</v>
      </c>
      <c r="CO675" s="1">
        <v>42996</v>
      </c>
      <c r="CP675" s="1">
        <v>43633</v>
      </c>
    </row>
    <row r="676" spans="1:94" x14ac:dyDescent="0.25">
      <c r="A676" t="s">
        <v>2258</v>
      </c>
      <c r="B676" t="str">
        <f xml:space="preserve"> "" &amp; 747396104508</f>
        <v>747396104508</v>
      </c>
      <c r="C676" t="s">
        <v>1281</v>
      </c>
      <c r="D676" t="s">
        <v>6668</v>
      </c>
      <c r="E676" t="s">
        <v>2241</v>
      </c>
      <c r="F676" t="s">
        <v>249</v>
      </c>
      <c r="G676">
        <v>1</v>
      </c>
      <c r="H676">
        <v>1</v>
      </c>
      <c r="I676" t="s">
        <v>97</v>
      </c>
      <c r="J676" s="10">
        <v>169</v>
      </c>
      <c r="K676" s="10">
        <v>507</v>
      </c>
      <c r="L676" s="10">
        <v>0</v>
      </c>
      <c r="N676" s="10">
        <v>0</v>
      </c>
      <c r="O676" t="s">
        <v>99</v>
      </c>
      <c r="P676" s="10">
        <v>354.95</v>
      </c>
      <c r="S676">
        <v>20</v>
      </c>
      <c r="T676">
        <v>24</v>
      </c>
      <c r="U676">
        <v>24</v>
      </c>
      <c r="W676">
        <v>12.19</v>
      </c>
      <c r="X676">
        <v>1</v>
      </c>
      <c r="Y676">
        <v>7.5</v>
      </c>
      <c r="Z676">
        <v>26.5</v>
      </c>
      <c r="AA676">
        <v>26.5</v>
      </c>
      <c r="AB676">
        <v>3.048</v>
      </c>
      <c r="AC676">
        <v>16.38</v>
      </c>
      <c r="AE676">
        <v>4</v>
      </c>
      <c r="AF676" t="s">
        <v>1050</v>
      </c>
      <c r="AG676">
        <v>60</v>
      </c>
      <c r="AK676" t="s">
        <v>98</v>
      </c>
      <c r="AM676" t="s">
        <v>98</v>
      </c>
      <c r="AN676" t="s">
        <v>99</v>
      </c>
      <c r="AO676" t="s">
        <v>98</v>
      </c>
      <c r="AP676" t="s">
        <v>100</v>
      </c>
      <c r="AQ676" t="s">
        <v>101</v>
      </c>
      <c r="AV676" t="s">
        <v>98</v>
      </c>
      <c r="AX676" t="s">
        <v>7577</v>
      </c>
      <c r="AZ676" t="s">
        <v>102</v>
      </c>
      <c r="BB676" t="s">
        <v>235</v>
      </c>
      <c r="BC676" t="s">
        <v>746</v>
      </c>
      <c r="BD676" t="s">
        <v>7528</v>
      </c>
      <c r="BF676" t="s">
        <v>2259</v>
      </c>
      <c r="BG676" t="s">
        <v>98</v>
      </c>
      <c r="BH676" t="s">
        <v>98</v>
      </c>
      <c r="BI676" t="s">
        <v>98</v>
      </c>
      <c r="BK676" t="s">
        <v>110</v>
      </c>
      <c r="BL676" t="s">
        <v>7528</v>
      </c>
      <c r="BR676">
        <v>0.57999999999999996</v>
      </c>
      <c r="BS676">
        <v>5</v>
      </c>
      <c r="BT676">
        <v>5</v>
      </c>
      <c r="CA676">
        <v>4607</v>
      </c>
      <c r="CB676" t="s">
        <v>7577</v>
      </c>
      <c r="CL676" t="s">
        <v>99</v>
      </c>
      <c r="CM676" t="s">
        <v>98</v>
      </c>
      <c r="CN676" t="s">
        <v>442</v>
      </c>
      <c r="CO676" s="1">
        <v>42996</v>
      </c>
      <c r="CP676" s="1">
        <v>43633</v>
      </c>
    </row>
    <row r="677" spans="1:94" x14ac:dyDescent="0.25">
      <c r="A677" t="s">
        <v>2260</v>
      </c>
      <c r="B677" t="str">
        <f xml:space="preserve"> "" &amp; 747396106724</f>
        <v>747396106724</v>
      </c>
      <c r="C677" t="s">
        <v>1063</v>
      </c>
      <c r="D677" t="s">
        <v>6669</v>
      </c>
      <c r="E677" t="s">
        <v>2241</v>
      </c>
      <c r="F677" t="s">
        <v>249</v>
      </c>
      <c r="G677">
        <v>1</v>
      </c>
      <c r="H677">
        <v>1</v>
      </c>
      <c r="I677" t="s">
        <v>97</v>
      </c>
      <c r="J677" s="10">
        <v>259</v>
      </c>
      <c r="K677" s="10">
        <v>777</v>
      </c>
      <c r="L677" s="10">
        <v>0</v>
      </c>
      <c r="N677" s="10">
        <v>0</v>
      </c>
      <c r="O677" t="s">
        <v>99</v>
      </c>
      <c r="P677" s="10">
        <v>544.95000000000005</v>
      </c>
      <c r="S677">
        <v>20</v>
      </c>
      <c r="T677">
        <v>30</v>
      </c>
      <c r="U677">
        <v>30</v>
      </c>
      <c r="W677">
        <v>17.37</v>
      </c>
      <c r="X677">
        <v>1</v>
      </c>
      <c r="Y677">
        <v>7</v>
      </c>
      <c r="Z677">
        <v>32.5</v>
      </c>
      <c r="AA677">
        <v>32.5</v>
      </c>
      <c r="AB677">
        <v>4.2789999999999999</v>
      </c>
      <c r="AC677">
        <v>23.06</v>
      </c>
      <c r="AE677">
        <v>6</v>
      </c>
      <c r="AF677" t="s">
        <v>1050</v>
      </c>
      <c r="AG677">
        <v>60</v>
      </c>
      <c r="AK677" t="s">
        <v>98</v>
      </c>
      <c r="AM677" t="s">
        <v>98</v>
      </c>
      <c r="AN677" t="s">
        <v>99</v>
      </c>
      <c r="AO677" t="s">
        <v>98</v>
      </c>
      <c r="AP677" t="s">
        <v>100</v>
      </c>
      <c r="AQ677" t="s">
        <v>101</v>
      </c>
      <c r="AV677" t="s">
        <v>98</v>
      </c>
      <c r="AX677" t="s">
        <v>7577</v>
      </c>
      <c r="AZ677" t="s">
        <v>102</v>
      </c>
      <c r="BB677" t="s">
        <v>235</v>
      </c>
      <c r="BC677" t="s">
        <v>708</v>
      </c>
      <c r="BD677" t="s">
        <v>7528</v>
      </c>
      <c r="BF677" t="s">
        <v>2261</v>
      </c>
      <c r="BG677" t="s">
        <v>98</v>
      </c>
      <c r="BH677" t="s">
        <v>98</v>
      </c>
      <c r="BI677" t="s">
        <v>98</v>
      </c>
      <c r="BK677" t="s">
        <v>110</v>
      </c>
      <c r="BL677" t="s">
        <v>7528</v>
      </c>
      <c r="BR677">
        <v>0.57999999999999996</v>
      </c>
      <c r="BS677">
        <v>10</v>
      </c>
      <c r="BT677">
        <v>7.25</v>
      </c>
      <c r="CA677">
        <v>4608</v>
      </c>
      <c r="CB677" t="s">
        <v>7577</v>
      </c>
      <c r="CL677" t="s">
        <v>99</v>
      </c>
      <c r="CM677" t="s">
        <v>99</v>
      </c>
      <c r="CN677" t="s">
        <v>442</v>
      </c>
      <c r="CO677" s="1">
        <v>43034</v>
      </c>
      <c r="CP677" s="1">
        <v>43633</v>
      </c>
    </row>
    <row r="678" spans="1:94" x14ac:dyDescent="0.25">
      <c r="A678" t="s">
        <v>2262</v>
      </c>
      <c r="B678" t="str">
        <f xml:space="preserve"> "" &amp; 747396106731</f>
        <v>747396106731</v>
      </c>
      <c r="C678" t="s">
        <v>1063</v>
      </c>
      <c r="D678" t="s">
        <v>6670</v>
      </c>
      <c r="E678" t="s">
        <v>2241</v>
      </c>
      <c r="F678" t="s">
        <v>249</v>
      </c>
      <c r="G678">
        <v>1</v>
      </c>
      <c r="H678">
        <v>1</v>
      </c>
      <c r="I678" t="s">
        <v>97</v>
      </c>
      <c r="J678" s="10">
        <v>394.6</v>
      </c>
      <c r="K678" s="10">
        <v>1183.8</v>
      </c>
      <c r="L678" s="10">
        <v>0</v>
      </c>
      <c r="N678" s="10">
        <v>0</v>
      </c>
      <c r="O678" t="s">
        <v>99</v>
      </c>
      <c r="P678" s="10">
        <v>829.95</v>
      </c>
      <c r="S678">
        <v>34</v>
      </c>
      <c r="T678">
        <v>34</v>
      </c>
      <c r="U678">
        <v>16.5</v>
      </c>
      <c r="W678">
        <v>26.76</v>
      </c>
      <c r="X678">
        <v>1</v>
      </c>
      <c r="Y678">
        <v>11.75</v>
      </c>
      <c r="Z678">
        <v>36.5</v>
      </c>
      <c r="AA678">
        <v>36.5</v>
      </c>
      <c r="AB678">
        <v>9.0589999999999993</v>
      </c>
      <c r="AC678">
        <v>35.89</v>
      </c>
      <c r="AE678">
        <v>10</v>
      </c>
      <c r="AF678" t="s">
        <v>1050</v>
      </c>
      <c r="AG678">
        <v>60</v>
      </c>
      <c r="AK678" t="s">
        <v>98</v>
      </c>
      <c r="AM678" t="s">
        <v>98</v>
      </c>
      <c r="AN678" t="s">
        <v>99</v>
      </c>
      <c r="AO678" t="s">
        <v>98</v>
      </c>
      <c r="AP678" t="s">
        <v>100</v>
      </c>
      <c r="AQ678" t="s">
        <v>101</v>
      </c>
      <c r="AV678" t="s">
        <v>98</v>
      </c>
      <c r="AX678" t="s">
        <v>7577</v>
      </c>
      <c r="AZ678" t="s">
        <v>102</v>
      </c>
      <c r="BB678" t="s">
        <v>235</v>
      </c>
      <c r="BC678" t="s">
        <v>2245</v>
      </c>
      <c r="BD678" t="s">
        <v>7528</v>
      </c>
      <c r="BF678" t="s">
        <v>2263</v>
      </c>
      <c r="BG678" t="s">
        <v>98</v>
      </c>
      <c r="BH678" t="s">
        <v>98</v>
      </c>
      <c r="BI678" t="s">
        <v>98</v>
      </c>
      <c r="BK678" t="s">
        <v>110</v>
      </c>
      <c r="BL678" t="s">
        <v>7528</v>
      </c>
      <c r="BR678">
        <v>0.57999999999999996</v>
      </c>
      <c r="BS678">
        <v>11</v>
      </c>
      <c r="BT678">
        <v>10</v>
      </c>
      <c r="CA678">
        <v>4609</v>
      </c>
      <c r="CB678" t="s">
        <v>7577</v>
      </c>
      <c r="CL678" t="s">
        <v>99</v>
      </c>
      <c r="CM678" t="s">
        <v>99</v>
      </c>
      <c r="CN678" t="s">
        <v>442</v>
      </c>
      <c r="CO678" s="1">
        <v>43034</v>
      </c>
      <c r="CP678" s="1">
        <v>43633</v>
      </c>
    </row>
    <row r="679" spans="1:94" x14ac:dyDescent="0.25">
      <c r="A679" t="s">
        <v>2264</v>
      </c>
      <c r="B679" t="str">
        <f xml:space="preserve"> "" &amp; 747396108247</f>
        <v>747396108247</v>
      </c>
      <c r="C679" t="s">
        <v>2265</v>
      </c>
      <c r="D679" t="s">
        <v>6671</v>
      </c>
      <c r="E679" t="s">
        <v>2241</v>
      </c>
      <c r="F679" t="s">
        <v>249</v>
      </c>
      <c r="G679">
        <v>1</v>
      </c>
      <c r="H679">
        <v>1</v>
      </c>
      <c r="I679" t="s">
        <v>97</v>
      </c>
      <c r="J679" s="10">
        <v>629</v>
      </c>
      <c r="K679" s="10">
        <v>1887</v>
      </c>
      <c r="L679" s="10">
        <v>0</v>
      </c>
      <c r="N679" s="10">
        <v>0</v>
      </c>
      <c r="O679" t="s">
        <v>99</v>
      </c>
      <c r="P679" s="10">
        <v>1319.95</v>
      </c>
      <c r="S679">
        <v>21</v>
      </c>
      <c r="T679">
        <v>38</v>
      </c>
      <c r="U679">
        <v>38</v>
      </c>
      <c r="W679">
        <v>37.479999999999997</v>
      </c>
      <c r="X679">
        <v>1</v>
      </c>
      <c r="Y679">
        <v>16.5</v>
      </c>
      <c r="Z679">
        <v>40.75</v>
      </c>
      <c r="AA679">
        <v>40.75</v>
      </c>
      <c r="AB679">
        <v>15.856</v>
      </c>
      <c r="AC679">
        <v>50.18</v>
      </c>
      <c r="AE679">
        <v>14</v>
      </c>
      <c r="AF679" t="s">
        <v>1050</v>
      </c>
      <c r="AG679">
        <v>60</v>
      </c>
      <c r="AK679" t="s">
        <v>98</v>
      </c>
      <c r="AM679" t="s">
        <v>98</v>
      </c>
      <c r="AN679" t="s">
        <v>99</v>
      </c>
      <c r="AO679" t="s">
        <v>98</v>
      </c>
      <c r="AP679" t="s">
        <v>100</v>
      </c>
      <c r="AQ679" t="s">
        <v>101</v>
      </c>
      <c r="AV679" t="s">
        <v>98</v>
      </c>
      <c r="AX679" t="s">
        <v>7577</v>
      </c>
      <c r="AZ679" t="s">
        <v>102</v>
      </c>
      <c r="BB679" t="s">
        <v>235</v>
      </c>
      <c r="BC679" t="s">
        <v>708</v>
      </c>
      <c r="BD679" t="s">
        <v>7528</v>
      </c>
      <c r="BF679" t="s">
        <v>2266</v>
      </c>
      <c r="BG679" t="s">
        <v>98</v>
      </c>
      <c r="BH679" t="s">
        <v>98</v>
      </c>
      <c r="BI679" t="s">
        <v>98</v>
      </c>
      <c r="BK679" t="s">
        <v>110</v>
      </c>
      <c r="BL679" t="s">
        <v>7528</v>
      </c>
      <c r="BR679">
        <v>0.75</v>
      </c>
      <c r="BS679">
        <v>14.63</v>
      </c>
      <c r="BT679">
        <v>14.63</v>
      </c>
      <c r="CA679">
        <v>4610</v>
      </c>
      <c r="CB679" t="s">
        <v>7577</v>
      </c>
      <c r="CL679" t="s">
        <v>99</v>
      </c>
      <c r="CM679" t="s">
        <v>98</v>
      </c>
      <c r="CN679" t="s">
        <v>442</v>
      </c>
      <c r="CO679" s="1">
        <v>43139</v>
      </c>
      <c r="CP679" s="1">
        <v>43633</v>
      </c>
    </row>
    <row r="680" spans="1:94" x14ac:dyDescent="0.25">
      <c r="A680" t="s">
        <v>2267</v>
      </c>
      <c r="B680" t="str">
        <f xml:space="preserve"> "" &amp; 747396106700</f>
        <v>747396106700</v>
      </c>
      <c r="C680" t="s">
        <v>6672</v>
      </c>
      <c r="D680" t="s">
        <v>6673</v>
      </c>
      <c r="E680" t="s">
        <v>2268</v>
      </c>
      <c r="F680" t="s">
        <v>240</v>
      </c>
      <c r="G680">
        <v>1</v>
      </c>
      <c r="H680">
        <v>1</v>
      </c>
      <c r="I680" t="s">
        <v>97</v>
      </c>
      <c r="J680" s="10">
        <v>92</v>
      </c>
      <c r="K680" s="10">
        <v>276</v>
      </c>
      <c r="L680" s="10">
        <v>0</v>
      </c>
      <c r="N680" s="10">
        <v>0</v>
      </c>
      <c r="O680" t="s">
        <v>99</v>
      </c>
      <c r="P680" s="10">
        <v>194.95</v>
      </c>
      <c r="S680">
        <v>13</v>
      </c>
      <c r="T680">
        <v>12</v>
      </c>
      <c r="U680">
        <v>12</v>
      </c>
      <c r="W680">
        <v>5.67</v>
      </c>
      <c r="X680">
        <v>1</v>
      </c>
      <c r="Y680">
        <v>7</v>
      </c>
      <c r="Z680">
        <v>14.63</v>
      </c>
      <c r="AA680">
        <v>14</v>
      </c>
      <c r="AB680">
        <v>0.83</v>
      </c>
      <c r="AC680">
        <v>7.12</v>
      </c>
      <c r="AE680">
        <v>3</v>
      </c>
      <c r="AF680" t="s">
        <v>1611</v>
      </c>
      <c r="AG680">
        <v>60</v>
      </c>
      <c r="AK680" t="s">
        <v>98</v>
      </c>
      <c r="AM680" t="s">
        <v>98</v>
      </c>
      <c r="AN680" t="s">
        <v>99</v>
      </c>
      <c r="AO680" t="s">
        <v>98</v>
      </c>
      <c r="AP680" t="s">
        <v>100</v>
      </c>
      <c r="AQ680" t="s">
        <v>101</v>
      </c>
      <c r="AV680" t="s">
        <v>98</v>
      </c>
      <c r="AX680" t="s">
        <v>2269</v>
      </c>
      <c r="AZ680" t="s">
        <v>392</v>
      </c>
      <c r="BB680" t="s">
        <v>7528</v>
      </c>
      <c r="BC680" t="s">
        <v>7528</v>
      </c>
      <c r="BD680" t="s">
        <v>7528</v>
      </c>
      <c r="BF680" t="s">
        <v>2270</v>
      </c>
      <c r="BG680" t="s">
        <v>98</v>
      </c>
      <c r="BH680" t="s">
        <v>98</v>
      </c>
      <c r="BI680" t="s">
        <v>98</v>
      </c>
      <c r="BK680" t="s">
        <v>127</v>
      </c>
      <c r="BL680" t="s">
        <v>7528</v>
      </c>
      <c r="BR680">
        <v>1</v>
      </c>
      <c r="BS680">
        <v>5</v>
      </c>
      <c r="BT680">
        <v>5</v>
      </c>
      <c r="CA680">
        <v>4622</v>
      </c>
      <c r="CB680" t="s">
        <v>2269</v>
      </c>
      <c r="CL680" t="s">
        <v>99</v>
      </c>
      <c r="CM680" t="s">
        <v>99</v>
      </c>
      <c r="CN680" t="s">
        <v>692</v>
      </c>
      <c r="CO680" s="1">
        <v>43032</v>
      </c>
      <c r="CP680" s="1">
        <v>43633</v>
      </c>
    </row>
    <row r="681" spans="1:94" x14ac:dyDescent="0.25">
      <c r="A681" t="s">
        <v>2271</v>
      </c>
      <c r="B681" t="str">
        <f xml:space="preserve"> "" &amp; 747396106717</f>
        <v>747396106717</v>
      </c>
      <c r="C681" t="s">
        <v>879</v>
      </c>
      <c r="D681" t="s">
        <v>6674</v>
      </c>
      <c r="E681" t="s">
        <v>2268</v>
      </c>
      <c r="F681" t="s">
        <v>314</v>
      </c>
      <c r="G681">
        <v>1</v>
      </c>
      <c r="H681">
        <v>1</v>
      </c>
      <c r="I681" t="s">
        <v>97</v>
      </c>
      <c r="J681" s="10">
        <v>239</v>
      </c>
      <c r="K681" s="10">
        <v>717</v>
      </c>
      <c r="L681" s="10">
        <v>0</v>
      </c>
      <c r="N681" s="10">
        <v>0</v>
      </c>
      <c r="O681" t="s">
        <v>99</v>
      </c>
      <c r="P681" s="10">
        <v>504.95</v>
      </c>
      <c r="S681">
        <v>16</v>
      </c>
      <c r="T681">
        <v>40</v>
      </c>
      <c r="U681">
        <v>12</v>
      </c>
      <c r="W681">
        <v>17.2</v>
      </c>
      <c r="X681">
        <v>1</v>
      </c>
      <c r="Y681">
        <v>8.25</v>
      </c>
      <c r="Z681">
        <v>42.25</v>
      </c>
      <c r="AA681">
        <v>19.5</v>
      </c>
      <c r="AB681">
        <v>3.9329999999999998</v>
      </c>
      <c r="AC681">
        <v>22.09</v>
      </c>
      <c r="AE681">
        <v>6</v>
      </c>
      <c r="AF681" t="s">
        <v>1611</v>
      </c>
      <c r="AG681">
        <v>60</v>
      </c>
      <c r="AK681" t="s">
        <v>98</v>
      </c>
      <c r="AM681" t="s">
        <v>98</v>
      </c>
      <c r="AN681" t="s">
        <v>99</v>
      </c>
      <c r="AO681" t="s">
        <v>98</v>
      </c>
      <c r="AP681" t="s">
        <v>100</v>
      </c>
      <c r="AQ681" t="s">
        <v>101</v>
      </c>
      <c r="AV681" t="s">
        <v>98</v>
      </c>
      <c r="AX681" t="s">
        <v>2269</v>
      </c>
      <c r="AZ681" t="s">
        <v>392</v>
      </c>
      <c r="BB681" t="s">
        <v>7528</v>
      </c>
      <c r="BC681" t="s">
        <v>7528</v>
      </c>
      <c r="BD681" t="s">
        <v>7528</v>
      </c>
      <c r="BF681" t="s">
        <v>2272</v>
      </c>
      <c r="BG681" t="s">
        <v>98</v>
      </c>
      <c r="BH681" t="s">
        <v>98</v>
      </c>
      <c r="BI681" t="s">
        <v>98</v>
      </c>
      <c r="BK681" t="s">
        <v>110</v>
      </c>
      <c r="BL681" t="s">
        <v>7528</v>
      </c>
      <c r="BR681">
        <v>0.75</v>
      </c>
      <c r="BS681">
        <v>13.5</v>
      </c>
      <c r="BT681">
        <v>5</v>
      </c>
      <c r="CA681">
        <v>4623</v>
      </c>
      <c r="CB681" t="s">
        <v>2269</v>
      </c>
      <c r="CL681" t="s">
        <v>99</v>
      </c>
      <c r="CM681" t="s">
        <v>99</v>
      </c>
      <c r="CN681" t="s">
        <v>692</v>
      </c>
      <c r="CO681" s="1">
        <v>43032</v>
      </c>
      <c r="CP681" s="1">
        <v>43633</v>
      </c>
    </row>
    <row r="682" spans="1:94" x14ac:dyDescent="0.25">
      <c r="A682" t="s">
        <v>2273</v>
      </c>
      <c r="B682" t="str">
        <f xml:space="preserve"> "" &amp; 747396104423</f>
        <v>747396104423</v>
      </c>
      <c r="C682" t="s">
        <v>339</v>
      </c>
      <c r="D682" t="s">
        <v>6675</v>
      </c>
      <c r="E682" t="s">
        <v>2268</v>
      </c>
      <c r="F682" t="s">
        <v>240</v>
      </c>
      <c r="G682">
        <v>1</v>
      </c>
      <c r="H682">
        <v>1</v>
      </c>
      <c r="I682" t="s">
        <v>97</v>
      </c>
      <c r="J682" s="10">
        <v>129</v>
      </c>
      <c r="K682" s="10">
        <v>387</v>
      </c>
      <c r="L682" s="10">
        <v>0</v>
      </c>
      <c r="N682" s="10">
        <v>0</v>
      </c>
      <c r="O682" t="s">
        <v>99</v>
      </c>
      <c r="P682" s="10">
        <v>269.95</v>
      </c>
      <c r="S682">
        <v>17.25</v>
      </c>
      <c r="T682">
        <v>16</v>
      </c>
      <c r="U682">
        <v>16</v>
      </c>
      <c r="W682">
        <v>9.48</v>
      </c>
      <c r="X682">
        <v>1</v>
      </c>
      <c r="Y682">
        <v>7.25</v>
      </c>
      <c r="Z682">
        <v>18.5</v>
      </c>
      <c r="AA682">
        <v>17.75</v>
      </c>
      <c r="AB682">
        <v>1.3779999999999999</v>
      </c>
      <c r="AC682">
        <v>11.66</v>
      </c>
      <c r="AE682">
        <v>4</v>
      </c>
      <c r="AF682" t="s">
        <v>1611</v>
      </c>
      <c r="AG682">
        <v>60</v>
      </c>
      <c r="AK682" t="s">
        <v>98</v>
      </c>
      <c r="AM682" t="s">
        <v>98</v>
      </c>
      <c r="AN682" t="s">
        <v>99</v>
      </c>
      <c r="AO682" t="s">
        <v>98</v>
      </c>
      <c r="AP682" t="s">
        <v>100</v>
      </c>
      <c r="AQ682" t="s">
        <v>101</v>
      </c>
      <c r="AV682" t="s">
        <v>98</v>
      </c>
      <c r="AX682" t="s">
        <v>2269</v>
      </c>
      <c r="AZ682" t="s">
        <v>392</v>
      </c>
      <c r="BB682" t="s">
        <v>7528</v>
      </c>
      <c r="BC682" t="s">
        <v>7528</v>
      </c>
      <c r="BD682" t="s">
        <v>7528</v>
      </c>
      <c r="BF682" t="s">
        <v>2275</v>
      </c>
      <c r="BG682" t="s">
        <v>98</v>
      </c>
      <c r="BH682" t="s">
        <v>98</v>
      </c>
      <c r="BI682" t="s">
        <v>98</v>
      </c>
      <c r="BK682" t="s">
        <v>110</v>
      </c>
      <c r="BL682" t="s">
        <v>7528</v>
      </c>
      <c r="BR682">
        <v>1</v>
      </c>
      <c r="BS682">
        <v>5</v>
      </c>
      <c r="BT682">
        <v>5</v>
      </c>
      <c r="CA682">
        <v>4624</v>
      </c>
      <c r="CB682" t="s">
        <v>2269</v>
      </c>
      <c r="CL682" t="s">
        <v>99</v>
      </c>
      <c r="CM682" t="s">
        <v>99</v>
      </c>
      <c r="CN682" t="s">
        <v>2269</v>
      </c>
      <c r="CO682" s="1">
        <v>43000</v>
      </c>
      <c r="CP682" s="1">
        <v>43633</v>
      </c>
    </row>
    <row r="683" spans="1:94" x14ac:dyDescent="0.25">
      <c r="A683" t="s">
        <v>2276</v>
      </c>
      <c r="B683" t="str">
        <f xml:space="preserve"> "" &amp; 747396104430</f>
        <v>747396104430</v>
      </c>
      <c r="C683" t="s">
        <v>1711</v>
      </c>
      <c r="D683" t="s">
        <v>2274</v>
      </c>
      <c r="E683" t="s">
        <v>2268</v>
      </c>
      <c r="F683" t="s">
        <v>240</v>
      </c>
      <c r="G683">
        <v>1</v>
      </c>
      <c r="H683">
        <v>1</v>
      </c>
      <c r="I683" t="s">
        <v>97</v>
      </c>
      <c r="J683" s="10">
        <v>155</v>
      </c>
      <c r="K683" s="10">
        <v>465</v>
      </c>
      <c r="L683" s="10">
        <v>0</v>
      </c>
      <c r="N683" s="10">
        <v>0</v>
      </c>
      <c r="O683" t="s">
        <v>99</v>
      </c>
      <c r="P683" s="10">
        <v>324.95</v>
      </c>
      <c r="S683">
        <v>21.5</v>
      </c>
      <c r="T683">
        <v>20</v>
      </c>
      <c r="U683">
        <v>20</v>
      </c>
      <c r="W683">
        <v>13.12</v>
      </c>
      <c r="X683">
        <v>1</v>
      </c>
      <c r="Y683">
        <v>9.75</v>
      </c>
      <c r="Z683">
        <v>22.5</v>
      </c>
      <c r="AA683">
        <v>21.5</v>
      </c>
      <c r="AB683">
        <v>2.7290000000000001</v>
      </c>
      <c r="AC683">
        <v>16.47</v>
      </c>
      <c r="AE683">
        <v>6</v>
      </c>
      <c r="AF683" t="s">
        <v>1611</v>
      </c>
      <c r="AG683">
        <v>60</v>
      </c>
      <c r="AK683" t="s">
        <v>98</v>
      </c>
      <c r="AM683" t="s">
        <v>98</v>
      </c>
      <c r="AN683" t="s">
        <v>99</v>
      </c>
      <c r="AO683" t="s">
        <v>98</v>
      </c>
      <c r="AP683" t="s">
        <v>100</v>
      </c>
      <c r="AQ683" t="s">
        <v>101</v>
      </c>
      <c r="AV683" t="s">
        <v>98</v>
      </c>
      <c r="AX683" t="s">
        <v>2269</v>
      </c>
      <c r="AZ683" t="s">
        <v>392</v>
      </c>
      <c r="BB683" t="s">
        <v>7528</v>
      </c>
      <c r="BC683" t="s">
        <v>7528</v>
      </c>
      <c r="BD683" t="s">
        <v>7528</v>
      </c>
      <c r="BF683" t="s">
        <v>2277</v>
      </c>
      <c r="BG683" t="s">
        <v>98</v>
      </c>
      <c r="BH683" t="s">
        <v>98</v>
      </c>
      <c r="BI683" t="s">
        <v>98</v>
      </c>
      <c r="BK683" t="s">
        <v>110</v>
      </c>
      <c r="BL683" t="s">
        <v>7528</v>
      </c>
      <c r="BR683">
        <v>1</v>
      </c>
      <c r="BS683">
        <v>5</v>
      </c>
      <c r="BT683">
        <v>5</v>
      </c>
      <c r="CA683">
        <v>4625</v>
      </c>
      <c r="CB683" t="s">
        <v>2269</v>
      </c>
      <c r="CL683" t="s">
        <v>99</v>
      </c>
      <c r="CM683" t="s">
        <v>99</v>
      </c>
      <c r="CN683" t="s">
        <v>2269</v>
      </c>
      <c r="CO683" s="1">
        <v>43000</v>
      </c>
      <c r="CP683" s="1">
        <v>43633</v>
      </c>
    </row>
    <row r="684" spans="1:94" x14ac:dyDescent="0.25">
      <c r="A684" t="s">
        <v>2278</v>
      </c>
      <c r="B684" t="str">
        <f xml:space="preserve"> "" &amp; 747396106694</f>
        <v>747396106694</v>
      </c>
      <c r="C684" t="s">
        <v>464</v>
      </c>
      <c r="D684" t="s">
        <v>6676</v>
      </c>
      <c r="E684" t="s">
        <v>2268</v>
      </c>
      <c r="F684" t="s">
        <v>240</v>
      </c>
      <c r="G684">
        <v>1</v>
      </c>
      <c r="H684">
        <v>1</v>
      </c>
      <c r="I684" t="s">
        <v>97</v>
      </c>
      <c r="J684" s="10">
        <v>195</v>
      </c>
      <c r="K684" s="10">
        <v>585</v>
      </c>
      <c r="L684" s="10">
        <v>0</v>
      </c>
      <c r="N684" s="10">
        <v>0</v>
      </c>
      <c r="O684" t="s">
        <v>99</v>
      </c>
      <c r="P684" s="10">
        <v>409.95</v>
      </c>
      <c r="S684">
        <v>25.75</v>
      </c>
      <c r="T684">
        <v>24</v>
      </c>
      <c r="U684">
        <v>24</v>
      </c>
      <c r="W684">
        <v>15.87</v>
      </c>
      <c r="X684">
        <v>1</v>
      </c>
      <c r="Y684">
        <v>9.25</v>
      </c>
      <c r="Z684">
        <v>26.75</v>
      </c>
      <c r="AA684">
        <v>25.25</v>
      </c>
      <c r="AB684">
        <v>3.6160000000000001</v>
      </c>
      <c r="AC684">
        <v>20.37</v>
      </c>
      <c r="AE684">
        <v>6</v>
      </c>
      <c r="AF684" t="s">
        <v>1611</v>
      </c>
      <c r="AG684">
        <v>60</v>
      </c>
      <c r="AK684" t="s">
        <v>98</v>
      </c>
      <c r="AM684" t="s">
        <v>98</v>
      </c>
      <c r="AN684" t="s">
        <v>99</v>
      </c>
      <c r="AO684" t="s">
        <v>98</v>
      </c>
      <c r="AP684" t="s">
        <v>100</v>
      </c>
      <c r="AQ684" t="s">
        <v>101</v>
      </c>
      <c r="AV684" t="s">
        <v>98</v>
      </c>
      <c r="AX684" t="s">
        <v>2269</v>
      </c>
      <c r="AZ684" t="s">
        <v>392</v>
      </c>
      <c r="BB684" t="s">
        <v>7528</v>
      </c>
      <c r="BC684" t="s">
        <v>7528</v>
      </c>
      <c r="BD684" t="s">
        <v>7528</v>
      </c>
      <c r="BF684" t="s">
        <v>2279</v>
      </c>
      <c r="BG684" t="s">
        <v>98</v>
      </c>
      <c r="BH684" t="s">
        <v>98</v>
      </c>
      <c r="BI684" t="s">
        <v>98</v>
      </c>
      <c r="BK684" t="s">
        <v>110</v>
      </c>
      <c r="BL684" t="s">
        <v>7528</v>
      </c>
      <c r="BR684">
        <v>1</v>
      </c>
      <c r="BS684">
        <v>5</v>
      </c>
      <c r="BT684">
        <v>5</v>
      </c>
      <c r="CA684">
        <v>4626</v>
      </c>
      <c r="CB684" t="s">
        <v>2269</v>
      </c>
      <c r="CL684" t="s">
        <v>99</v>
      </c>
      <c r="CM684" t="s">
        <v>99</v>
      </c>
      <c r="CN684" t="s">
        <v>692</v>
      </c>
      <c r="CO684" s="1">
        <v>43032</v>
      </c>
      <c r="CP684" s="1">
        <v>43633</v>
      </c>
    </row>
    <row r="685" spans="1:94" x14ac:dyDescent="0.25">
      <c r="A685" t="s">
        <v>2280</v>
      </c>
      <c r="B685" t="str">
        <f xml:space="preserve"> "" &amp; 747396104447</f>
        <v>747396104447</v>
      </c>
      <c r="C685" t="s">
        <v>1711</v>
      </c>
      <c r="D685" t="s">
        <v>6676</v>
      </c>
      <c r="E685" t="s">
        <v>2268</v>
      </c>
      <c r="F685" t="s">
        <v>240</v>
      </c>
      <c r="G685">
        <v>1</v>
      </c>
      <c r="H685">
        <v>1</v>
      </c>
      <c r="I685" t="s">
        <v>97</v>
      </c>
      <c r="J685" s="10">
        <v>265</v>
      </c>
      <c r="K685" s="10">
        <v>795</v>
      </c>
      <c r="L685" s="10">
        <v>0</v>
      </c>
      <c r="N685" s="10">
        <v>0</v>
      </c>
      <c r="O685" t="s">
        <v>99</v>
      </c>
      <c r="P685" s="10">
        <v>554.95000000000005</v>
      </c>
      <c r="S685">
        <v>32.5</v>
      </c>
      <c r="T685">
        <v>30</v>
      </c>
      <c r="U685">
        <v>30</v>
      </c>
      <c r="W685">
        <v>19.38</v>
      </c>
      <c r="X685">
        <v>1</v>
      </c>
      <c r="Y685">
        <v>10.75</v>
      </c>
      <c r="Z685">
        <v>32.5</v>
      </c>
      <c r="AA685">
        <v>31</v>
      </c>
      <c r="AB685">
        <v>6.2679999999999998</v>
      </c>
      <c r="AC685">
        <v>26.24</v>
      </c>
      <c r="AE685">
        <v>6</v>
      </c>
      <c r="AF685" t="s">
        <v>1611</v>
      </c>
      <c r="AG685">
        <v>60</v>
      </c>
      <c r="AK685" t="s">
        <v>98</v>
      </c>
      <c r="AM685" t="s">
        <v>98</v>
      </c>
      <c r="AN685" t="s">
        <v>99</v>
      </c>
      <c r="AO685" t="s">
        <v>98</v>
      </c>
      <c r="AP685" t="s">
        <v>100</v>
      </c>
      <c r="AQ685" t="s">
        <v>101</v>
      </c>
      <c r="AV685" t="s">
        <v>98</v>
      </c>
      <c r="AX685" t="s">
        <v>2269</v>
      </c>
      <c r="AZ685" t="s">
        <v>392</v>
      </c>
      <c r="BB685" t="s">
        <v>7528</v>
      </c>
      <c r="BC685" t="s">
        <v>7528</v>
      </c>
      <c r="BD685" t="s">
        <v>7528</v>
      </c>
      <c r="BF685" t="s">
        <v>2281</v>
      </c>
      <c r="BG685" t="s">
        <v>98</v>
      </c>
      <c r="BH685" t="s">
        <v>98</v>
      </c>
      <c r="BI685" t="s">
        <v>98</v>
      </c>
      <c r="BK685" t="s">
        <v>110</v>
      </c>
      <c r="BL685" t="s">
        <v>7528</v>
      </c>
      <c r="BR685">
        <v>1</v>
      </c>
      <c r="BS685">
        <v>5</v>
      </c>
      <c r="BT685">
        <v>5</v>
      </c>
      <c r="CA685">
        <v>4628</v>
      </c>
      <c r="CB685" t="s">
        <v>2269</v>
      </c>
      <c r="CL685" t="s">
        <v>99</v>
      </c>
      <c r="CM685" t="s">
        <v>99</v>
      </c>
      <c r="CN685" t="s">
        <v>2269</v>
      </c>
      <c r="CO685" s="1">
        <v>43000</v>
      </c>
      <c r="CP685" s="1">
        <v>43633</v>
      </c>
    </row>
    <row r="686" spans="1:94" x14ac:dyDescent="0.25">
      <c r="A686" t="s">
        <v>2282</v>
      </c>
      <c r="B686" t="str">
        <f xml:space="preserve"> "" &amp; 747396104706</f>
        <v>747396104706</v>
      </c>
      <c r="C686" t="s">
        <v>239</v>
      </c>
      <c r="D686" t="s">
        <v>6677</v>
      </c>
      <c r="E686" t="s">
        <v>2283</v>
      </c>
      <c r="F686" t="s">
        <v>240</v>
      </c>
      <c r="G686">
        <v>1</v>
      </c>
      <c r="H686">
        <v>1</v>
      </c>
      <c r="I686" t="s">
        <v>97</v>
      </c>
      <c r="J686" s="10">
        <v>64</v>
      </c>
      <c r="K686" s="10">
        <v>192</v>
      </c>
      <c r="L686" s="10">
        <v>0</v>
      </c>
      <c r="N686" s="10">
        <v>0</v>
      </c>
      <c r="O686" t="s">
        <v>99</v>
      </c>
      <c r="P686" s="10">
        <v>134.94999999999999</v>
      </c>
      <c r="S686">
        <v>9</v>
      </c>
      <c r="T686">
        <v>14</v>
      </c>
      <c r="U686">
        <v>4</v>
      </c>
      <c r="W686">
        <v>3.33</v>
      </c>
      <c r="X686">
        <v>1</v>
      </c>
      <c r="Y686">
        <v>7</v>
      </c>
      <c r="Z686">
        <v>14</v>
      </c>
      <c r="AA686">
        <v>8.25</v>
      </c>
      <c r="AB686">
        <v>0.46800000000000003</v>
      </c>
      <c r="AC686">
        <v>4.1399999999999997</v>
      </c>
      <c r="AE686">
        <v>1</v>
      </c>
      <c r="AF686" t="s">
        <v>1611</v>
      </c>
      <c r="AG686">
        <v>60</v>
      </c>
      <c r="AK686" t="s">
        <v>98</v>
      </c>
      <c r="AM686" t="s">
        <v>98</v>
      </c>
      <c r="AN686" t="s">
        <v>99</v>
      </c>
      <c r="AO686" t="s">
        <v>98</v>
      </c>
      <c r="AP686" t="s">
        <v>100</v>
      </c>
      <c r="AQ686" t="s">
        <v>101</v>
      </c>
      <c r="AV686" t="s">
        <v>98</v>
      </c>
      <c r="AX686" t="s">
        <v>2307</v>
      </c>
      <c r="AZ686" t="s">
        <v>102</v>
      </c>
      <c r="BB686" t="s">
        <v>235</v>
      </c>
      <c r="BC686" t="s">
        <v>1687</v>
      </c>
      <c r="BD686" t="s">
        <v>7528</v>
      </c>
      <c r="BF686" t="s">
        <v>2284</v>
      </c>
      <c r="BG686" t="s">
        <v>98</v>
      </c>
      <c r="BH686" t="s">
        <v>98</v>
      </c>
      <c r="BI686" t="s">
        <v>98</v>
      </c>
      <c r="BK686" t="s">
        <v>110</v>
      </c>
      <c r="BL686" t="s">
        <v>7528</v>
      </c>
      <c r="BR686">
        <v>1</v>
      </c>
      <c r="BS686">
        <v>5</v>
      </c>
      <c r="BT686">
        <v>5</v>
      </c>
      <c r="CA686">
        <v>4630</v>
      </c>
      <c r="CB686" t="s">
        <v>2307</v>
      </c>
      <c r="CL686" t="s">
        <v>99</v>
      </c>
      <c r="CM686" t="s">
        <v>99</v>
      </c>
      <c r="CN686" t="s">
        <v>442</v>
      </c>
      <c r="CO686" s="1">
        <v>43010</v>
      </c>
      <c r="CP686" s="1">
        <v>43633</v>
      </c>
    </row>
    <row r="687" spans="1:94" x14ac:dyDescent="0.25">
      <c r="A687" t="s">
        <v>2285</v>
      </c>
      <c r="B687" t="str">
        <f xml:space="preserve"> "" &amp; 747396104713</f>
        <v>747396104713</v>
      </c>
      <c r="C687" t="s">
        <v>751</v>
      </c>
      <c r="D687" t="s">
        <v>6678</v>
      </c>
      <c r="E687" t="s">
        <v>2283</v>
      </c>
      <c r="F687" t="s">
        <v>323</v>
      </c>
      <c r="G687">
        <v>1</v>
      </c>
      <c r="H687">
        <v>1</v>
      </c>
      <c r="I687" t="s">
        <v>97</v>
      </c>
      <c r="J687" s="10">
        <v>42</v>
      </c>
      <c r="K687" s="10">
        <v>126</v>
      </c>
      <c r="L687" s="10">
        <v>0</v>
      </c>
      <c r="N687" s="10">
        <v>0</v>
      </c>
      <c r="O687" t="s">
        <v>99</v>
      </c>
      <c r="P687" s="10">
        <v>84.95</v>
      </c>
      <c r="S687">
        <v>11.25</v>
      </c>
      <c r="T687">
        <v>11.25</v>
      </c>
      <c r="U687">
        <v>4.5</v>
      </c>
      <c r="V687">
        <v>5.5</v>
      </c>
      <c r="W687">
        <v>3.06</v>
      </c>
      <c r="X687">
        <v>1</v>
      </c>
      <c r="Y687">
        <v>9</v>
      </c>
      <c r="Z687">
        <v>11.25</v>
      </c>
      <c r="AA687">
        <v>8</v>
      </c>
      <c r="AB687">
        <v>0.46899999999999997</v>
      </c>
      <c r="AC687">
        <v>3.95</v>
      </c>
      <c r="AE687">
        <v>1</v>
      </c>
      <c r="AF687" t="s">
        <v>1611</v>
      </c>
      <c r="AG687">
        <v>60</v>
      </c>
      <c r="AK687" t="s">
        <v>98</v>
      </c>
      <c r="AM687" t="s">
        <v>98</v>
      </c>
      <c r="AN687" t="s">
        <v>99</v>
      </c>
      <c r="AO687" t="s">
        <v>98</v>
      </c>
      <c r="AP687" t="s">
        <v>100</v>
      </c>
      <c r="AQ687" t="s">
        <v>101</v>
      </c>
      <c r="AV687" t="s">
        <v>98</v>
      </c>
      <c r="AX687" t="s">
        <v>2307</v>
      </c>
      <c r="AZ687" t="s">
        <v>102</v>
      </c>
      <c r="BB687" t="s">
        <v>235</v>
      </c>
      <c r="BC687" t="s">
        <v>1687</v>
      </c>
      <c r="BD687" t="s">
        <v>7528</v>
      </c>
      <c r="BF687" t="s">
        <v>2286</v>
      </c>
      <c r="BG687" t="s">
        <v>98</v>
      </c>
      <c r="BH687" t="s">
        <v>98</v>
      </c>
      <c r="BI687" t="s">
        <v>98</v>
      </c>
      <c r="BK687" t="s">
        <v>127</v>
      </c>
      <c r="BL687" t="s">
        <v>7528</v>
      </c>
      <c r="BM687">
        <v>4.5</v>
      </c>
      <c r="BN687">
        <v>8.6300000000000008</v>
      </c>
      <c r="CA687">
        <v>4631</v>
      </c>
      <c r="CB687" t="s">
        <v>2307</v>
      </c>
      <c r="CL687" t="s">
        <v>99</v>
      </c>
      <c r="CM687" t="s">
        <v>98</v>
      </c>
      <c r="CN687" t="s">
        <v>442</v>
      </c>
      <c r="CO687" s="1">
        <v>43010</v>
      </c>
      <c r="CP687" s="1">
        <v>43633</v>
      </c>
    </row>
    <row r="688" spans="1:94" x14ac:dyDescent="0.25">
      <c r="A688" t="s">
        <v>2287</v>
      </c>
      <c r="B688" t="str">
        <f xml:space="preserve"> "" &amp; 747396104720</f>
        <v>747396104720</v>
      </c>
      <c r="C688" t="s">
        <v>758</v>
      </c>
      <c r="D688" t="s">
        <v>1460</v>
      </c>
      <c r="E688" t="s">
        <v>2283</v>
      </c>
      <c r="F688" t="s">
        <v>323</v>
      </c>
      <c r="G688">
        <v>1</v>
      </c>
      <c r="H688">
        <v>1</v>
      </c>
      <c r="I688" t="s">
        <v>97</v>
      </c>
      <c r="J688" s="10">
        <v>64</v>
      </c>
      <c r="K688" s="10">
        <v>192</v>
      </c>
      <c r="L688" s="10">
        <v>0</v>
      </c>
      <c r="N688" s="10">
        <v>0</v>
      </c>
      <c r="O688" t="s">
        <v>99</v>
      </c>
      <c r="P688" s="10">
        <v>134.94999999999999</v>
      </c>
      <c r="S688">
        <v>8.75</v>
      </c>
      <c r="T688">
        <v>17.75</v>
      </c>
      <c r="U688">
        <v>14</v>
      </c>
      <c r="V688">
        <v>5.5</v>
      </c>
      <c r="W688">
        <v>5.36</v>
      </c>
      <c r="X688">
        <v>1</v>
      </c>
      <c r="Y688">
        <v>22.75</v>
      </c>
      <c r="Z688">
        <v>17.75</v>
      </c>
      <c r="AA688">
        <v>8.5</v>
      </c>
      <c r="AB688">
        <v>1.986</v>
      </c>
      <c r="AC688">
        <v>7.41</v>
      </c>
      <c r="AE688">
        <v>2</v>
      </c>
      <c r="AF688" t="s">
        <v>1611</v>
      </c>
      <c r="AG688">
        <v>60</v>
      </c>
      <c r="AK688" t="s">
        <v>98</v>
      </c>
      <c r="AM688" t="s">
        <v>98</v>
      </c>
      <c r="AN688" t="s">
        <v>99</v>
      </c>
      <c r="AO688" t="s">
        <v>98</v>
      </c>
      <c r="AP688" t="s">
        <v>100</v>
      </c>
      <c r="AQ688" t="s">
        <v>101</v>
      </c>
      <c r="AV688" t="s">
        <v>98</v>
      </c>
      <c r="AX688" t="s">
        <v>2307</v>
      </c>
      <c r="AZ688" t="s">
        <v>102</v>
      </c>
      <c r="BB688" t="s">
        <v>235</v>
      </c>
      <c r="BC688" t="s">
        <v>1687</v>
      </c>
      <c r="BD688" t="s">
        <v>7528</v>
      </c>
      <c r="BF688" t="s">
        <v>2288</v>
      </c>
      <c r="BG688" t="s">
        <v>98</v>
      </c>
      <c r="BH688" t="s">
        <v>98</v>
      </c>
      <c r="BI688" t="s">
        <v>98</v>
      </c>
      <c r="BK688" t="s">
        <v>127</v>
      </c>
      <c r="BL688" t="s">
        <v>756</v>
      </c>
      <c r="BM688">
        <v>8.75</v>
      </c>
      <c r="BN688">
        <v>4.5</v>
      </c>
      <c r="CA688">
        <v>4632</v>
      </c>
      <c r="CB688" t="s">
        <v>2307</v>
      </c>
      <c r="CL688" t="s">
        <v>99</v>
      </c>
      <c r="CM688" t="s">
        <v>98</v>
      </c>
      <c r="CN688" t="s">
        <v>442</v>
      </c>
      <c r="CO688" s="1">
        <v>43010</v>
      </c>
      <c r="CP688" s="1">
        <v>43633</v>
      </c>
    </row>
    <row r="689" spans="1:94" x14ac:dyDescent="0.25">
      <c r="A689" t="s">
        <v>2289</v>
      </c>
      <c r="B689" t="str">
        <f xml:space="preserve"> "" &amp; 747396104737</f>
        <v>747396104737</v>
      </c>
      <c r="C689" t="s">
        <v>762</v>
      </c>
      <c r="D689" t="s">
        <v>6679</v>
      </c>
      <c r="E689" t="s">
        <v>2283</v>
      </c>
      <c r="F689" t="s">
        <v>323</v>
      </c>
      <c r="G689">
        <v>1</v>
      </c>
      <c r="H689">
        <v>1</v>
      </c>
      <c r="I689" t="s">
        <v>97</v>
      </c>
      <c r="J689" s="10">
        <v>84</v>
      </c>
      <c r="K689" s="10">
        <v>252</v>
      </c>
      <c r="L689" s="10">
        <v>0</v>
      </c>
      <c r="N689" s="10">
        <v>0</v>
      </c>
      <c r="O689" t="s">
        <v>99</v>
      </c>
      <c r="P689" s="10">
        <v>174.95</v>
      </c>
      <c r="S689">
        <v>8.75</v>
      </c>
      <c r="U689">
        <v>22.5</v>
      </c>
      <c r="V689">
        <v>5.5</v>
      </c>
      <c r="W689">
        <v>7.32</v>
      </c>
      <c r="X689">
        <v>1</v>
      </c>
      <c r="Y689">
        <v>10.88</v>
      </c>
      <c r="Z689">
        <v>25</v>
      </c>
      <c r="AA689">
        <v>8</v>
      </c>
      <c r="AB689">
        <v>1.2589999999999999</v>
      </c>
      <c r="AC689">
        <v>10.16</v>
      </c>
      <c r="AE689">
        <v>0</v>
      </c>
      <c r="AF689" t="s">
        <v>1611</v>
      </c>
      <c r="AG689">
        <v>60</v>
      </c>
      <c r="AK689" t="s">
        <v>98</v>
      </c>
      <c r="AM689" t="s">
        <v>98</v>
      </c>
      <c r="AN689" t="s">
        <v>99</v>
      </c>
      <c r="AO689" t="s">
        <v>98</v>
      </c>
      <c r="AP689" t="s">
        <v>100</v>
      </c>
      <c r="AQ689" t="s">
        <v>101</v>
      </c>
      <c r="AV689" t="s">
        <v>98</v>
      </c>
      <c r="AX689" t="s">
        <v>2307</v>
      </c>
      <c r="AZ689" t="s">
        <v>102</v>
      </c>
      <c r="BB689" t="s">
        <v>235</v>
      </c>
      <c r="BC689" t="s">
        <v>1687</v>
      </c>
      <c r="BD689" t="s">
        <v>7528</v>
      </c>
      <c r="BF689" t="s">
        <v>2290</v>
      </c>
      <c r="BG689" t="s">
        <v>98</v>
      </c>
      <c r="BH689" t="s">
        <v>98</v>
      </c>
      <c r="BI689" t="s">
        <v>98</v>
      </c>
      <c r="BK689" t="s">
        <v>127</v>
      </c>
      <c r="BL689" t="s">
        <v>756</v>
      </c>
      <c r="BM689">
        <v>8.6300000000000008</v>
      </c>
      <c r="BN689">
        <v>4.5</v>
      </c>
      <c r="CA689">
        <v>4633</v>
      </c>
      <c r="CB689" t="s">
        <v>2307</v>
      </c>
      <c r="CL689" t="s">
        <v>99</v>
      </c>
      <c r="CM689" t="s">
        <v>98</v>
      </c>
      <c r="CN689" t="s">
        <v>442</v>
      </c>
      <c r="CO689" s="1">
        <v>43010</v>
      </c>
      <c r="CP689" s="1">
        <v>43633</v>
      </c>
    </row>
    <row r="690" spans="1:94" x14ac:dyDescent="0.25">
      <c r="A690" t="s">
        <v>2291</v>
      </c>
      <c r="B690" t="str">
        <f xml:space="preserve"> "" &amp; 747396104744</f>
        <v>747396104744</v>
      </c>
      <c r="C690" t="s">
        <v>766</v>
      </c>
      <c r="D690" t="s">
        <v>6680</v>
      </c>
      <c r="E690" t="s">
        <v>2283</v>
      </c>
      <c r="F690" t="s">
        <v>323</v>
      </c>
      <c r="G690">
        <v>1</v>
      </c>
      <c r="H690">
        <v>1</v>
      </c>
      <c r="I690" t="s">
        <v>97</v>
      </c>
      <c r="J690" s="10">
        <v>104</v>
      </c>
      <c r="K690" s="10">
        <v>312</v>
      </c>
      <c r="L690" s="10">
        <v>0</v>
      </c>
      <c r="N690" s="10">
        <v>0</v>
      </c>
      <c r="O690" t="s">
        <v>99</v>
      </c>
      <c r="P690" s="10">
        <v>219.95</v>
      </c>
      <c r="S690">
        <v>8.75</v>
      </c>
      <c r="U690">
        <v>31</v>
      </c>
      <c r="V690">
        <v>5.5</v>
      </c>
      <c r="W690">
        <v>9.02</v>
      </c>
      <c r="X690">
        <v>1</v>
      </c>
      <c r="Y690">
        <v>10.88</v>
      </c>
      <c r="Z690">
        <v>33.5</v>
      </c>
      <c r="AA690">
        <v>8</v>
      </c>
      <c r="AB690">
        <v>1.6870000000000001</v>
      </c>
      <c r="AC690">
        <v>12.13</v>
      </c>
      <c r="AE690">
        <v>0</v>
      </c>
      <c r="AF690" t="s">
        <v>1611</v>
      </c>
      <c r="AG690">
        <v>60</v>
      </c>
      <c r="AK690" t="s">
        <v>98</v>
      </c>
      <c r="AM690" t="s">
        <v>98</v>
      </c>
      <c r="AN690" t="s">
        <v>99</v>
      </c>
      <c r="AO690" t="s">
        <v>98</v>
      </c>
      <c r="AP690" t="s">
        <v>100</v>
      </c>
      <c r="AQ690" t="s">
        <v>101</v>
      </c>
      <c r="AV690" t="s">
        <v>98</v>
      </c>
      <c r="AX690" t="s">
        <v>2307</v>
      </c>
      <c r="AZ690" t="s">
        <v>102</v>
      </c>
      <c r="BB690" t="s">
        <v>235</v>
      </c>
      <c r="BC690" t="s">
        <v>1687</v>
      </c>
      <c r="BD690" t="s">
        <v>7528</v>
      </c>
      <c r="BF690" t="s">
        <v>2292</v>
      </c>
      <c r="BG690" t="s">
        <v>98</v>
      </c>
      <c r="BH690" t="s">
        <v>98</v>
      </c>
      <c r="BI690" t="s">
        <v>98</v>
      </c>
      <c r="BK690" t="s">
        <v>127</v>
      </c>
      <c r="BL690" t="s">
        <v>756</v>
      </c>
      <c r="BM690">
        <v>8.75</v>
      </c>
      <c r="BN690">
        <v>4.5</v>
      </c>
      <c r="CA690">
        <v>4634</v>
      </c>
      <c r="CB690" t="s">
        <v>2307</v>
      </c>
      <c r="CL690" t="s">
        <v>99</v>
      </c>
      <c r="CM690" t="s">
        <v>98</v>
      </c>
      <c r="CN690" t="s">
        <v>442</v>
      </c>
      <c r="CO690" s="1">
        <v>43010</v>
      </c>
      <c r="CP690" s="1">
        <v>43635</v>
      </c>
    </row>
    <row r="691" spans="1:94" x14ac:dyDescent="0.25">
      <c r="A691" t="s">
        <v>2293</v>
      </c>
      <c r="B691" t="str">
        <f xml:space="preserve"> "" &amp; 747396104683</f>
        <v>747396104683</v>
      </c>
      <c r="C691" t="s">
        <v>2294</v>
      </c>
      <c r="D691" t="s">
        <v>6681</v>
      </c>
      <c r="E691" t="s">
        <v>2283</v>
      </c>
      <c r="F691" t="s">
        <v>314</v>
      </c>
      <c r="G691">
        <v>1</v>
      </c>
      <c r="H691">
        <v>1</v>
      </c>
      <c r="I691" t="s">
        <v>97</v>
      </c>
      <c r="J691" s="10">
        <v>184</v>
      </c>
      <c r="K691" s="10">
        <v>552</v>
      </c>
      <c r="L691" s="10">
        <v>0</v>
      </c>
      <c r="N691" s="10">
        <v>0</v>
      </c>
      <c r="O691" t="s">
        <v>99</v>
      </c>
      <c r="P691" s="10">
        <v>389.95</v>
      </c>
      <c r="S691">
        <v>19</v>
      </c>
      <c r="U691">
        <v>40</v>
      </c>
      <c r="V691">
        <v>4.5</v>
      </c>
      <c r="W691">
        <v>16.05</v>
      </c>
      <c r="X691">
        <v>1</v>
      </c>
      <c r="Y691">
        <v>10.75</v>
      </c>
      <c r="Z691">
        <v>43</v>
      </c>
      <c r="AA691">
        <v>9.5</v>
      </c>
      <c r="AB691">
        <v>2.5409999999999999</v>
      </c>
      <c r="AC691">
        <v>20.55</v>
      </c>
      <c r="AE691">
        <v>0</v>
      </c>
      <c r="AF691" t="s">
        <v>1611</v>
      </c>
      <c r="AG691">
        <v>60</v>
      </c>
      <c r="AK691" t="s">
        <v>98</v>
      </c>
      <c r="AM691" t="s">
        <v>98</v>
      </c>
      <c r="AN691" t="s">
        <v>99</v>
      </c>
      <c r="AO691" t="s">
        <v>98</v>
      </c>
      <c r="AP691" t="s">
        <v>100</v>
      </c>
      <c r="AQ691" t="s">
        <v>101</v>
      </c>
      <c r="AV691" t="s">
        <v>98</v>
      </c>
      <c r="AX691" t="s">
        <v>2307</v>
      </c>
      <c r="AZ691" t="s">
        <v>102</v>
      </c>
      <c r="BB691" t="s">
        <v>235</v>
      </c>
      <c r="BC691" t="s">
        <v>1687</v>
      </c>
      <c r="BD691" t="s">
        <v>7528</v>
      </c>
      <c r="BF691" t="s">
        <v>2295</v>
      </c>
      <c r="BG691" t="s">
        <v>98</v>
      </c>
      <c r="BH691" t="s">
        <v>98</v>
      </c>
      <c r="BI691" t="s">
        <v>98</v>
      </c>
      <c r="BK691" t="s">
        <v>110</v>
      </c>
      <c r="BL691" t="s">
        <v>7528</v>
      </c>
      <c r="BR691">
        <v>0.75</v>
      </c>
      <c r="BS691">
        <v>10.25</v>
      </c>
      <c r="BT691">
        <v>10.25</v>
      </c>
      <c r="CA691">
        <v>4635</v>
      </c>
      <c r="CB691" t="s">
        <v>2307</v>
      </c>
      <c r="CL691" t="s">
        <v>99</v>
      </c>
      <c r="CM691" t="s">
        <v>99</v>
      </c>
      <c r="CN691" t="s">
        <v>442</v>
      </c>
      <c r="CO691" s="1">
        <v>43010</v>
      </c>
      <c r="CP691" s="1">
        <v>43635</v>
      </c>
    </row>
    <row r="692" spans="1:94" x14ac:dyDescent="0.25">
      <c r="A692" t="s">
        <v>2296</v>
      </c>
      <c r="B692" t="str">
        <f xml:space="preserve"> "" &amp; 747396104690</f>
        <v>747396104690</v>
      </c>
      <c r="C692" t="s">
        <v>252</v>
      </c>
      <c r="D692" t="s">
        <v>6682</v>
      </c>
      <c r="E692" t="s">
        <v>2283</v>
      </c>
      <c r="F692" t="s">
        <v>249</v>
      </c>
      <c r="G692">
        <v>1</v>
      </c>
      <c r="H692">
        <v>1</v>
      </c>
      <c r="I692" t="s">
        <v>97</v>
      </c>
      <c r="J692" s="10">
        <v>215</v>
      </c>
      <c r="K692" s="10">
        <v>645</v>
      </c>
      <c r="L692" s="10">
        <v>0</v>
      </c>
      <c r="N692" s="10">
        <v>0</v>
      </c>
      <c r="O692" t="s">
        <v>99</v>
      </c>
      <c r="P692" s="10">
        <v>454.95</v>
      </c>
      <c r="S692">
        <v>23</v>
      </c>
      <c r="T692">
        <v>28</v>
      </c>
      <c r="U692">
        <v>28</v>
      </c>
      <c r="W692">
        <v>18.89</v>
      </c>
      <c r="X692">
        <v>1</v>
      </c>
      <c r="Y692">
        <v>9</v>
      </c>
      <c r="Z692">
        <v>30.5</v>
      </c>
      <c r="AA692">
        <v>27.25</v>
      </c>
      <c r="AB692">
        <v>4.3289999999999997</v>
      </c>
      <c r="AC692">
        <v>23.96</v>
      </c>
      <c r="AE692">
        <v>6</v>
      </c>
      <c r="AF692" t="s">
        <v>1611</v>
      </c>
      <c r="AG692">
        <v>60</v>
      </c>
      <c r="AK692" t="s">
        <v>98</v>
      </c>
      <c r="AM692" t="s">
        <v>98</v>
      </c>
      <c r="AN692" t="s">
        <v>99</v>
      </c>
      <c r="AO692" t="s">
        <v>98</v>
      </c>
      <c r="AP692" t="s">
        <v>100</v>
      </c>
      <c r="AQ692" t="s">
        <v>101</v>
      </c>
      <c r="AV692" t="s">
        <v>98</v>
      </c>
      <c r="AX692" t="s">
        <v>2307</v>
      </c>
      <c r="AZ692" t="s">
        <v>102</v>
      </c>
      <c r="BB692" t="s">
        <v>235</v>
      </c>
      <c r="BC692" t="s">
        <v>1687</v>
      </c>
      <c r="BD692" t="s">
        <v>7528</v>
      </c>
      <c r="BF692" t="s">
        <v>2297</v>
      </c>
      <c r="BG692" t="s">
        <v>98</v>
      </c>
      <c r="BH692" t="s">
        <v>98</v>
      </c>
      <c r="BI692" t="s">
        <v>98</v>
      </c>
      <c r="BK692" t="s">
        <v>110</v>
      </c>
      <c r="BL692" t="s">
        <v>7528</v>
      </c>
      <c r="BR692">
        <v>0.75</v>
      </c>
      <c r="BS692">
        <v>5</v>
      </c>
      <c r="BT692">
        <v>5</v>
      </c>
      <c r="CA692">
        <v>4636</v>
      </c>
      <c r="CB692" t="s">
        <v>2307</v>
      </c>
      <c r="CL692" t="s">
        <v>99</v>
      </c>
      <c r="CM692" t="s">
        <v>99</v>
      </c>
      <c r="CN692" t="s">
        <v>442</v>
      </c>
      <c r="CO692" s="1">
        <v>43010</v>
      </c>
      <c r="CP692" s="1">
        <v>43633</v>
      </c>
    </row>
    <row r="693" spans="1:94" x14ac:dyDescent="0.25">
      <c r="A693" t="s">
        <v>2298</v>
      </c>
      <c r="B693" t="str">
        <f xml:space="preserve"> "" &amp; 747396104768</f>
        <v>747396104768</v>
      </c>
      <c r="C693" t="s">
        <v>1371</v>
      </c>
      <c r="D693" t="s">
        <v>6683</v>
      </c>
      <c r="E693" t="s">
        <v>2283</v>
      </c>
      <c r="F693" t="s">
        <v>377</v>
      </c>
      <c r="G693">
        <v>1</v>
      </c>
      <c r="H693">
        <v>1</v>
      </c>
      <c r="I693" t="s">
        <v>97</v>
      </c>
      <c r="J693" s="10">
        <v>112</v>
      </c>
      <c r="K693" s="10">
        <v>336</v>
      </c>
      <c r="L693" s="10">
        <v>0</v>
      </c>
      <c r="N693" s="10">
        <v>0</v>
      </c>
      <c r="O693" t="s">
        <v>99</v>
      </c>
      <c r="P693" s="10">
        <v>234.95</v>
      </c>
      <c r="S693">
        <v>13.75</v>
      </c>
      <c r="U693">
        <v>15.75</v>
      </c>
      <c r="W693">
        <v>9.3000000000000007</v>
      </c>
      <c r="X693">
        <v>1</v>
      </c>
      <c r="Y693">
        <v>11.25</v>
      </c>
      <c r="Z693">
        <v>14.75</v>
      </c>
      <c r="AA693">
        <v>14.75</v>
      </c>
      <c r="AB693">
        <v>1.4159999999999999</v>
      </c>
      <c r="AC693">
        <v>12.68</v>
      </c>
      <c r="AE693">
        <v>0</v>
      </c>
      <c r="AF693" t="s">
        <v>1611</v>
      </c>
      <c r="AG693">
        <v>60</v>
      </c>
      <c r="AK693" t="s">
        <v>98</v>
      </c>
      <c r="AM693" t="s">
        <v>98</v>
      </c>
      <c r="AN693" t="s">
        <v>99</v>
      </c>
      <c r="AO693" t="s">
        <v>98</v>
      </c>
      <c r="AP693" t="s">
        <v>100</v>
      </c>
      <c r="AQ693" t="s">
        <v>101</v>
      </c>
      <c r="AV693" t="s">
        <v>98</v>
      </c>
      <c r="AX693" t="s">
        <v>2307</v>
      </c>
      <c r="AZ693" t="s">
        <v>102</v>
      </c>
      <c r="BB693" t="s">
        <v>235</v>
      </c>
      <c r="BC693" t="s">
        <v>1687</v>
      </c>
      <c r="BD693" t="s">
        <v>7528</v>
      </c>
      <c r="BF693" t="s">
        <v>2299</v>
      </c>
      <c r="BG693" t="s">
        <v>98</v>
      </c>
      <c r="BH693" t="s">
        <v>98</v>
      </c>
      <c r="BI693" t="s">
        <v>98</v>
      </c>
      <c r="BK693" t="s">
        <v>127</v>
      </c>
      <c r="BL693" t="s">
        <v>7528</v>
      </c>
      <c r="BR693">
        <v>0.75</v>
      </c>
      <c r="BS693">
        <v>4.75</v>
      </c>
      <c r="BT693">
        <v>4.75</v>
      </c>
      <c r="CA693">
        <v>4637</v>
      </c>
      <c r="CB693" t="s">
        <v>2307</v>
      </c>
      <c r="CL693" t="s">
        <v>99</v>
      </c>
      <c r="CM693" t="s">
        <v>98</v>
      </c>
      <c r="CN693" t="s">
        <v>442</v>
      </c>
      <c r="CO693" s="1">
        <v>43011</v>
      </c>
      <c r="CP693" s="1">
        <v>43633</v>
      </c>
    </row>
    <row r="694" spans="1:94" x14ac:dyDescent="0.25">
      <c r="A694" t="s">
        <v>2300</v>
      </c>
      <c r="B694" t="str">
        <f xml:space="preserve"> "" &amp; 747396104751</f>
        <v>747396104751</v>
      </c>
      <c r="C694" t="s">
        <v>255</v>
      </c>
      <c r="D694" t="s">
        <v>6684</v>
      </c>
      <c r="E694" t="s">
        <v>2283</v>
      </c>
      <c r="F694" t="s">
        <v>249</v>
      </c>
      <c r="G694">
        <v>1</v>
      </c>
      <c r="H694">
        <v>1</v>
      </c>
      <c r="I694" t="s">
        <v>97</v>
      </c>
      <c r="J694" s="10">
        <v>305</v>
      </c>
      <c r="K694" s="10">
        <v>915</v>
      </c>
      <c r="L694" s="10">
        <v>0</v>
      </c>
      <c r="N694" s="10">
        <v>0</v>
      </c>
      <c r="O694" t="s">
        <v>99</v>
      </c>
      <c r="P694" s="10">
        <v>639.95000000000005</v>
      </c>
      <c r="S694">
        <v>26.25</v>
      </c>
      <c r="T694">
        <v>32</v>
      </c>
      <c r="U694">
        <v>32</v>
      </c>
      <c r="W694">
        <v>23.92</v>
      </c>
      <c r="X694">
        <v>1</v>
      </c>
      <c r="Y694">
        <v>8</v>
      </c>
      <c r="Z694">
        <v>32.5</v>
      </c>
      <c r="AA694">
        <v>32.5</v>
      </c>
      <c r="AB694">
        <v>4.8899999999999997</v>
      </c>
      <c r="AC694">
        <v>30.07</v>
      </c>
      <c r="AE694">
        <v>8</v>
      </c>
      <c r="AF694" t="s">
        <v>1611</v>
      </c>
      <c r="AG694">
        <v>60</v>
      </c>
      <c r="AK694" t="s">
        <v>98</v>
      </c>
      <c r="AM694" t="s">
        <v>98</v>
      </c>
      <c r="AN694" t="s">
        <v>99</v>
      </c>
      <c r="AO694" t="s">
        <v>98</v>
      </c>
      <c r="AP694" t="s">
        <v>100</v>
      </c>
      <c r="AQ694" t="s">
        <v>101</v>
      </c>
      <c r="AV694" t="s">
        <v>98</v>
      </c>
      <c r="AX694" t="s">
        <v>2307</v>
      </c>
      <c r="AZ694" t="s">
        <v>102</v>
      </c>
      <c r="BB694" t="s">
        <v>235</v>
      </c>
      <c r="BC694" t="s">
        <v>1687</v>
      </c>
      <c r="BD694" t="s">
        <v>7528</v>
      </c>
      <c r="BF694" t="s">
        <v>2301</v>
      </c>
      <c r="BG694" t="s">
        <v>98</v>
      </c>
      <c r="BH694" t="s">
        <v>98</v>
      </c>
      <c r="BI694" t="s">
        <v>98</v>
      </c>
      <c r="BK694" t="s">
        <v>110</v>
      </c>
      <c r="BL694" t="s">
        <v>7528</v>
      </c>
      <c r="BR694">
        <v>0.75</v>
      </c>
      <c r="BS694">
        <v>5</v>
      </c>
      <c r="BT694">
        <v>5</v>
      </c>
      <c r="CA694">
        <v>4638</v>
      </c>
      <c r="CB694" t="s">
        <v>2307</v>
      </c>
      <c r="CL694" t="s">
        <v>99</v>
      </c>
      <c r="CM694" t="s">
        <v>98</v>
      </c>
      <c r="CN694" t="s">
        <v>442</v>
      </c>
      <c r="CO694" s="1">
        <v>43011</v>
      </c>
      <c r="CP694" s="1">
        <v>43633</v>
      </c>
    </row>
    <row r="695" spans="1:94" x14ac:dyDescent="0.25">
      <c r="A695" t="s">
        <v>2302</v>
      </c>
      <c r="B695" t="str">
        <f xml:space="preserve"> "" &amp; 747396104782</f>
        <v>747396104782</v>
      </c>
      <c r="C695" t="s">
        <v>350</v>
      </c>
      <c r="D695" t="s">
        <v>6685</v>
      </c>
      <c r="E695" t="s">
        <v>2283</v>
      </c>
      <c r="F695" t="s">
        <v>249</v>
      </c>
      <c r="G695">
        <v>1</v>
      </c>
      <c r="H695">
        <v>1</v>
      </c>
      <c r="I695" t="s">
        <v>97</v>
      </c>
      <c r="J695" s="10">
        <v>359</v>
      </c>
      <c r="K695" s="10">
        <v>1077</v>
      </c>
      <c r="L695" s="10">
        <v>0</v>
      </c>
      <c r="N695" s="10">
        <v>0</v>
      </c>
      <c r="O695" t="s">
        <v>99</v>
      </c>
      <c r="P695" s="10">
        <v>749.95</v>
      </c>
      <c r="S695">
        <v>30</v>
      </c>
      <c r="T695">
        <v>32</v>
      </c>
      <c r="U695">
        <v>32</v>
      </c>
      <c r="W695">
        <v>25.97</v>
      </c>
      <c r="X695">
        <v>1</v>
      </c>
      <c r="Y695">
        <v>9</v>
      </c>
      <c r="Z695">
        <v>34.5</v>
      </c>
      <c r="AA695">
        <v>31</v>
      </c>
      <c r="AB695">
        <v>5.57</v>
      </c>
      <c r="AC695">
        <v>32.36</v>
      </c>
      <c r="AE695">
        <v>9</v>
      </c>
      <c r="AF695" t="s">
        <v>1611</v>
      </c>
      <c r="AG695">
        <v>60</v>
      </c>
      <c r="AK695" t="s">
        <v>98</v>
      </c>
      <c r="AM695" t="s">
        <v>98</v>
      </c>
      <c r="AN695" t="s">
        <v>99</v>
      </c>
      <c r="AO695" t="s">
        <v>98</v>
      </c>
      <c r="AP695" t="s">
        <v>100</v>
      </c>
      <c r="AQ695" t="s">
        <v>101</v>
      </c>
      <c r="AV695" t="s">
        <v>98</v>
      </c>
      <c r="AX695" t="s">
        <v>2307</v>
      </c>
      <c r="AZ695" t="s">
        <v>102</v>
      </c>
      <c r="BB695" t="s">
        <v>235</v>
      </c>
      <c r="BC695" t="s">
        <v>1687</v>
      </c>
      <c r="BD695" t="s">
        <v>7528</v>
      </c>
      <c r="BF695" t="s">
        <v>2303</v>
      </c>
      <c r="BG695" t="s">
        <v>98</v>
      </c>
      <c r="BH695" t="s">
        <v>98</v>
      </c>
      <c r="BI695" t="s">
        <v>98</v>
      </c>
      <c r="BK695" t="s">
        <v>110</v>
      </c>
      <c r="BL695" t="s">
        <v>7528</v>
      </c>
      <c r="BR695">
        <v>1</v>
      </c>
      <c r="BS695">
        <v>5</v>
      </c>
      <c r="BT695">
        <v>5</v>
      </c>
      <c r="CA695">
        <v>4639</v>
      </c>
      <c r="CB695" t="s">
        <v>2307</v>
      </c>
      <c r="CL695" t="s">
        <v>99</v>
      </c>
      <c r="CM695" t="s">
        <v>98</v>
      </c>
      <c r="CN695" t="s">
        <v>442</v>
      </c>
      <c r="CO695" s="1">
        <v>43011</v>
      </c>
      <c r="CP695" s="1">
        <v>43633</v>
      </c>
    </row>
    <row r="696" spans="1:94" x14ac:dyDescent="0.25">
      <c r="A696" t="s">
        <v>2304</v>
      </c>
      <c r="B696" t="str">
        <f xml:space="preserve"> "" &amp; 747396104775</f>
        <v>747396104775</v>
      </c>
      <c r="C696" t="s">
        <v>1421</v>
      </c>
      <c r="D696" t="s">
        <v>6686</v>
      </c>
      <c r="E696" t="s">
        <v>2283</v>
      </c>
      <c r="F696" t="s">
        <v>240</v>
      </c>
      <c r="G696">
        <v>1</v>
      </c>
      <c r="H696">
        <v>1</v>
      </c>
      <c r="I696" t="s">
        <v>97</v>
      </c>
      <c r="J696" s="10">
        <v>159</v>
      </c>
      <c r="K696" s="10">
        <v>477</v>
      </c>
      <c r="L696" s="10">
        <v>0</v>
      </c>
      <c r="N696" s="10">
        <v>0</v>
      </c>
      <c r="O696" t="s">
        <v>99</v>
      </c>
      <c r="P696" s="10">
        <v>334.95</v>
      </c>
      <c r="S696">
        <v>22</v>
      </c>
      <c r="T696">
        <v>14.5</v>
      </c>
      <c r="U696">
        <v>14.5</v>
      </c>
      <c r="W696">
        <v>15.21</v>
      </c>
      <c r="X696">
        <v>1</v>
      </c>
      <c r="Y696">
        <v>25</v>
      </c>
      <c r="Z696">
        <v>16.5</v>
      </c>
      <c r="AA696">
        <v>16.5</v>
      </c>
      <c r="AB696">
        <v>3.9390000000000001</v>
      </c>
      <c r="AC696">
        <v>21.19</v>
      </c>
      <c r="AE696">
        <v>4</v>
      </c>
      <c r="AF696" t="s">
        <v>1611</v>
      </c>
      <c r="AG696">
        <v>60</v>
      </c>
      <c r="AK696" t="s">
        <v>98</v>
      </c>
      <c r="AM696" t="s">
        <v>98</v>
      </c>
      <c r="AN696" t="s">
        <v>99</v>
      </c>
      <c r="AO696" t="s">
        <v>98</v>
      </c>
      <c r="AP696" t="s">
        <v>100</v>
      </c>
      <c r="AQ696" t="s">
        <v>101</v>
      </c>
      <c r="AV696" t="s">
        <v>98</v>
      </c>
      <c r="AX696" t="s">
        <v>2307</v>
      </c>
      <c r="AZ696" t="s">
        <v>102</v>
      </c>
      <c r="BB696" t="s">
        <v>235</v>
      </c>
      <c r="BC696" t="s">
        <v>1687</v>
      </c>
      <c r="BD696" t="s">
        <v>7528</v>
      </c>
      <c r="BF696" t="s">
        <v>2305</v>
      </c>
      <c r="BG696" t="s">
        <v>98</v>
      </c>
      <c r="BH696" t="s">
        <v>98</v>
      </c>
      <c r="BI696" t="s">
        <v>98</v>
      </c>
      <c r="BK696" t="s">
        <v>110</v>
      </c>
      <c r="BL696" t="s">
        <v>7528</v>
      </c>
      <c r="BR696">
        <v>1</v>
      </c>
      <c r="BS696">
        <v>5</v>
      </c>
      <c r="BT696">
        <v>5</v>
      </c>
      <c r="CA696">
        <v>4640</v>
      </c>
      <c r="CB696" t="s">
        <v>2307</v>
      </c>
      <c r="CL696" t="s">
        <v>99</v>
      </c>
      <c r="CM696" t="s">
        <v>99</v>
      </c>
      <c r="CN696" t="s">
        <v>442</v>
      </c>
      <c r="CO696" s="1">
        <v>43011</v>
      </c>
      <c r="CP696" s="1">
        <v>43633</v>
      </c>
    </row>
    <row r="697" spans="1:94" x14ac:dyDescent="0.25">
      <c r="A697" t="s">
        <v>2306</v>
      </c>
      <c r="B697" t="str">
        <f xml:space="preserve"> "" &amp; 747396107523</f>
        <v>747396107523</v>
      </c>
      <c r="C697" t="s">
        <v>258</v>
      </c>
      <c r="D697" t="s">
        <v>6687</v>
      </c>
      <c r="E697" t="s">
        <v>2283</v>
      </c>
      <c r="F697" t="s">
        <v>249</v>
      </c>
      <c r="G697">
        <v>1</v>
      </c>
      <c r="H697">
        <v>1</v>
      </c>
      <c r="I697" t="s">
        <v>97</v>
      </c>
      <c r="J697" s="10">
        <v>559</v>
      </c>
      <c r="K697" s="10">
        <v>1677</v>
      </c>
      <c r="L697" s="10">
        <v>0</v>
      </c>
      <c r="N697" s="10">
        <v>0</v>
      </c>
      <c r="O697" t="s">
        <v>99</v>
      </c>
      <c r="P697" s="10">
        <v>1174.95</v>
      </c>
      <c r="S697">
        <v>40</v>
      </c>
      <c r="T697">
        <v>34</v>
      </c>
      <c r="U697">
        <v>34</v>
      </c>
      <c r="W697">
        <v>34</v>
      </c>
      <c r="X697">
        <v>1</v>
      </c>
      <c r="Y697">
        <v>40.5</v>
      </c>
      <c r="Z697">
        <v>36.75</v>
      </c>
      <c r="AA697">
        <v>33</v>
      </c>
      <c r="AB697">
        <v>28.423999999999999</v>
      </c>
      <c r="AC697">
        <v>55.82</v>
      </c>
      <c r="AE697">
        <v>12</v>
      </c>
      <c r="AF697" t="s">
        <v>1611</v>
      </c>
      <c r="AG697">
        <v>60</v>
      </c>
      <c r="AK697" t="s">
        <v>98</v>
      </c>
      <c r="AM697" t="s">
        <v>98</v>
      </c>
      <c r="AN697" t="s">
        <v>99</v>
      </c>
      <c r="AO697" t="s">
        <v>98</v>
      </c>
      <c r="AP697" t="s">
        <v>259</v>
      </c>
      <c r="AQ697" t="s">
        <v>101</v>
      </c>
      <c r="AV697" t="s">
        <v>98</v>
      </c>
      <c r="AX697" t="s">
        <v>2307</v>
      </c>
      <c r="AZ697" t="s">
        <v>102</v>
      </c>
      <c r="BB697" t="s">
        <v>235</v>
      </c>
      <c r="BC697" t="s">
        <v>1687</v>
      </c>
      <c r="BD697" t="s">
        <v>7528</v>
      </c>
      <c r="BF697" t="s">
        <v>2308</v>
      </c>
      <c r="BG697" t="s">
        <v>98</v>
      </c>
      <c r="BH697" t="s">
        <v>98</v>
      </c>
      <c r="BI697" t="s">
        <v>98</v>
      </c>
      <c r="BK697" t="s">
        <v>110</v>
      </c>
      <c r="BL697" t="s">
        <v>7528</v>
      </c>
      <c r="BR697">
        <v>1</v>
      </c>
      <c r="BT697">
        <v>5</v>
      </c>
      <c r="CA697">
        <v>4641</v>
      </c>
      <c r="CB697" t="s">
        <v>2307</v>
      </c>
      <c r="CL697" t="s">
        <v>99</v>
      </c>
      <c r="CM697" t="s">
        <v>98</v>
      </c>
      <c r="CN697" t="s">
        <v>442</v>
      </c>
      <c r="CO697" s="1">
        <v>43108</v>
      </c>
      <c r="CP697" s="1">
        <v>43633</v>
      </c>
    </row>
    <row r="698" spans="1:94" x14ac:dyDescent="0.25">
      <c r="A698" t="s">
        <v>2309</v>
      </c>
      <c r="B698" t="str">
        <f xml:space="preserve"> "" &amp; 747396105093</f>
        <v>747396105093</v>
      </c>
      <c r="C698" t="s">
        <v>2294</v>
      </c>
      <c r="D698" t="s">
        <v>6688</v>
      </c>
      <c r="E698" t="s">
        <v>2310</v>
      </c>
      <c r="F698" t="s">
        <v>314</v>
      </c>
      <c r="G698">
        <v>1</v>
      </c>
      <c r="H698">
        <v>1</v>
      </c>
      <c r="I698" t="s">
        <v>97</v>
      </c>
      <c r="J698" s="10">
        <v>159</v>
      </c>
      <c r="K698" s="10">
        <v>477</v>
      </c>
      <c r="L698" s="10">
        <v>0</v>
      </c>
      <c r="N698" s="10">
        <v>0</v>
      </c>
      <c r="O698" t="s">
        <v>99</v>
      </c>
      <c r="P698" s="10">
        <v>334.95</v>
      </c>
      <c r="S698">
        <v>14.75</v>
      </c>
      <c r="T698">
        <v>42.5</v>
      </c>
      <c r="U698">
        <v>42.5</v>
      </c>
      <c r="W698">
        <v>11.35</v>
      </c>
      <c r="X698">
        <v>1</v>
      </c>
      <c r="Y698">
        <v>6.13</v>
      </c>
      <c r="Z698">
        <v>44.88</v>
      </c>
      <c r="AA698">
        <v>17.38</v>
      </c>
      <c r="AB698">
        <v>2.7669999999999999</v>
      </c>
      <c r="AC698">
        <v>14.66</v>
      </c>
      <c r="AE698">
        <v>5</v>
      </c>
      <c r="AF698" t="s">
        <v>1611</v>
      </c>
      <c r="AG698">
        <v>60</v>
      </c>
      <c r="AK698" t="s">
        <v>98</v>
      </c>
      <c r="AM698" t="s">
        <v>98</v>
      </c>
      <c r="AN698" t="s">
        <v>98</v>
      </c>
      <c r="AO698" t="s">
        <v>99</v>
      </c>
      <c r="AP698" t="s">
        <v>100</v>
      </c>
      <c r="AQ698" t="s">
        <v>101</v>
      </c>
      <c r="AV698" t="s">
        <v>98</v>
      </c>
      <c r="AX698" t="s">
        <v>2311</v>
      </c>
      <c r="AZ698" t="s">
        <v>102</v>
      </c>
      <c r="BB698" t="s">
        <v>235</v>
      </c>
      <c r="BC698" t="s">
        <v>1687</v>
      </c>
      <c r="BD698" t="s">
        <v>7528</v>
      </c>
      <c r="BF698" t="s">
        <v>2312</v>
      </c>
      <c r="BG698" t="s">
        <v>98</v>
      </c>
      <c r="BH698" t="s">
        <v>98</v>
      </c>
      <c r="BI698" t="s">
        <v>98</v>
      </c>
      <c r="BK698" t="s">
        <v>110</v>
      </c>
      <c r="BL698" t="s">
        <v>7528</v>
      </c>
      <c r="BR698">
        <v>4.75</v>
      </c>
      <c r="BS698">
        <v>10.63</v>
      </c>
      <c r="BT698">
        <v>10.63</v>
      </c>
      <c r="CA698">
        <v>4645</v>
      </c>
      <c r="CB698" t="s">
        <v>2311</v>
      </c>
      <c r="CL698" t="s">
        <v>99</v>
      </c>
      <c r="CM698" t="s">
        <v>99</v>
      </c>
      <c r="CN698" t="s">
        <v>442</v>
      </c>
      <c r="CO698" s="1">
        <v>43012</v>
      </c>
      <c r="CP698" s="1">
        <v>43633</v>
      </c>
    </row>
    <row r="699" spans="1:94" x14ac:dyDescent="0.25">
      <c r="A699" t="s">
        <v>2313</v>
      </c>
      <c r="B699" t="str">
        <f xml:space="preserve"> "" &amp; 747396107530</f>
        <v>747396107530</v>
      </c>
      <c r="C699" t="s">
        <v>258</v>
      </c>
      <c r="D699" t="s">
        <v>6689</v>
      </c>
      <c r="E699" t="s">
        <v>2310</v>
      </c>
      <c r="F699" t="s">
        <v>249</v>
      </c>
      <c r="G699">
        <v>1</v>
      </c>
      <c r="H699">
        <v>1</v>
      </c>
      <c r="I699" t="s">
        <v>97</v>
      </c>
      <c r="J699" s="10">
        <v>389</v>
      </c>
      <c r="K699" s="10">
        <v>1167</v>
      </c>
      <c r="L699" s="10">
        <v>0</v>
      </c>
      <c r="N699" s="10">
        <v>0</v>
      </c>
      <c r="O699" t="s">
        <v>99</v>
      </c>
      <c r="P699" s="10">
        <v>814.95</v>
      </c>
      <c r="S699">
        <v>39</v>
      </c>
      <c r="T699">
        <v>36</v>
      </c>
      <c r="U699">
        <v>36</v>
      </c>
      <c r="W699">
        <v>24.36</v>
      </c>
      <c r="X699">
        <v>1</v>
      </c>
      <c r="Y699">
        <v>39.380000000000003</v>
      </c>
      <c r="Z699">
        <v>38.25</v>
      </c>
      <c r="AA699">
        <v>16.88</v>
      </c>
      <c r="AB699">
        <v>14.714</v>
      </c>
      <c r="AC699">
        <v>44</v>
      </c>
      <c r="AE699">
        <v>12</v>
      </c>
      <c r="AF699" t="s">
        <v>1611</v>
      </c>
      <c r="AG699">
        <v>60</v>
      </c>
      <c r="AK699" t="s">
        <v>98</v>
      </c>
      <c r="AM699" t="s">
        <v>98</v>
      </c>
      <c r="AN699" t="s">
        <v>98</v>
      </c>
      <c r="AO699" t="s">
        <v>99</v>
      </c>
      <c r="AP699" t="s">
        <v>259</v>
      </c>
      <c r="AQ699" t="s">
        <v>101</v>
      </c>
      <c r="AV699" t="s">
        <v>98</v>
      </c>
      <c r="AX699" t="s">
        <v>2311</v>
      </c>
      <c r="AZ699" t="s">
        <v>102</v>
      </c>
      <c r="BB699" t="s">
        <v>235</v>
      </c>
      <c r="BC699" t="s">
        <v>1687</v>
      </c>
      <c r="BD699" t="s">
        <v>7528</v>
      </c>
      <c r="BF699" t="s">
        <v>2314</v>
      </c>
      <c r="BG699" t="s">
        <v>98</v>
      </c>
      <c r="BH699" t="s">
        <v>98</v>
      </c>
      <c r="BI699" t="s">
        <v>98</v>
      </c>
      <c r="BK699" t="s">
        <v>110</v>
      </c>
      <c r="BL699" t="s">
        <v>7528</v>
      </c>
      <c r="BR699">
        <v>0.8</v>
      </c>
      <c r="BS699">
        <v>4.72</v>
      </c>
      <c r="BT699">
        <v>4.72</v>
      </c>
      <c r="CA699">
        <v>4646</v>
      </c>
      <c r="CB699" t="s">
        <v>2311</v>
      </c>
      <c r="CL699" t="s">
        <v>99</v>
      </c>
      <c r="CM699" t="s">
        <v>98</v>
      </c>
      <c r="CN699" t="s">
        <v>442</v>
      </c>
      <c r="CO699" s="1">
        <v>43108</v>
      </c>
      <c r="CP699" s="1">
        <v>43633</v>
      </c>
    </row>
    <row r="700" spans="1:94" x14ac:dyDescent="0.25">
      <c r="A700" t="s">
        <v>2315</v>
      </c>
      <c r="B700" t="str">
        <f xml:space="preserve"> "" &amp; 747396105178</f>
        <v>747396105178</v>
      </c>
      <c r="C700" t="s">
        <v>239</v>
      </c>
      <c r="D700" t="s">
        <v>6690</v>
      </c>
      <c r="E700" t="s">
        <v>2310</v>
      </c>
      <c r="F700" t="s">
        <v>240</v>
      </c>
      <c r="G700">
        <v>1</v>
      </c>
      <c r="H700">
        <v>1</v>
      </c>
      <c r="I700" t="s">
        <v>97</v>
      </c>
      <c r="J700" s="10">
        <v>32</v>
      </c>
      <c r="K700" s="10">
        <v>96</v>
      </c>
      <c r="L700" s="10">
        <v>0</v>
      </c>
      <c r="N700" s="10">
        <v>0</v>
      </c>
      <c r="O700" t="s">
        <v>99</v>
      </c>
      <c r="P700" s="10">
        <v>64.95</v>
      </c>
      <c r="S700">
        <v>7.75</v>
      </c>
      <c r="T700">
        <v>3.25</v>
      </c>
      <c r="U700">
        <v>3.25</v>
      </c>
      <c r="W700">
        <v>2.73</v>
      </c>
      <c r="X700">
        <v>1</v>
      </c>
      <c r="Y700">
        <v>6.13</v>
      </c>
      <c r="Z700">
        <v>17.38</v>
      </c>
      <c r="AA700">
        <v>7.13</v>
      </c>
      <c r="AB700">
        <v>0.44</v>
      </c>
      <c r="AC700">
        <v>3.33</v>
      </c>
      <c r="AE700">
        <v>1</v>
      </c>
      <c r="AF700" t="s">
        <v>2316</v>
      </c>
      <c r="AG700">
        <v>60</v>
      </c>
      <c r="AK700" t="s">
        <v>98</v>
      </c>
      <c r="AM700" t="s">
        <v>98</v>
      </c>
      <c r="AN700" t="s">
        <v>98</v>
      </c>
      <c r="AO700" t="s">
        <v>99</v>
      </c>
      <c r="AP700" t="s">
        <v>100</v>
      </c>
      <c r="AQ700" t="s">
        <v>101</v>
      </c>
      <c r="AV700" t="s">
        <v>98</v>
      </c>
      <c r="AX700" t="s">
        <v>2311</v>
      </c>
      <c r="AZ700" t="s">
        <v>102</v>
      </c>
      <c r="BB700" t="s">
        <v>235</v>
      </c>
      <c r="BC700" t="s">
        <v>1687</v>
      </c>
      <c r="BD700" t="s">
        <v>7528</v>
      </c>
      <c r="BF700" t="s">
        <v>2317</v>
      </c>
      <c r="BG700" t="s">
        <v>98</v>
      </c>
      <c r="BH700" t="s">
        <v>98</v>
      </c>
      <c r="BI700" t="s">
        <v>98</v>
      </c>
      <c r="BK700" t="s">
        <v>110</v>
      </c>
      <c r="BL700" t="s">
        <v>7528</v>
      </c>
      <c r="BR700">
        <v>0.75</v>
      </c>
      <c r="BS700">
        <v>4.75</v>
      </c>
      <c r="BT700">
        <v>4.75</v>
      </c>
      <c r="CA700">
        <v>4650</v>
      </c>
      <c r="CB700" t="s">
        <v>2311</v>
      </c>
      <c r="CL700" t="s">
        <v>99</v>
      </c>
      <c r="CM700" t="s">
        <v>99</v>
      </c>
      <c r="CN700" t="s">
        <v>442</v>
      </c>
      <c r="CO700" s="1">
        <v>43012</v>
      </c>
      <c r="CP700" s="1">
        <v>43633</v>
      </c>
    </row>
    <row r="701" spans="1:94" x14ac:dyDescent="0.25">
      <c r="A701" t="s">
        <v>2318</v>
      </c>
      <c r="B701" t="str">
        <f xml:space="preserve"> "" &amp; 747396105130</f>
        <v>747396105130</v>
      </c>
      <c r="C701" t="s">
        <v>751</v>
      </c>
      <c r="D701" t="s">
        <v>6691</v>
      </c>
      <c r="E701" t="s">
        <v>2310</v>
      </c>
      <c r="F701" t="s">
        <v>323</v>
      </c>
      <c r="G701">
        <v>1</v>
      </c>
      <c r="H701">
        <v>1</v>
      </c>
      <c r="I701" t="s">
        <v>97</v>
      </c>
      <c r="J701" s="10">
        <v>39</v>
      </c>
      <c r="K701" s="10">
        <v>117</v>
      </c>
      <c r="L701" s="10">
        <v>0</v>
      </c>
      <c r="N701" s="10">
        <v>0</v>
      </c>
      <c r="O701" t="s">
        <v>99</v>
      </c>
      <c r="P701" s="10">
        <v>84.95</v>
      </c>
      <c r="S701">
        <v>8.75</v>
      </c>
      <c r="U701">
        <v>4.5</v>
      </c>
      <c r="V701">
        <v>5.5</v>
      </c>
      <c r="W701">
        <v>2.16</v>
      </c>
      <c r="X701">
        <v>1</v>
      </c>
      <c r="Y701">
        <v>6.88</v>
      </c>
      <c r="Z701">
        <v>12.25</v>
      </c>
      <c r="AA701">
        <v>8.25</v>
      </c>
      <c r="AB701">
        <v>0.40200000000000002</v>
      </c>
      <c r="AC701">
        <v>2.73</v>
      </c>
      <c r="AE701">
        <v>1</v>
      </c>
      <c r="AF701" t="s">
        <v>1611</v>
      </c>
      <c r="AG701">
        <v>60</v>
      </c>
      <c r="AK701" t="s">
        <v>98</v>
      </c>
      <c r="AM701" t="s">
        <v>98</v>
      </c>
      <c r="AN701" t="s">
        <v>98</v>
      </c>
      <c r="AO701" t="s">
        <v>99</v>
      </c>
      <c r="AP701" t="s">
        <v>100</v>
      </c>
      <c r="AQ701" t="s">
        <v>101</v>
      </c>
      <c r="AV701" t="s">
        <v>98</v>
      </c>
      <c r="AX701" t="s">
        <v>2311</v>
      </c>
      <c r="AZ701" t="s">
        <v>102</v>
      </c>
      <c r="BB701" t="s">
        <v>235</v>
      </c>
      <c r="BC701" t="s">
        <v>1687</v>
      </c>
      <c r="BD701" t="s">
        <v>7528</v>
      </c>
      <c r="BF701" t="s">
        <v>2319</v>
      </c>
      <c r="BG701" t="s">
        <v>98</v>
      </c>
      <c r="BH701" t="s">
        <v>98</v>
      </c>
      <c r="BI701" t="s">
        <v>98</v>
      </c>
      <c r="BK701" t="s">
        <v>127</v>
      </c>
      <c r="BL701" t="s">
        <v>7528</v>
      </c>
      <c r="BM701">
        <v>7.87</v>
      </c>
      <c r="BN701">
        <v>4.5199999999999996</v>
      </c>
      <c r="CA701">
        <v>4651</v>
      </c>
      <c r="CB701" t="s">
        <v>2311</v>
      </c>
      <c r="CL701" t="s">
        <v>99</v>
      </c>
      <c r="CM701" t="s">
        <v>98</v>
      </c>
      <c r="CN701" t="s">
        <v>442</v>
      </c>
      <c r="CO701" s="1">
        <v>43012</v>
      </c>
      <c r="CP701" s="1">
        <v>43633</v>
      </c>
    </row>
    <row r="702" spans="1:94" x14ac:dyDescent="0.25">
      <c r="A702" t="s">
        <v>2320</v>
      </c>
      <c r="B702" t="str">
        <f xml:space="preserve"> "" &amp; 747396105147</f>
        <v>747396105147</v>
      </c>
      <c r="C702" t="s">
        <v>758</v>
      </c>
      <c r="D702" t="s">
        <v>6692</v>
      </c>
      <c r="E702" t="s">
        <v>2310</v>
      </c>
      <c r="F702" t="s">
        <v>323</v>
      </c>
      <c r="G702">
        <v>1</v>
      </c>
      <c r="H702">
        <v>1</v>
      </c>
      <c r="I702" t="s">
        <v>97</v>
      </c>
      <c r="J702" s="10">
        <v>64</v>
      </c>
      <c r="K702" s="10">
        <v>192</v>
      </c>
      <c r="L702" s="10">
        <v>0</v>
      </c>
      <c r="N702" s="10">
        <v>0</v>
      </c>
      <c r="O702" t="s">
        <v>99</v>
      </c>
      <c r="P702" s="10">
        <v>134.94999999999999</v>
      </c>
      <c r="S702">
        <v>8.25</v>
      </c>
      <c r="T702">
        <v>13</v>
      </c>
      <c r="U702">
        <v>13</v>
      </c>
      <c r="V702">
        <v>5.5</v>
      </c>
      <c r="W702">
        <v>3.64</v>
      </c>
      <c r="X702">
        <v>1</v>
      </c>
      <c r="Y702">
        <v>8.8800000000000008</v>
      </c>
      <c r="Z702">
        <v>15.38</v>
      </c>
      <c r="AA702">
        <v>13</v>
      </c>
      <c r="AB702">
        <v>1.0269999999999999</v>
      </c>
      <c r="AC702">
        <v>4.72</v>
      </c>
      <c r="AE702">
        <v>2</v>
      </c>
      <c r="AF702" t="s">
        <v>1611</v>
      </c>
      <c r="AG702">
        <v>60</v>
      </c>
      <c r="AK702" t="s">
        <v>98</v>
      </c>
      <c r="AM702" t="s">
        <v>98</v>
      </c>
      <c r="AN702" t="s">
        <v>98</v>
      </c>
      <c r="AO702" t="s">
        <v>99</v>
      </c>
      <c r="AP702" t="s">
        <v>100</v>
      </c>
      <c r="AQ702" t="s">
        <v>101</v>
      </c>
      <c r="AV702" t="s">
        <v>98</v>
      </c>
      <c r="AX702" t="s">
        <v>2311</v>
      </c>
      <c r="AZ702" t="s">
        <v>102</v>
      </c>
      <c r="BB702" t="s">
        <v>235</v>
      </c>
      <c r="BC702" t="s">
        <v>1687</v>
      </c>
      <c r="BD702" t="s">
        <v>7528</v>
      </c>
      <c r="BF702" t="s">
        <v>2321</v>
      </c>
      <c r="BG702" t="s">
        <v>98</v>
      </c>
      <c r="BH702" t="s">
        <v>98</v>
      </c>
      <c r="BI702" t="s">
        <v>98</v>
      </c>
      <c r="BK702" t="s">
        <v>127</v>
      </c>
      <c r="BL702" t="s">
        <v>7528</v>
      </c>
      <c r="BM702">
        <v>7.87</v>
      </c>
      <c r="BN702">
        <v>4.5199999999999996</v>
      </c>
      <c r="CA702">
        <v>4652</v>
      </c>
      <c r="CB702" t="s">
        <v>2311</v>
      </c>
      <c r="CL702" t="s">
        <v>99</v>
      </c>
      <c r="CM702" t="s">
        <v>98</v>
      </c>
      <c r="CN702" t="s">
        <v>442</v>
      </c>
      <c r="CO702" s="1">
        <v>43012</v>
      </c>
      <c r="CP702" s="1">
        <v>43633</v>
      </c>
    </row>
    <row r="703" spans="1:94" x14ac:dyDescent="0.25">
      <c r="A703" t="s">
        <v>2322</v>
      </c>
      <c r="B703" t="str">
        <f xml:space="preserve"> "" &amp; 747396105154</f>
        <v>747396105154</v>
      </c>
      <c r="C703" t="s">
        <v>762</v>
      </c>
      <c r="D703" t="s">
        <v>6693</v>
      </c>
      <c r="E703" t="s">
        <v>2310</v>
      </c>
      <c r="F703" t="s">
        <v>323</v>
      </c>
      <c r="G703">
        <v>1</v>
      </c>
      <c r="H703">
        <v>1</v>
      </c>
      <c r="I703" t="s">
        <v>97</v>
      </c>
      <c r="J703" s="10">
        <v>74</v>
      </c>
      <c r="K703" s="10">
        <v>222</v>
      </c>
      <c r="L703" s="10">
        <v>0</v>
      </c>
      <c r="N703" s="10">
        <v>0</v>
      </c>
      <c r="O703" t="s">
        <v>99</v>
      </c>
      <c r="P703" s="10">
        <v>154.94999999999999</v>
      </c>
      <c r="S703">
        <v>8.25</v>
      </c>
      <c r="U703">
        <v>20.25</v>
      </c>
      <c r="V703">
        <v>5.5</v>
      </c>
      <c r="W703">
        <v>4.9800000000000004</v>
      </c>
      <c r="X703">
        <v>1</v>
      </c>
      <c r="Y703">
        <v>10.63</v>
      </c>
      <c r="Z703">
        <v>22.63</v>
      </c>
      <c r="AA703">
        <v>9.5</v>
      </c>
      <c r="AB703">
        <v>1.323</v>
      </c>
      <c r="AC703">
        <v>6.17</v>
      </c>
      <c r="AE703">
        <v>3</v>
      </c>
      <c r="AF703" t="s">
        <v>1611</v>
      </c>
      <c r="AG703">
        <v>60</v>
      </c>
      <c r="AK703" t="s">
        <v>98</v>
      </c>
      <c r="AM703" t="s">
        <v>98</v>
      </c>
      <c r="AN703" t="s">
        <v>98</v>
      </c>
      <c r="AO703" t="s">
        <v>99</v>
      </c>
      <c r="AP703" t="s">
        <v>100</v>
      </c>
      <c r="AQ703" t="s">
        <v>101</v>
      </c>
      <c r="AV703" t="s">
        <v>98</v>
      </c>
      <c r="AX703" t="s">
        <v>2311</v>
      </c>
      <c r="AZ703" t="s">
        <v>102</v>
      </c>
      <c r="BB703" t="s">
        <v>235</v>
      </c>
      <c r="BC703" t="s">
        <v>1687</v>
      </c>
      <c r="BD703" t="s">
        <v>7528</v>
      </c>
      <c r="BF703" t="s">
        <v>2323</v>
      </c>
      <c r="BG703" t="s">
        <v>98</v>
      </c>
      <c r="BH703" t="s">
        <v>98</v>
      </c>
      <c r="BI703" t="s">
        <v>98</v>
      </c>
      <c r="BK703" t="s">
        <v>127</v>
      </c>
      <c r="BL703" t="s">
        <v>7528</v>
      </c>
      <c r="BM703">
        <v>7.87</v>
      </c>
      <c r="BN703">
        <v>4.5199999999999996</v>
      </c>
      <c r="CA703">
        <v>4653</v>
      </c>
      <c r="CB703" t="s">
        <v>2311</v>
      </c>
      <c r="CL703" t="s">
        <v>99</v>
      </c>
      <c r="CM703" t="s">
        <v>98</v>
      </c>
      <c r="CN703" t="s">
        <v>442</v>
      </c>
      <c r="CO703" s="1">
        <v>43012</v>
      </c>
      <c r="CP703" s="1">
        <v>43633</v>
      </c>
    </row>
    <row r="704" spans="1:94" x14ac:dyDescent="0.25">
      <c r="A704" t="s">
        <v>2324</v>
      </c>
      <c r="B704" t="str">
        <f xml:space="preserve"> "" &amp; 747396105161</f>
        <v>747396105161</v>
      </c>
      <c r="C704" t="s">
        <v>766</v>
      </c>
      <c r="D704" t="s">
        <v>6694</v>
      </c>
      <c r="E704" t="s">
        <v>2310</v>
      </c>
      <c r="F704" t="s">
        <v>323</v>
      </c>
      <c r="G704">
        <v>1</v>
      </c>
      <c r="H704">
        <v>1</v>
      </c>
      <c r="I704" t="s">
        <v>97</v>
      </c>
      <c r="J704" s="10">
        <v>95</v>
      </c>
      <c r="K704" s="10">
        <v>285</v>
      </c>
      <c r="L704" s="10">
        <v>0</v>
      </c>
      <c r="N704" s="10">
        <v>0</v>
      </c>
      <c r="O704" t="s">
        <v>99</v>
      </c>
      <c r="P704" s="10">
        <v>194.95</v>
      </c>
      <c r="S704">
        <v>8.25</v>
      </c>
      <c r="U704">
        <v>28.75</v>
      </c>
      <c r="V704">
        <v>5.5</v>
      </c>
      <c r="W704">
        <v>5.67</v>
      </c>
      <c r="X704">
        <v>1</v>
      </c>
      <c r="Y704">
        <v>10.63</v>
      </c>
      <c r="Z704">
        <v>31.13</v>
      </c>
      <c r="AA704">
        <v>9.5</v>
      </c>
      <c r="AB704">
        <v>1.819</v>
      </c>
      <c r="AC704">
        <v>8.16</v>
      </c>
      <c r="AE704">
        <v>4</v>
      </c>
      <c r="AF704" t="s">
        <v>1611</v>
      </c>
      <c r="AG704">
        <v>60</v>
      </c>
      <c r="AK704" t="s">
        <v>98</v>
      </c>
      <c r="AM704" t="s">
        <v>98</v>
      </c>
      <c r="AN704" t="s">
        <v>98</v>
      </c>
      <c r="AO704" t="s">
        <v>99</v>
      </c>
      <c r="AP704" t="s">
        <v>100</v>
      </c>
      <c r="AQ704" t="s">
        <v>101</v>
      </c>
      <c r="AV704" t="s">
        <v>98</v>
      </c>
      <c r="AX704" t="s">
        <v>2311</v>
      </c>
      <c r="AZ704" t="s">
        <v>102</v>
      </c>
      <c r="BB704" t="s">
        <v>235</v>
      </c>
      <c r="BC704" t="s">
        <v>1687</v>
      </c>
      <c r="BD704" t="s">
        <v>7528</v>
      </c>
      <c r="BF704" t="s">
        <v>2325</v>
      </c>
      <c r="BG704" t="s">
        <v>98</v>
      </c>
      <c r="BH704" t="s">
        <v>98</v>
      </c>
      <c r="BI704" t="s">
        <v>98</v>
      </c>
      <c r="BK704" t="s">
        <v>127</v>
      </c>
      <c r="BL704" t="s">
        <v>7528</v>
      </c>
      <c r="BM704">
        <v>7.87</v>
      </c>
      <c r="BN704">
        <v>4.5199999999999996</v>
      </c>
      <c r="CA704">
        <v>4654</v>
      </c>
      <c r="CB704" t="s">
        <v>2311</v>
      </c>
      <c r="CL704" t="s">
        <v>99</v>
      </c>
      <c r="CM704" t="s">
        <v>98</v>
      </c>
      <c r="CN704" t="s">
        <v>442</v>
      </c>
      <c r="CO704" s="1">
        <v>43012</v>
      </c>
      <c r="CP704" s="1">
        <v>43633</v>
      </c>
    </row>
    <row r="705" spans="1:94" x14ac:dyDescent="0.25">
      <c r="A705" t="s">
        <v>2326</v>
      </c>
      <c r="B705" t="str">
        <f xml:space="preserve"> "" &amp; 747396105109</f>
        <v>747396105109</v>
      </c>
      <c r="C705" t="s">
        <v>343</v>
      </c>
      <c r="D705" t="s">
        <v>6695</v>
      </c>
      <c r="E705" t="s">
        <v>2310</v>
      </c>
      <c r="F705" t="s">
        <v>249</v>
      </c>
      <c r="G705">
        <v>1</v>
      </c>
      <c r="H705">
        <v>1</v>
      </c>
      <c r="I705" t="s">
        <v>97</v>
      </c>
      <c r="J705" s="10">
        <v>159</v>
      </c>
      <c r="K705" s="10">
        <v>477</v>
      </c>
      <c r="L705" s="10">
        <v>0</v>
      </c>
      <c r="N705" s="10">
        <v>0</v>
      </c>
      <c r="O705" t="s">
        <v>99</v>
      </c>
      <c r="P705" s="10">
        <v>334.95</v>
      </c>
      <c r="S705">
        <v>25</v>
      </c>
      <c r="T705">
        <v>26</v>
      </c>
      <c r="U705">
        <v>26</v>
      </c>
      <c r="W705">
        <v>10.65</v>
      </c>
      <c r="X705">
        <v>1</v>
      </c>
      <c r="Y705">
        <v>26.38</v>
      </c>
      <c r="Z705">
        <v>28.38</v>
      </c>
      <c r="AA705">
        <v>13.38</v>
      </c>
      <c r="AB705">
        <v>5.7969999999999997</v>
      </c>
      <c r="AC705">
        <v>19.09</v>
      </c>
      <c r="AE705">
        <v>5</v>
      </c>
      <c r="AF705" t="s">
        <v>1611</v>
      </c>
      <c r="AG705">
        <v>60</v>
      </c>
      <c r="AK705" t="s">
        <v>98</v>
      </c>
      <c r="AM705" t="s">
        <v>98</v>
      </c>
      <c r="AN705" t="s">
        <v>98</v>
      </c>
      <c r="AO705" t="s">
        <v>99</v>
      </c>
      <c r="AP705" t="s">
        <v>100</v>
      </c>
      <c r="AQ705" t="s">
        <v>101</v>
      </c>
      <c r="AV705" t="s">
        <v>98</v>
      </c>
      <c r="AX705" t="s">
        <v>2311</v>
      </c>
      <c r="AZ705" t="s">
        <v>102</v>
      </c>
      <c r="BB705" t="s">
        <v>235</v>
      </c>
      <c r="BC705" t="s">
        <v>1687</v>
      </c>
      <c r="BD705" t="s">
        <v>7528</v>
      </c>
      <c r="BF705" t="s">
        <v>2327</v>
      </c>
      <c r="BG705" t="s">
        <v>98</v>
      </c>
      <c r="BH705" t="s">
        <v>98</v>
      </c>
      <c r="BI705" t="s">
        <v>98</v>
      </c>
      <c r="BK705" t="s">
        <v>110</v>
      </c>
      <c r="BL705" t="s">
        <v>7528</v>
      </c>
      <c r="BR705">
        <v>0.75</v>
      </c>
      <c r="BS705">
        <v>4.75</v>
      </c>
      <c r="BT705">
        <v>4.75</v>
      </c>
      <c r="CA705">
        <v>4655</v>
      </c>
      <c r="CB705" t="s">
        <v>2311</v>
      </c>
      <c r="CL705" t="s">
        <v>99</v>
      </c>
      <c r="CM705" t="s">
        <v>99</v>
      </c>
      <c r="CN705" t="s">
        <v>442</v>
      </c>
      <c r="CO705" s="1">
        <v>43012</v>
      </c>
      <c r="CP705" s="1">
        <v>43633</v>
      </c>
    </row>
    <row r="706" spans="1:94" x14ac:dyDescent="0.25">
      <c r="A706" t="s">
        <v>2328</v>
      </c>
      <c r="B706" t="str">
        <f xml:space="preserve"> "" &amp; 747396105185</f>
        <v>747396105185</v>
      </c>
      <c r="C706" t="s">
        <v>1371</v>
      </c>
      <c r="D706" t="s">
        <v>6696</v>
      </c>
      <c r="E706" t="s">
        <v>2310</v>
      </c>
      <c r="F706" t="s">
        <v>377</v>
      </c>
      <c r="G706">
        <v>1</v>
      </c>
      <c r="H706">
        <v>1</v>
      </c>
      <c r="I706" t="s">
        <v>97</v>
      </c>
      <c r="J706" s="10">
        <v>75</v>
      </c>
      <c r="K706" s="10">
        <v>225</v>
      </c>
      <c r="L706" s="10">
        <v>0</v>
      </c>
      <c r="N706" s="10">
        <v>0</v>
      </c>
      <c r="O706" t="s">
        <v>99</v>
      </c>
      <c r="P706" s="10">
        <v>159.94999999999999</v>
      </c>
      <c r="S706">
        <v>13</v>
      </c>
      <c r="T706">
        <v>16</v>
      </c>
      <c r="U706">
        <v>16</v>
      </c>
      <c r="W706">
        <v>3.62</v>
      </c>
      <c r="X706">
        <v>1</v>
      </c>
      <c r="Y706">
        <v>15.38</v>
      </c>
      <c r="Z706">
        <v>14.63</v>
      </c>
      <c r="AA706">
        <v>14.63</v>
      </c>
      <c r="AB706">
        <v>1.905</v>
      </c>
      <c r="AC706">
        <v>6.46</v>
      </c>
      <c r="AE706">
        <v>4</v>
      </c>
      <c r="AF706" t="s">
        <v>1611</v>
      </c>
      <c r="AG706">
        <v>60</v>
      </c>
      <c r="AK706" t="s">
        <v>98</v>
      </c>
      <c r="AM706" t="s">
        <v>98</v>
      </c>
      <c r="AN706" t="s">
        <v>98</v>
      </c>
      <c r="AO706" t="s">
        <v>99</v>
      </c>
      <c r="AP706" t="s">
        <v>100</v>
      </c>
      <c r="AQ706" t="s">
        <v>101</v>
      </c>
      <c r="AV706" t="s">
        <v>98</v>
      </c>
      <c r="AX706" t="s">
        <v>2311</v>
      </c>
      <c r="AZ706" t="s">
        <v>102</v>
      </c>
      <c r="BB706" t="s">
        <v>7528</v>
      </c>
      <c r="BC706" t="s">
        <v>7528</v>
      </c>
      <c r="BD706" t="s">
        <v>7528</v>
      </c>
      <c r="BF706" t="s">
        <v>2329</v>
      </c>
      <c r="BG706" t="s">
        <v>98</v>
      </c>
      <c r="BH706" t="s">
        <v>98</v>
      </c>
      <c r="BI706" t="s">
        <v>98</v>
      </c>
      <c r="BK706" t="s">
        <v>127</v>
      </c>
      <c r="BL706" t="s">
        <v>7528</v>
      </c>
      <c r="BR706">
        <v>0.75</v>
      </c>
      <c r="BS706">
        <v>4.75</v>
      </c>
      <c r="BT706">
        <v>4.75</v>
      </c>
      <c r="CA706">
        <v>4656</v>
      </c>
      <c r="CB706" t="s">
        <v>2311</v>
      </c>
      <c r="CL706" t="s">
        <v>99</v>
      </c>
      <c r="CM706" t="s">
        <v>98</v>
      </c>
      <c r="CN706" t="s">
        <v>442</v>
      </c>
      <c r="CO706" s="1">
        <v>43012</v>
      </c>
      <c r="CP706" s="1">
        <v>43658</v>
      </c>
    </row>
    <row r="707" spans="1:94" x14ac:dyDescent="0.25">
      <c r="A707" t="s">
        <v>2330</v>
      </c>
      <c r="B707" t="str">
        <f xml:space="preserve"> "" &amp; 747396105123</f>
        <v>747396105123</v>
      </c>
      <c r="C707" t="s">
        <v>339</v>
      </c>
      <c r="D707" t="s">
        <v>6697</v>
      </c>
      <c r="E707" t="s">
        <v>2310</v>
      </c>
      <c r="F707" t="s">
        <v>240</v>
      </c>
      <c r="G707">
        <v>1</v>
      </c>
      <c r="H707">
        <v>1</v>
      </c>
      <c r="I707" t="s">
        <v>97</v>
      </c>
      <c r="J707" s="10">
        <v>115</v>
      </c>
      <c r="K707" s="10">
        <v>345</v>
      </c>
      <c r="L707" s="10">
        <v>0</v>
      </c>
      <c r="N707" s="10">
        <v>0</v>
      </c>
      <c r="O707" t="s">
        <v>99</v>
      </c>
      <c r="P707" s="10">
        <v>244.95</v>
      </c>
      <c r="S707">
        <v>21.25</v>
      </c>
      <c r="T707">
        <v>20</v>
      </c>
      <c r="U707">
        <v>20</v>
      </c>
      <c r="W707">
        <v>9.8800000000000008</v>
      </c>
      <c r="X707">
        <v>1</v>
      </c>
      <c r="Y707">
        <v>11</v>
      </c>
      <c r="Z707">
        <v>22.5</v>
      </c>
      <c r="AA707">
        <v>22.5</v>
      </c>
      <c r="AB707">
        <v>3.2229999999999999</v>
      </c>
      <c r="AC707">
        <v>14.11</v>
      </c>
      <c r="AE707">
        <v>4</v>
      </c>
      <c r="AF707" t="s">
        <v>1683</v>
      </c>
      <c r="AG707">
        <v>60</v>
      </c>
      <c r="AK707" t="s">
        <v>98</v>
      </c>
      <c r="AM707" t="s">
        <v>98</v>
      </c>
      <c r="AN707" t="s">
        <v>98</v>
      </c>
      <c r="AO707" t="s">
        <v>99</v>
      </c>
      <c r="AP707" t="s">
        <v>100</v>
      </c>
      <c r="AQ707" t="s">
        <v>101</v>
      </c>
      <c r="AV707" t="s">
        <v>98</v>
      </c>
      <c r="AX707" t="s">
        <v>2311</v>
      </c>
      <c r="AZ707" t="s">
        <v>102</v>
      </c>
      <c r="BB707" t="s">
        <v>235</v>
      </c>
      <c r="BC707" t="s">
        <v>1687</v>
      </c>
      <c r="BD707" t="s">
        <v>7528</v>
      </c>
      <c r="BF707" t="s">
        <v>2331</v>
      </c>
      <c r="BG707" t="s">
        <v>98</v>
      </c>
      <c r="BH707" t="s">
        <v>98</v>
      </c>
      <c r="BI707" t="s">
        <v>98</v>
      </c>
      <c r="BK707" t="s">
        <v>110</v>
      </c>
      <c r="BL707" t="s">
        <v>7528</v>
      </c>
      <c r="BR707">
        <v>0.75</v>
      </c>
      <c r="BS707">
        <v>4.75</v>
      </c>
      <c r="BT707">
        <v>4.75</v>
      </c>
      <c r="CA707">
        <v>4657</v>
      </c>
      <c r="CB707" t="s">
        <v>2311</v>
      </c>
      <c r="CL707" t="s">
        <v>99</v>
      </c>
      <c r="CM707" t="s">
        <v>99</v>
      </c>
      <c r="CN707" t="s">
        <v>442</v>
      </c>
      <c r="CO707" s="1">
        <v>43012</v>
      </c>
      <c r="CP707" s="1">
        <v>43633</v>
      </c>
    </row>
    <row r="708" spans="1:94" x14ac:dyDescent="0.25">
      <c r="A708" t="s">
        <v>2332</v>
      </c>
      <c r="B708" t="str">
        <f xml:space="preserve"> "" &amp; 747396105086</f>
        <v>747396105086</v>
      </c>
      <c r="C708" t="s">
        <v>339</v>
      </c>
      <c r="D708" t="s">
        <v>6697</v>
      </c>
      <c r="E708" t="s">
        <v>2310</v>
      </c>
      <c r="F708" t="s">
        <v>240</v>
      </c>
      <c r="G708">
        <v>1</v>
      </c>
      <c r="H708">
        <v>1</v>
      </c>
      <c r="I708" t="s">
        <v>97</v>
      </c>
      <c r="J708" s="10">
        <v>105</v>
      </c>
      <c r="K708" s="10">
        <v>315</v>
      </c>
      <c r="L708" s="10">
        <v>0</v>
      </c>
      <c r="N708" s="10">
        <v>0</v>
      </c>
      <c r="O708" t="s">
        <v>99</v>
      </c>
      <c r="P708" s="10">
        <v>219.95</v>
      </c>
      <c r="S708">
        <v>21.5</v>
      </c>
      <c r="T708">
        <v>15</v>
      </c>
      <c r="U708">
        <v>15</v>
      </c>
      <c r="W708">
        <v>8.5299999999999994</v>
      </c>
      <c r="X708">
        <v>1</v>
      </c>
      <c r="Y708">
        <v>24.63</v>
      </c>
      <c r="Z708">
        <v>13.75</v>
      </c>
      <c r="AA708">
        <v>13.75</v>
      </c>
      <c r="AB708">
        <v>2.6949999999999998</v>
      </c>
      <c r="AC708">
        <v>13.16</v>
      </c>
      <c r="AE708">
        <v>4</v>
      </c>
      <c r="AF708" t="s">
        <v>1611</v>
      </c>
      <c r="AG708">
        <v>60</v>
      </c>
      <c r="AK708" t="s">
        <v>98</v>
      </c>
      <c r="AM708" t="s">
        <v>98</v>
      </c>
      <c r="AN708" t="s">
        <v>98</v>
      </c>
      <c r="AO708" t="s">
        <v>99</v>
      </c>
      <c r="AP708" t="s">
        <v>100</v>
      </c>
      <c r="AQ708" t="s">
        <v>101</v>
      </c>
      <c r="AV708" t="s">
        <v>98</v>
      </c>
      <c r="AX708" t="s">
        <v>2311</v>
      </c>
      <c r="AZ708" t="s">
        <v>102</v>
      </c>
      <c r="BB708" t="s">
        <v>235</v>
      </c>
      <c r="BC708" t="s">
        <v>1687</v>
      </c>
      <c r="BD708" t="s">
        <v>7528</v>
      </c>
      <c r="BF708" t="s">
        <v>2333</v>
      </c>
      <c r="BG708" t="s">
        <v>98</v>
      </c>
      <c r="BH708" t="s">
        <v>98</v>
      </c>
      <c r="BI708" t="s">
        <v>98</v>
      </c>
      <c r="BK708" t="s">
        <v>110</v>
      </c>
      <c r="BL708" t="s">
        <v>7528</v>
      </c>
      <c r="BR708">
        <v>0.75</v>
      </c>
      <c r="BS708">
        <v>4.75</v>
      </c>
      <c r="BT708">
        <v>4.75</v>
      </c>
      <c r="CA708">
        <v>4658</v>
      </c>
      <c r="CB708" t="s">
        <v>2311</v>
      </c>
      <c r="CL708" t="s">
        <v>99</v>
      </c>
      <c r="CM708" t="s">
        <v>99</v>
      </c>
      <c r="CN708" t="s">
        <v>442</v>
      </c>
      <c r="CO708" s="1">
        <v>43011</v>
      </c>
      <c r="CP708" s="1">
        <v>43633</v>
      </c>
    </row>
    <row r="709" spans="1:94" x14ac:dyDescent="0.25">
      <c r="A709" t="s">
        <v>2334</v>
      </c>
      <c r="B709" t="str">
        <f xml:space="preserve"> "" &amp; 747396105116</f>
        <v>747396105116</v>
      </c>
      <c r="C709" t="s">
        <v>350</v>
      </c>
      <c r="D709" t="s">
        <v>6698</v>
      </c>
      <c r="E709" t="s">
        <v>2310</v>
      </c>
      <c r="F709" t="s">
        <v>249</v>
      </c>
      <c r="G709">
        <v>1</v>
      </c>
      <c r="H709">
        <v>1</v>
      </c>
      <c r="I709" t="s">
        <v>97</v>
      </c>
      <c r="J709" s="10">
        <v>265</v>
      </c>
      <c r="K709" s="10">
        <v>795</v>
      </c>
      <c r="L709" s="10">
        <v>0</v>
      </c>
      <c r="N709" s="10">
        <v>0</v>
      </c>
      <c r="O709" t="s">
        <v>99</v>
      </c>
      <c r="P709" s="10">
        <v>559.95000000000005</v>
      </c>
      <c r="S709">
        <v>33</v>
      </c>
      <c r="T709">
        <v>30</v>
      </c>
      <c r="U709">
        <v>30</v>
      </c>
      <c r="W709">
        <v>18.14</v>
      </c>
      <c r="X709">
        <v>1</v>
      </c>
      <c r="Y709">
        <v>34.880000000000003</v>
      </c>
      <c r="Z709">
        <v>32.5</v>
      </c>
      <c r="AA709">
        <v>15.38</v>
      </c>
      <c r="AB709">
        <v>10.09</v>
      </c>
      <c r="AC709">
        <v>31.06</v>
      </c>
      <c r="AE709">
        <v>9</v>
      </c>
      <c r="AF709" t="s">
        <v>1683</v>
      </c>
      <c r="AG709">
        <v>60</v>
      </c>
      <c r="AK709" t="s">
        <v>98</v>
      </c>
      <c r="AM709" t="s">
        <v>98</v>
      </c>
      <c r="AN709" t="s">
        <v>98</v>
      </c>
      <c r="AO709" t="s">
        <v>99</v>
      </c>
      <c r="AP709" t="s">
        <v>100</v>
      </c>
      <c r="AQ709" t="s">
        <v>101</v>
      </c>
      <c r="AV709" t="s">
        <v>98</v>
      </c>
      <c r="AX709" t="s">
        <v>2311</v>
      </c>
      <c r="AZ709" t="s">
        <v>102</v>
      </c>
      <c r="BB709" t="s">
        <v>235</v>
      </c>
      <c r="BC709" t="s">
        <v>1687</v>
      </c>
      <c r="BD709" t="s">
        <v>7528</v>
      </c>
      <c r="BF709" t="s">
        <v>2335</v>
      </c>
      <c r="BG709" t="s">
        <v>98</v>
      </c>
      <c r="BH709" t="s">
        <v>98</v>
      </c>
      <c r="BI709" t="s">
        <v>98</v>
      </c>
      <c r="BK709" t="s">
        <v>110</v>
      </c>
      <c r="BL709" t="s">
        <v>7528</v>
      </c>
      <c r="BR709">
        <v>0.75</v>
      </c>
      <c r="BS709">
        <v>4.75</v>
      </c>
      <c r="BT709">
        <v>4.75</v>
      </c>
      <c r="CA709">
        <v>4659</v>
      </c>
      <c r="CB709" t="s">
        <v>2311</v>
      </c>
      <c r="CL709" t="s">
        <v>99</v>
      </c>
      <c r="CM709" t="s">
        <v>99</v>
      </c>
      <c r="CN709" t="s">
        <v>442</v>
      </c>
      <c r="CO709" s="1">
        <v>43012</v>
      </c>
      <c r="CP709" s="1">
        <v>43633</v>
      </c>
    </row>
    <row r="710" spans="1:94" x14ac:dyDescent="0.25">
      <c r="A710" t="s">
        <v>2336</v>
      </c>
      <c r="B710" t="str">
        <f xml:space="preserve"> "" &amp; 747396105192</f>
        <v>747396105192</v>
      </c>
      <c r="C710" t="s">
        <v>322</v>
      </c>
      <c r="D710" t="s">
        <v>6699</v>
      </c>
      <c r="E710" t="s">
        <v>1615</v>
      </c>
      <c r="F710" t="s">
        <v>232</v>
      </c>
      <c r="G710">
        <v>1</v>
      </c>
      <c r="H710">
        <v>1</v>
      </c>
      <c r="I710" t="s">
        <v>97</v>
      </c>
      <c r="J710" s="10">
        <v>59</v>
      </c>
      <c r="K710" s="10">
        <v>177</v>
      </c>
      <c r="L710" s="10">
        <v>0</v>
      </c>
      <c r="N710" s="10">
        <v>0</v>
      </c>
      <c r="O710" t="s">
        <v>99</v>
      </c>
      <c r="P710" s="10">
        <v>124.95</v>
      </c>
      <c r="S710">
        <v>9.75</v>
      </c>
      <c r="U710">
        <v>6.75</v>
      </c>
      <c r="V710">
        <v>4.5</v>
      </c>
      <c r="W710">
        <v>4.83</v>
      </c>
      <c r="X710">
        <v>1</v>
      </c>
      <c r="Y710">
        <v>15.13</v>
      </c>
      <c r="Z710">
        <v>9.5</v>
      </c>
      <c r="AA710">
        <v>7.13</v>
      </c>
      <c r="AB710">
        <v>0.59299999999999997</v>
      </c>
      <c r="AC710">
        <v>5.84</v>
      </c>
      <c r="AE710">
        <v>2</v>
      </c>
      <c r="AF710" t="s">
        <v>1611</v>
      </c>
      <c r="AG710">
        <v>60</v>
      </c>
      <c r="AK710" t="s">
        <v>98</v>
      </c>
      <c r="AM710" t="s">
        <v>98</v>
      </c>
      <c r="AN710" t="s">
        <v>98</v>
      </c>
      <c r="AO710" t="s">
        <v>99</v>
      </c>
      <c r="AP710" t="s">
        <v>100</v>
      </c>
      <c r="AQ710" t="s">
        <v>101</v>
      </c>
      <c r="AV710" t="s">
        <v>98</v>
      </c>
      <c r="AX710" t="s">
        <v>1616</v>
      </c>
      <c r="AZ710" t="s">
        <v>392</v>
      </c>
      <c r="BB710" t="s">
        <v>235</v>
      </c>
      <c r="BC710" t="s">
        <v>746</v>
      </c>
      <c r="BD710" t="s">
        <v>7528</v>
      </c>
      <c r="BF710" t="s">
        <v>2337</v>
      </c>
      <c r="BG710" t="s">
        <v>98</v>
      </c>
      <c r="BH710" t="s">
        <v>98</v>
      </c>
      <c r="BI710" t="s">
        <v>98</v>
      </c>
      <c r="BK710" t="s">
        <v>127</v>
      </c>
      <c r="BL710" t="s">
        <v>7528</v>
      </c>
      <c r="BM710">
        <v>6.75</v>
      </c>
      <c r="BN710">
        <v>9.75</v>
      </c>
      <c r="CA710">
        <v>4662</v>
      </c>
      <c r="CB710" t="s">
        <v>1616</v>
      </c>
      <c r="CL710" t="s">
        <v>99</v>
      </c>
      <c r="CM710" t="s">
        <v>98</v>
      </c>
      <c r="CN710" t="s">
        <v>1619</v>
      </c>
      <c r="CO710" s="1">
        <v>43012</v>
      </c>
      <c r="CP710" s="1">
        <v>43633</v>
      </c>
    </row>
    <row r="711" spans="1:94" x14ac:dyDescent="0.25">
      <c r="A711" t="s">
        <v>2338</v>
      </c>
      <c r="B711" t="str">
        <f xml:space="preserve"> "" &amp; 747396105208</f>
        <v>747396105208</v>
      </c>
      <c r="C711" t="s">
        <v>762</v>
      </c>
      <c r="D711" t="s">
        <v>6700</v>
      </c>
      <c r="E711" t="s">
        <v>1615</v>
      </c>
      <c r="F711" t="s">
        <v>323</v>
      </c>
      <c r="G711">
        <v>1</v>
      </c>
      <c r="H711">
        <v>1</v>
      </c>
      <c r="I711" t="s">
        <v>97</v>
      </c>
      <c r="J711" s="10">
        <v>95</v>
      </c>
      <c r="K711" s="10">
        <v>285</v>
      </c>
      <c r="L711" s="10">
        <v>0</v>
      </c>
      <c r="N711" s="10">
        <v>0</v>
      </c>
      <c r="O711" t="s">
        <v>99</v>
      </c>
      <c r="P711" s="10">
        <v>194.95</v>
      </c>
      <c r="S711">
        <v>6.75</v>
      </c>
      <c r="U711">
        <v>18.75</v>
      </c>
      <c r="V711">
        <v>4.5</v>
      </c>
      <c r="W711">
        <v>7.32</v>
      </c>
      <c r="X711">
        <v>1</v>
      </c>
      <c r="Y711">
        <v>12.25</v>
      </c>
      <c r="Z711">
        <v>21.25</v>
      </c>
      <c r="AA711">
        <v>7.13</v>
      </c>
      <c r="AB711">
        <v>1.0740000000000001</v>
      </c>
      <c r="AC711">
        <v>9.1300000000000008</v>
      </c>
      <c r="AE711">
        <v>2</v>
      </c>
      <c r="AF711" t="s">
        <v>1611</v>
      </c>
      <c r="AG711">
        <v>60</v>
      </c>
      <c r="AK711" t="s">
        <v>98</v>
      </c>
      <c r="AM711" t="s">
        <v>98</v>
      </c>
      <c r="AN711" t="s">
        <v>98</v>
      </c>
      <c r="AO711" t="s">
        <v>99</v>
      </c>
      <c r="AP711" t="s">
        <v>100</v>
      </c>
      <c r="AQ711" t="s">
        <v>101</v>
      </c>
      <c r="AV711" t="s">
        <v>98</v>
      </c>
      <c r="AX711" t="s">
        <v>1616</v>
      </c>
      <c r="AZ711" t="s">
        <v>392</v>
      </c>
      <c r="BB711" t="s">
        <v>235</v>
      </c>
      <c r="BC711" t="s">
        <v>746</v>
      </c>
      <c r="BD711" t="s">
        <v>7528</v>
      </c>
      <c r="BF711" t="s">
        <v>2339</v>
      </c>
      <c r="BG711" t="s">
        <v>98</v>
      </c>
      <c r="BH711" t="s">
        <v>98</v>
      </c>
      <c r="BI711" t="s">
        <v>98</v>
      </c>
      <c r="BK711" t="s">
        <v>127</v>
      </c>
      <c r="BL711" t="s">
        <v>7528</v>
      </c>
      <c r="BM711">
        <v>18.75</v>
      </c>
      <c r="BN711">
        <v>6.75</v>
      </c>
      <c r="CA711">
        <v>4663</v>
      </c>
      <c r="CB711" t="s">
        <v>1616</v>
      </c>
      <c r="CL711" t="s">
        <v>99</v>
      </c>
      <c r="CM711" t="s">
        <v>98</v>
      </c>
      <c r="CN711" t="s">
        <v>1619</v>
      </c>
      <c r="CO711" s="1">
        <v>43012</v>
      </c>
      <c r="CP711" s="1">
        <v>43633</v>
      </c>
    </row>
    <row r="712" spans="1:94" x14ac:dyDescent="0.25">
      <c r="A712" t="s">
        <v>2340</v>
      </c>
      <c r="B712" t="str">
        <f xml:space="preserve"> "" &amp; 747396105215</f>
        <v>747396105215</v>
      </c>
      <c r="C712" t="s">
        <v>766</v>
      </c>
      <c r="D712" t="s">
        <v>2341</v>
      </c>
      <c r="E712" t="s">
        <v>1615</v>
      </c>
      <c r="F712" t="s">
        <v>323</v>
      </c>
      <c r="G712">
        <v>1</v>
      </c>
      <c r="H712">
        <v>1</v>
      </c>
      <c r="I712" t="s">
        <v>97</v>
      </c>
      <c r="J712" s="10">
        <v>115</v>
      </c>
      <c r="K712" s="10">
        <v>345</v>
      </c>
      <c r="L712" s="10">
        <v>0</v>
      </c>
      <c r="N712" s="10">
        <v>0</v>
      </c>
      <c r="O712" t="s">
        <v>99</v>
      </c>
      <c r="P712" s="10">
        <v>244.95</v>
      </c>
      <c r="S712">
        <v>6.75</v>
      </c>
      <c r="U712">
        <v>24.75</v>
      </c>
      <c r="V712">
        <v>4.5</v>
      </c>
      <c r="W712">
        <v>9.9600000000000009</v>
      </c>
      <c r="X712">
        <v>1</v>
      </c>
      <c r="Y712">
        <v>12.25</v>
      </c>
      <c r="Z712">
        <v>27.13</v>
      </c>
      <c r="AA712">
        <v>7.13</v>
      </c>
      <c r="AB712">
        <v>1.371</v>
      </c>
      <c r="AC712">
        <v>11.62</v>
      </c>
      <c r="AE712">
        <v>4</v>
      </c>
      <c r="AF712" t="s">
        <v>1611</v>
      </c>
      <c r="AG712">
        <v>60</v>
      </c>
      <c r="AK712" t="s">
        <v>98</v>
      </c>
      <c r="AM712" t="s">
        <v>98</v>
      </c>
      <c r="AN712" t="s">
        <v>98</v>
      </c>
      <c r="AO712" t="s">
        <v>99</v>
      </c>
      <c r="AP712" t="s">
        <v>100</v>
      </c>
      <c r="AQ712" t="s">
        <v>101</v>
      </c>
      <c r="AV712" t="s">
        <v>98</v>
      </c>
      <c r="AX712" t="s">
        <v>1616</v>
      </c>
      <c r="AZ712" t="s">
        <v>392</v>
      </c>
      <c r="BB712" t="s">
        <v>235</v>
      </c>
      <c r="BC712" t="s">
        <v>746</v>
      </c>
      <c r="BD712" t="s">
        <v>7528</v>
      </c>
      <c r="BF712" t="s">
        <v>2342</v>
      </c>
      <c r="BG712" t="s">
        <v>98</v>
      </c>
      <c r="BH712" t="s">
        <v>98</v>
      </c>
      <c r="BI712" t="s">
        <v>98</v>
      </c>
      <c r="BK712" t="s">
        <v>127</v>
      </c>
      <c r="BL712" t="s">
        <v>7528</v>
      </c>
      <c r="BM712">
        <v>24.75</v>
      </c>
      <c r="BN712">
        <v>6.75</v>
      </c>
      <c r="CA712">
        <v>4664</v>
      </c>
      <c r="CB712" t="s">
        <v>1616</v>
      </c>
      <c r="CL712" t="s">
        <v>99</v>
      </c>
      <c r="CM712" t="s">
        <v>98</v>
      </c>
      <c r="CN712" t="s">
        <v>1619</v>
      </c>
      <c r="CO712" s="1">
        <v>43032</v>
      </c>
      <c r="CP712" s="1">
        <v>43633</v>
      </c>
    </row>
    <row r="713" spans="1:94" x14ac:dyDescent="0.25">
      <c r="A713" t="s">
        <v>2343</v>
      </c>
      <c r="B713" t="str">
        <f xml:space="preserve"> "" &amp; 747396105222</f>
        <v>747396105222</v>
      </c>
      <c r="C713" t="s">
        <v>2207</v>
      </c>
      <c r="D713" t="s">
        <v>2344</v>
      </c>
      <c r="E713" t="s">
        <v>1615</v>
      </c>
      <c r="F713" t="s">
        <v>323</v>
      </c>
      <c r="G713">
        <v>1</v>
      </c>
      <c r="H713">
        <v>1</v>
      </c>
      <c r="I713" t="s">
        <v>97</v>
      </c>
      <c r="J713" s="10">
        <v>125</v>
      </c>
      <c r="K713" s="10">
        <v>375</v>
      </c>
      <c r="L713" s="10">
        <v>0</v>
      </c>
      <c r="N713" s="10">
        <v>0</v>
      </c>
      <c r="O713" t="s">
        <v>99</v>
      </c>
      <c r="P713" s="10">
        <v>264.95</v>
      </c>
      <c r="S713">
        <v>6.75</v>
      </c>
      <c r="U713">
        <v>30.75</v>
      </c>
      <c r="V713">
        <v>4.5</v>
      </c>
      <c r="W713">
        <v>12.35</v>
      </c>
      <c r="X713">
        <v>1</v>
      </c>
      <c r="Y713">
        <v>13</v>
      </c>
      <c r="Z713">
        <v>34.630000000000003</v>
      </c>
      <c r="AA713">
        <v>7.88</v>
      </c>
      <c r="AB713">
        <v>2.0529999999999999</v>
      </c>
      <c r="AC713">
        <v>15.21</v>
      </c>
      <c r="AE713">
        <v>5</v>
      </c>
      <c r="AF713" t="s">
        <v>1611</v>
      </c>
      <c r="AG713">
        <v>60</v>
      </c>
      <c r="AK713" t="s">
        <v>98</v>
      </c>
      <c r="AM713" t="s">
        <v>98</v>
      </c>
      <c r="AN713" t="s">
        <v>98</v>
      </c>
      <c r="AO713" t="s">
        <v>99</v>
      </c>
      <c r="AP713" t="s">
        <v>100</v>
      </c>
      <c r="AQ713" t="s">
        <v>101</v>
      </c>
      <c r="AV713" t="s">
        <v>98</v>
      </c>
      <c r="AX713" t="s">
        <v>1616</v>
      </c>
      <c r="AZ713" t="s">
        <v>392</v>
      </c>
      <c r="BB713" t="s">
        <v>235</v>
      </c>
      <c r="BC713" t="s">
        <v>746</v>
      </c>
      <c r="BD713" t="s">
        <v>7528</v>
      </c>
      <c r="BF713" t="s">
        <v>2345</v>
      </c>
      <c r="BG713" t="s">
        <v>98</v>
      </c>
      <c r="BH713" t="s">
        <v>98</v>
      </c>
      <c r="BI713" t="s">
        <v>98</v>
      </c>
      <c r="BK713" t="s">
        <v>127</v>
      </c>
      <c r="BL713" t="s">
        <v>7528</v>
      </c>
      <c r="BM713">
        <v>30.75</v>
      </c>
      <c r="BN713">
        <v>6.75</v>
      </c>
      <c r="CA713">
        <v>4665</v>
      </c>
      <c r="CB713" t="s">
        <v>1616</v>
      </c>
      <c r="CL713" t="s">
        <v>99</v>
      </c>
      <c r="CM713" t="s">
        <v>98</v>
      </c>
      <c r="CN713" t="s">
        <v>1619</v>
      </c>
      <c r="CO713" s="1">
        <v>43032</v>
      </c>
      <c r="CP713" s="1">
        <v>43633</v>
      </c>
    </row>
    <row r="714" spans="1:94" x14ac:dyDescent="0.25">
      <c r="A714" t="s">
        <v>2346</v>
      </c>
      <c r="B714" t="str">
        <f xml:space="preserve"> "" &amp; 747396105239</f>
        <v>747396105239</v>
      </c>
      <c r="C714" t="s">
        <v>464</v>
      </c>
      <c r="D714" t="s">
        <v>2347</v>
      </c>
      <c r="E714" t="s">
        <v>1615</v>
      </c>
      <c r="F714" t="s">
        <v>240</v>
      </c>
      <c r="G714">
        <v>1</v>
      </c>
      <c r="H714">
        <v>1</v>
      </c>
      <c r="I714" t="s">
        <v>97</v>
      </c>
      <c r="J714" s="10">
        <v>179</v>
      </c>
      <c r="K714" s="10">
        <v>537</v>
      </c>
      <c r="L714" s="10">
        <v>0</v>
      </c>
      <c r="N714" s="10">
        <v>0</v>
      </c>
      <c r="O714" t="s">
        <v>99</v>
      </c>
      <c r="P714" s="10">
        <v>374.95</v>
      </c>
      <c r="S714">
        <v>12.5</v>
      </c>
      <c r="U714">
        <v>20</v>
      </c>
      <c r="W714">
        <v>17.79</v>
      </c>
      <c r="X714">
        <v>1</v>
      </c>
      <c r="Y714">
        <v>17.75</v>
      </c>
      <c r="Z714">
        <v>22.5</v>
      </c>
      <c r="AA714">
        <v>22.5</v>
      </c>
      <c r="AB714">
        <v>5.2</v>
      </c>
      <c r="AC714">
        <v>22.35</v>
      </c>
      <c r="AE714">
        <v>5</v>
      </c>
      <c r="AF714" t="s">
        <v>1611</v>
      </c>
      <c r="AG714">
        <v>60</v>
      </c>
      <c r="AK714" t="s">
        <v>98</v>
      </c>
      <c r="AM714" t="s">
        <v>98</v>
      </c>
      <c r="AN714" t="s">
        <v>98</v>
      </c>
      <c r="AO714" t="s">
        <v>99</v>
      </c>
      <c r="AP714" t="s">
        <v>100</v>
      </c>
      <c r="AQ714" t="s">
        <v>101</v>
      </c>
      <c r="AV714" t="s">
        <v>98</v>
      </c>
      <c r="AX714" t="s">
        <v>1616</v>
      </c>
      <c r="AZ714" t="s">
        <v>102</v>
      </c>
      <c r="BB714" t="s">
        <v>235</v>
      </c>
      <c r="BC714" t="s">
        <v>746</v>
      </c>
      <c r="BD714" t="s">
        <v>7528</v>
      </c>
      <c r="BF714" t="s">
        <v>2348</v>
      </c>
      <c r="BG714" t="s">
        <v>98</v>
      </c>
      <c r="BH714" t="s">
        <v>98</v>
      </c>
      <c r="BI714" t="s">
        <v>98</v>
      </c>
      <c r="BK714" t="s">
        <v>110</v>
      </c>
      <c r="BL714" t="s">
        <v>7528</v>
      </c>
      <c r="BR714">
        <v>0.79</v>
      </c>
      <c r="BS714">
        <v>4.72</v>
      </c>
      <c r="BT714">
        <v>4.72</v>
      </c>
      <c r="CA714">
        <v>4666</v>
      </c>
      <c r="CB714" t="s">
        <v>1616</v>
      </c>
      <c r="CL714" t="s">
        <v>99</v>
      </c>
      <c r="CM714" t="s">
        <v>99</v>
      </c>
      <c r="CN714" t="s">
        <v>1619</v>
      </c>
      <c r="CO714" s="1">
        <v>43032</v>
      </c>
      <c r="CP714" s="1">
        <v>43633</v>
      </c>
    </row>
    <row r="715" spans="1:94" x14ac:dyDescent="0.25">
      <c r="A715" t="s">
        <v>2349</v>
      </c>
      <c r="B715" t="str">
        <f xml:space="preserve"> "" &amp; 747396105246</f>
        <v>747396105246</v>
      </c>
      <c r="C715" t="s">
        <v>464</v>
      </c>
      <c r="D715" t="s">
        <v>2350</v>
      </c>
      <c r="E715" t="s">
        <v>1615</v>
      </c>
      <c r="F715" t="s">
        <v>240</v>
      </c>
      <c r="G715">
        <v>1</v>
      </c>
      <c r="H715">
        <v>1</v>
      </c>
      <c r="I715" t="s">
        <v>97</v>
      </c>
      <c r="J715" s="10">
        <v>235</v>
      </c>
      <c r="K715" s="10">
        <v>705</v>
      </c>
      <c r="L715" s="10">
        <v>0</v>
      </c>
      <c r="N715" s="10">
        <v>0</v>
      </c>
      <c r="O715" t="s">
        <v>99</v>
      </c>
      <c r="P715" s="10">
        <v>494.95</v>
      </c>
      <c r="S715">
        <v>12.25</v>
      </c>
      <c r="T715">
        <v>24.5</v>
      </c>
      <c r="U715">
        <v>24.5</v>
      </c>
      <c r="W715">
        <v>20.94</v>
      </c>
      <c r="X715">
        <v>1</v>
      </c>
      <c r="Y715">
        <v>17.75</v>
      </c>
      <c r="Z715">
        <v>27.13</v>
      </c>
      <c r="AA715">
        <v>27.13</v>
      </c>
      <c r="AB715">
        <v>7.5609999999999999</v>
      </c>
      <c r="AC715">
        <v>28.24</v>
      </c>
      <c r="AE715">
        <v>60</v>
      </c>
      <c r="AF715" t="s">
        <v>1611</v>
      </c>
      <c r="AG715">
        <v>6</v>
      </c>
      <c r="AK715" t="s">
        <v>98</v>
      </c>
      <c r="AM715" t="s">
        <v>98</v>
      </c>
      <c r="AN715" t="s">
        <v>98</v>
      </c>
      <c r="AO715" t="s">
        <v>99</v>
      </c>
      <c r="AP715" t="s">
        <v>100</v>
      </c>
      <c r="AQ715" t="s">
        <v>101</v>
      </c>
      <c r="AV715" t="s">
        <v>98</v>
      </c>
      <c r="AX715" t="s">
        <v>1616</v>
      </c>
      <c r="AZ715" t="s">
        <v>102</v>
      </c>
      <c r="BB715" t="s">
        <v>235</v>
      </c>
      <c r="BC715" t="s">
        <v>746</v>
      </c>
      <c r="BD715" t="s">
        <v>7528</v>
      </c>
      <c r="BF715" t="s">
        <v>2351</v>
      </c>
      <c r="BG715" t="s">
        <v>98</v>
      </c>
      <c r="BH715" t="s">
        <v>98</v>
      </c>
      <c r="BI715" t="s">
        <v>98</v>
      </c>
      <c r="BK715" t="s">
        <v>110</v>
      </c>
      <c r="BL715" t="s">
        <v>7528</v>
      </c>
      <c r="BR715">
        <v>0.79</v>
      </c>
      <c r="BS715">
        <v>4.72</v>
      </c>
      <c r="BT715">
        <v>4.72</v>
      </c>
      <c r="CA715">
        <v>4667</v>
      </c>
      <c r="CB715" t="s">
        <v>1616</v>
      </c>
      <c r="CL715" t="s">
        <v>99</v>
      </c>
      <c r="CM715" t="s">
        <v>99</v>
      </c>
      <c r="CN715" t="s">
        <v>1619</v>
      </c>
      <c r="CO715" s="1">
        <v>43032</v>
      </c>
      <c r="CP715" s="1">
        <v>43633</v>
      </c>
    </row>
    <row r="716" spans="1:94" x14ac:dyDescent="0.25">
      <c r="A716" t="s">
        <v>2352</v>
      </c>
      <c r="B716" t="str">
        <f xml:space="preserve"> "" &amp; 747396105253</f>
        <v>747396105253</v>
      </c>
      <c r="C716" t="s">
        <v>464</v>
      </c>
      <c r="D716" t="s">
        <v>6701</v>
      </c>
      <c r="E716" t="s">
        <v>1615</v>
      </c>
      <c r="F716" t="s">
        <v>240</v>
      </c>
      <c r="G716">
        <v>1</v>
      </c>
      <c r="H716">
        <v>1</v>
      </c>
      <c r="I716" t="s">
        <v>97</v>
      </c>
      <c r="J716" s="10">
        <v>299</v>
      </c>
      <c r="K716" s="10">
        <v>897</v>
      </c>
      <c r="L716" s="10">
        <v>0</v>
      </c>
      <c r="N716" s="10">
        <v>0</v>
      </c>
      <c r="O716" t="s">
        <v>99</v>
      </c>
      <c r="P716" s="10">
        <v>624.95000000000005</v>
      </c>
      <c r="S716">
        <v>12.25</v>
      </c>
      <c r="T716">
        <v>31.5</v>
      </c>
      <c r="U716">
        <v>31.5</v>
      </c>
      <c r="W716">
        <v>26.24</v>
      </c>
      <c r="X716">
        <v>1</v>
      </c>
      <c r="Y716">
        <v>17.75</v>
      </c>
      <c r="Z716">
        <v>34.630000000000003</v>
      </c>
      <c r="AA716">
        <v>34.630000000000003</v>
      </c>
      <c r="AB716">
        <v>12.319000000000001</v>
      </c>
      <c r="AC716">
        <v>37.9</v>
      </c>
      <c r="AE716">
        <v>8</v>
      </c>
      <c r="AF716" t="s">
        <v>1611</v>
      </c>
      <c r="AG716">
        <v>60</v>
      </c>
      <c r="AK716" t="s">
        <v>98</v>
      </c>
      <c r="AM716" t="s">
        <v>98</v>
      </c>
      <c r="AN716" t="s">
        <v>98</v>
      </c>
      <c r="AO716" t="s">
        <v>99</v>
      </c>
      <c r="AP716" t="s">
        <v>100</v>
      </c>
      <c r="AQ716" t="s">
        <v>101</v>
      </c>
      <c r="AV716" t="s">
        <v>98</v>
      </c>
      <c r="AX716" t="s">
        <v>1616</v>
      </c>
      <c r="AZ716" t="s">
        <v>102</v>
      </c>
      <c r="BB716" t="s">
        <v>235</v>
      </c>
      <c r="BC716" t="s">
        <v>746</v>
      </c>
      <c r="BD716" t="s">
        <v>7528</v>
      </c>
      <c r="BF716" t="s">
        <v>2353</v>
      </c>
      <c r="BG716" t="s">
        <v>98</v>
      </c>
      <c r="BH716" t="s">
        <v>98</v>
      </c>
      <c r="BI716" t="s">
        <v>98</v>
      </c>
      <c r="BK716" t="s">
        <v>110</v>
      </c>
      <c r="BL716" t="s">
        <v>7528</v>
      </c>
      <c r="BR716">
        <v>0.79</v>
      </c>
      <c r="BS716">
        <v>4.72</v>
      </c>
      <c r="BT716">
        <v>4.72</v>
      </c>
      <c r="CA716">
        <v>4668</v>
      </c>
      <c r="CB716" t="s">
        <v>1616</v>
      </c>
      <c r="CL716" t="s">
        <v>99</v>
      </c>
      <c r="CM716" t="s">
        <v>98</v>
      </c>
      <c r="CN716" t="s">
        <v>1619</v>
      </c>
      <c r="CO716" s="1">
        <v>43032</v>
      </c>
      <c r="CP716" s="1">
        <v>43633</v>
      </c>
    </row>
    <row r="717" spans="1:94" x14ac:dyDescent="0.25">
      <c r="A717" t="s">
        <v>2354</v>
      </c>
      <c r="B717" t="str">
        <f xml:space="preserve"> "" &amp; 747396105260</f>
        <v>747396105260</v>
      </c>
      <c r="C717" t="s">
        <v>879</v>
      </c>
      <c r="D717" t="s">
        <v>6702</v>
      </c>
      <c r="E717" t="s">
        <v>1615</v>
      </c>
      <c r="F717" t="s">
        <v>314</v>
      </c>
      <c r="G717">
        <v>1</v>
      </c>
      <c r="H717">
        <v>1</v>
      </c>
      <c r="I717" t="s">
        <v>97</v>
      </c>
      <c r="J717" s="10">
        <v>315</v>
      </c>
      <c r="K717" s="10">
        <v>945</v>
      </c>
      <c r="L717" s="10">
        <v>0</v>
      </c>
      <c r="N717" s="10">
        <v>0</v>
      </c>
      <c r="O717" t="s">
        <v>99</v>
      </c>
      <c r="P717" s="10">
        <v>659.95</v>
      </c>
      <c r="S717">
        <v>12</v>
      </c>
      <c r="T717">
        <v>40.5</v>
      </c>
      <c r="U717">
        <v>16.5</v>
      </c>
      <c r="W717">
        <v>29.23</v>
      </c>
      <c r="X717">
        <v>1</v>
      </c>
      <c r="Y717">
        <v>17.88</v>
      </c>
      <c r="Z717">
        <v>43.25</v>
      </c>
      <c r="AA717">
        <v>19.25</v>
      </c>
      <c r="AB717">
        <v>8.6150000000000002</v>
      </c>
      <c r="AC717">
        <v>38.14</v>
      </c>
      <c r="AE717">
        <v>10</v>
      </c>
      <c r="AF717" t="s">
        <v>1611</v>
      </c>
      <c r="AG717">
        <v>60</v>
      </c>
      <c r="AK717" t="s">
        <v>98</v>
      </c>
      <c r="AM717" t="s">
        <v>98</v>
      </c>
      <c r="AN717" t="s">
        <v>98</v>
      </c>
      <c r="AO717" t="s">
        <v>99</v>
      </c>
      <c r="AP717" t="s">
        <v>100</v>
      </c>
      <c r="AQ717" t="s">
        <v>101</v>
      </c>
      <c r="AV717" t="s">
        <v>98</v>
      </c>
      <c r="AX717" t="s">
        <v>1616</v>
      </c>
      <c r="AZ717" t="s">
        <v>102</v>
      </c>
      <c r="BB717" t="s">
        <v>235</v>
      </c>
      <c r="BC717" t="s">
        <v>746</v>
      </c>
      <c r="BD717" t="s">
        <v>7528</v>
      </c>
      <c r="BF717" t="s">
        <v>2355</v>
      </c>
      <c r="BG717" t="s">
        <v>98</v>
      </c>
      <c r="BH717" t="s">
        <v>98</v>
      </c>
      <c r="BI717" t="s">
        <v>98</v>
      </c>
      <c r="BK717" t="s">
        <v>110</v>
      </c>
      <c r="BL717" t="s">
        <v>7528</v>
      </c>
      <c r="BR717">
        <v>0.79</v>
      </c>
      <c r="BS717">
        <v>4.72</v>
      </c>
      <c r="BT717">
        <v>4.72</v>
      </c>
      <c r="CA717">
        <v>4669</v>
      </c>
      <c r="CB717" t="s">
        <v>1616</v>
      </c>
      <c r="CL717" t="s">
        <v>99</v>
      </c>
      <c r="CM717" t="s">
        <v>99</v>
      </c>
      <c r="CN717" t="s">
        <v>1619</v>
      </c>
      <c r="CO717" s="1">
        <v>43032</v>
      </c>
      <c r="CP717" s="1">
        <v>43633</v>
      </c>
    </row>
    <row r="718" spans="1:94" x14ac:dyDescent="0.25">
      <c r="A718" t="s">
        <v>2356</v>
      </c>
      <c r="B718" t="str">
        <f xml:space="preserve"> "" &amp; 747396105673</f>
        <v>747396105673</v>
      </c>
      <c r="C718" t="s">
        <v>845</v>
      </c>
      <c r="D718" t="s">
        <v>6703</v>
      </c>
      <c r="E718" t="s">
        <v>1626</v>
      </c>
      <c r="F718" t="s">
        <v>240</v>
      </c>
      <c r="G718">
        <v>1</v>
      </c>
      <c r="H718">
        <v>1</v>
      </c>
      <c r="I718" t="s">
        <v>97</v>
      </c>
      <c r="J718" s="10">
        <v>95</v>
      </c>
      <c r="K718" s="10">
        <v>285</v>
      </c>
      <c r="L718" s="10">
        <v>0</v>
      </c>
      <c r="N718" s="10">
        <v>0</v>
      </c>
      <c r="O718" t="s">
        <v>99</v>
      </c>
      <c r="P718" s="10">
        <v>194.95</v>
      </c>
      <c r="S718">
        <v>10</v>
      </c>
      <c r="T718">
        <v>8.5</v>
      </c>
      <c r="U718">
        <v>8.5</v>
      </c>
      <c r="W718">
        <v>4.78</v>
      </c>
      <c r="X718">
        <v>1</v>
      </c>
      <c r="Y718">
        <v>15.25</v>
      </c>
      <c r="Z718">
        <v>11.25</v>
      </c>
      <c r="AA718">
        <v>11.25</v>
      </c>
      <c r="AB718">
        <v>1.117</v>
      </c>
      <c r="AC718">
        <v>6.5</v>
      </c>
      <c r="AE718">
        <v>1</v>
      </c>
      <c r="AF718" t="s">
        <v>696</v>
      </c>
      <c r="AG718">
        <v>60</v>
      </c>
      <c r="AK718" t="s">
        <v>98</v>
      </c>
      <c r="AM718" t="s">
        <v>98</v>
      </c>
      <c r="AN718" t="s">
        <v>99</v>
      </c>
      <c r="AO718" t="s">
        <v>98</v>
      </c>
      <c r="AP718" t="s">
        <v>100</v>
      </c>
      <c r="AQ718" t="s">
        <v>101</v>
      </c>
      <c r="AV718" t="s">
        <v>98</v>
      </c>
      <c r="AX718" t="s">
        <v>7575</v>
      </c>
      <c r="AZ718" t="s">
        <v>392</v>
      </c>
      <c r="BB718" t="s">
        <v>7528</v>
      </c>
      <c r="BC718" t="s">
        <v>7528</v>
      </c>
      <c r="BD718" t="s">
        <v>7528</v>
      </c>
      <c r="BF718" t="s">
        <v>2357</v>
      </c>
      <c r="BG718" t="s">
        <v>98</v>
      </c>
      <c r="BH718" t="s">
        <v>98</v>
      </c>
      <c r="BI718" t="s">
        <v>98</v>
      </c>
      <c r="BK718" t="s">
        <v>110</v>
      </c>
      <c r="BL718" t="s">
        <v>7528</v>
      </c>
      <c r="BR718">
        <v>0.75</v>
      </c>
      <c r="BS718">
        <v>5</v>
      </c>
      <c r="BT718">
        <v>5</v>
      </c>
      <c r="CA718">
        <v>4670</v>
      </c>
      <c r="CB718" t="s">
        <v>7575</v>
      </c>
      <c r="CL718" t="s">
        <v>99</v>
      </c>
      <c r="CM718" t="s">
        <v>99</v>
      </c>
      <c r="CN718" t="s">
        <v>692</v>
      </c>
      <c r="CO718" s="1">
        <v>43035</v>
      </c>
      <c r="CP718" s="1">
        <v>43633</v>
      </c>
    </row>
    <row r="719" spans="1:94" x14ac:dyDescent="0.25">
      <c r="A719" t="s">
        <v>2358</v>
      </c>
      <c r="B719" t="str">
        <f xml:space="preserve"> "" &amp; 747396105680</f>
        <v>747396105680</v>
      </c>
      <c r="C719" t="s">
        <v>853</v>
      </c>
      <c r="D719" t="s">
        <v>2359</v>
      </c>
      <c r="E719" t="s">
        <v>1626</v>
      </c>
      <c r="F719" t="s">
        <v>377</v>
      </c>
      <c r="G719">
        <v>1</v>
      </c>
      <c r="H719">
        <v>1</v>
      </c>
      <c r="I719" t="s">
        <v>97</v>
      </c>
      <c r="J719" s="10">
        <v>179</v>
      </c>
      <c r="K719" s="10">
        <v>537</v>
      </c>
      <c r="L719" s="10">
        <v>0</v>
      </c>
      <c r="N719" s="10">
        <v>0</v>
      </c>
      <c r="O719" t="s">
        <v>99</v>
      </c>
      <c r="P719" s="10">
        <v>374.95</v>
      </c>
      <c r="S719">
        <v>9</v>
      </c>
      <c r="T719">
        <v>20</v>
      </c>
      <c r="U719">
        <v>20</v>
      </c>
      <c r="W719">
        <v>9.92</v>
      </c>
      <c r="X719">
        <v>1</v>
      </c>
      <c r="Y719">
        <v>12.25</v>
      </c>
      <c r="Z719">
        <v>22.75</v>
      </c>
      <c r="AA719">
        <v>22.75</v>
      </c>
      <c r="AB719">
        <v>3.669</v>
      </c>
      <c r="AC719">
        <v>14.35</v>
      </c>
      <c r="AE719">
        <v>5</v>
      </c>
      <c r="AF719" t="s">
        <v>1611</v>
      </c>
      <c r="AG719">
        <v>60</v>
      </c>
      <c r="AK719" t="s">
        <v>98</v>
      </c>
      <c r="AM719" t="s">
        <v>98</v>
      </c>
      <c r="AN719" t="s">
        <v>99</v>
      </c>
      <c r="AO719" t="s">
        <v>98</v>
      </c>
      <c r="AP719" t="s">
        <v>100</v>
      </c>
      <c r="AQ719" t="s">
        <v>101</v>
      </c>
      <c r="AV719" t="s">
        <v>98</v>
      </c>
      <c r="AX719" t="s">
        <v>7575</v>
      </c>
      <c r="AZ719" t="s">
        <v>392</v>
      </c>
      <c r="BB719" t="s">
        <v>7528</v>
      </c>
      <c r="BC719" t="s">
        <v>7528</v>
      </c>
      <c r="BD719" t="s">
        <v>7528</v>
      </c>
      <c r="BF719" t="s">
        <v>2360</v>
      </c>
      <c r="BG719" t="s">
        <v>98</v>
      </c>
      <c r="BH719" t="s">
        <v>98</v>
      </c>
      <c r="BI719" t="s">
        <v>98</v>
      </c>
      <c r="BK719" t="s">
        <v>127</v>
      </c>
      <c r="BL719" t="s">
        <v>7528</v>
      </c>
      <c r="BR719">
        <v>0.75</v>
      </c>
      <c r="BS719">
        <v>5</v>
      </c>
      <c r="BT719">
        <v>5</v>
      </c>
      <c r="CA719">
        <v>4671</v>
      </c>
      <c r="CB719" t="s">
        <v>7575</v>
      </c>
      <c r="CL719" t="s">
        <v>99</v>
      </c>
      <c r="CM719" t="s">
        <v>99</v>
      </c>
      <c r="CN719" t="s">
        <v>692</v>
      </c>
      <c r="CO719" s="1">
        <v>43038</v>
      </c>
      <c r="CP719" s="1">
        <v>43633</v>
      </c>
    </row>
    <row r="720" spans="1:94" x14ac:dyDescent="0.25">
      <c r="A720" t="s">
        <v>2361</v>
      </c>
      <c r="B720" t="str">
        <f xml:space="preserve"> "" &amp; 747396105697</f>
        <v>747396105697</v>
      </c>
      <c r="C720" t="s">
        <v>464</v>
      </c>
      <c r="D720" t="s">
        <v>6704</v>
      </c>
      <c r="E720" t="s">
        <v>1626</v>
      </c>
      <c r="F720" t="s">
        <v>240</v>
      </c>
      <c r="G720">
        <v>1</v>
      </c>
      <c r="H720">
        <v>1</v>
      </c>
      <c r="I720" t="s">
        <v>97</v>
      </c>
      <c r="J720" s="10">
        <v>265</v>
      </c>
      <c r="K720" s="10">
        <v>795</v>
      </c>
      <c r="L720" s="10">
        <v>0</v>
      </c>
      <c r="N720" s="10">
        <v>0</v>
      </c>
      <c r="O720" t="s">
        <v>99</v>
      </c>
      <c r="P720" s="10">
        <v>559.95000000000005</v>
      </c>
      <c r="S720">
        <v>24</v>
      </c>
      <c r="T720">
        <v>14</v>
      </c>
      <c r="U720">
        <v>14</v>
      </c>
      <c r="W720">
        <v>13.23</v>
      </c>
      <c r="X720">
        <v>1</v>
      </c>
      <c r="Y720">
        <v>27.63</v>
      </c>
      <c r="Z720">
        <v>16.5</v>
      </c>
      <c r="AA720">
        <v>16.5</v>
      </c>
      <c r="AB720">
        <v>4.3529999999999998</v>
      </c>
      <c r="AC720">
        <v>18.829999999999998</v>
      </c>
      <c r="AE720">
        <v>6</v>
      </c>
      <c r="AF720" t="s">
        <v>1611</v>
      </c>
      <c r="AG720">
        <v>60</v>
      </c>
      <c r="AK720" t="s">
        <v>98</v>
      </c>
      <c r="AM720" t="s">
        <v>98</v>
      </c>
      <c r="AN720" t="s">
        <v>99</v>
      </c>
      <c r="AO720" t="s">
        <v>98</v>
      </c>
      <c r="AP720" t="s">
        <v>100</v>
      </c>
      <c r="AQ720" t="s">
        <v>101</v>
      </c>
      <c r="AV720" t="s">
        <v>98</v>
      </c>
      <c r="AX720" t="s">
        <v>7575</v>
      </c>
      <c r="AZ720" t="s">
        <v>392</v>
      </c>
      <c r="BB720" t="s">
        <v>7528</v>
      </c>
      <c r="BC720" t="s">
        <v>7528</v>
      </c>
      <c r="BD720" t="s">
        <v>7528</v>
      </c>
      <c r="BF720" t="s">
        <v>2362</v>
      </c>
      <c r="BG720" t="s">
        <v>98</v>
      </c>
      <c r="BH720" t="s">
        <v>98</v>
      </c>
      <c r="BI720" t="s">
        <v>98</v>
      </c>
      <c r="BK720" t="s">
        <v>110</v>
      </c>
      <c r="BL720" t="s">
        <v>7528</v>
      </c>
      <c r="BR720">
        <v>0.75</v>
      </c>
      <c r="BS720">
        <v>5</v>
      </c>
      <c r="BT720">
        <v>5</v>
      </c>
      <c r="CA720">
        <v>4672</v>
      </c>
      <c r="CB720" t="s">
        <v>7575</v>
      </c>
      <c r="CL720" t="s">
        <v>99</v>
      </c>
      <c r="CM720" t="s">
        <v>99</v>
      </c>
      <c r="CN720" t="s">
        <v>692</v>
      </c>
      <c r="CO720" s="1">
        <v>43038</v>
      </c>
      <c r="CP720" s="1">
        <v>43633</v>
      </c>
    </row>
    <row r="721" spans="1:94" x14ac:dyDescent="0.25">
      <c r="A721" t="s">
        <v>2363</v>
      </c>
      <c r="B721" t="str">
        <f xml:space="preserve"> "" &amp; 747396105703</f>
        <v>747396105703</v>
      </c>
      <c r="C721" t="s">
        <v>1711</v>
      </c>
      <c r="D721" t="s">
        <v>6704</v>
      </c>
      <c r="E721" t="s">
        <v>1626</v>
      </c>
      <c r="F721" t="s">
        <v>240</v>
      </c>
      <c r="G721">
        <v>1</v>
      </c>
      <c r="H721">
        <v>1</v>
      </c>
      <c r="I721" t="s">
        <v>97</v>
      </c>
      <c r="J721" s="10">
        <v>239</v>
      </c>
      <c r="K721" s="10">
        <v>717</v>
      </c>
      <c r="L721" s="10">
        <v>0</v>
      </c>
      <c r="N721" s="10">
        <v>0</v>
      </c>
      <c r="O721" t="s">
        <v>99</v>
      </c>
      <c r="P721" s="10">
        <v>499.95</v>
      </c>
      <c r="S721">
        <v>10</v>
      </c>
      <c r="T721">
        <v>26</v>
      </c>
      <c r="U721">
        <v>26</v>
      </c>
      <c r="W721">
        <v>12.79</v>
      </c>
      <c r="X721">
        <v>1</v>
      </c>
      <c r="Y721">
        <v>13</v>
      </c>
      <c r="Z721">
        <v>29</v>
      </c>
      <c r="AA721">
        <v>28.75</v>
      </c>
      <c r="AB721">
        <v>6.2720000000000002</v>
      </c>
      <c r="AC721">
        <v>19.84</v>
      </c>
      <c r="AE721">
        <v>6</v>
      </c>
      <c r="AF721" t="s">
        <v>1611</v>
      </c>
      <c r="AG721">
        <v>60</v>
      </c>
      <c r="AK721" t="s">
        <v>98</v>
      </c>
      <c r="AM721" t="s">
        <v>98</v>
      </c>
      <c r="AN721" t="s">
        <v>99</v>
      </c>
      <c r="AO721" t="s">
        <v>98</v>
      </c>
      <c r="AP721" t="s">
        <v>100</v>
      </c>
      <c r="AQ721" t="s">
        <v>101</v>
      </c>
      <c r="AV721" t="s">
        <v>98</v>
      </c>
      <c r="AX721" t="s">
        <v>7575</v>
      </c>
      <c r="AZ721" t="s">
        <v>392</v>
      </c>
      <c r="BB721" t="s">
        <v>692</v>
      </c>
      <c r="BC721" t="s">
        <v>7575</v>
      </c>
      <c r="BD721" t="s">
        <v>7528</v>
      </c>
      <c r="BF721" t="s">
        <v>2364</v>
      </c>
      <c r="BG721" t="s">
        <v>98</v>
      </c>
      <c r="BH721" t="s">
        <v>98</v>
      </c>
      <c r="BI721" t="s">
        <v>98</v>
      </c>
      <c r="BK721" t="s">
        <v>110</v>
      </c>
      <c r="BL721" t="s">
        <v>7528</v>
      </c>
      <c r="BQ721">
        <v>5</v>
      </c>
      <c r="BR721">
        <v>0.75</v>
      </c>
      <c r="BS721">
        <v>5</v>
      </c>
      <c r="BT721">
        <v>5</v>
      </c>
      <c r="CA721">
        <v>4673</v>
      </c>
      <c r="CB721" t="s">
        <v>7575</v>
      </c>
      <c r="CL721" t="s">
        <v>99</v>
      </c>
      <c r="CM721" t="s">
        <v>99</v>
      </c>
      <c r="CN721" t="s">
        <v>692</v>
      </c>
      <c r="CO721" s="1">
        <v>43038</v>
      </c>
      <c r="CP721" s="1">
        <v>43633</v>
      </c>
    </row>
    <row r="722" spans="1:94" x14ac:dyDescent="0.25">
      <c r="A722" t="s">
        <v>2365</v>
      </c>
      <c r="B722" t="str">
        <f xml:space="preserve"> "" &amp; 747396105710</f>
        <v>747396105710</v>
      </c>
      <c r="C722" t="s">
        <v>6636</v>
      </c>
      <c r="D722" t="s">
        <v>6705</v>
      </c>
      <c r="E722" t="s">
        <v>1626</v>
      </c>
      <c r="F722" t="s">
        <v>240</v>
      </c>
      <c r="G722">
        <v>1</v>
      </c>
      <c r="H722">
        <v>1</v>
      </c>
      <c r="I722" t="s">
        <v>97</v>
      </c>
      <c r="J722" s="10">
        <v>179</v>
      </c>
      <c r="K722" s="10">
        <v>537</v>
      </c>
      <c r="L722" s="10">
        <v>0</v>
      </c>
      <c r="N722" s="10">
        <v>0</v>
      </c>
      <c r="O722" t="s">
        <v>99</v>
      </c>
      <c r="P722" s="10">
        <v>374.95</v>
      </c>
      <c r="S722">
        <v>9</v>
      </c>
      <c r="T722">
        <v>16</v>
      </c>
      <c r="U722">
        <v>16</v>
      </c>
      <c r="W722">
        <v>8.82</v>
      </c>
      <c r="X722">
        <v>1</v>
      </c>
      <c r="Y722">
        <v>12.25</v>
      </c>
      <c r="Z722">
        <v>18.75</v>
      </c>
      <c r="AA722">
        <v>18.75</v>
      </c>
      <c r="AB722">
        <v>2.492</v>
      </c>
      <c r="AC722">
        <v>11.18</v>
      </c>
      <c r="AE722">
        <v>5</v>
      </c>
      <c r="AF722" t="s">
        <v>1683</v>
      </c>
      <c r="AG722">
        <v>60</v>
      </c>
      <c r="AK722" t="s">
        <v>98</v>
      </c>
      <c r="AM722" t="s">
        <v>98</v>
      </c>
      <c r="AN722" t="s">
        <v>98</v>
      </c>
      <c r="AO722" t="s">
        <v>99</v>
      </c>
      <c r="AP722" t="s">
        <v>100</v>
      </c>
      <c r="AQ722" t="s">
        <v>101</v>
      </c>
      <c r="AV722" t="s">
        <v>98</v>
      </c>
      <c r="AX722" t="s">
        <v>7575</v>
      </c>
      <c r="AZ722" t="s">
        <v>392</v>
      </c>
      <c r="BB722" t="s">
        <v>692</v>
      </c>
      <c r="BC722" t="s">
        <v>7575</v>
      </c>
      <c r="BD722" t="s">
        <v>7528</v>
      </c>
      <c r="BF722" t="s">
        <v>2366</v>
      </c>
      <c r="BG722" t="s">
        <v>98</v>
      </c>
      <c r="BH722" t="s">
        <v>98</v>
      </c>
      <c r="BI722" t="s">
        <v>98</v>
      </c>
      <c r="BK722" t="s">
        <v>110</v>
      </c>
      <c r="BL722" t="s">
        <v>7528</v>
      </c>
      <c r="BR722">
        <v>0.75</v>
      </c>
      <c r="BS722">
        <v>5</v>
      </c>
      <c r="BT722">
        <v>5</v>
      </c>
      <c r="CA722">
        <v>4675</v>
      </c>
      <c r="CB722" t="s">
        <v>7575</v>
      </c>
      <c r="CL722" t="s">
        <v>99</v>
      </c>
      <c r="CM722" t="s">
        <v>99</v>
      </c>
      <c r="CN722" t="s">
        <v>692</v>
      </c>
      <c r="CO722" s="1">
        <v>43000</v>
      </c>
      <c r="CP722" s="1">
        <v>43633</v>
      </c>
    </row>
    <row r="723" spans="1:94" x14ac:dyDescent="0.25">
      <c r="A723" t="s">
        <v>2367</v>
      </c>
      <c r="B723" t="str">
        <f xml:space="preserve"> "" &amp; 747396105727</f>
        <v>747396105727</v>
      </c>
      <c r="C723" t="s">
        <v>879</v>
      </c>
      <c r="D723" t="s">
        <v>6706</v>
      </c>
      <c r="E723" t="s">
        <v>1626</v>
      </c>
      <c r="F723" t="s">
        <v>314</v>
      </c>
      <c r="G723">
        <v>1</v>
      </c>
      <c r="H723">
        <v>1</v>
      </c>
      <c r="I723" t="s">
        <v>97</v>
      </c>
      <c r="J723" s="10">
        <v>399</v>
      </c>
      <c r="K723" s="10">
        <v>1197</v>
      </c>
      <c r="L723" s="10">
        <v>0</v>
      </c>
      <c r="N723" s="10">
        <v>0</v>
      </c>
      <c r="O723" t="s">
        <v>99</v>
      </c>
      <c r="P723" s="10">
        <v>839.95</v>
      </c>
      <c r="S723">
        <v>12</v>
      </c>
      <c r="T723">
        <v>40</v>
      </c>
      <c r="U723">
        <v>15</v>
      </c>
      <c r="W723">
        <v>21.38</v>
      </c>
      <c r="X723">
        <v>1</v>
      </c>
      <c r="Y723">
        <v>15</v>
      </c>
      <c r="Z723">
        <v>43</v>
      </c>
      <c r="AA723">
        <v>18</v>
      </c>
      <c r="AB723">
        <v>6.7190000000000003</v>
      </c>
      <c r="AC723">
        <v>29.32</v>
      </c>
      <c r="AE723">
        <v>8</v>
      </c>
      <c r="AF723" t="s">
        <v>1611</v>
      </c>
      <c r="AG723">
        <v>60</v>
      </c>
      <c r="AK723" t="s">
        <v>98</v>
      </c>
      <c r="AM723" t="s">
        <v>98</v>
      </c>
      <c r="AN723" t="s">
        <v>98</v>
      </c>
      <c r="AO723" t="s">
        <v>99</v>
      </c>
      <c r="AP723" t="s">
        <v>100</v>
      </c>
      <c r="AQ723" t="s">
        <v>101</v>
      </c>
      <c r="AV723" t="s">
        <v>98</v>
      </c>
      <c r="AX723" t="s">
        <v>7575</v>
      </c>
      <c r="AZ723" t="s">
        <v>392</v>
      </c>
      <c r="BB723" t="s">
        <v>7528</v>
      </c>
      <c r="BC723" t="s">
        <v>7528</v>
      </c>
      <c r="BD723" t="s">
        <v>7528</v>
      </c>
      <c r="BF723" t="s">
        <v>2368</v>
      </c>
      <c r="BG723" t="s">
        <v>98</v>
      </c>
      <c r="BH723" t="s">
        <v>98</v>
      </c>
      <c r="BI723" t="s">
        <v>98</v>
      </c>
      <c r="BK723" t="s">
        <v>110</v>
      </c>
      <c r="BL723" t="s">
        <v>7528</v>
      </c>
      <c r="BR723">
        <v>0.75</v>
      </c>
      <c r="BS723">
        <v>18</v>
      </c>
      <c r="BT723">
        <v>4.5</v>
      </c>
      <c r="CA723">
        <v>4676</v>
      </c>
      <c r="CB723" t="s">
        <v>7575</v>
      </c>
      <c r="CL723" t="s">
        <v>99</v>
      </c>
      <c r="CM723" t="s">
        <v>98</v>
      </c>
      <c r="CN723" t="s">
        <v>692</v>
      </c>
      <c r="CO723" s="1">
        <v>43038</v>
      </c>
      <c r="CP723" s="1">
        <v>43644</v>
      </c>
    </row>
    <row r="724" spans="1:94" x14ac:dyDescent="0.25">
      <c r="A724" t="s">
        <v>2369</v>
      </c>
      <c r="B724" t="str">
        <f xml:space="preserve"> "" &amp; 747396105734</f>
        <v>747396105734</v>
      </c>
      <c r="C724" t="s">
        <v>2370</v>
      </c>
      <c r="D724" t="s">
        <v>6609</v>
      </c>
      <c r="E724" t="s">
        <v>1626</v>
      </c>
      <c r="F724" t="s">
        <v>240</v>
      </c>
      <c r="G724">
        <v>1</v>
      </c>
      <c r="H724">
        <v>1</v>
      </c>
      <c r="I724" t="s">
        <v>97</v>
      </c>
      <c r="J724" s="10">
        <v>309</v>
      </c>
      <c r="K724" s="10">
        <v>927</v>
      </c>
      <c r="L724" s="10">
        <v>0</v>
      </c>
      <c r="N724" s="10">
        <v>0</v>
      </c>
      <c r="O724" t="s">
        <v>99</v>
      </c>
      <c r="P724" s="10">
        <v>644.95000000000005</v>
      </c>
      <c r="S724">
        <v>11</v>
      </c>
      <c r="T724">
        <v>30</v>
      </c>
      <c r="U724">
        <v>30</v>
      </c>
      <c r="W724">
        <v>16.309999999999999</v>
      </c>
      <c r="X724">
        <v>1</v>
      </c>
      <c r="Y724">
        <v>14.25</v>
      </c>
      <c r="Z724">
        <v>33.25</v>
      </c>
      <c r="AA724">
        <v>33.25</v>
      </c>
      <c r="AB724">
        <v>9.1170000000000009</v>
      </c>
      <c r="AC724">
        <v>24.91</v>
      </c>
      <c r="AE724">
        <v>8</v>
      </c>
      <c r="AF724" t="s">
        <v>1611</v>
      </c>
      <c r="AG724">
        <v>60</v>
      </c>
      <c r="AK724" t="s">
        <v>98</v>
      </c>
      <c r="AM724" t="s">
        <v>98</v>
      </c>
      <c r="AN724" t="s">
        <v>98</v>
      </c>
      <c r="AO724" t="s">
        <v>99</v>
      </c>
      <c r="AP724" t="s">
        <v>100</v>
      </c>
      <c r="AQ724" t="s">
        <v>101</v>
      </c>
      <c r="AV724" t="s">
        <v>98</v>
      </c>
      <c r="AX724" t="s">
        <v>7575</v>
      </c>
      <c r="AZ724" t="s">
        <v>392</v>
      </c>
      <c r="BB724" t="s">
        <v>692</v>
      </c>
      <c r="BC724" t="s">
        <v>7575</v>
      </c>
      <c r="BD724" t="s">
        <v>7528</v>
      </c>
      <c r="BF724" t="s">
        <v>2371</v>
      </c>
      <c r="BG724" t="s">
        <v>98</v>
      </c>
      <c r="BH724" t="s">
        <v>98</v>
      </c>
      <c r="BI724" t="s">
        <v>98</v>
      </c>
      <c r="BK724" t="s">
        <v>110</v>
      </c>
      <c r="BL724" t="s">
        <v>7528</v>
      </c>
      <c r="BR724">
        <v>0.75</v>
      </c>
      <c r="BS724">
        <v>5</v>
      </c>
      <c r="BT724">
        <v>5</v>
      </c>
      <c r="CA724">
        <v>4677</v>
      </c>
      <c r="CB724" t="s">
        <v>7575</v>
      </c>
      <c r="CL724" t="s">
        <v>99</v>
      </c>
      <c r="CM724" t="s">
        <v>99</v>
      </c>
      <c r="CN724" t="s">
        <v>692</v>
      </c>
      <c r="CO724" s="1">
        <v>43038</v>
      </c>
      <c r="CP724" s="1">
        <v>43633</v>
      </c>
    </row>
    <row r="725" spans="1:94" x14ac:dyDescent="0.25">
      <c r="A725" t="s">
        <v>2372</v>
      </c>
      <c r="B725" t="str">
        <f xml:space="preserve"> "" &amp; 747396105741</f>
        <v>747396105741</v>
      </c>
      <c r="C725" t="s">
        <v>464</v>
      </c>
      <c r="D725" t="s">
        <v>6609</v>
      </c>
      <c r="E725" t="s">
        <v>1626</v>
      </c>
      <c r="F725" t="s">
        <v>240</v>
      </c>
      <c r="G725">
        <v>1</v>
      </c>
      <c r="H725">
        <v>1</v>
      </c>
      <c r="I725" t="s">
        <v>97</v>
      </c>
      <c r="J725" s="10">
        <v>320</v>
      </c>
      <c r="K725" s="10">
        <v>960</v>
      </c>
      <c r="L725" s="10">
        <v>0</v>
      </c>
      <c r="N725" s="10">
        <v>0</v>
      </c>
      <c r="O725" t="s">
        <v>99</v>
      </c>
      <c r="P725" s="10">
        <v>669.95</v>
      </c>
      <c r="S725">
        <v>11</v>
      </c>
      <c r="T725">
        <v>28</v>
      </c>
      <c r="U725">
        <v>28</v>
      </c>
      <c r="W725">
        <v>15.54</v>
      </c>
      <c r="X725">
        <v>1</v>
      </c>
      <c r="Y725">
        <v>14.25</v>
      </c>
      <c r="Z725">
        <v>31</v>
      </c>
      <c r="AA725">
        <v>31</v>
      </c>
      <c r="AB725">
        <v>7.9249999999999998</v>
      </c>
      <c r="AC725">
        <v>24.25</v>
      </c>
      <c r="AE725">
        <v>8</v>
      </c>
      <c r="AF725" t="s">
        <v>1611</v>
      </c>
      <c r="AG725">
        <v>60</v>
      </c>
      <c r="AK725" t="s">
        <v>98</v>
      </c>
      <c r="AM725" t="s">
        <v>98</v>
      </c>
      <c r="AN725" t="s">
        <v>98</v>
      </c>
      <c r="AO725" t="s">
        <v>99</v>
      </c>
      <c r="AP725" t="s">
        <v>100</v>
      </c>
      <c r="AQ725" t="s">
        <v>101</v>
      </c>
      <c r="AV725" t="s">
        <v>98</v>
      </c>
      <c r="AX725" t="s">
        <v>7575</v>
      </c>
      <c r="AZ725" t="s">
        <v>392</v>
      </c>
      <c r="BB725" t="s">
        <v>7528</v>
      </c>
      <c r="BC725" t="s">
        <v>7528</v>
      </c>
      <c r="BD725" t="s">
        <v>7528</v>
      </c>
      <c r="BF725" t="s">
        <v>2373</v>
      </c>
      <c r="BG725" t="s">
        <v>98</v>
      </c>
      <c r="BH725" t="s">
        <v>98</v>
      </c>
      <c r="BI725" t="s">
        <v>98</v>
      </c>
      <c r="BK725" t="s">
        <v>110</v>
      </c>
      <c r="BL725" t="s">
        <v>7528</v>
      </c>
      <c r="BR725">
        <v>0.75</v>
      </c>
      <c r="BS725">
        <v>5</v>
      </c>
      <c r="BT725">
        <v>5</v>
      </c>
      <c r="CA725">
        <v>4678</v>
      </c>
      <c r="CB725" t="s">
        <v>7575</v>
      </c>
      <c r="CL725" t="s">
        <v>99</v>
      </c>
      <c r="CM725" t="s">
        <v>99</v>
      </c>
      <c r="CN725" t="s">
        <v>692</v>
      </c>
      <c r="CO725" s="1">
        <v>43038</v>
      </c>
      <c r="CP725" s="1">
        <v>43633</v>
      </c>
    </row>
    <row r="726" spans="1:94" x14ac:dyDescent="0.25">
      <c r="A726" t="s">
        <v>2374</v>
      </c>
      <c r="B726" t="str">
        <f xml:space="preserve"> "" &amp; 747396105758</f>
        <v>747396105758</v>
      </c>
      <c r="C726" t="s">
        <v>2375</v>
      </c>
      <c r="D726" t="s">
        <v>6707</v>
      </c>
      <c r="E726" t="s">
        <v>1626</v>
      </c>
      <c r="F726" t="s">
        <v>249</v>
      </c>
      <c r="G726">
        <v>1</v>
      </c>
      <c r="H726">
        <v>1</v>
      </c>
      <c r="I726" t="s">
        <v>97</v>
      </c>
      <c r="J726" s="10">
        <v>585</v>
      </c>
      <c r="K726" s="10">
        <v>1755</v>
      </c>
      <c r="L726" s="10">
        <v>0</v>
      </c>
      <c r="N726" s="10">
        <v>0</v>
      </c>
      <c r="O726" t="s">
        <v>99</v>
      </c>
      <c r="P726" s="10">
        <v>1229.95</v>
      </c>
      <c r="S726">
        <v>27</v>
      </c>
      <c r="T726">
        <v>30</v>
      </c>
      <c r="U726">
        <v>30</v>
      </c>
      <c r="W726">
        <v>25.35</v>
      </c>
      <c r="X726">
        <v>1</v>
      </c>
      <c r="Y726">
        <v>31</v>
      </c>
      <c r="Z726">
        <v>32.75</v>
      </c>
      <c r="AA726">
        <v>32.75</v>
      </c>
      <c r="AB726">
        <v>19.242000000000001</v>
      </c>
      <c r="AC726">
        <v>42.11</v>
      </c>
      <c r="AE726">
        <v>18</v>
      </c>
      <c r="AF726" t="s">
        <v>1611</v>
      </c>
      <c r="AG726">
        <v>60</v>
      </c>
      <c r="AK726" t="s">
        <v>98</v>
      </c>
      <c r="AM726" t="s">
        <v>98</v>
      </c>
      <c r="AN726" t="s">
        <v>98</v>
      </c>
      <c r="AO726" t="s">
        <v>99</v>
      </c>
      <c r="AP726" t="s">
        <v>100</v>
      </c>
      <c r="AQ726" t="s">
        <v>101</v>
      </c>
      <c r="AV726" t="s">
        <v>98</v>
      </c>
      <c r="AX726" t="s">
        <v>7575</v>
      </c>
      <c r="AZ726" t="s">
        <v>392</v>
      </c>
      <c r="BB726" t="s">
        <v>692</v>
      </c>
      <c r="BC726" t="s">
        <v>7575</v>
      </c>
      <c r="BD726" t="s">
        <v>7528</v>
      </c>
      <c r="BF726" t="s">
        <v>2376</v>
      </c>
      <c r="BG726" t="s">
        <v>98</v>
      </c>
      <c r="BH726" t="s">
        <v>98</v>
      </c>
      <c r="BI726" t="s">
        <v>98</v>
      </c>
      <c r="BK726" t="s">
        <v>110</v>
      </c>
      <c r="BL726" t="s">
        <v>7528</v>
      </c>
      <c r="BR726">
        <v>0.75</v>
      </c>
      <c r="BS726">
        <v>5</v>
      </c>
      <c r="BT726">
        <v>5</v>
      </c>
      <c r="CA726">
        <v>4679</v>
      </c>
      <c r="CB726" t="s">
        <v>7575</v>
      </c>
      <c r="CL726" t="s">
        <v>99</v>
      </c>
      <c r="CM726" t="s">
        <v>98</v>
      </c>
      <c r="CN726" t="s">
        <v>692</v>
      </c>
      <c r="CO726" s="1">
        <v>43038</v>
      </c>
      <c r="CP726" s="1">
        <v>43633</v>
      </c>
    </row>
    <row r="727" spans="1:94" x14ac:dyDescent="0.25">
      <c r="A727" t="s">
        <v>2377</v>
      </c>
      <c r="B727" t="str">
        <f xml:space="preserve"> "" &amp; 747396105420</f>
        <v>747396105420</v>
      </c>
      <c r="C727" t="s">
        <v>758</v>
      </c>
      <c r="D727" t="s">
        <v>6708</v>
      </c>
      <c r="E727" t="s">
        <v>2378</v>
      </c>
      <c r="F727" t="s">
        <v>323</v>
      </c>
      <c r="G727">
        <v>1</v>
      </c>
      <c r="H727">
        <v>1</v>
      </c>
      <c r="I727" t="s">
        <v>97</v>
      </c>
      <c r="J727" s="10">
        <v>59</v>
      </c>
      <c r="K727" s="10">
        <v>177</v>
      </c>
      <c r="L727" s="10">
        <v>0</v>
      </c>
      <c r="N727" s="10">
        <v>0</v>
      </c>
      <c r="O727" t="s">
        <v>99</v>
      </c>
      <c r="P727" s="10">
        <v>124.95</v>
      </c>
      <c r="S727">
        <v>6.5</v>
      </c>
      <c r="U727">
        <v>8.25</v>
      </c>
      <c r="V727">
        <v>4</v>
      </c>
      <c r="W727">
        <v>2.2000000000000002</v>
      </c>
      <c r="X727">
        <v>1</v>
      </c>
      <c r="Y727">
        <v>8.6300000000000008</v>
      </c>
      <c r="Z727">
        <v>10.25</v>
      </c>
      <c r="AA727">
        <v>6.25</v>
      </c>
      <c r="AB727">
        <v>0.32</v>
      </c>
      <c r="AC727">
        <v>2.78</v>
      </c>
      <c r="AE727">
        <v>2</v>
      </c>
      <c r="AF727" t="s">
        <v>519</v>
      </c>
      <c r="AG727">
        <v>60</v>
      </c>
      <c r="AK727" t="s">
        <v>98</v>
      </c>
      <c r="AM727" t="s">
        <v>98</v>
      </c>
      <c r="AN727" t="s">
        <v>98</v>
      </c>
      <c r="AO727" t="s">
        <v>99</v>
      </c>
      <c r="AP727" t="s">
        <v>100</v>
      </c>
      <c r="AQ727" t="s">
        <v>101</v>
      </c>
      <c r="AV727" t="s">
        <v>98</v>
      </c>
      <c r="AX727" t="s">
        <v>1803</v>
      </c>
      <c r="AZ727" t="s">
        <v>102</v>
      </c>
      <c r="BB727" t="s">
        <v>7528</v>
      </c>
      <c r="BC727" t="s">
        <v>7528</v>
      </c>
      <c r="BD727" t="s">
        <v>7528</v>
      </c>
      <c r="BF727" t="s">
        <v>2379</v>
      </c>
      <c r="BG727" t="s">
        <v>98</v>
      </c>
      <c r="BH727" t="s">
        <v>98</v>
      </c>
      <c r="BI727" t="s">
        <v>98</v>
      </c>
      <c r="BK727" t="s">
        <v>127</v>
      </c>
      <c r="BL727" t="s">
        <v>7528</v>
      </c>
      <c r="BM727">
        <v>8.07</v>
      </c>
      <c r="BN727">
        <v>3.25</v>
      </c>
      <c r="BO727">
        <v>6.5</v>
      </c>
      <c r="CA727">
        <v>4682</v>
      </c>
      <c r="CB727" t="s">
        <v>1803</v>
      </c>
      <c r="CL727" t="s">
        <v>99</v>
      </c>
      <c r="CM727" t="s">
        <v>98</v>
      </c>
      <c r="CN727" t="s">
        <v>692</v>
      </c>
      <c r="CO727" s="1">
        <v>43035</v>
      </c>
      <c r="CP727" s="1">
        <v>43633</v>
      </c>
    </row>
    <row r="728" spans="1:94" x14ac:dyDescent="0.25">
      <c r="A728" t="s">
        <v>2380</v>
      </c>
      <c r="B728" t="str">
        <f xml:space="preserve"> "" &amp; 747396105437</f>
        <v>747396105437</v>
      </c>
      <c r="C728" t="s">
        <v>762</v>
      </c>
      <c r="D728" t="s">
        <v>6709</v>
      </c>
      <c r="E728" t="s">
        <v>2378</v>
      </c>
      <c r="F728" t="s">
        <v>323</v>
      </c>
      <c r="G728">
        <v>1</v>
      </c>
      <c r="H728">
        <v>1</v>
      </c>
      <c r="I728" t="s">
        <v>97</v>
      </c>
      <c r="J728" s="10">
        <v>85</v>
      </c>
      <c r="K728" s="10">
        <v>255</v>
      </c>
      <c r="L728" s="10">
        <v>0</v>
      </c>
      <c r="N728" s="10">
        <v>0</v>
      </c>
      <c r="O728" t="s">
        <v>99</v>
      </c>
      <c r="P728" s="10">
        <v>174.95</v>
      </c>
      <c r="S728">
        <v>6.5</v>
      </c>
      <c r="U728">
        <v>15.5</v>
      </c>
      <c r="V728">
        <v>4</v>
      </c>
      <c r="W728">
        <v>3.7</v>
      </c>
      <c r="X728">
        <v>1</v>
      </c>
      <c r="Y728">
        <v>9.6300000000000008</v>
      </c>
      <c r="Z728">
        <v>18.5</v>
      </c>
      <c r="AA728">
        <v>7.13</v>
      </c>
      <c r="AB728">
        <v>0.73499999999999999</v>
      </c>
      <c r="AC728">
        <v>4.87</v>
      </c>
      <c r="AE728">
        <v>3</v>
      </c>
      <c r="AF728" t="s">
        <v>519</v>
      </c>
      <c r="AG728">
        <v>60</v>
      </c>
      <c r="AK728" t="s">
        <v>98</v>
      </c>
      <c r="AM728" t="s">
        <v>98</v>
      </c>
      <c r="AN728" t="s">
        <v>98</v>
      </c>
      <c r="AO728" t="s">
        <v>99</v>
      </c>
      <c r="AP728" t="s">
        <v>100</v>
      </c>
      <c r="AQ728" t="s">
        <v>101</v>
      </c>
      <c r="AV728" t="s">
        <v>98</v>
      </c>
      <c r="AX728" t="s">
        <v>1803</v>
      </c>
      <c r="AZ728" t="s">
        <v>102</v>
      </c>
      <c r="BB728" t="s">
        <v>7528</v>
      </c>
      <c r="BC728" t="s">
        <v>7528</v>
      </c>
      <c r="BD728" t="s">
        <v>7528</v>
      </c>
      <c r="BF728" t="s">
        <v>2381</v>
      </c>
      <c r="BG728" t="s">
        <v>98</v>
      </c>
      <c r="BH728" t="s">
        <v>98</v>
      </c>
      <c r="BI728" t="s">
        <v>98</v>
      </c>
      <c r="BK728" t="s">
        <v>127</v>
      </c>
      <c r="BL728" t="s">
        <v>7528</v>
      </c>
      <c r="BM728">
        <v>15.35</v>
      </c>
      <c r="BN728">
        <v>6.5</v>
      </c>
      <c r="CA728">
        <v>4683</v>
      </c>
      <c r="CB728" t="s">
        <v>1803</v>
      </c>
      <c r="CL728" t="s">
        <v>99</v>
      </c>
      <c r="CM728" t="s">
        <v>98</v>
      </c>
      <c r="CN728" t="s">
        <v>692</v>
      </c>
      <c r="CO728" s="1">
        <v>43035</v>
      </c>
      <c r="CP728" s="1">
        <v>43633</v>
      </c>
    </row>
    <row r="729" spans="1:94" x14ac:dyDescent="0.25">
      <c r="A729" t="s">
        <v>2382</v>
      </c>
      <c r="B729" t="str">
        <f xml:space="preserve"> "" &amp; 747396105444</f>
        <v>747396105444</v>
      </c>
      <c r="C729" t="s">
        <v>766</v>
      </c>
      <c r="D729" t="s">
        <v>6710</v>
      </c>
      <c r="E729" t="s">
        <v>2378</v>
      </c>
      <c r="F729" t="s">
        <v>323</v>
      </c>
      <c r="G729">
        <v>1</v>
      </c>
      <c r="H729">
        <v>1</v>
      </c>
      <c r="I729" t="s">
        <v>97</v>
      </c>
      <c r="J729" s="10">
        <v>106</v>
      </c>
      <c r="K729" s="10">
        <v>318</v>
      </c>
      <c r="L729" s="10">
        <v>0</v>
      </c>
      <c r="N729" s="10">
        <v>0</v>
      </c>
      <c r="O729" t="s">
        <v>99</v>
      </c>
      <c r="P729" s="10">
        <v>224.95</v>
      </c>
      <c r="S729">
        <v>6.5</v>
      </c>
      <c r="U729">
        <v>19.75</v>
      </c>
      <c r="V729">
        <v>4</v>
      </c>
      <c r="W729">
        <v>4.87</v>
      </c>
      <c r="X729">
        <v>1</v>
      </c>
      <c r="Y729">
        <v>9.6300000000000008</v>
      </c>
      <c r="Z729">
        <v>23.25</v>
      </c>
      <c r="AA729">
        <v>7.13</v>
      </c>
      <c r="AB729">
        <v>0.92400000000000004</v>
      </c>
      <c r="AC729">
        <v>6.39</v>
      </c>
      <c r="AE729">
        <v>4</v>
      </c>
      <c r="AF729" t="s">
        <v>519</v>
      </c>
      <c r="AG729">
        <v>60</v>
      </c>
      <c r="AK729" t="s">
        <v>98</v>
      </c>
      <c r="AM729" t="s">
        <v>98</v>
      </c>
      <c r="AN729" t="s">
        <v>98</v>
      </c>
      <c r="AO729" t="s">
        <v>99</v>
      </c>
      <c r="AP729" t="s">
        <v>100</v>
      </c>
      <c r="AQ729" t="s">
        <v>101</v>
      </c>
      <c r="AV729" t="s">
        <v>98</v>
      </c>
      <c r="AX729" t="s">
        <v>1803</v>
      </c>
      <c r="AZ729" t="s">
        <v>102</v>
      </c>
      <c r="BB729" t="s">
        <v>7528</v>
      </c>
      <c r="BC729" t="s">
        <v>7528</v>
      </c>
      <c r="BD729" t="s">
        <v>7528</v>
      </c>
      <c r="BF729" t="s">
        <v>2383</v>
      </c>
      <c r="BG729" t="s">
        <v>98</v>
      </c>
      <c r="BH729" t="s">
        <v>98</v>
      </c>
      <c r="BI729" t="s">
        <v>98</v>
      </c>
      <c r="BK729" t="s">
        <v>127</v>
      </c>
      <c r="BL729" t="s">
        <v>7528</v>
      </c>
      <c r="BM729">
        <v>19.690000000000001</v>
      </c>
      <c r="BN729">
        <v>6.5</v>
      </c>
      <c r="CA729">
        <v>4684</v>
      </c>
      <c r="CB729" t="s">
        <v>1803</v>
      </c>
      <c r="CL729" t="s">
        <v>99</v>
      </c>
      <c r="CM729" t="s">
        <v>98</v>
      </c>
      <c r="CN729" t="s">
        <v>692</v>
      </c>
      <c r="CO729" s="1">
        <v>43035</v>
      </c>
      <c r="CP729" s="1">
        <v>43633</v>
      </c>
    </row>
    <row r="730" spans="1:94" x14ac:dyDescent="0.25">
      <c r="A730" t="s">
        <v>2384</v>
      </c>
      <c r="B730" t="str">
        <f xml:space="preserve"> "" &amp; 747396105451</f>
        <v>747396105451</v>
      </c>
      <c r="C730" t="s">
        <v>2207</v>
      </c>
      <c r="D730" t="s">
        <v>6711</v>
      </c>
      <c r="E730" t="s">
        <v>2378</v>
      </c>
      <c r="F730" t="s">
        <v>323</v>
      </c>
      <c r="G730">
        <v>1</v>
      </c>
      <c r="H730">
        <v>1</v>
      </c>
      <c r="I730" t="s">
        <v>97</v>
      </c>
      <c r="J730" s="10">
        <v>129</v>
      </c>
      <c r="K730" s="10">
        <v>387</v>
      </c>
      <c r="L730" s="10">
        <v>0</v>
      </c>
      <c r="N730" s="10">
        <v>0</v>
      </c>
      <c r="O730" t="s">
        <v>99</v>
      </c>
      <c r="P730" s="10">
        <v>269.95</v>
      </c>
      <c r="S730">
        <v>6.5</v>
      </c>
      <c r="U730">
        <v>24</v>
      </c>
      <c r="V730">
        <v>4</v>
      </c>
      <c r="W730">
        <v>5.91</v>
      </c>
      <c r="X730">
        <v>1</v>
      </c>
      <c r="Y730">
        <v>9.6300000000000008</v>
      </c>
      <c r="Z730">
        <v>27.13</v>
      </c>
      <c r="AA730">
        <v>7.13</v>
      </c>
      <c r="AB730">
        <v>1.0780000000000001</v>
      </c>
      <c r="AC730">
        <v>7.67</v>
      </c>
      <c r="AE730">
        <v>5</v>
      </c>
      <c r="AF730" t="s">
        <v>519</v>
      </c>
      <c r="AG730">
        <v>60</v>
      </c>
      <c r="AK730" t="s">
        <v>98</v>
      </c>
      <c r="AM730" t="s">
        <v>98</v>
      </c>
      <c r="AN730" t="s">
        <v>98</v>
      </c>
      <c r="AO730" t="s">
        <v>99</v>
      </c>
      <c r="AP730" t="s">
        <v>100</v>
      </c>
      <c r="AQ730" t="s">
        <v>101</v>
      </c>
      <c r="AV730" t="s">
        <v>98</v>
      </c>
      <c r="AX730" t="s">
        <v>1803</v>
      </c>
      <c r="AZ730" t="s">
        <v>102</v>
      </c>
      <c r="BB730" t="s">
        <v>7528</v>
      </c>
      <c r="BC730" t="s">
        <v>7528</v>
      </c>
      <c r="BD730" t="s">
        <v>7528</v>
      </c>
      <c r="BF730" t="s">
        <v>2385</v>
      </c>
      <c r="BG730" t="s">
        <v>98</v>
      </c>
      <c r="BH730" t="s">
        <v>98</v>
      </c>
      <c r="BI730" t="s">
        <v>98</v>
      </c>
      <c r="BK730" t="s">
        <v>127</v>
      </c>
      <c r="BL730" t="s">
        <v>7528</v>
      </c>
      <c r="BM730">
        <v>24.02</v>
      </c>
      <c r="BN730">
        <v>6.5</v>
      </c>
      <c r="CA730">
        <v>4685</v>
      </c>
      <c r="CB730" t="s">
        <v>1803</v>
      </c>
      <c r="CL730" t="s">
        <v>99</v>
      </c>
      <c r="CM730" t="s">
        <v>98</v>
      </c>
      <c r="CN730" t="s">
        <v>692</v>
      </c>
      <c r="CO730" s="1">
        <v>43035</v>
      </c>
      <c r="CP730" s="1">
        <v>43633</v>
      </c>
    </row>
    <row r="731" spans="1:94" x14ac:dyDescent="0.25">
      <c r="A731" t="s">
        <v>2386</v>
      </c>
      <c r="B731" t="str">
        <f xml:space="preserve"> "" &amp; 747396105468</f>
        <v>747396105468</v>
      </c>
      <c r="C731" t="s">
        <v>845</v>
      </c>
      <c r="D731" t="s">
        <v>6712</v>
      </c>
      <c r="E731" t="s">
        <v>2378</v>
      </c>
      <c r="F731" t="s">
        <v>240</v>
      </c>
      <c r="G731">
        <v>1</v>
      </c>
      <c r="H731">
        <v>1</v>
      </c>
      <c r="I731" t="s">
        <v>97</v>
      </c>
      <c r="J731" s="10">
        <v>42</v>
      </c>
      <c r="K731" s="10">
        <v>126</v>
      </c>
      <c r="L731" s="10">
        <v>0</v>
      </c>
      <c r="N731" s="10">
        <v>0</v>
      </c>
      <c r="O731" t="s">
        <v>99</v>
      </c>
      <c r="P731" s="10">
        <v>89.95</v>
      </c>
      <c r="S731">
        <v>11</v>
      </c>
      <c r="T731">
        <v>6</v>
      </c>
      <c r="U731">
        <v>6</v>
      </c>
      <c r="W731">
        <v>4.92</v>
      </c>
      <c r="X731">
        <v>1</v>
      </c>
      <c r="Y731">
        <v>8.5</v>
      </c>
      <c r="Z731">
        <v>18.13</v>
      </c>
      <c r="AA731">
        <v>9.6300000000000008</v>
      </c>
      <c r="AB731">
        <v>0.85899999999999999</v>
      </c>
      <c r="AC731">
        <v>6.22</v>
      </c>
      <c r="AE731">
        <v>1</v>
      </c>
      <c r="AF731" t="s">
        <v>1050</v>
      </c>
      <c r="AG731">
        <v>60</v>
      </c>
      <c r="AK731" t="s">
        <v>98</v>
      </c>
      <c r="AM731" t="s">
        <v>98</v>
      </c>
      <c r="AN731" t="s">
        <v>98</v>
      </c>
      <c r="AO731" t="s">
        <v>99</v>
      </c>
      <c r="AP731" t="s">
        <v>100</v>
      </c>
      <c r="AQ731" t="s">
        <v>101</v>
      </c>
      <c r="AV731" t="s">
        <v>98</v>
      </c>
      <c r="AX731" t="s">
        <v>1803</v>
      </c>
      <c r="AZ731" t="s">
        <v>102</v>
      </c>
      <c r="BB731" t="s">
        <v>235</v>
      </c>
      <c r="BC731" t="s">
        <v>1687</v>
      </c>
      <c r="BD731" t="s">
        <v>7528</v>
      </c>
      <c r="BF731" t="s">
        <v>2387</v>
      </c>
      <c r="BG731" t="s">
        <v>98</v>
      </c>
      <c r="BH731" t="s">
        <v>98</v>
      </c>
      <c r="BI731" t="s">
        <v>98</v>
      </c>
      <c r="BK731" t="s">
        <v>110</v>
      </c>
      <c r="BL731" t="s">
        <v>7528</v>
      </c>
      <c r="BR731">
        <v>0.94</v>
      </c>
      <c r="BS731">
        <v>4.84</v>
      </c>
      <c r="BT731">
        <v>4.84</v>
      </c>
      <c r="CA731">
        <v>4691</v>
      </c>
      <c r="CB731" t="s">
        <v>1803</v>
      </c>
      <c r="CL731" t="s">
        <v>99</v>
      </c>
      <c r="CM731" t="s">
        <v>99</v>
      </c>
      <c r="CN731" t="s">
        <v>442</v>
      </c>
      <c r="CO731" s="1">
        <v>43035</v>
      </c>
      <c r="CP731" s="1">
        <v>43633</v>
      </c>
    </row>
    <row r="732" spans="1:94" x14ac:dyDescent="0.25">
      <c r="A732" t="s">
        <v>2388</v>
      </c>
      <c r="B732" t="str">
        <f xml:space="preserve"> "" &amp; 747396105475</f>
        <v>747396105475</v>
      </c>
      <c r="C732" t="s">
        <v>464</v>
      </c>
      <c r="D732" t="s">
        <v>6713</v>
      </c>
      <c r="E732" t="s">
        <v>2378</v>
      </c>
      <c r="F732" t="s">
        <v>240</v>
      </c>
      <c r="G732">
        <v>1</v>
      </c>
      <c r="H732">
        <v>1</v>
      </c>
      <c r="I732" t="s">
        <v>97</v>
      </c>
      <c r="J732" s="10">
        <v>119</v>
      </c>
      <c r="K732" s="10">
        <v>357</v>
      </c>
      <c r="L732" s="10">
        <v>0</v>
      </c>
      <c r="N732" s="10">
        <v>0</v>
      </c>
      <c r="O732" t="s">
        <v>99</v>
      </c>
      <c r="P732" s="10">
        <v>249.95</v>
      </c>
      <c r="S732">
        <v>18</v>
      </c>
      <c r="T732">
        <v>14</v>
      </c>
      <c r="U732">
        <v>14</v>
      </c>
      <c r="W732">
        <v>8.58</v>
      </c>
      <c r="X732">
        <v>1</v>
      </c>
      <c r="Y732">
        <v>22.25</v>
      </c>
      <c r="Z732">
        <v>16.38</v>
      </c>
      <c r="AA732">
        <v>16.38</v>
      </c>
      <c r="AB732">
        <v>3.4550000000000001</v>
      </c>
      <c r="AC732">
        <v>14.33</v>
      </c>
      <c r="AE732">
        <v>3</v>
      </c>
      <c r="AF732" t="s">
        <v>519</v>
      </c>
      <c r="AG732">
        <v>60</v>
      </c>
      <c r="AK732" t="s">
        <v>98</v>
      </c>
      <c r="AM732" t="s">
        <v>98</v>
      </c>
      <c r="AN732" t="s">
        <v>98</v>
      </c>
      <c r="AO732" t="s">
        <v>99</v>
      </c>
      <c r="AP732" t="s">
        <v>100</v>
      </c>
      <c r="AQ732" t="s">
        <v>101</v>
      </c>
      <c r="AV732" t="s">
        <v>98</v>
      </c>
      <c r="AX732" t="s">
        <v>1803</v>
      </c>
      <c r="AZ732" t="s">
        <v>102</v>
      </c>
      <c r="BB732" t="s">
        <v>235</v>
      </c>
      <c r="BC732" t="s">
        <v>1687</v>
      </c>
      <c r="BD732" t="s">
        <v>7528</v>
      </c>
      <c r="BF732" t="s">
        <v>2389</v>
      </c>
      <c r="BG732" t="s">
        <v>98</v>
      </c>
      <c r="BH732" t="s">
        <v>98</v>
      </c>
      <c r="BI732" t="s">
        <v>98</v>
      </c>
      <c r="BK732" t="s">
        <v>110</v>
      </c>
      <c r="BL732" t="s">
        <v>7528</v>
      </c>
      <c r="BR732">
        <v>0.94</v>
      </c>
      <c r="BS732">
        <v>4.84</v>
      </c>
      <c r="BT732">
        <v>4.84</v>
      </c>
      <c r="CA732">
        <v>4692</v>
      </c>
      <c r="CB732" t="s">
        <v>1803</v>
      </c>
      <c r="CL732" t="s">
        <v>99</v>
      </c>
      <c r="CM732" t="s">
        <v>99</v>
      </c>
      <c r="CN732" t="s">
        <v>692</v>
      </c>
      <c r="CO732" s="1">
        <v>43035</v>
      </c>
      <c r="CP732" s="1">
        <v>43633</v>
      </c>
    </row>
    <row r="733" spans="1:94" x14ac:dyDescent="0.25">
      <c r="A733" t="s">
        <v>2390</v>
      </c>
      <c r="B733" t="str">
        <f xml:space="preserve"> "" &amp; 747396105482</f>
        <v>747396105482</v>
      </c>
      <c r="C733" t="s">
        <v>464</v>
      </c>
      <c r="D733" t="s">
        <v>6713</v>
      </c>
      <c r="E733" t="s">
        <v>2378</v>
      </c>
      <c r="F733" t="s">
        <v>240</v>
      </c>
      <c r="G733">
        <v>1</v>
      </c>
      <c r="H733">
        <v>1</v>
      </c>
      <c r="I733" t="s">
        <v>97</v>
      </c>
      <c r="J733" s="10">
        <v>129</v>
      </c>
      <c r="K733" s="10">
        <v>387</v>
      </c>
      <c r="L733" s="10">
        <v>0</v>
      </c>
      <c r="N733" s="10">
        <v>0</v>
      </c>
      <c r="O733" t="s">
        <v>99</v>
      </c>
      <c r="P733" s="10">
        <v>269.95</v>
      </c>
      <c r="S733">
        <v>24.5</v>
      </c>
      <c r="T733">
        <v>14</v>
      </c>
      <c r="U733">
        <v>14</v>
      </c>
      <c r="W733">
        <v>9.74</v>
      </c>
      <c r="X733">
        <v>1</v>
      </c>
      <c r="Y733">
        <v>20.25</v>
      </c>
      <c r="Z733">
        <v>16.38</v>
      </c>
      <c r="AA733">
        <v>16.38</v>
      </c>
      <c r="AB733">
        <v>3.1440000000000001</v>
      </c>
      <c r="AC733">
        <v>14.55</v>
      </c>
      <c r="AE733">
        <v>3</v>
      </c>
      <c r="AF733" t="s">
        <v>519</v>
      </c>
      <c r="AG733">
        <v>60</v>
      </c>
      <c r="AK733" t="s">
        <v>98</v>
      </c>
      <c r="AM733" t="s">
        <v>98</v>
      </c>
      <c r="AN733" t="s">
        <v>98</v>
      </c>
      <c r="AO733" t="s">
        <v>99</v>
      </c>
      <c r="AP733" t="s">
        <v>100</v>
      </c>
      <c r="AQ733" t="s">
        <v>101</v>
      </c>
      <c r="AV733" t="s">
        <v>98</v>
      </c>
      <c r="AX733" t="s">
        <v>1803</v>
      </c>
      <c r="AZ733" t="s">
        <v>102</v>
      </c>
      <c r="BB733" t="s">
        <v>235</v>
      </c>
      <c r="BC733" t="s">
        <v>1687</v>
      </c>
      <c r="BD733" t="s">
        <v>7528</v>
      </c>
      <c r="BF733" t="s">
        <v>2391</v>
      </c>
      <c r="BG733" t="s">
        <v>98</v>
      </c>
      <c r="BH733" t="s">
        <v>98</v>
      </c>
      <c r="BI733" t="s">
        <v>98</v>
      </c>
      <c r="BK733" t="s">
        <v>110</v>
      </c>
      <c r="BL733" t="s">
        <v>7528</v>
      </c>
      <c r="BR733">
        <v>0.94</v>
      </c>
      <c r="BS733">
        <v>4.84</v>
      </c>
      <c r="BT733">
        <v>4.84</v>
      </c>
      <c r="CA733">
        <v>4693</v>
      </c>
      <c r="CB733" t="s">
        <v>1803</v>
      </c>
      <c r="CL733" t="s">
        <v>99</v>
      </c>
      <c r="CM733" t="s">
        <v>99</v>
      </c>
      <c r="CN733" t="s">
        <v>442</v>
      </c>
      <c r="CO733" s="1">
        <v>43035</v>
      </c>
      <c r="CP733" s="1">
        <v>43633</v>
      </c>
    </row>
    <row r="734" spans="1:94" x14ac:dyDescent="0.25">
      <c r="A734" t="s">
        <v>2392</v>
      </c>
      <c r="B734" t="str">
        <f xml:space="preserve"> "" &amp; 747396105499</f>
        <v>747396105499</v>
      </c>
      <c r="C734" t="s">
        <v>464</v>
      </c>
      <c r="D734" t="s">
        <v>6714</v>
      </c>
      <c r="E734" t="s">
        <v>2378</v>
      </c>
      <c r="F734" t="s">
        <v>240</v>
      </c>
      <c r="G734">
        <v>1</v>
      </c>
      <c r="H734">
        <v>1</v>
      </c>
      <c r="I734" t="s">
        <v>97</v>
      </c>
      <c r="J734" s="10">
        <v>169</v>
      </c>
      <c r="K734" s="10">
        <v>507</v>
      </c>
      <c r="L734" s="10">
        <v>0</v>
      </c>
      <c r="N734" s="10">
        <v>0</v>
      </c>
      <c r="O734" t="s">
        <v>99</v>
      </c>
      <c r="P734" s="10">
        <v>354.95</v>
      </c>
      <c r="S734">
        <v>21</v>
      </c>
      <c r="T734">
        <v>18.5</v>
      </c>
      <c r="U734">
        <v>18.5</v>
      </c>
      <c r="W734">
        <v>10.58</v>
      </c>
      <c r="X734">
        <v>1</v>
      </c>
      <c r="Y734">
        <v>23.88</v>
      </c>
      <c r="Z734">
        <v>20.5</v>
      </c>
      <c r="AA734">
        <v>20.5</v>
      </c>
      <c r="AB734">
        <v>5.8079999999999998</v>
      </c>
      <c r="AC734">
        <v>17.22</v>
      </c>
      <c r="AE734">
        <v>4</v>
      </c>
      <c r="AF734" t="s">
        <v>519</v>
      </c>
      <c r="AG734">
        <v>60</v>
      </c>
      <c r="AK734" t="s">
        <v>98</v>
      </c>
      <c r="AM734" t="s">
        <v>98</v>
      </c>
      <c r="AN734" t="s">
        <v>98</v>
      </c>
      <c r="AO734" t="s">
        <v>99</v>
      </c>
      <c r="AP734" t="s">
        <v>100</v>
      </c>
      <c r="AQ734" t="s">
        <v>101</v>
      </c>
      <c r="AV734" t="s">
        <v>98</v>
      </c>
      <c r="AX734" t="s">
        <v>1803</v>
      </c>
      <c r="AZ734" t="s">
        <v>102</v>
      </c>
      <c r="BB734" t="s">
        <v>235</v>
      </c>
      <c r="BC734" t="s">
        <v>1687</v>
      </c>
      <c r="BD734" t="s">
        <v>7528</v>
      </c>
      <c r="BF734" t="s">
        <v>2393</v>
      </c>
      <c r="BG734" t="s">
        <v>98</v>
      </c>
      <c r="BH734" t="s">
        <v>98</v>
      </c>
      <c r="BI734" t="s">
        <v>98</v>
      </c>
      <c r="BK734" t="s">
        <v>110</v>
      </c>
      <c r="BL734" t="s">
        <v>7528</v>
      </c>
      <c r="BR734">
        <v>0.94</v>
      </c>
      <c r="BS734">
        <v>4.84</v>
      </c>
      <c r="BT734">
        <v>4.84</v>
      </c>
      <c r="CA734">
        <v>4694</v>
      </c>
      <c r="CB734" t="s">
        <v>1803</v>
      </c>
      <c r="CL734" t="s">
        <v>99</v>
      </c>
      <c r="CM734" t="s">
        <v>99</v>
      </c>
      <c r="CN734" t="s">
        <v>442</v>
      </c>
      <c r="CO734" s="1">
        <v>43035</v>
      </c>
      <c r="CP734" s="1">
        <v>43633</v>
      </c>
    </row>
    <row r="735" spans="1:94" x14ac:dyDescent="0.25">
      <c r="A735" t="s">
        <v>2394</v>
      </c>
      <c r="B735" t="str">
        <f xml:space="preserve"> "" &amp; 747396105505</f>
        <v>747396105505</v>
      </c>
      <c r="C735" t="s">
        <v>879</v>
      </c>
      <c r="D735" t="s">
        <v>6715</v>
      </c>
      <c r="E735" t="s">
        <v>2378</v>
      </c>
      <c r="F735" t="s">
        <v>240</v>
      </c>
      <c r="G735">
        <v>1</v>
      </c>
      <c r="H735">
        <v>1</v>
      </c>
      <c r="I735" t="s">
        <v>97</v>
      </c>
      <c r="J735" s="10">
        <v>285</v>
      </c>
      <c r="K735" s="10">
        <v>855</v>
      </c>
      <c r="L735" s="10">
        <v>0</v>
      </c>
      <c r="N735" s="10">
        <v>0</v>
      </c>
      <c r="O735" t="s">
        <v>99</v>
      </c>
      <c r="P735" s="10">
        <v>594.95000000000005</v>
      </c>
      <c r="S735">
        <v>23</v>
      </c>
      <c r="T735">
        <v>40.5</v>
      </c>
      <c r="U735">
        <v>17</v>
      </c>
      <c r="W735">
        <v>16.53</v>
      </c>
      <c r="X735">
        <v>1</v>
      </c>
      <c r="Y735">
        <v>26.13</v>
      </c>
      <c r="Z735">
        <v>42.13</v>
      </c>
      <c r="AA735">
        <v>19.25</v>
      </c>
      <c r="AB735">
        <v>12.263999999999999</v>
      </c>
      <c r="AC735">
        <v>29.7</v>
      </c>
      <c r="AE735">
        <v>6</v>
      </c>
      <c r="AF735" t="s">
        <v>519</v>
      </c>
      <c r="AG735">
        <v>60</v>
      </c>
      <c r="AK735" t="s">
        <v>98</v>
      </c>
      <c r="AM735" t="s">
        <v>98</v>
      </c>
      <c r="AN735" t="s">
        <v>98</v>
      </c>
      <c r="AO735" t="s">
        <v>99</v>
      </c>
      <c r="AP735" t="s">
        <v>100</v>
      </c>
      <c r="AQ735" t="s">
        <v>101</v>
      </c>
      <c r="AV735" t="s">
        <v>98</v>
      </c>
      <c r="AX735" t="s">
        <v>1803</v>
      </c>
      <c r="AZ735" t="s">
        <v>102</v>
      </c>
      <c r="BB735" t="s">
        <v>235</v>
      </c>
      <c r="BC735" t="s">
        <v>1687</v>
      </c>
      <c r="BD735" t="s">
        <v>7528</v>
      </c>
      <c r="BF735" t="s">
        <v>2395</v>
      </c>
      <c r="BG735" t="s">
        <v>98</v>
      </c>
      <c r="BH735" t="s">
        <v>98</v>
      </c>
      <c r="BI735" t="s">
        <v>98</v>
      </c>
      <c r="BK735" t="s">
        <v>110</v>
      </c>
      <c r="BL735" t="s">
        <v>7528</v>
      </c>
      <c r="BR735">
        <v>0.79</v>
      </c>
      <c r="BS735">
        <v>4.57</v>
      </c>
      <c r="BT735">
        <v>4.57</v>
      </c>
      <c r="CA735">
        <v>4696</v>
      </c>
      <c r="CB735" t="s">
        <v>1803</v>
      </c>
      <c r="CL735" t="s">
        <v>99</v>
      </c>
      <c r="CM735" t="s">
        <v>99</v>
      </c>
      <c r="CN735" t="s">
        <v>442</v>
      </c>
      <c r="CO735" s="1">
        <v>43035</v>
      </c>
      <c r="CP735" s="1">
        <v>43633</v>
      </c>
    </row>
    <row r="736" spans="1:94" x14ac:dyDescent="0.25">
      <c r="A736" t="s">
        <v>2396</v>
      </c>
      <c r="B736" t="str">
        <f xml:space="preserve"> "" &amp; 747396105512</f>
        <v>747396105512</v>
      </c>
      <c r="C736" t="s">
        <v>853</v>
      </c>
      <c r="D736" t="s">
        <v>6716</v>
      </c>
      <c r="E736" t="s">
        <v>2378</v>
      </c>
      <c r="F736" t="s">
        <v>377</v>
      </c>
      <c r="G736">
        <v>1</v>
      </c>
      <c r="H736">
        <v>1</v>
      </c>
      <c r="I736" t="s">
        <v>97</v>
      </c>
      <c r="J736" s="10">
        <v>129</v>
      </c>
      <c r="K736" s="10">
        <v>387</v>
      </c>
      <c r="L736" s="10">
        <v>0</v>
      </c>
      <c r="N736" s="10">
        <v>0</v>
      </c>
      <c r="O736" t="s">
        <v>99</v>
      </c>
      <c r="P736" s="10">
        <v>269.95</v>
      </c>
      <c r="S736">
        <v>12.5</v>
      </c>
      <c r="T736">
        <v>16.5</v>
      </c>
      <c r="U736">
        <v>16.5</v>
      </c>
      <c r="W736">
        <v>7.41</v>
      </c>
      <c r="X736">
        <v>1</v>
      </c>
      <c r="Y736">
        <v>16.38</v>
      </c>
      <c r="Z736">
        <v>18.25</v>
      </c>
      <c r="AA736">
        <v>18.25</v>
      </c>
      <c r="AB736">
        <v>3.157</v>
      </c>
      <c r="AC736">
        <v>12.85</v>
      </c>
      <c r="AE736">
        <v>4</v>
      </c>
      <c r="AF736" t="s">
        <v>519</v>
      </c>
      <c r="AG736">
        <v>60</v>
      </c>
      <c r="AK736" t="s">
        <v>98</v>
      </c>
      <c r="AM736" t="s">
        <v>98</v>
      </c>
      <c r="AN736" t="s">
        <v>98</v>
      </c>
      <c r="AO736" t="s">
        <v>99</v>
      </c>
      <c r="AP736" t="s">
        <v>100</v>
      </c>
      <c r="AQ736" t="s">
        <v>101</v>
      </c>
      <c r="AV736" t="s">
        <v>98</v>
      </c>
      <c r="AX736" t="s">
        <v>1803</v>
      </c>
      <c r="AZ736" t="s">
        <v>102</v>
      </c>
      <c r="BB736" t="s">
        <v>235</v>
      </c>
      <c r="BC736" t="s">
        <v>1687</v>
      </c>
      <c r="BD736" t="s">
        <v>7528</v>
      </c>
      <c r="BF736" t="s">
        <v>2397</v>
      </c>
      <c r="BG736" t="s">
        <v>98</v>
      </c>
      <c r="BH736" t="s">
        <v>98</v>
      </c>
      <c r="BI736" t="s">
        <v>98</v>
      </c>
      <c r="BK736" t="s">
        <v>110</v>
      </c>
      <c r="BL736" t="s">
        <v>7528</v>
      </c>
      <c r="BR736">
        <v>0.94</v>
      </c>
      <c r="BS736">
        <v>4.84</v>
      </c>
      <c r="BT736">
        <v>4.84</v>
      </c>
      <c r="CA736">
        <v>4697</v>
      </c>
      <c r="CB736" t="s">
        <v>1803</v>
      </c>
      <c r="CL736" t="s">
        <v>99</v>
      </c>
      <c r="CM736" t="s">
        <v>98</v>
      </c>
      <c r="CN736" t="s">
        <v>442</v>
      </c>
      <c r="CO736" s="1">
        <v>43035</v>
      </c>
      <c r="CP736" s="1">
        <v>43633</v>
      </c>
    </row>
    <row r="737" spans="1:94" x14ac:dyDescent="0.25">
      <c r="A737" t="s">
        <v>2398</v>
      </c>
      <c r="B737" t="str">
        <f xml:space="preserve"> "" &amp; 747396105529</f>
        <v>747396105529</v>
      </c>
      <c r="C737" t="s">
        <v>853</v>
      </c>
      <c r="D737" t="s">
        <v>6716</v>
      </c>
      <c r="E737" t="s">
        <v>2378</v>
      </c>
      <c r="F737" t="s">
        <v>377</v>
      </c>
      <c r="G737">
        <v>1</v>
      </c>
      <c r="H737">
        <v>1</v>
      </c>
      <c r="I737" t="s">
        <v>97</v>
      </c>
      <c r="J737" s="10">
        <v>139</v>
      </c>
      <c r="K737" s="10">
        <v>417</v>
      </c>
      <c r="L737" s="10">
        <v>0</v>
      </c>
      <c r="N737" s="10">
        <v>0</v>
      </c>
      <c r="O737" t="s">
        <v>99</v>
      </c>
      <c r="P737" s="10">
        <v>294.95</v>
      </c>
      <c r="S737">
        <v>15.75</v>
      </c>
      <c r="T737">
        <v>16.5</v>
      </c>
      <c r="U737">
        <v>16.5</v>
      </c>
      <c r="W737">
        <v>7.58</v>
      </c>
      <c r="X737">
        <v>1</v>
      </c>
      <c r="Y737">
        <v>19.13</v>
      </c>
      <c r="Z737">
        <v>18.25</v>
      </c>
      <c r="AA737">
        <v>18.25</v>
      </c>
      <c r="AB737">
        <v>3.6869999999999998</v>
      </c>
      <c r="AC737">
        <v>13.32</v>
      </c>
      <c r="AE737">
        <v>4</v>
      </c>
      <c r="AF737" t="s">
        <v>519</v>
      </c>
      <c r="AG737">
        <v>60</v>
      </c>
      <c r="AK737" t="s">
        <v>98</v>
      </c>
      <c r="AM737" t="s">
        <v>98</v>
      </c>
      <c r="AN737" t="s">
        <v>98</v>
      </c>
      <c r="AO737" t="s">
        <v>99</v>
      </c>
      <c r="AP737" t="s">
        <v>100</v>
      </c>
      <c r="AQ737" t="s">
        <v>101</v>
      </c>
      <c r="AV737" t="s">
        <v>98</v>
      </c>
      <c r="AX737" t="s">
        <v>1803</v>
      </c>
      <c r="AZ737" t="s">
        <v>102</v>
      </c>
      <c r="BB737" t="s">
        <v>235</v>
      </c>
      <c r="BC737" t="s">
        <v>1687</v>
      </c>
      <c r="BD737" t="s">
        <v>7528</v>
      </c>
      <c r="BF737" t="s">
        <v>2399</v>
      </c>
      <c r="BG737" t="s">
        <v>98</v>
      </c>
      <c r="BH737" t="s">
        <v>98</v>
      </c>
      <c r="BI737" t="s">
        <v>98</v>
      </c>
      <c r="BK737" t="s">
        <v>127</v>
      </c>
      <c r="BL737" t="s">
        <v>7528</v>
      </c>
      <c r="BR737">
        <v>0.94</v>
      </c>
      <c r="BS737">
        <v>4.84</v>
      </c>
      <c r="BT737">
        <v>4.84</v>
      </c>
      <c r="CA737">
        <v>4698</v>
      </c>
      <c r="CB737" t="s">
        <v>1803</v>
      </c>
      <c r="CL737" t="s">
        <v>99</v>
      </c>
      <c r="CM737" t="s">
        <v>98</v>
      </c>
      <c r="CN737" t="s">
        <v>442</v>
      </c>
      <c r="CO737" s="1">
        <v>43035</v>
      </c>
      <c r="CP737" s="1">
        <v>43633</v>
      </c>
    </row>
    <row r="738" spans="1:94" x14ac:dyDescent="0.25">
      <c r="A738" t="s">
        <v>2400</v>
      </c>
      <c r="B738" t="str">
        <f xml:space="preserve"> "" &amp; 747396105536</f>
        <v>747396105536</v>
      </c>
      <c r="C738" t="s">
        <v>1063</v>
      </c>
      <c r="D738" t="s">
        <v>6717</v>
      </c>
      <c r="E738" t="s">
        <v>2378</v>
      </c>
      <c r="F738" t="s">
        <v>249</v>
      </c>
      <c r="G738">
        <v>1</v>
      </c>
      <c r="H738">
        <v>1</v>
      </c>
      <c r="I738" t="s">
        <v>97</v>
      </c>
      <c r="J738" s="10">
        <v>244</v>
      </c>
      <c r="K738" s="10">
        <v>732</v>
      </c>
      <c r="L738" s="10">
        <v>0</v>
      </c>
      <c r="N738" s="10">
        <v>0</v>
      </c>
      <c r="O738" t="s">
        <v>99</v>
      </c>
      <c r="P738" s="10">
        <v>509.95</v>
      </c>
      <c r="S738">
        <v>23.5</v>
      </c>
      <c r="T738">
        <v>26.5</v>
      </c>
      <c r="U738">
        <v>26.5</v>
      </c>
      <c r="W738">
        <v>14.7</v>
      </c>
      <c r="X738">
        <v>1</v>
      </c>
      <c r="Y738">
        <v>27</v>
      </c>
      <c r="Z738">
        <v>28.38</v>
      </c>
      <c r="AA738">
        <v>28.38</v>
      </c>
      <c r="AB738">
        <v>12.585000000000001</v>
      </c>
      <c r="AC738">
        <v>29.89</v>
      </c>
      <c r="AE738">
        <v>6</v>
      </c>
      <c r="AF738" t="s">
        <v>519</v>
      </c>
      <c r="AG738">
        <v>60</v>
      </c>
      <c r="AK738" t="s">
        <v>98</v>
      </c>
      <c r="AM738" t="s">
        <v>98</v>
      </c>
      <c r="AN738" t="s">
        <v>98</v>
      </c>
      <c r="AO738" t="s">
        <v>99</v>
      </c>
      <c r="AP738" t="s">
        <v>100</v>
      </c>
      <c r="AQ738" t="s">
        <v>101</v>
      </c>
      <c r="AV738" t="s">
        <v>98</v>
      </c>
      <c r="AX738" t="s">
        <v>1803</v>
      </c>
      <c r="AZ738" t="s">
        <v>102</v>
      </c>
      <c r="BB738" t="s">
        <v>235</v>
      </c>
      <c r="BC738" t="s">
        <v>1687</v>
      </c>
      <c r="BD738" t="s">
        <v>7528</v>
      </c>
      <c r="BF738" t="s">
        <v>2401</v>
      </c>
      <c r="BG738" t="s">
        <v>98</v>
      </c>
      <c r="BH738" t="s">
        <v>98</v>
      </c>
      <c r="BI738" t="s">
        <v>98</v>
      </c>
      <c r="BK738" t="s">
        <v>110</v>
      </c>
      <c r="BL738" t="s">
        <v>7528</v>
      </c>
      <c r="BR738">
        <v>0.94</v>
      </c>
      <c r="BS738">
        <v>4.84</v>
      </c>
      <c r="BT738">
        <v>4.84</v>
      </c>
      <c r="CA738">
        <v>4699</v>
      </c>
      <c r="CB738" t="s">
        <v>1803</v>
      </c>
      <c r="CL738" t="s">
        <v>99</v>
      </c>
      <c r="CM738" t="s">
        <v>99</v>
      </c>
      <c r="CN738" t="s">
        <v>442</v>
      </c>
      <c r="CO738" s="1">
        <v>43035</v>
      </c>
      <c r="CP738" s="1">
        <v>43633</v>
      </c>
    </row>
    <row r="739" spans="1:94" x14ac:dyDescent="0.25">
      <c r="A739" t="s">
        <v>2402</v>
      </c>
      <c r="B739" t="str">
        <f xml:space="preserve"> "" &amp; 840253021427</f>
        <v>840253021427</v>
      </c>
      <c r="C739" t="s">
        <v>2403</v>
      </c>
      <c r="D739" t="s">
        <v>2404</v>
      </c>
      <c r="E739" t="s">
        <v>7528</v>
      </c>
      <c r="F739" t="s">
        <v>358</v>
      </c>
      <c r="G739">
        <v>1</v>
      </c>
      <c r="H739">
        <v>1</v>
      </c>
      <c r="I739" t="s">
        <v>97</v>
      </c>
      <c r="J739" s="10">
        <v>79.95</v>
      </c>
      <c r="K739" s="10">
        <v>239.85</v>
      </c>
      <c r="L739" s="10">
        <v>0</v>
      </c>
      <c r="N739" s="10">
        <v>0</v>
      </c>
      <c r="S739">
        <v>15</v>
      </c>
      <c r="U739">
        <v>17.5</v>
      </c>
      <c r="V739">
        <v>11</v>
      </c>
      <c r="W739">
        <v>22.18</v>
      </c>
      <c r="X739">
        <v>1</v>
      </c>
      <c r="Y739">
        <v>17.25</v>
      </c>
      <c r="Z739">
        <v>20.75</v>
      </c>
      <c r="AA739">
        <v>13.75</v>
      </c>
      <c r="AB739">
        <v>2.8479999999999999</v>
      </c>
      <c r="AC739">
        <v>26.04</v>
      </c>
      <c r="AE739">
        <v>0</v>
      </c>
      <c r="AF739" t="e">
        <v>#N/A</v>
      </c>
      <c r="AG739">
        <v>0</v>
      </c>
      <c r="AH739">
        <v>0</v>
      </c>
      <c r="AJ739">
        <v>0</v>
      </c>
      <c r="AK739" t="s">
        <v>98</v>
      </c>
      <c r="AM739" t="s">
        <v>98</v>
      </c>
      <c r="AN739" t="s">
        <v>98</v>
      </c>
      <c r="AO739" t="s">
        <v>98</v>
      </c>
      <c r="AP739" t="s">
        <v>100</v>
      </c>
      <c r="AQ739" t="s">
        <v>101</v>
      </c>
      <c r="AV739" t="s">
        <v>98</v>
      </c>
      <c r="AX739" t="s">
        <v>7528</v>
      </c>
      <c r="AZ739" t="s">
        <v>7528</v>
      </c>
      <c r="BB739" t="s">
        <v>7528</v>
      </c>
      <c r="BC739" t="s">
        <v>7528</v>
      </c>
      <c r="BD739" t="s">
        <v>7528</v>
      </c>
      <c r="BF739" t="s">
        <v>2405</v>
      </c>
      <c r="BG739" t="s">
        <v>98</v>
      </c>
      <c r="BH739" t="s">
        <v>98</v>
      </c>
      <c r="BI739" t="s">
        <v>98</v>
      </c>
      <c r="BK739" t="e">
        <v>#N/A</v>
      </c>
      <c r="BL739" t="s">
        <v>7528</v>
      </c>
      <c r="CA739">
        <v>47004</v>
      </c>
      <c r="CB739" t="s">
        <v>7528</v>
      </c>
      <c r="CL739" t="s">
        <v>98</v>
      </c>
      <c r="CM739" t="s">
        <v>98</v>
      </c>
      <c r="CN739" t="s">
        <v>7528</v>
      </c>
      <c r="CO739" s="1">
        <v>37982</v>
      </c>
      <c r="CP739" s="1">
        <v>43633</v>
      </c>
    </row>
    <row r="740" spans="1:94" x14ac:dyDescent="0.25">
      <c r="A740" t="s">
        <v>2406</v>
      </c>
      <c r="B740" t="str">
        <f xml:space="preserve"> "" &amp; 747396104850</f>
        <v>747396104850</v>
      </c>
      <c r="C740" t="s">
        <v>751</v>
      </c>
      <c r="D740" t="s">
        <v>6718</v>
      </c>
      <c r="E740" t="s">
        <v>2407</v>
      </c>
      <c r="F740" t="s">
        <v>323</v>
      </c>
      <c r="G740">
        <v>1</v>
      </c>
      <c r="H740">
        <v>1</v>
      </c>
      <c r="I740" t="s">
        <v>97</v>
      </c>
      <c r="J740" s="10">
        <v>35</v>
      </c>
      <c r="K740" s="10">
        <v>105</v>
      </c>
      <c r="L740" s="10">
        <v>0</v>
      </c>
      <c r="N740" s="10">
        <v>0</v>
      </c>
      <c r="O740" t="s">
        <v>99</v>
      </c>
      <c r="P740" s="10">
        <v>69.95</v>
      </c>
      <c r="S740">
        <v>10.5</v>
      </c>
      <c r="U740">
        <v>4.25</v>
      </c>
      <c r="V740">
        <v>5.75</v>
      </c>
      <c r="W740">
        <v>1.19</v>
      </c>
      <c r="X740">
        <v>1</v>
      </c>
      <c r="Y740">
        <v>13.5</v>
      </c>
      <c r="Z740">
        <v>23.75</v>
      </c>
      <c r="AA740">
        <v>11.5</v>
      </c>
      <c r="AB740">
        <v>2.1339999999999999</v>
      </c>
      <c r="AC740">
        <v>1.65</v>
      </c>
      <c r="AE740">
        <v>1</v>
      </c>
      <c r="AF740" t="s">
        <v>696</v>
      </c>
      <c r="AG740">
        <v>60</v>
      </c>
      <c r="AK740" t="s">
        <v>98</v>
      </c>
      <c r="AM740" t="s">
        <v>98</v>
      </c>
      <c r="AN740" t="s">
        <v>99</v>
      </c>
      <c r="AO740" t="s">
        <v>98</v>
      </c>
      <c r="AP740" t="s">
        <v>100</v>
      </c>
      <c r="AQ740" t="s">
        <v>101</v>
      </c>
      <c r="AV740" t="s">
        <v>98</v>
      </c>
      <c r="AX740" t="s">
        <v>2408</v>
      </c>
      <c r="AZ740" t="s">
        <v>102</v>
      </c>
      <c r="BB740" t="s">
        <v>7528</v>
      </c>
      <c r="BC740" t="s">
        <v>7528</v>
      </c>
      <c r="BD740" t="s">
        <v>7528</v>
      </c>
      <c r="BF740" t="s">
        <v>2409</v>
      </c>
      <c r="BG740" t="s">
        <v>98</v>
      </c>
      <c r="BH740" t="s">
        <v>98</v>
      </c>
      <c r="BI740" t="s">
        <v>98</v>
      </c>
      <c r="BK740" t="s">
        <v>127</v>
      </c>
      <c r="BL740" t="s">
        <v>7528</v>
      </c>
      <c r="BM740">
        <v>4.25</v>
      </c>
      <c r="BN740">
        <v>8.1300000000000008</v>
      </c>
      <c r="CA740">
        <v>4721</v>
      </c>
      <c r="CB740" t="s">
        <v>2408</v>
      </c>
      <c r="CL740" t="s">
        <v>99</v>
      </c>
      <c r="CM740" t="s">
        <v>98</v>
      </c>
      <c r="CN740" t="s">
        <v>692</v>
      </c>
      <c r="CO740" s="1">
        <v>43040</v>
      </c>
      <c r="CP740" s="1">
        <v>43633</v>
      </c>
    </row>
    <row r="741" spans="1:94" x14ac:dyDescent="0.25">
      <c r="A741" t="s">
        <v>2410</v>
      </c>
      <c r="B741" t="str">
        <f xml:space="preserve"> "" &amp; 747396104867</f>
        <v>747396104867</v>
      </c>
      <c r="C741" t="s">
        <v>758</v>
      </c>
      <c r="D741" t="s">
        <v>6719</v>
      </c>
      <c r="E741" t="s">
        <v>2407</v>
      </c>
      <c r="F741" t="s">
        <v>323</v>
      </c>
      <c r="G741">
        <v>1</v>
      </c>
      <c r="H741">
        <v>1</v>
      </c>
      <c r="I741" t="s">
        <v>97</v>
      </c>
      <c r="J741" s="10">
        <v>55</v>
      </c>
      <c r="K741" s="10">
        <v>165</v>
      </c>
      <c r="L741" s="10">
        <v>0</v>
      </c>
      <c r="N741" s="10">
        <v>0</v>
      </c>
      <c r="O741" t="s">
        <v>99</v>
      </c>
      <c r="P741" s="10">
        <v>114.95</v>
      </c>
      <c r="S741">
        <v>10.5</v>
      </c>
      <c r="U741">
        <v>12</v>
      </c>
      <c r="V741">
        <v>5.75</v>
      </c>
      <c r="W741">
        <v>2.4300000000000002</v>
      </c>
      <c r="X741">
        <v>1</v>
      </c>
      <c r="Y741">
        <v>18.5</v>
      </c>
      <c r="Z741">
        <v>16.5</v>
      </c>
      <c r="AA741">
        <v>14.75</v>
      </c>
      <c r="AB741">
        <v>2.6059999999999999</v>
      </c>
      <c r="AC741">
        <v>2.98</v>
      </c>
      <c r="AE741">
        <v>2</v>
      </c>
      <c r="AF741" t="s">
        <v>696</v>
      </c>
      <c r="AG741">
        <v>60</v>
      </c>
      <c r="AK741" t="s">
        <v>98</v>
      </c>
      <c r="AM741" t="s">
        <v>98</v>
      </c>
      <c r="AN741" t="s">
        <v>99</v>
      </c>
      <c r="AO741" t="s">
        <v>98</v>
      </c>
      <c r="AP741" t="s">
        <v>100</v>
      </c>
      <c r="AQ741" t="s">
        <v>101</v>
      </c>
      <c r="AV741" t="s">
        <v>98</v>
      </c>
      <c r="AX741" t="s">
        <v>2408</v>
      </c>
      <c r="AZ741" t="s">
        <v>102</v>
      </c>
      <c r="BB741" t="s">
        <v>7528</v>
      </c>
      <c r="BC741" t="s">
        <v>7528</v>
      </c>
      <c r="BD741" t="s">
        <v>7528</v>
      </c>
      <c r="BF741" t="s">
        <v>2411</v>
      </c>
      <c r="BG741" t="s">
        <v>98</v>
      </c>
      <c r="BH741" t="s">
        <v>98</v>
      </c>
      <c r="BI741" t="s">
        <v>98</v>
      </c>
      <c r="BK741" t="s">
        <v>127</v>
      </c>
      <c r="BL741" t="s">
        <v>7528</v>
      </c>
      <c r="BM741">
        <v>8.1300000000000008</v>
      </c>
      <c r="BN741">
        <v>4.25</v>
      </c>
      <c r="CA741">
        <v>4722</v>
      </c>
      <c r="CB741" t="s">
        <v>2408</v>
      </c>
      <c r="CL741" t="s">
        <v>99</v>
      </c>
      <c r="CM741" t="s">
        <v>98</v>
      </c>
      <c r="CN741" t="s">
        <v>692</v>
      </c>
      <c r="CO741" s="1">
        <v>43040</v>
      </c>
      <c r="CP741" s="1">
        <v>43633</v>
      </c>
    </row>
    <row r="742" spans="1:94" x14ac:dyDescent="0.25">
      <c r="A742" t="s">
        <v>2412</v>
      </c>
      <c r="B742" t="str">
        <f xml:space="preserve"> "" &amp; 747396104874</f>
        <v>747396104874</v>
      </c>
      <c r="C742" t="s">
        <v>762</v>
      </c>
      <c r="D742" t="s">
        <v>6720</v>
      </c>
      <c r="E742" t="s">
        <v>2407</v>
      </c>
      <c r="F742" t="s">
        <v>323</v>
      </c>
      <c r="G742">
        <v>1</v>
      </c>
      <c r="H742">
        <v>1</v>
      </c>
      <c r="I742" t="s">
        <v>97</v>
      </c>
      <c r="J742" s="10">
        <v>87</v>
      </c>
      <c r="K742" s="10">
        <v>261</v>
      </c>
      <c r="L742" s="10">
        <v>0</v>
      </c>
      <c r="N742" s="10">
        <v>0</v>
      </c>
      <c r="O742" t="s">
        <v>99</v>
      </c>
      <c r="P742" s="10">
        <v>179.95</v>
      </c>
      <c r="S742">
        <v>10.5</v>
      </c>
      <c r="U742">
        <v>21</v>
      </c>
      <c r="V742">
        <v>5.75</v>
      </c>
      <c r="W742">
        <v>3.2</v>
      </c>
      <c r="X742">
        <v>1</v>
      </c>
      <c r="Y742">
        <v>8.5</v>
      </c>
      <c r="Z742">
        <v>23</v>
      </c>
      <c r="AA742">
        <v>7.75</v>
      </c>
      <c r="AB742">
        <v>0.877</v>
      </c>
      <c r="AC742">
        <v>4.21</v>
      </c>
      <c r="AE742">
        <v>3</v>
      </c>
      <c r="AF742" t="s">
        <v>696</v>
      </c>
      <c r="AG742">
        <v>60</v>
      </c>
      <c r="AK742" t="s">
        <v>98</v>
      </c>
      <c r="AM742" t="s">
        <v>98</v>
      </c>
      <c r="AN742" t="s">
        <v>99</v>
      </c>
      <c r="AO742" t="s">
        <v>98</v>
      </c>
      <c r="AP742" t="s">
        <v>100</v>
      </c>
      <c r="AQ742" t="s">
        <v>101</v>
      </c>
      <c r="AV742" t="s">
        <v>98</v>
      </c>
      <c r="AX742" t="s">
        <v>2408</v>
      </c>
      <c r="AZ742" t="s">
        <v>102</v>
      </c>
      <c r="BB742" t="s">
        <v>7528</v>
      </c>
      <c r="BC742" t="s">
        <v>7528</v>
      </c>
      <c r="BD742" t="s">
        <v>7528</v>
      </c>
      <c r="BF742" t="s">
        <v>2413</v>
      </c>
      <c r="BG742" t="s">
        <v>98</v>
      </c>
      <c r="BH742" t="s">
        <v>98</v>
      </c>
      <c r="BI742" t="s">
        <v>98</v>
      </c>
      <c r="BK742" t="s">
        <v>127</v>
      </c>
      <c r="BL742" t="s">
        <v>7528</v>
      </c>
      <c r="BM742">
        <v>8.1300000000000008</v>
      </c>
      <c r="BN742">
        <v>4.25</v>
      </c>
      <c r="CA742">
        <v>4723</v>
      </c>
      <c r="CB742" t="s">
        <v>2408</v>
      </c>
      <c r="CL742" t="s">
        <v>99</v>
      </c>
      <c r="CM742" t="s">
        <v>98</v>
      </c>
      <c r="CN742" t="s">
        <v>692</v>
      </c>
      <c r="CO742" s="1">
        <v>43040</v>
      </c>
      <c r="CP742" s="1">
        <v>43633</v>
      </c>
    </row>
    <row r="743" spans="1:94" x14ac:dyDescent="0.25">
      <c r="A743" t="s">
        <v>2414</v>
      </c>
      <c r="B743" t="str">
        <f xml:space="preserve"> "" &amp; 747396106779</f>
        <v>747396106779</v>
      </c>
      <c r="C743" t="s">
        <v>239</v>
      </c>
      <c r="D743" t="s">
        <v>6721</v>
      </c>
      <c r="E743" t="s">
        <v>2407</v>
      </c>
      <c r="F743" t="s">
        <v>240</v>
      </c>
      <c r="G743">
        <v>1</v>
      </c>
      <c r="H743">
        <v>1</v>
      </c>
      <c r="I743" t="s">
        <v>97</v>
      </c>
      <c r="J743" s="10">
        <v>42</v>
      </c>
      <c r="K743" s="10">
        <v>126</v>
      </c>
      <c r="L743" s="10">
        <v>0</v>
      </c>
      <c r="N743" s="10">
        <v>0</v>
      </c>
      <c r="O743" t="s">
        <v>99</v>
      </c>
      <c r="P743" s="10">
        <v>84.95</v>
      </c>
      <c r="S743">
        <v>9</v>
      </c>
      <c r="T743">
        <v>3</v>
      </c>
      <c r="U743">
        <v>3</v>
      </c>
      <c r="W743">
        <v>8.99</v>
      </c>
      <c r="X743">
        <v>1</v>
      </c>
      <c r="Y743">
        <v>5.25</v>
      </c>
      <c r="Z743">
        <v>14</v>
      </c>
      <c r="AA743">
        <v>7</v>
      </c>
      <c r="AB743">
        <v>0.29799999999999999</v>
      </c>
      <c r="AC743">
        <v>12.79</v>
      </c>
      <c r="AE743">
        <v>1</v>
      </c>
      <c r="AF743" t="s">
        <v>696</v>
      </c>
      <c r="AG743">
        <v>60</v>
      </c>
      <c r="AK743" t="s">
        <v>98</v>
      </c>
      <c r="AM743" t="s">
        <v>98</v>
      </c>
      <c r="AN743" t="s">
        <v>99</v>
      </c>
      <c r="AO743" t="s">
        <v>98</v>
      </c>
      <c r="AP743" t="s">
        <v>100</v>
      </c>
      <c r="AQ743" t="s">
        <v>101</v>
      </c>
      <c r="AV743" t="s">
        <v>98</v>
      </c>
      <c r="AX743" t="s">
        <v>2408</v>
      </c>
      <c r="AZ743" t="s">
        <v>102</v>
      </c>
      <c r="BB743" t="s">
        <v>7528</v>
      </c>
      <c r="BC743" t="s">
        <v>7528</v>
      </c>
      <c r="BD743" t="s">
        <v>7528</v>
      </c>
      <c r="BF743" t="s">
        <v>2415</v>
      </c>
      <c r="BG743" t="s">
        <v>98</v>
      </c>
      <c r="BH743" t="s">
        <v>98</v>
      </c>
      <c r="BI743" t="s">
        <v>98</v>
      </c>
      <c r="BK743" t="s">
        <v>110</v>
      </c>
      <c r="BL743" t="s">
        <v>7528</v>
      </c>
      <c r="BR743">
        <v>0.75</v>
      </c>
      <c r="BT743">
        <v>5</v>
      </c>
      <c r="CA743">
        <v>4731</v>
      </c>
      <c r="CB743" t="s">
        <v>2408</v>
      </c>
      <c r="CL743" t="s">
        <v>99</v>
      </c>
      <c r="CM743" t="s">
        <v>99</v>
      </c>
      <c r="CN743" t="s">
        <v>692</v>
      </c>
      <c r="CO743" s="1">
        <v>43041</v>
      </c>
      <c r="CP743" s="1">
        <v>43633</v>
      </c>
    </row>
    <row r="744" spans="1:94" x14ac:dyDescent="0.25">
      <c r="A744" t="s">
        <v>2416</v>
      </c>
      <c r="B744" t="str">
        <f xml:space="preserve"> "" &amp; 747396104904</f>
        <v>747396104904</v>
      </c>
      <c r="C744" t="s">
        <v>853</v>
      </c>
      <c r="D744" t="s">
        <v>6722</v>
      </c>
      <c r="E744" t="s">
        <v>2407</v>
      </c>
      <c r="F744" t="s">
        <v>377</v>
      </c>
      <c r="G744">
        <v>1</v>
      </c>
      <c r="H744">
        <v>1</v>
      </c>
      <c r="I744" t="s">
        <v>97</v>
      </c>
      <c r="J744" s="10">
        <v>90</v>
      </c>
      <c r="K744" s="10">
        <v>270</v>
      </c>
      <c r="L744" s="10">
        <v>0</v>
      </c>
      <c r="N744" s="10">
        <v>0</v>
      </c>
      <c r="O744" t="s">
        <v>99</v>
      </c>
      <c r="P744" s="10">
        <v>189.95</v>
      </c>
      <c r="S744">
        <v>12</v>
      </c>
      <c r="T744">
        <v>15</v>
      </c>
      <c r="U744">
        <v>15</v>
      </c>
      <c r="W744">
        <v>4.72</v>
      </c>
      <c r="X744">
        <v>1</v>
      </c>
      <c r="Y744">
        <v>12.5</v>
      </c>
      <c r="Z744">
        <v>17</v>
      </c>
      <c r="AA744">
        <v>17</v>
      </c>
      <c r="AB744">
        <v>2.0910000000000002</v>
      </c>
      <c r="AC744">
        <v>7.1</v>
      </c>
      <c r="AE744">
        <v>3</v>
      </c>
      <c r="AF744" t="s">
        <v>282</v>
      </c>
      <c r="AG744">
        <v>60</v>
      </c>
      <c r="AK744" t="s">
        <v>98</v>
      </c>
      <c r="AM744" t="s">
        <v>98</v>
      </c>
      <c r="AN744" t="s">
        <v>99</v>
      </c>
      <c r="AO744" t="s">
        <v>98</v>
      </c>
      <c r="AP744" t="s">
        <v>100</v>
      </c>
      <c r="AQ744" t="s">
        <v>101</v>
      </c>
      <c r="AV744" t="s">
        <v>98</v>
      </c>
      <c r="AX744" t="s">
        <v>2408</v>
      </c>
      <c r="AZ744" t="s">
        <v>102</v>
      </c>
      <c r="BB744" t="s">
        <v>1984</v>
      </c>
      <c r="BC744" t="s">
        <v>117</v>
      </c>
      <c r="BD744" t="s">
        <v>7528</v>
      </c>
      <c r="BF744" t="s">
        <v>2417</v>
      </c>
      <c r="BG744" t="s">
        <v>98</v>
      </c>
      <c r="BH744" t="s">
        <v>98</v>
      </c>
      <c r="BI744" t="s">
        <v>98</v>
      </c>
      <c r="BK744" t="s">
        <v>110</v>
      </c>
      <c r="BL744" t="s">
        <v>7528</v>
      </c>
      <c r="BR744">
        <v>0.75</v>
      </c>
      <c r="BS744">
        <v>5.13</v>
      </c>
      <c r="BT744">
        <v>5.13</v>
      </c>
      <c r="CA744">
        <v>4732</v>
      </c>
      <c r="CB744" t="s">
        <v>2408</v>
      </c>
      <c r="CL744" t="s">
        <v>99</v>
      </c>
      <c r="CM744" t="s">
        <v>98</v>
      </c>
      <c r="CN744" t="s">
        <v>305</v>
      </c>
      <c r="CO744" s="1">
        <v>43041</v>
      </c>
      <c r="CP744" s="1">
        <v>43633</v>
      </c>
    </row>
    <row r="745" spans="1:94" x14ac:dyDescent="0.25">
      <c r="A745" t="s">
        <v>2418</v>
      </c>
      <c r="B745" t="str">
        <f xml:space="preserve"> "" &amp; 747396104911</f>
        <v>747396104911</v>
      </c>
      <c r="C745" t="s">
        <v>339</v>
      </c>
      <c r="D745" t="s">
        <v>6723</v>
      </c>
      <c r="E745" t="s">
        <v>2407</v>
      </c>
      <c r="F745" t="s">
        <v>240</v>
      </c>
      <c r="G745">
        <v>1</v>
      </c>
      <c r="H745">
        <v>1</v>
      </c>
      <c r="I745" t="s">
        <v>97</v>
      </c>
      <c r="J745" s="10">
        <v>149</v>
      </c>
      <c r="K745" s="10">
        <v>447</v>
      </c>
      <c r="L745" s="10">
        <v>0</v>
      </c>
      <c r="N745" s="10">
        <v>0</v>
      </c>
      <c r="O745" t="s">
        <v>99</v>
      </c>
      <c r="P745" s="10">
        <v>314.95</v>
      </c>
      <c r="S745">
        <v>22.75</v>
      </c>
      <c r="T745">
        <v>20</v>
      </c>
      <c r="U745">
        <v>20</v>
      </c>
      <c r="W745">
        <v>8.51</v>
      </c>
      <c r="X745">
        <v>1</v>
      </c>
      <c r="Y745">
        <v>10.5</v>
      </c>
      <c r="Z745">
        <v>22.25</v>
      </c>
      <c r="AA745">
        <v>22.25</v>
      </c>
      <c r="AB745">
        <v>3.008</v>
      </c>
      <c r="AC745">
        <v>11.35</v>
      </c>
      <c r="AE745">
        <v>4</v>
      </c>
      <c r="AF745" t="s">
        <v>282</v>
      </c>
      <c r="AG745">
        <v>60</v>
      </c>
      <c r="AK745" t="s">
        <v>98</v>
      </c>
      <c r="AM745" t="s">
        <v>98</v>
      </c>
      <c r="AN745" t="s">
        <v>99</v>
      </c>
      <c r="AO745" t="s">
        <v>98</v>
      </c>
      <c r="AP745" t="s">
        <v>100</v>
      </c>
      <c r="AQ745" t="s">
        <v>101</v>
      </c>
      <c r="AV745" t="s">
        <v>98</v>
      </c>
      <c r="AX745" t="s">
        <v>2408</v>
      </c>
      <c r="AZ745" t="s">
        <v>102</v>
      </c>
      <c r="BB745" t="s">
        <v>1984</v>
      </c>
      <c r="BC745" t="s">
        <v>117</v>
      </c>
      <c r="BD745" t="s">
        <v>7528</v>
      </c>
      <c r="BF745" t="s">
        <v>2419</v>
      </c>
      <c r="BG745" t="s">
        <v>98</v>
      </c>
      <c r="BH745" t="s">
        <v>98</v>
      </c>
      <c r="BI745" t="s">
        <v>98</v>
      </c>
      <c r="BK745" t="s">
        <v>110</v>
      </c>
      <c r="BL745" t="s">
        <v>7528</v>
      </c>
      <c r="BR745">
        <v>0.75</v>
      </c>
      <c r="BS745">
        <v>5.13</v>
      </c>
      <c r="BT745">
        <v>5.13</v>
      </c>
      <c r="CA745">
        <v>4733</v>
      </c>
      <c r="CB745" t="s">
        <v>2408</v>
      </c>
      <c r="CL745" t="s">
        <v>99</v>
      </c>
      <c r="CM745" t="s">
        <v>99</v>
      </c>
      <c r="CN745" t="s">
        <v>305</v>
      </c>
      <c r="CO745" s="1">
        <v>43041</v>
      </c>
      <c r="CP745" s="1">
        <v>43633</v>
      </c>
    </row>
    <row r="746" spans="1:94" x14ac:dyDescent="0.25">
      <c r="A746" t="s">
        <v>2420</v>
      </c>
      <c r="B746" t="str">
        <f xml:space="preserve"> "" &amp; 747396104881</f>
        <v>747396104881</v>
      </c>
      <c r="C746" t="s">
        <v>339</v>
      </c>
      <c r="D746" t="s">
        <v>6723</v>
      </c>
      <c r="E746" t="s">
        <v>2407</v>
      </c>
      <c r="F746" t="s">
        <v>240</v>
      </c>
      <c r="G746">
        <v>1</v>
      </c>
      <c r="H746">
        <v>1</v>
      </c>
      <c r="I746" t="s">
        <v>97</v>
      </c>
      <c r="J746" s="10">
        <v>189</v>
      </c>
      <c r="K746" s="10">
        <v>567</v>
      </c>
      <c r="L746" s="10">
        <v>0</v>
      </c>
      <c r="N746" s="10">
        <v>0</v>
      </c>
      <c r="O746" t="s">
        <v>99</v>
      </c>
      <c r="P746" s="10">
        <v>399.95</v>
      </c>
      <c r="S746">
        <v>29.5</v>
      </c>
      <c r="T746">
        <v>19</v>
      </c>
      <c r="U746">
        <v>19</v>
      </c>
      <c r="W746">
        <v>10.8</v>
      </c>
      <c r="X746">
        <v>1</v>
      </c>
      <c r="Y746">
        <v>28</v>
      </c>
      <c r="Z746">
        <v>22</v>
      </c>
      <c r="AA746">
        <v>12</v>
      </c>
      <c r="AB746">
        <v>4.2779999999999996</v>
      </c>
      <c r="AC746">
        <v>14.53</v>
      </c>
      <c r="AE746">
        <v>4</v>
      </c>
      <c r="AF746" t="s">
        <v>696</v>
      </c>
      <c r="AG746">
        <v>60</v>
      </c>
      <c r="AK746" t="s">
        <v>98</v>
      </c>
      <c r="AM746" t="s">
        <v>98</v>
      </c>
      <c r="AN746" t="s">
        <v>99</v>
      </c>
      <c r="AO746" t="s">
        <v>98</v>
      </c>
      <c r="AP746" t="s">
        <v>100</v>
      </c>
      <c r="AQ746" t="s">
        <v>101</v>
      </c>
      <c r="AV746" t="s">
        <v>98</v>
      </c>
      <c r="AX746" t="s">
        <v>2408</v>
      </c>
      <c r="AZ746" t="s">
        <v>102</v>
      </c>
      <c r="BB746" t="s">
        <v>7528</v>
      </c>
      <c r="BC746" t="s">
        <v>7528</v>
      </c>
      <c r="BD746" t="s">
        <v>7528</v>
      </c>
      <c r="BF746" t="s">
        <v>2421</v>
      </c>
      <c r="BG746" t="s">
        <v>98</v>
      </c>
      <c r="BH746" t="s">
        <v>98</v>
      </c>
      <c r="BI746" t="s">
        <v>98</v>
      </c>
      <c r="BK746" t="s">
        <v>110</v>
      </c>
      <c r="BL746" t="s">
        <v>7528</v>
      </c>
      <c r="BR746">
        <v>0.75</v>
      </c>
      <c r="BS746">
        <v>5.13</v>
      </c>
      <c r="BT746">
        <v>5.12</v>
      </c>
      <c r="CA746">
        <v>4734</v>
      </c>
      <c r="CB746" t="s">
        <v>2408</v>
      </c>
      <c r="CL746" t="s">
        <v>99</v>
      </c>
      <c r="CM746" t="s">
        <v>99</v>
      </c>
      <c r="CN746" t="s">
        <v>692</v>
      </c>
      <c r="CO746" s="1">
        <v>43041</v>
      </c>
      <c r="CP746" s="1">
        <v>43633</v>
      </c>
    </row>
    <row r="747" spans="1:94" x14ac:dyDescent="0.25">
      <c r="A747" t="s">
        <v>2422</v>
      </c>
      <c r="B747" t="str">
        <f xml:space="preserve"> "" &amp; 747396104843</f>
        <v>747396104843</v>
      </c>
      <c r="C747" t="s">
        <v>1063</v>
      </c>
      <c r="D747" t="s">
        <v>6724</v>
      </c>
      <c r="E747" t="s">
        <v>2407</v>
      </c>
      <c r="F747" t="s">
        <v>249</v>
      </c>
      <c r="G747">
        <v>1</v>
      </c>
      <c r="H747">
        <v>1</v>
      </c>
      <c r="I747" t="s">
        <v>97</v>
      </c>
      <c r="J747" s="10">
        <v>159</v>
      </c>
      <c r="K747" s="10">
        <v>477</v>
      </c>
      <c r="L747" s="10">
        <v>0</v>
      </c>
      <c r="N747" s="10">
        <v>0</v>
      </c>
      <c r="O747" t="s">
        <v>99</v>
      </c>
      <c r="P747" s="10">
        <v>334.95</v>
      </c>
      <c r="S747">
        <v>26</v>
      </c>
      <c r="T747">
        <v>25.25</v>
      </c>
      <c r="U747">
        <v>25.25</v>
      </c>
      <c r="W747">
        <v>11.24</v>
      </c>
      <c r="X747">
        <v>1</v>
      </c>
      <c r="Y747">
        <v>23</v>
      </c>
      <c r="Z747">
        <v>27.5</v>
      </c>
      <c r="AA747">
        <v>12</v>
      </c>
      <c r="AB747">
        <v>4.3920000000000003</v>
      </c>
      <c r="AC747">
        <v>15.65</v>
      </c>
      <c r="AE747">
        <v>5</v>
      </c>
      <c r="AF747" t="s">
        <v>696</v>
      </c>
      <c r="AG747">
        <v>60</v>
      </c>
      <c r="AK747" t="s">
        <v>98</v>
      </c>
      <c r="AM747" t="s">
        <v>98</v>
      </c>
      <c r="AN747" t="s">
        <v>99</v>
      </c>
      <c r="AO747" t="s">
        <v>98</v>
      </c>
      <c r="AP747" t="s">
        <v>100</v>
      </c>
      <c r="AQ747" t="s">
        <v>101</v>
      </c>
      <c r="AV747" t="s">
        <v>98</v>
      </c>
      <c r="AX747" t="s">
        <v>2408</v>
      </c>
      <c r="AZ747" t="s">
        <v>102</v>
      </c>
      <c r="BB747" t="s">
        <v>7528</v>
      </c>
      <c r="BC747" t="s">
        <v>7528</v>
      </c>
      <c r="BD747" t="s">
        <v>7528</v>
      </c>
      <c r="BF747" t="s">
        <v>2423</v>
      </c>
      <c r="BG747" t="s">
        <v>98</v>
      </c>
      <c r="BH747" t="s">
        <v>98</v>
      </c>
      <c r="BI747" t="s">
        <v>98</v>
      </c>
      <c r="BK747" t="s">
        <v>110</v>
      </c>
      <c r="BL747" t="s">
        <v>7528</v>
      </c>
      <c r="BR747">
        <v>0.75</v>
      </c>
      <c r="BS747">
        <v>5.13</v>
      </c>
      <c r="BT747">
        <v>5.13</v>
      </c>
      <c r="CA747">
        <v>4735</v>
      </c>
      <c r="CB747" t="s">
        <v>2408</v>
      </c>
      <c r="CL747" t="s">
        <v>99</v>
      </c>
      <c r="CM747" t="s">
        <v>99</v>
      </c>
      <c r="CN747" t="s">
        <v>692</v>
      </c>
      <c r="CO747" s="1">
        <v>43041</v>
      </c>
      <c r="CP747" s="1">
        <v>43633</v>
      </c>
    </row>
    <row r="748" spans="1:94" x14ac:dyDescent="0.25">
      <c r="A748" t="s">
        <v>2424</v>
      </c>
      <c r="B748" t="str">
        <f xml:space="preserve"> "" &amp; 747396104898</f>
        <v>747396104898</v>
      </c>
      <c r="C748" t="s">
        <v>1711</v>
      </c>
      <c r="D748" t="s">
        <v>6725</v>
      </c>
      <c r="E748" t="s">
        <v>2407</v>
      </c>
      <c r="F748" t="s">
        <v>240</v>
      </c>
      <c r="G748">
        <v>1</v>
      </c>
      <c r="H748">
        <v>1</v>
      </c>
      <c r="I748" t="s">
        <v>97</v>
      </c>
      <c r="J748" s="10">
        <v>305</v>
      </c>
      <c r="K748" s="10">
        <v>915</v>
      </c>
      <c r="L748" s="10">
        <v>0</v>
      </c>
      <c r="N748" s="10">
        <v>0</v>
      </c>
      <c r="O748" t="s">
        <v>99</v>
      </c>
      <c r="P748" s="10">
        <v>639.95000000000005</v>
      </c>
      <c r="S748">
        <v>34.75</v>
      </c>
      <c r="U748">
        <v>23</v>
      </c>
      <c r="W748">
        <v>15.65</v>
      </c>
      <c r="X748">
        <v>1</v>
      </c>
      <c r="Y748">
        <v>31.75</v>
      </c>
      <c r="Z748">
        <v>26</v>
      </c>
      <c r="AA748">
        <v>13.5</v>
      </c>
      <c r="AB748">
        <v>6.4489999999999998</v>
      </c>
      <c r="AC748">
        <v>20.83</v>
      </c>
      <c r="AE748">
        <v>6</v>
      </c>
      <c r="AF748" t="s">
        <v>696</v>
      </c>
      <c r="AG748">
        <v>60</v>
      </c>
      <c r="AK748" t="s">
        <v>98</v>
      </c>
      <c r="AM748" t="s">
        <v>98</v>
      </c>
      <c r="AN748" t="s">
        <v>99</v>
      </c>
      <c r="AO748" t="s">
        <v>98</v>
      </c>
      <c r="AP748" t="s">
        <v>100</v>
      </c>
      <c r="AQ748" t="s">
        <v>101</v>
      </c>
      <c r="AV748" t="s">
        <v>98</v>
      </c>
      <c r="AX748" t="s">
        <v>2408</v>
      </c>
      <c r="AZ748" t="s">
        <v>102</v>
      </c>
      <c r="BB748" t="s">
        <v>7528</v>
      </c>
      <c r="BC748" t="s">
        <v>7528</v>
      </c>
      <c r="BD748" t="s">
        <v>7528</v>
      </c>
      <c r="BF748" t="s">
        <v>2425</v>
      </c>
      <c r="BG748" t="s">
        <v>98</v>
      </c>
      <c r="BH748" t="s">
        <v>98</v>
      </c>
      <c r="BI748" t="s">
        <v>98</v>
      </c>
      <c r="BK748" t="s">
        <v>110</v>
      </c>
      <c r="BL748" t="s">
        <v>7528</v>
      </c>
      <c r="BR748">
        <v>0.75</v>
      </c>
      <c r="BS748">
        <v>5.13</v>
      </c>
      <c r="BT748">
        <v>5.12</v>
      </c>
      <c r="CA748">
        <v>4736</v>
      </c>
      <c r="CB748" t="s">
        <v>2408</v>
      </c>
      <c r="CL748" t="s">
        <v>99</v>
      </c>
      <c r="CM748" t="s">
        <v>99</v>
      </c>
      <c r="CN748" t="s">
        <v>692</v>
      </c>
      <c r="CO748" s="1">
        <v>43041</v>
      </c>
      <c r="CP748" s="1">
        <v>43633</v>
      </c>
    </row>
    <row r="749" spans="1:94" x14ac:dyDescent="0.25">
      <c r="A749" t="s">
        <v>2426</v>
      </c>
      <c r="B749" t="str">
        <f xml:space="preserve"> "" &amp; 747396104836</f>
        <v>747396104836</v>
      </c>
      <c r="C749" t="s">
        <v>1063</v>
      </c>
      <c r="D749" t="s">
        <v>6726</v>
      </c>
      <c r="E749" t="s">
        <v>2407</v>
      </c>
      <c r="F749" t="s">
        <v>249</v>
      </c>
      <c r="G749">
        <v>1</v>
      </c>
      <c r="H749">
        <v>1</v>
      </c>
      <c r="I749" t="s">
        <v>97</v>
      </c>
      <c r="J749" s="10">
        <v>299</v>
      </c>
      <c r="K749" s="10">
        <v>897</v>
      </c>
      <c r="L749" s="10">
        <v>0</v>
      </c>
      <c r="N749" s="10">
        <v>0</v>
      </c>
      <c r="O749" t="s">
        <v>99</v>
      </c>
      <c r="P749" s="10">
        <v>629.95000000000005</v>
      </c>
      <c r="S749">
        <v>35</v>
      </c>
      <c r="U749">
        <v>31</v>
      </c>
      <c r="W749">
        <v>18.3</v>
      </c>
      <c r="X749">
        <v>1</v>
      </c>
      <c r="Y749">
        <v>31.75</v>
      </c>
      <c r="Z749">
        <v>34</v>
      </c>
      <c r="AA749">
        <v>12.5</v>
      </c>
      <c r="AB749">
        <v>7.8090000000000002</v>
      </c>
      <c r="AC749">
        <v>24.69</v>
      </c>
      <c r="AE749">
        <v>9</v>
      </c>
      <c r="AF749" t="s">
        <v>696</v>
      </c>
      <c r="AG749">
        <v>60</v>
      </c>
      <c r="AK749" t="s">
        <v>98</v>
      </c>
      <c r="AM749" t="s">
        <v>98</v>
      </c>
      <c r="AN749" t="s">
        <v>99</v>
      </c>
      <c r="AO749" t="s">
        <v>98</v>
      </c>
      <c r="AP749" t="s">
        <v>100</v>
      </c>
      <c r="AQ749" t="s">
        <v>101</v>
      </c>
      <c r="AV749" t="s">
        <v>98</v>
      </c>
      <c r="AX749" t="s">
        <v>2408</v>
      </c>
      <c r="AZ749" t="s">
        <v>102</v>
      </c>
      <c r="BB749" t="s">
        <v>7528</v>
      </c>
      <c r="BC749" t="s">
        <v>7528</v>
      </c>
      <c r="BD749" t="s">
        <v>7528</v>
      </c>
      <c r="BF749" t="s">
        <v>2427</v>
      </c>
      <c r="BG749" t="s">
        <v>98</v>
      </c>
      <c r="BH749" t="s">
        <v>98</v>
      </c>
      <c r="BI749" t="s">
        <v>98</v>
      </c>
      <c r="BK749" t="s">
        <v>110</v>
      </c>
      <c r="BL749" t="s">
        <v>7528</v>
      </c>
      <c r="BR749">
        <v>0.75</v>
      </c>
      <c r="BS749">
        <v>5.13</v>
      </c>
      <c r="BT749">
        <v>5.13</v>
      </c>
      <c r="CA749">
        <v>4739</v>
      </c>
      <c r="CB749" t="s">
        <v>2408</v>
      </c>
      <c r="CL749" t="s">
        <v>99</v>
      </c>
      <c r="CM749" t="s">
        <v>99</v>
      </c>
      <c r="CN749" t="s">
        <v>692</v>
      </c>
      <c r="CO749" s="1">
        <v>43041</v>
      </c>
      <c r="CP749" s="1">
        <v>43633</v>
      </c>
    </row>
    <row r="750" spans="1:94" x14ac:dyDescent="0.25">
      <c r="A750" t="s">
        <v>2428</v>
      </c>
      <c r="B750" t="str">
        <f xml:space="preserve"> "" &amp; 747396065717</f>
        <v>747396065717</v>
      </c>
      <c r="C750" t="s">
        <v>2429</v>
      </c>
      <c r="D750" t="s">
        <v>6727</v>
      </c>
      <c r="E750" t="s">
        <v>509</v>
      </c>
      <c r="F750" t="s">
        <v>232</v>
      </c>
      <c r="G750">
        <v>1</v>
      </c>
      <c r="H750">
        <v>1</v>
      </c>
      <c r="I750" t="s">
        <v>97</v>
      </c>
      <c r="J750" s="10">
        <v>159</v>
      </c>
      <c r="K750" s="10">
        <v>477</v>
      </c>
      <c r="L750" s="10">
        <v>0</v>
      </c>
      <c r="N750" s="10">
        <v>0</v>
      </c>
      <c r="O750" t="s">
        <v>99</v>
      </c>
      <c r="P750" s="10">
        <v>318</v>
      </c>
      <c r="S750">
        <v>44.5</v>
      </c>
      <c r="U750">
        <v>15.5</v>
      </c>
      <c r="V750">
        <v>7.25</v>
      </c>
      <c r="W750">
        <v>9.0399999999999991</v>
      </c>
      <c r="X750">
        <v>1</v>
      </c>
      <c r="Y750">
        <v>8.75</v>
      </c>
      <c r="Z750">
        <v>43.75</v>
      </c>
      <c r="AA750">
        <v>17.25</v>
      </c>
      <c r="AB750">
        <v>3.8210000000000002</v>
      </c>
      <c r="AC750">
        <v>15.65</v>
      </c>
      <c r="AE750">
        <v>2</v>
      </c>
      <c r="AF750" t="s">
        <v>519</v>
      </c>
      <c r="AG750">
        <v>60</v>
      </c>
      <c r="AH750">
        <v>0</v>
      </c>
      <c r="AK750" t="s">
        <v>98</v>
      </c>
      <c r="AL750">
        <v>2</v>
      </c>
      <c r="AM750" t="s">
        <v>98</v>
      </c>
      <c r="AN750" t="s">
        <v>99</v>
      </c>
      <c r="AO750" t="s">
        <v>98</v>
      </c>
      <c r="AP750" t="s">
        <v>100</v>
      </c>
      <c r="AQ750" t="s">
        <v>101</v>
      </c>
      <c r="AV750" t="s">
        <v>98</v>
      </c>
      <c r="AX750" t="s">
        <v>510</v>
      </c>
      <c r="AZ750" t="s">
        <v>124</v>
      </c>
      <c r="BB750" t="s">
        <v>235</v>
      </c>
      <c r="BC750" t="s">
        <v>511</v>
      </c>
      <c r="BD750" t="s">
        <v>7528</v>
      </c>
      <c r="BF750" t="s">
        <v>2430</v>
      </c>
      <c r="BG750" t="s">
        <v>98</v>
      </c>
      <c r="BH750" t="s">
        <v>98</v>
      </c>
      <c r="BI750" t="s">
        <v>98</v>
      </c>
      <c r="BK750" t="s">
        <v>127</v>
      </c>
      <c r="BL750" t="s">
        <v>236</v>
      </c>
      <c r="BR750">
        <v>7.25</v>
      </c>
      <c r="BT750">
        <v>7.25</v>
      </c>
      <c r="CA750">
        <v>4742</v>
      </c>
      <c r="CB750" t="s">
        <v>510</v>
      </c>
      <c r="CL750" t="s">
        <v>99</v>
      </c>
      <c r="CM750" t="s">
        <v>98</v>
      </c>
      <c r="CN750" t="s">
        <v>2431</v>
      </c>
      <c r="CO750" s="1">
        <v>39387</v>
      </c>
      <c r="CP750" s="1">
        <v>43633</v>
      </c>
    </row>
    <row r="751" spans="1:94" x14ac:dyDescent="0.25">
      <c r="A751" t="s">
        <v>2432</v>
      </c>
      <c r="B751" t="str">
        <f xml:space="preserve"> "" &amp; 747396065731</f>
        <v>747396065731</v>
      </c>
      <c r="C751" t="s">
        <v>230</v>
      </c>
      <c r="D751" t="s">
        <v>6728</v>
      </c>
      <c r="E751" t="s">
        <v>509</v>
      </c>
      <c r="F751" t="s">
        <v>232</v>
      </c>
      <c r="G751">
        <v>1</v>
      </c>
      <c r="H751">
        <v>1</v>
      </c>
      <c r="I751" t="s">
        <v>97</v>
      </c>
      <c r="J751" s="10">
        <v>142.94999999999999</v>
      </c>
      <c r="K751" s="10">
        <v>428.85</v>
      </c>
      <c r="L751" s="10">
        <v>0</v>
      </c>
      <c r="N751" s="10">
        <v>0</v>
      </c>
      <c r="O751" t="s">
        <v>99</v>
      </c>
      <c r="P751" s="10">
        <v>285.89999999999998</v>
      </c>
      <c r="S751">
        <v>36</v>
      </c>
      <c r="U751">
        <v>7.25</v>
      </c>
      <c r="V751">
        <v>7.75</v>
      </c>
      <c r="W751">
        <v>6.83</v>
      </c>
      <c r="X751">
        <v>1</v>
      </c>
      <c r="Y751">
        <v>10.5</v>
      </c>
      <c r="Z751">
        <v>32</v>
      </c>
      <c r="AA751">
        <v>12.5</v>
      </c>
      <c r="AB751">
        <v>2.431</v>
      </c>
      <c r="AC751">
        <v>9.6999999999999993</v>
      </c>
      <c r="AE751">
        <v>1</v>
      </c>
      <c r="AF751" t="s">
        <v>466</v>
      </c>
      <c r="AG751">
        <v>100</v>
      </c>
      <c r="AH751">
        <v>0</v>
      </c>
      <c r="AK751" t="s">
        <v>98</v>
      </c>
      <c r="AL751">
        <v>1</v>
      </c>
      <c r="AM751" t="s">
        <v>98</v>
      </c>
      <c r="AN751" t="s">
        <v>99</v>
      </c>
      <c r="AO751" t="s">
        <v>98</v>
      </c>
      <c r="AP751" t="s">
        <v>100</v>
      </c>
      <c r="AQ751" t="s">
        <v>101</v>
      </c>
      <c r="AV751" t="s">
        <v>98</v>
      </c>
      <c r="AX751" t="s">
        <v>510</v>
      </c>
      <c r="AZ751" t="s">
        <v>124</v>
      </c>
      <c r="BB751" t="s">
        <v>235</v>
      </c>
      <c r="BC751" t="s">
        <v>511</v>
      </c>
      <c r="BD751" t="s">
        <v>7528</v>
      </c>
      <c r="BF751" t="s">
        <v>2433</v>
      </c>
      <c r="BG751" t="s">
        <v>98</v>
      </c>
      <c r="BH751" t="s">
        <v>98</v>
      </c>
      <c r="BI751" t="s">
        <v>98</v>
      </c>
      <c r="BK751" t="s">
        <v>127</v>
      </c>
      <c r="BL751" t="s">
        <v>236</v>
      </c>
      <c r="BM751">
        <v>5.38</v>
      </c>
      <c r="BN751">
        <v>5.5</v>
      </c>
      <c r="CA751">
        <v>4750</v>
      </c>
      <c r="CB751" t="s">
        <v>510</v>
      </c>
      <c r="CL751" t="s">
        <v>99</v>
      </c>
      <c r="CM751" t="s">
        <v>98</v>
      </c>
      <c r="CN751" t="s">
        <v>658</v>
      </c>
      <c r="CO751" s="1">
        <v>39387</v>
      </c>
      <c r="CP751" s="1">
        <v>43633</v>
      </c>
    </row>
    <row r="752" spans="1:94" x14ac:dyDescent="0.25">
      <c r="A752" t="s">
        <v>2434</v>
      </c>
      <c r="B752" t="str">
        <f xml:space="preserve"> "" &amp; 747396069524</f>
        <v>747396069524</v>
      </c>
      <c r="C752" t="s">
        <v>239</v>
      </c>
      <c r="D752" t="s">
        <v>6729</v>
      </c>
      <c r="E752" t="s">
        <v>509</v>
      </c>
      <c r="F752" t="s">
        <v>240</v>
      </c>
      <c r="G752">
        <v>1</v>
      </c>
      <c r="H752">
        <v>1</v>
      </c>
      <c r="I752" t="s">
        <v>97</v>
      </c>
      <c r="J752" s="10">
        <v>139</v>
      </c>
      <c r="K752" s="10">
        <v>417</v>
      </c>
      <c r="L752" s="10">
        <v>0</v>
      </c>
      <c r="N752" s="10">
        <v>0</v>
      </c>
      <c r="O752" t="s">
        <v>99</v>
      </c>
      <c r="P752" s="10">
        <v>279.95</v>
      </c>
      <c r="S752">
        <v>13.5</v>
      </c>
      <c r="T752">
        <v>10</v>
      </c>
      <c r="U752">
        <v>10</v>
      </c>
      <c r="W752">
        <v>7.39</v>
      </c>
      <c r="Y752">
        <v>9.75</v>
      </c>
      <c r="Z752">
        <v>18.75</v>
      </c>
      <c r="AA752">
        <v>12.5</v>
      </c>
      <c r="AB752">
        <v>1.3220000000000001</v>
      </c>
      <c r="AC752">
        <v>9.08</v>
      </c>
      <c r="AE752">
        <v>1</v>
      </c>
      <c r="AF752" t="s">
        <v>466</v>
      </c>
      <c r="AG752">
        <v>100</v>
      </c>
      <c r="AH752">
        <v>0</v>
      </c>
      <c r="AJ752">
        <v>0</v>
      </c>
      <c r="AK752" t="s">
        <v>98</v>
      </c>
      <c r="AM752" t="s">
        <v>98</v>
      </c>
      <c r="AN752" t="s">
        <v>99</v>
      </c>
      <c r="AO752" t="s">
        <v>98</v>
      </c>
      <c r="AP752" t="s">
        <v>100</v>
      </c>
      <c r="AQ752" t="s">
        <v>101</v>
      </c>
      <c r="AV752" t="s">
        <v>98</v>
      </c>
      <c r="AX752" t="s">
        <v>510</v>
      </c>
      <c r="AZ752" t="s">
        <v>124</v>
      </c>
      <c r="BB752" t="s">
        <v>235</v>
      </c>
      <c r="BC752" t="s">
        <v>511</v>
      </c>
      <c r="BD752" t="s">
        <v>7528</v>
      </c>
      <c r="BF752" t="s">
        <v>2435</v>
      </c>
      <c r="BG752" t="s">
        <v>98</v>
      </c>
      <c r="BH752" t="s">
        <v>98</v>
      </c>
      <c r="BI752" t="s">
        <v>98</v>
      </c>
      <c r="BK752" t="s">
        <v>110</v>
      </c>
      <c r="BL752" t="s">
        <v>7528</v>
      </c>
      <c r="BR752">
        <v>1.75</v>
      </c>
      <c r="BT752">
        <v>6</v>
      </c>
      <c r="CA752">
        <v>4751</v>
      </c>
      <c r="CB752" t="s">
        <v>510</v>
      </c>
      <c r="CL752" t="s">
        <v>99</v>
      </c>
      <c r="CM752" t="s">
        <v>99</v>
      </c>
      <c r="CN752" t="s">
        <v>658</v>
      </c>
      <c r="CO752" s="1">
        <v>39884</v>
      </c>
      <c r="CP752" s="1">
        <v>43633</v>
      </c>
    </row>
    <row r="753" spans="1:94" x14ac:dyDescent="0.25">
      <c r="A753" t="s">
        <v>2436</v>
      </c>
      <c r="B753" t="str">
        <f xml:space="preserve"> "" &amp; 747396065342</f>
        <v>747396065342</v>
      </c>
      <c r="C753" t="s">
        <v>258</v>
      </c>
      <c r="D753" t="s">
        <v>6730</v>
      </c>
      <c r="E753" t="s">
        <v>509</v>
      </c>
      <c r="F753" t="s">
        <v>249</v>
      </c>
      <c r="G753">
        <v>1</v>
      </c>
      <c r="H753">
        <v>1</v>
      </c>
      <c r="I753" t="s">
        <v>97</v>
      </c>
      <c r="J753" s="10">
        <v>999.95</v>
      </c>
      <c r="K753" s="10">
        <v>2999.85</v>
      </c>
      <c r="L753" s="10">
        <v>0</v>
      </c>
      <c r="N753" s="10">
        <v>0</v>
      </c>
      <c r="O753" t="s">
        <v>99</v>
      </c>
      <c r="P753" s="10">
        <v>1999.9</v>
      </c>
      <c r="S753">
        <v>55.75</v>
      </c>
      <c r="T753">
        <v>51.5</v>
      </c>
      <c r="U753">
        <v>51.5</v>
      </c>
      <c r="W753">
        <v>68.28</v>
      </c>
      <c r="X753">
        <v>1</v>
      </c>
      <c r="Y753">
        <v>43.5</v>
      </c>
      <c r="Z753">
        <v>54.75</v>
      </c>
      <c r="AA753">
        <v>22.5</v>
      </c>
      <c r="AB753">
        <v>31.010999999999999</v>
      </c>
      <c r="AC753">
        <v>96.94</v>
      </c>
      <c r="AE753">
        <v>12</v>
      </c>
      <c r="AF753" t="s">
        <v>772</v>
      </c>
      <c r="AG753">
        <v>60</v>
      </c>
      <c r="AK753" t="s">
        <v>98</v>
      </c>
      <c r="AL753">
        <v>12</v>
      </c>
      <c r="AM753" t="s">
        <v>98</v>
      </c>
      <c r="AN753" t="s">
        <v>99</v>
      </c>
      <c r="AO753" t="s">
        <v>98</v>
      </c>
      <c r="AP753" t="s">
        <v>259</v>
      </c>
      <c r="AQ753" t="s">
        <v>101</v>
      </c>
      <c r="AV753" t="s">
        <v>98</v>
      </c>
      <c r="AX753" t="s">
        <v>510</v>
      </c>
      <c r="AZ753" t="s">
        <v>124</v>
      </c>
      <c r="BB753" t="s">
        <v>235</v>
      </c>
      <c r="BC753" t="s">
        <v>511</v>
      </c>
      <c r="BD753" t="s">
        <v>7528</v>
      </c>
      <c r="BF753" t="s">
        <v>2437</v>
      </c>
      <c r="BG753" t="s">
        <v>98</v>
      </c>
      <c r="BH753" t="s">
        <v>98</v>
      </c>
      <c r="BI753" t="s">
        <v>98</v>
      </c>
      <c r="BK753" t="s">
        <v>110</v>
      </c>
      <c r="BL753" t="s">
        <v>7528</v>
      </c>
      <c r="BQ753">
        <v>6.13</v>
      </c>
      <c r="BR753">
        <v>1.88</v>
      </c>
      <c r="BS753">
        <v>6.13</v>
      </c>
      <c r="BT753">
        <v>6.13</v>
      </c>
      <c r="CA753">
        <v>4758</v>
      </c>
      <c r="CB753" t="s">
        <v>510</v>
      </c>
      <c r="CL753" t="s">
        <v>99</v>
      </c>
      <c r="CM753" t="s">
        <v>98</v>
      </c>
      <c r="CN753" t="s">
        <v>2431</v>
      </c>
      <c r="CO753" s="1">
        <v>39387</v>
      </c>
      <c r="CP753" s="1">
        <v>43633</v>
      </c>
    </row>
    <row r="754" spans="1:94" x14ac:dyDescent="0.25">
      <c r="A754" t="s">
        <v>2438</v>
      </c>
      <c r="B754" t="str">
        <f xml:space="preserve"> "" &amp; 747396065694</f>
        <v>747396065694</v>
      </c>
      <c r="C754" t="s">
        <v>2439</v>
      </c>
      <c r="D754" t="s">
        <v>6731</v>
      </c>
      <c r="E754" t="s">
        <v>509</v>
      </c>
      <c r="F754" t="s">
        <v>249</v>
      </c>
      <c r="G754">
        <v>1</v>
      </c>
      <c r="H754">
        <v>1</v>
      </c>
      <c r="I754" t="s">
        <v>97</v>
      </c>
      <c r="J754" s="10">
        <v>1595.95</v>
      </c>
      <c r="K754" s="10">
        <v>4787.8500000000004</v>
      </c>
      <c r="L754" s="10">
        <v>0</v>
      </c>
      <c r="N754" s="10">
        <v>0</v>
      </c>
      <c r="O754" t="s">
        <v>99</v>
      </c>
      <c r="P754" s="10">
        <v>3191.9</v>
      </c>
      <c r="S754">
        <v>59.75</v>
      </c>
      <c r="T754">
        <v>59</v>
      </c>
      <c r="U754">
        <v>59</v>
      </c>
      <c r="W754">
        <v>110.45</v>
      </c>
      <c r="X754">
        <v>1</v>
      </c>
      <c r="Y754">
        <v>52.25</v>
      </c>
      <c r="Z754">
        <v>63</v>
      </c>
      <c r="AA754">
        <v>32.5</v>
      </c>
      <c r="AB754">
        <v>61.911000000000001</v>
      </c>
      <c r="AC754">
        <v>191.58</v>
      </c>
      <c r="AE754">
        <v>21</v>
      </c>
      <c r="AF754" t="s">
        <v>772</v>
      </c>
      <c r="AG754">
        <v>60</v>
      </c>
      <c r="AH754">
        <v>0</v>
      </c>
      <c r="AK754" t="s">
        <v>98</v>
      </c>
      <c r="AL754">
        <v>21</v>
      </c>
      <c r="AM754" t="s">
        <v>98</v>
      </c>
      <c r="AN754" t="s">
        <v>99</v>
      </c>
      <c r="AO754" t="s">
        <v>98</v>
      </c>
      <c r="AP754" t="s">
        <v>259</v>
      </c>
      <c r="AQ754" t="s">
        <v>101</v>
      </c>
      <c r="AV754" t="s">
        <v>98</v>
      </c>
      <c r="AX754" t="s">
        <v>510</v>
      </c>
      <c r="AZ754" t="s">
        <v>124</v>
      </c>
      <c r="BB754" t="s">
        <v>235</v>
      </c>
      <c r="BC754" t="s">
        <v>511</v>
      </c>
      <c r="BD754" t="s">
        <v>7528</v>
      </c>
      <c r="BF754" t="s">
        <v>2440</v>
      </c>
      <c r="BG754" t="s">
        <v>98</v>
      </c>
      <c r="BH754" t="s">
        <v>98</v>
      </c>
      <c r="BI754" t="s">
        <v>98</v>
      </c>
      <c r="BK754" t="s">
        <v>110</v>
      </c>
      <c r="BL754" t="s">
        <v>7528</v>
      </c>
      <c r="BQ754">
        <v>6.25</v>
      </c>
      <c r="BR754">
        <v>1.88</v>
      </c>
      <c r="BS754">
        <v>6.25</v>
      </c>
      <c r="BT754">
        <v>6.25</v>
      </c>
      <c r="CA754">
        <v>4759</v>
      </c>
      <c r="CB754" t="s">
        <v>510</v>
      </c>
      <c r="CL754" t="s">
        <v>99</v>
      </c>
      <c r="CM754" t="s">
        <v>98</v>
      </c>
      <c r="CN754" t="s">
        <v>2431</v>
      </c>
      <c r="CO754" s="1">
        <v>39387</v>
      </c>
      <c r="CP754" s="1">
        <v>43633</v>
      </c>
    </row>
    <row r="755" spans="1:94" x14ac:dyDescent="0.25">
      <c r="A755" t="s">
        <v>2441</v>
      </c>
      <c r="B755" t="str">
        <f xml:space="preserve"> "" &amp; 747396106465</f>
        <v>747396106465</v>
      </c>
      <c r="C755" t="s">
        <v>845</v>
      </c>
      <c r="D755" t="s">
        <v>2442</v>
      </c>
      <c r="E755" t="s">
        <v>2443</v>
      </c>
      <c r="F755" t="s">
        <v>240</v>
      </c>
      <c r="G755">
        <v>1</v>
      </c>
      <c r="H755">
        <v>1</v>
      </c>
      <c r="I755" t="s">
        <v>97</v>
      </c>
      <c r="J755" s="10">
        <v>85</v>
      </c>
      <c r="K755" s="10">
        <v>255</v>
      </c>
      <c r="L755" s="10">
        <v>0</v>
      </c>
      <c r="N755" s="10">
        <v>0</v>
      </c>
      <c r="O755" t="s">
        <v>99</v>
      </c>
      <c r="P755" s="10">
        <v>179.95</v>
      </c>
      <c r="S755">
        <v>9.25</v>
      </c>
      <c r="T755">
        <v>10</v>
      </c>
      <c r="U755">
        <v>10</v>
      </c>
      <c r="W755">
        <v>4.2300000000000004</v>
      </c>
      <c r="X755">
        <v>1</v>
      </c>
      <c r="Y755">
        <v>12.75</v>
      </c>
      <c r="Z755">
        <v>12</v>
      </c>
      <c r="AA755">
        <v>12</v>
      </c>
      <c r="AB755">
        <v>1.0629999999999999</v>
      </c>
      <c r="AC755">
        <v>5.8</v>
      </c>
      <c r="AE755">
        <v>1</v>
      </c>
      <c r="AF755" t="s">
        <v>696</v>
      </c>
      <c r="AG755">
        <v>60</v>
      </c>
      <c r="AK755" t="s">
        <v>98</v>
      </c>
      <c r="AM755" t="s">
        <v>98</v>
      </c>
      <c r="AN755" t="s">
        <v>99</v>
      </c>
      <c r="AO755" t="s">
        <v>98</v>
      </c>
      <c r="AP755" t="s">
        <v>100</v>
      </c>
      <c r="AQ755" t="s">
        <v>101</v>
      </c>
      <c r="AV755" t="s">
        <v>98</v>
      </c>
      <c r="AX755" t="s">
        <v>1105</v>
      </c>
      <c r="AZ755" t="s">
        <v>102</v>
      </c>
      <c r="BB755" t="s">
        <v>7528</v>
      </c>
      <c r="BC755" t="s">
        <v>7528</v>
      </c>
      <c r="BD755" t="s">
        <v>7528</v>
      </c>
      <c r="BF755" t="s">
        <v>2444</v>
      </c>
      <c r="BG755" t="s">
        <v>98</v>
      </c>
      <c r="BH755" t="s">
        <v>98</v>
      </c>
      <c r="BI755" t="s">
        <v>98</v>
      </c>
      <c r="BK755" t="s">
        <v>110</v>
      </c>
      <c r="BL755" t="s">
        <v>7528</v>
      </c>
      <c r="BR755">
        <v>0.75</v>
      </c>
      <c r="BS755">
        <v>5.13</v>
      </c>
      <c r="BT755">
        <v>5.13</v>
      </c>
      <c r="CA755">
        <v>4761</v>
      </c>
      <c r="CB755" t="s">
        <v>1105</v>
      </c>
      <c r="CL755" t="s">
        <v>99</v>
      </c>
      <c r="CM755" t="s">
        <v>99</v>
      </c>
      <c r="CN755" t="s">
        <v>692</v>
      </c>
      <c r="CO755" s="1">
        <v>43034</v>
      </c>
      <c r="CP755" s="1">
        <v>43633</v>
      </c>
    </row>
    <row r="756" spans="1:94" x14ac:dyDescent="0.25">
      <c r="A756" t="s">
        <v>2445</v>
      </c>
      <c r="B756" t="str">
        <f xml:space="preserve"> "" &amp; 747396106472</f>
        <v>747396106472</v>
      </c>
      <c r="C756" t="s">
        <v>339</v>
      </c>
      <c r="D756" t="s">
        <v>6732</v>
      </c>
      <c r="E756" t="s">
        <v>2443</v>
      </c>
      <c r="F756" t="s">
        <v>240</v>
      </c>
      <c r="G756">
        <v>1</v>
      </c>
      <c r="H756">
        <v>1</v>
      </c>
      <c r="I756" t="s">
        <v>97</v>
      </c>
      <c r="J756" s="10">
        <v>185</v>
      </c>
      <c r="K756" s="10">
        <v>555</v>
      </c>
      <c r="L756" s="10">
        <v>0</v>
      </c>
      <c r="N756" s="10">
        <v>0</v>
      </c>
      <c r="O756" t="s">
        <v>99</v>
      </c>
      <c r="P756" s="10">
        <v>389.95</v>
      </c>
      <c r="S756">
        <v>17.5</v>
      </c>
      <c r="T756">
        <v>18</v>
      </c>
      <c r="U756">
        <v>18</v>
      </c>
      <c r="W756">
        <v>10.029999999999999</v>
      </c>
      <c r="X756">
        <v>1</v>
      </c>
      <c r="Y756">
        <v>18.5</v>
      </c>
      <c r="Z756">
        <v>20</v>
      </c>
      <c r="AA756">
        <v>20</v>
      </c>
      <c r="AB756">
        <v>4.282</v>
      </c>
      <c r="AC756">
        <v>14.77</v>
      </c>
      <c r="AE756">
        <v>4</v>
      </c>
      <c r="AF756" t="s">
        <v>696</v>
      </c>
      <c r="AG756">
        <v>60</v>
      </c>
      <c r="AK756" t="s">
        <v>98</v>
      </c>
      <c r="AM756" t="s">
        <v>98</v>
      </c>
      <c r="AN756" t="s">
        <v>99</v>
      </c>
      <c r="AO756" t="s">
        <v>98</v>
      </c>
      <c r="AP756" t="s">
        <v>100</v>
      </c>
      <c r="AQ756" t="s">
        <v>101</v>
      </c>
      <c r="AV756" t="s">
        <v>98</v>
      </c>
      <c r="AX756" t="s">
        <v>1105</v>
      </c>
      <c r="AZ756" t="s">
        <v>102</v>
      </c>
      <c r="BB756" t="s">
        <v>7528</v>
      </c>
      <c r="BC756" t="s">
        <v>7528</v>
      </c>
      <c r="BD756" t="s">
        <v>7528</v>
      </c>
      <c r="BF756" t="s">
        <v>2446</v>
      </c>
      <c r="BG756" t="s">
        <v>98</v>
      </c>
      <c r="BH756" t="s">
        <v>98</v>
      </c>
      <c r="BI756" t="s">
        <v>98</v>
      </c>
      <c r="BK756" t="s">
        <v>110</v>
      </c>
      <c r="BL756" t="s">
        <v>7528</v>
      </c>
      <c r="BR756">
        <v>0.75</v>
      </c>
      <c r="BS756">
        <v>5.13</v>
      </c>
      <c r="BT756">
        <v>5.13</v>
      </c>
      <c r="CA756">
        <v>4763</v>
      </c>
      <c r="CB756" t="s">
        <v>1105</v>
      </c>
      <c r="CL756" t="s">
        <v>99</v>
      </c>
      <c r="CM756" t="s">
        <v>99</v>
      </c>
      <c r="CN756" t="s">
        <v>692</v>
      </c>
      <c r="CO756" s="1">
        <v>43034</v>
      </c>
      <c r="CP756" s="1">
        <v>43633</v>
      </c>
    </row>
    <row r="757" spans="1:94" x14ac:dyDescent="0.25">
      <c r="A757" t="s">
        <v>2447</v>
      </c>
      <c r="B757" t="str">
        <f xml:space="preserve"> "" &amp; 747396106489</f>
        <v>747396106489</v>
      </c>
      <c r="C757" t="s">
        <v>879</v>
      </c>
      <c r="D757" t="s">
        <v>6733</v>
      </c>
      <c r="E757" t="s">
        <v>2443</v>
      </c>
      <c r="F757" t="s">
        <v>240</v>
      </c>
      <c r="G757">
        <v>1</v>
      </c>
      <c r="H757">
        <v>1</v>
      </c>
      <c r="I757" t="s">
        <v>97</v>
      </c>
      <c r="J757" s="10">
        <v>239</v>
      </c>
      <c r="K757" s="10">
        <v>717</v>
      </c>
      <c r="L757" s="10">
        <v>0</v>
      </c>
      <c r="N757" s="10">
        <v>0</v>
      </c>
      <c r="O757" t="s">
        <v>99</v>
      </c>
      <c r="P757" s="10">
        <v>504.95</v>
      </c>
      <c r="S757">
        <v>10.75</v>
      </c>
      <c r="T757">
        <v>42</v>
      </c>
      <c r="U757">
        <v>10.5</v>
      </c>
      <c r="W757">
        <v>14.42</v>
      </c>
      <c r="X757">
        <v>1</v>
      </c>
      <c r="Y757">
        <v>12.75</v>
      </c>
      <c r="Z757">
        <v>44.25</v>
      </c>
      <c r="AA757">
        <v>13.75</v>
      </c>
      <c r="AB757">
        <v>4.4889999999999999</v>
      </c>
      <c r="AC757">
        <v>19.489999999999998</v>
      </c>
      <c r="AE757">
        <v>4</v>
      </c>
      <c r="AF757" t="s">
        <v>696</v>
      </c>
      <c r="AG757">
        <v>60</v>
      </c>
      <c r="AK757" t="s">
        <v>98</v>
      </c>
      <c r="AM757" t="s">
        <v>98</v>
      </c>
      <c r="AN757" t="s">
        <v>99</v>
      </c>
      <c r="AO757" t="s">
        <v>98</v>
      </c>
      <c r="AP757" t="s">
        <v>100</v>
      </c>
      <c r="AQ757" t="s">
        <v>101</v>
      </c>
      <c r="AV757" t="s">
        <v>98</v>
      </c>
      <c r="AX757" t="s">
        <v>1105</v>
      </c>
      <c r="AZ757" t="s">
        <v>102</v>
      </c>
      <c r="BB757" t="s">
        <v>7528</v>
      </c>
      <c r="BC757" t="s">
        <v>7528</v>
      </c>
      <c r="BD757" t="s">
        <v>7528</v>
      </c>
      <c r="BF757" t="s">
        <v>2448</v>
      </c>
      <c r="BG757" t="s">
        <v>98</v>
      </c>
      <c r="BH757" t="s">
        <v>98</v>
      </c>
      <c r="BI757" t="s">
        <v>98</v>
      </c>
      <c r="BK757" t="s">
        <v>110</v>
      </c>
      <c r="BL757" t="s">
        <v>7528</v>
      </c>
      <c r="BR757">
        <v>0.75</v>
      </c>
      <c r="BS757">
        <v>9.8800000000000008</v>
      </c>
      <c r="CA757">
        <v>4764</v>
      </c>
      <c r="CB757" t="s">
        <v>1105</v>
      </c>
      <c r="CL757" t="s">
        <v>99</v>
      </c>
      <c r="CM757" t="s">
        <v>99</v>
      </c>
      <c r="CN757" t="s">
        <v>692</v>
      </c>
      <c r="CO757" s="1">
        <v>43034</v>
      </c>
      <c r="CP757" s="1">
        <v>43633</v>
      </c>
    </row>
    <row r="758" spans="1:94" x14ac:dyDescent="0.25">
      <c r="A758" t="s">
        <v>2449</v>
      </c>
      <c r="B758" t="str">
        <f xml:space="preserve"> "" &amp; 747396106496</f>
        <v>747396106496</v>
      </c>
      <c r="C758" t="s">
        <v>850</v>
      </c>
      <c r="D758" t="s">
        <v>6734</v>
      </c>
      <c r="E758" t="s">
        <v>2443</v>
      </c>
      <c r="F758" t="s">
        <v>240</v>
      </c>
      <c r="G758">
        <v>1</v>
      </c>
      <c r="H758">
        <v>1</v>
      </c>
      <c r="I758" t="s">
        <v>97</v>
      </c>
      <c r="J758" s="10">
        <v>265</v>
      </c>
      <c r="K758" s="10">
        <v>795</v>
      </c>
      <c r="L758" s="10">
        <v>0</v>
      </c>
      <c r="N758" s="10">
        <v>0</v>
      </c>
      <c r="O758" t="s">
        <v>99</v>
      </c>
      <c r="P758" s="10">
        <v>554.95000000000005</v>
      </c>
      <c r="S758">
        <v>25.5</v>
      </c>
      <c r="T758">
        <v>22</v>
      </c>
      <c r="U758">
        <v>22</v>
      </c>
      <c r="W758">
        <v>13.01</v>
      </c>
      <c r="X758">
        <v>1</v>
      </c>
      <c r="Y758">
        <v>26.75</v>
      </c>
      <c r="Z758">
        <v>24</v>
      </c>
      <c r="AA758">
        <v>24</v>
      </c>
      <c r="AB758">
        <v>8.9169999999999998</v>
      </c>
      <c r="AC758">
        <v>21.25</v>
      </c>
      <c r="AE758">
        <v>5</v>
      </c>
      <c r="AF758" t="s">
        <v>1673</v>
      </c>
      <c r="AG758">
        <v>60</v>
      </c>
      <c r="AK758" t="s">
        <v>98</v>
      </c>
      <c r="AM758" t="s">
        <v>98</v>
      </c>
      <c r="AN758" t="s">
        <v>99</v>
      </c>
      <c r="AO758" t="s">
        <v>98</v>
      </c>
      <c r="AP758" t="s">
        <v>100</v>
      </c>
      <c r="AQ758" t="s">
        <v>101</v>
      </c>
      <c r="AV758" t="s">
        <v>98</v>
      </c>
      <c r="AX758" t="s">
        <v>1105</v>
      </c>
      <c r="AZ758" t="s">
        <v>102</v>
      </c>
      <c r="BB758" t="s">
        <v>7528</v>
      </c>
      <c r="BC758" t="s">
        <v>7528</v>
      </c>
      <c r="BD758" t="s">
        <v>7528</v>
      </c>
      <c r="BF758" t="s">
        <v>2450</v>
      </c>
      <c r="BG758" t="s">
        <v>98</v>
      </c>
      <c r="BH758" t="s">
        <v>98</v>
      </c>
      <c r="BI758" t="s">
        <v>98</v>
      </c>
      <c r="BK758" t="s">
        <v>110</v>
      </c>
      <c r="BL758" t="s">
        <v>7528</v>
      </c>
      <c r="BR758">
        <v>0.75</v>
      </c>
      <c r="BT758">
        <v>5.25</v>
      </c>
      <c r="CA758">
        <v>4765</v>
      </c>
      <c r="CB758" t="s">
        <v>1105</v>
      </c>
      <c r="CL758" t="s">
        <v>99</v>
      </c>
      <c r="CM758" t="s">
        <v>99</v>
      </c>
      <c r="CN758" t="s">
        <v>692</v>
      </c>
      <c r="CO758" s="1">
        <v>43034</v>
      </c>
      <c r="CP758" s="1">
        <v>43633</v>
      </c>
    </row>
    <row r="759" spans="1:94" x14ac:dyDescent="0.25">
      <c r="A759" t="s">
        <v>2451</v>
      </c>
      <c r="B759" t="str">
        <f xml:space="preserve"> "" &amp; 747396106502</f>
        <v>747396106502</v>
      </c>
      <c r="C759" t="s">
        <v>853</v>
      </c>
      <c r="D759" t="s">
        <v>6735</v>
      </c>
      <c r="E759" t="s">
        <v>2443</v>
      </c>
      <c r="F759" t="s">
        <v>377</v>
      </c>
      <c r="G759">
        <v>1</v>
      </c>
      <c r="H759">
        <v>1</v>
      </c>
      <c r="I759" t="s">
        <v>97</v>
      </c>
      <c r="J759" s="10">
        <v>119</v>
      </c>
      <c r="K759" s="10">
        <v>357</v>
      </c>
      <c r="L759" s="10">
        <v>0</v>
      </c>
      <c r="N759" s="10">
        <v>0</v>
      </c>
      <c r="O759" t="s">
        <v>99</v>
      </c>
      <c r="P759" s="10">
        <v>249.95</v>
      </c>
      <c r="S759">
        <v>12.5</v>
      </c>
      <c r="U759">
        <v>13</v>
      </c>
      <c r="W759">
        <v>5.2</v>
      </c>
      <c r="X759">
        <v>1</v>
      </c>
      <c r="Y759">
        <v>10.25</v>
      </c>
      <c r="Z759">
        <v>15</v>
      </c>
      <c r="AA759">
        <v>15</v>
      </c>
      <c r="AB759">
        <v>1.335</v>
      </c>
      <c r="AC759">
        <v>7.54</v>
      </c>
      <c r="AE759">
        <v>4</v>
      </c>
      <c r="AF759" t="s">
        <v>1673</v>
      </c>
      <c r="AG759">
        <v>60</v>
      </c>
      <c r="AK759" t="s">
        <v>98</v>
      </c>
      <c r="AM759" t="s">
        <v>98</v>
      </c>
      <c r="AN759" t="s">
        <v>99</v>
      </c>
      <c r="AO759" t="s">
        <v>98</v>
      </c>
      <c r="AP759" t="s">
        <v>100</v>
      </c>
      <c r="AQ759" t="s">
        <v>101</v>
      </c>
      <c r="AV759" t="s">
        <v>98</v>
      </c>
      <c r="AX759" t="s">
        <v>1105</v>
      </c>
      <c r="AZ759" t="s">
        <v>102</v>
      </c>
      <c r="BB759" t="s">
        <v>7528</v>
      </c>
      <c r="BC759" t="s">
        <v>7528</v>
      </c>
      <c r="BD759" t="s">
        <v>7528</v>
      </c>
      <c r="BF759" t="s">
        <v>2452</v>
      </c>
      <c r="BG759" t="s">
        <v>98</v>
      </c>
      <c r="BH759" t="s">
        <v>98</v>
      </c>
      <c r="BI759" t="s">
        <v>98</v>
      </c>
      <c r="BK759" t="s">
        <v>127</v>
      </c>
      <c r="BL759" t="s">
        <v>7528</v>
      </c>
      <c r="BR759">
        <v>0.75</v>
      </c>
      <c r="BT759">
        <v>4.75</v>
      </c>
      <c r="CA759">
        <v>4769</v>
      </c>
      <c r="CB759" t="s">
        <v>1105</v>
      </c>
      <c r="CL759" t="s">
        <v>99</v>
      </c>
      <c r="CM759" t="s">
        <v>98</v>
      </c>
      <c r="CN759" t="s">
        <v>692</v>
      </c>
      <c r="CO759" s="1">
        <v>43034</v>
      </c>
      <c r="CP759" s="1">
        <v>43633</v>
      </c>
    </row>
    <row r="760" spans="1:94" x14ac:dyDescent="0.25">
      <c r="A760" t="s">
        <v>2453</v>
      </c>
      <c r="B760" t="str">
        <f xml:space="preserve"> "" &amp; 747396105055</f>
        <v>747396105055</v>
      </c>
      <c r="C760" t="s">
        <v>853</v>
      </c>
      <c r="D760" t="s">
        <v>6736</v>
      </c>
      <c r="E760" t="s">
        <v>2454</v>
      </c>
      <c r="F760" t="s">
        <v>377</v>
      </c>
      <c r="G760">
        <v>1</v>
      </c>
      <c r="H760">
        <v>1</v>
      </c>
      <c r="I760" t="s">
        <v>97</v>
      </c>
      <c r="J760" s="10">
        <v>139</v>
      </c>
      <c r="K760" s="10">
        <v>417</v>
      </c>
      <c r="L760" s="10">
        <v>0</v>
      </c>
      <c r="N760" s="10">
        <v>0</v>
      </c>
      <c r="O760" t="s">
        <v>99</v>
      </c>
      <c r="P760" s="10">
        <v>294.95</v>
      </c>
      <c r="S760">
        <v>15.5</v>
      </c>
      <c r="T760">
        <v>16</v>
      </c>
      <c r="U760">
        <v>16</v>
      </c>
      <c r="W760">
        <v>6.38</v>
      </c>
      <c r="X760">
        <v>1</v>
      </c>
      <c r="Y760">
        <v>17.75</v>
      </c>
      <c r="Z760">
        <v>18</v>
      </c>
      <c r="AA760">
        <v>18</v>
      </c>
      <c r="AB760">
        <v>3.3279999999999998</v>
      </c>
      <c r="AC760">
        <v>10.119999999999999</v>
      </c>
      <c r="AE760">
        <v>4</v>
      </c>
      <c r="AF760" t="s">
        <v>1611</v>
      </c>
      <c r="AG760">
        <v>60</v>
      </c>
      <c r="AK760" t="s">
        <v>98</v>
      </c>
      <c r="AM760" t="s">
        <v>98</v>
      </c>
      <c r="AN760" t="s">
        <v>98</v>
      </c>
      <c r="AO760" t="s">
        <v>98</v>
      </c>
      <c r="AP760" t="s">
        <v>100</v>
      </c>
      <c r="AQ760" t="s">
        <v>101</v>
      </c>
      <c r="AV760" t="s">
        <v>98</v>
      </c>
      <c r="AX760" t="s">
        <v>484</v>
      </c>
      <c r="AZ760" t="s">
        <v>102</v>
      </c>
      <c r="BB760" t="s">
        <v>7528</v>
      </c>
      <c r="BC760" t="s">
        <v>7528</v>
      </c>
      <c r="BD760" t="s">
        <v>7528</v>
      </c>
      <c r="BF760" t="s">
        <v>2455</v>
      </c>
      <c r="BG760" t="s">
        <v>98</v>
      </c>
      <c r="BH760" t="s">
        <v>98</v>
      </c>
      <c r="BI760" t="s">
        <v>98</v>
      </c>
      <c r="BK760" t="s">
        <v>110</v>
      </c>
      <c r="BL760" t="s">
        <v>7528</v>
      </c>
      <c r="CA760">
        <v>4773</v>
      </c>
      <c r="CB760" t="s">
        <v>484</v>
      </c>
      <c r="CL760" t="s">
        <v>99</v>
      </c>
      <c r="CM760" t="s">
        <v>99</v>
      </c>
      <c r="CN760" t="s">
        <v>692</v>
      </c>
      <c r="CO760" s="1">
        <v>43038</v>
      </c>
      <c r="CP760" s="1">
        <v>43633</v>
      </c>
    </row>
    <row r="761" spans="1:94" x14ac:dyDescent="0.25">
      <c r="A761" t="s">
        <v>2456</v>
      </c>
      <c r="B761" t="str">
        <f xml:space="preserve"> "" &amp; 747396104973</f>
        <v>747396104973</v>
      </c>
      <c r="C761" t="s">
        <v>853</v>
      </c>
      <c r="D761" t="s">
        <v>6737</v>
      </c>
      <c r="E761" t="s">
        <v>2454</v>
      </c>
      <c r="F761" t="s">
        <v>377</v>
      </c>
      <c r="G761">
        <v>1</v>
      </c>
      <c r="H761">
        <v>1</v>
      </c>
      <c r="I761" t="s">
        <v>97</v>
      </c>
      <c r="J761" s="10">
        <v>139</v>
      </c>
      <c r="K761" s="10">
        <v>417</v>
      </c>
      <c r="L761" s="10">
        <v>0</v>
      </c>
      <c r="N761" s="10">
        <v>0</v>
      </c>
      <c r="O761" t="s">
        <v>99</v>
      </c>
      <c r="P761" s="10">
        <v>294.95</v>
      </c>
      <c r="S761">
        <v>17</v>
      </c>
      <c r="T761">
        <v>16</v>
      </c>
      <c r="U761">
        <v>16</v>
      </c>
      <c r="W761">
        <v>6.83</v>
      </c>
      <c r="X761">
        <v>1</v>
      </c>
      <c r="Y761">
        <v>17.75</v>
      </c>
      <c r="Z761">
        <v>18</v>
      </c>
      <c r="AA761">
        <v>18</v>
      </c>
      <c r="AB761">
        <v>3.3279999999999998</v>
      </c>
      <c r="AC761">
        <v>10.58</v>
      </c>
      <c r="AE761">
        <v>4</v>
      </c>
      <c r="AF761" t="s">
        <v>1611</v>
      </c>
      <c r="AG761">
        <v>60</v>
      </c>
      <c r="AK761" t="s">
        <v>98</v>
      </c>
      <c r="AM761" t="s">
        <v>98</v>
      </c>
      <c r="AN761" t="s">
        <v>99</v>
      </c>
      <c r="AO761" t="s">
        <v>98</v>
      </c>
      <c r="AP761" t="s">
        <v>100</v>
      </c>
      <c r="AQ761" t="s">
        <v>101</v>
      </c>
      <c r="AV761" t="s">
        <v>98</v>
      </c>
      <c r="AX761" t="s">
        <v>484</v>
      </c>
      <c r="AZ761" t="s">
        <v>102</v>
      </c>
      <c r="BB761" t="s">
        <v>7528</v>
      </c>
      <c r="BC761" t="s">
        <v>7528</v>
      </c>
      <c r="BD761" t="s">
        <v>7528</v>
      </c>
      <c r="BF761" t="s">
        <v>2457</v>
      </c>
      <c r="BG761" t="s">
        <v>98</v>
      </c>
      <c r="BH761" t="s">
        <v>98</v>
      </c>
      <c r="BI761" t="s">
        <v>98</v>
      </c>
      <c r="BK761" t="s">
        <v>127</v>
      </c>
      <c r="BL761" t="s">
        <v>7528</v>
      </c>
      <c r="BR761">
        <v>0.75</v>
      </c>
      <c r="BS761">
        <v>5</v>
      </c>
      <c r="BT761">
        <v>5</v>
      </c>
      <c r="CA761">
        <v>4773</v>
      </c>
      <c r="CB761" t="s">
        <v>484</v>
      </c>
      <c r="CL761" t="s">
        <v>99</v>
      </c>
      <c r="CM761" t="s">
        <v>99</v>
      </c>
      <c r="CN761" t="s">
        <v>692</v>
      </c>
      <c r="CO761" s="1">
        <v>43038</v>
      </c>
      <c r="CP761" s="1">
        <v>43633</v>
      </c>
    </row>
    <row r="762" spans="1:94" x14ac:dyDescent="0.25">
      <c r="A762" t="s">
        <v>2458</v>
      </c>
      <c r="B762" t="str">
        <f xml:space="preserve"> "" &amp; 747396105062</f>
        <v>747396105062</v>
      </c>
      <c r="C762" t="s">
        <v>464</v>
      </c>
      <c r="D762" t="s">
        <v>6738</v>
      </c>
      <c r="E762" t="s">
        <v>2454</v>
      </c>
      <c r="F762" t="s">
        <v>240</v>
      </c>
      <c r="G762">
        <v>1</v>
      </c>
      <c r="H762">
        <v>1</v>
      </c>
      <c r="I762" t="s">
        <v>97</v>
      </c>
      <c r="J762" s="10">
        <v>199</v>
      </c>
      <c r="K762" s="10">
        <v>597</v>
      </c>
      <c r="L762" s="10">
        <v>0</v>
      </c>
      <c r="N762" s="10">
        <v>0</v>
      </c>
      <c r="O762" t="s">
        <v>99</v>
      </c>
      <c r="P762" s="10">
        <v>419.95</v>
      </c>
      <c r="S762">
        <v>28.75</v>
      </c>
      <c r="U762">
        <v>17</v>
      </c>
      <c r="W762">
        <v>7.5</v>
      </c>
      <c r="X762">
        <v>1</v>
      </c>
      <c r="Y762">
        <v>29.5</v>
      </c>
      <c r="Z762">
        <v>18.75</v>
      </c>
      <c r="AA762">
        <v>18.75</v>
      </c>
      <c r="AB762">
        <v>6.0019999999999998</v>
      </c>
      <c r="AC762">
        <v>13.96</v>
      </c>
      <c r="AE762">
        <v>4</v>
      </c>
      <c r="AF762" t="s">
        <v>1611</v>
      </c>
      <c r="AG762">
        <v>60</v>
      </c>
      <c r="AK762" t="s">
        <v>98</v>
      </c>
      <c r="AM762" t="s">
        <v>98</v>
      </c>
      <c r="AN762" t="s">
        <v>99</v>
      </c>
      <c r="AO762" t="s">
        <v>98</v>
      </c>
      <c r="AP762" t="s">
        <v>100</v>
      </c>
      <c r="AQ762" t="s">
        <v>101</v>
      </c>
      <c r="AV762" t="s">
        <v>98</v>
      </c>
      <c r="AX762" t="s">
        <v>367</v>
      </c>
      <c r="AZ762" t="s">
        <v>102</v>
      </c>
      <c r="BB762" t="s">
        <v>7528</v>
      </c>
      <c r="BC762" t="s">
        <v>7528</v>
      </c>
      <c r="BD762" t="s">
        <v>7528</v>
      </c>
      <c r="BF762" t="s">
        <v>2459</v>
      </c>
      <c r="BG762" t="s">
        <v>98</v>
      </c>
      <c r="BH762" t="s">
        <v>98</v>
      </c>
      <c r="BI762" t="s">
        <v>98</v>
      </c>
      <c r="BK762" t="s">
        <v>110</v>
      </c>
      <c r="BL762" t="s">
        <v>7528</v>
      </c>
      <c r="BR762">
        <v>0.75</v>
      </c>
      <c r="BS762">
        <v>5</v>
      </c>
      <c r="BT762">
        <v>5</v>
      </c>
      <c r="CA762">
        <v>4774</v>
      </c>
      <c r="CB762" t="s">
        <v>367</v>
      </c>
      <c r="CL762" t="s">
        <v>99</v>
      </c>
      <c r="CM762" t="s">
        <v>99</v>
      </c>
      <c r="CN762" t="s">
        <v>692</v>
      </c>
      <c r="CO762" s="1">
        <v>43038</v>
      </c>
      <c r="CP762" s="1">
        <v>43633</v>
      </c>
    </row>
    <row r="763" spans="1:94" x14ac:dyDescent="0.25">
      <c r="A763" t="s">
        <v>2460</v>
      </c>
      <c r="B763" t="str">
        <f xml:space="preserve"> "" &amp; 747396104980</f>
        <v>747396104980</v>
      </c>
      <c r="C763" t="s">
        <v>464</v>
      </c>
      <c r="D763" t="s">
        <v>6738</v>
      </c>
      <c r="E763" t="s">
        <v>2454</v>
      </c>
      <c r="F763" t="s">
        <v>240</v>
      </c>
      <c r="G763">
        <v>1</v>
      </c>
      <c r="H763">
        <v>1</v>
      </c>
      <c r="I763" t="s">
        <v>97</v>
      </c>
      <c r="J763" s="10">
        <v>199</v>
      </c>
      <c r="K763" s="10">
        <v>597</v>
      </c>
      <c r="L763" s="10">
        <v>0</v>
      </c>
      <c r="N763" s="10">
        <v>0</v>
      </c>
      <c r="O763" t="s">
        <v>99</v>
      </c>
      <c r="P763" s="10">
        <v>419.95</v>
      </c>
      <c r="S763">
        <v>28.75</v>
      </c>
      <c r="T763">
        <v>17</v>
      </c>
      <c r="U763">
        <v>17</v>
      </c>
      <c r="W763">
        <v>7.5</v>
      </c>
      <c r="X763">
        <v>1</v>
      </c>
      <c r="Y763">
        <v>29.5</v>
      </c>
      <c r="Z763">
        <v>18.75</v>
      </c>
      <c r="AA763">
        <v>18.75</v>
      </c>
      <c r="AB763">
        <v>6.0019999999999998</v>
      </c>
      <c r="AC763">
        <v>13.96</v>
      </c>
      <c r="AE763">
        <v>4</v>
      </c>
      <c r="AF763" t="s">
        <v>1611</v>
      </c>
      <c r="AG763">
        <v>60</v>
      </c>
      <c r="AK763" t="s">
        <v>98</v>
      </c>
      <c r="AM763" t="s">
        <v>98</v>
      </c>
      <c r="AN763" t="s">
        <v>99</v>
      </c>
      <c r="AO763" t="s">
        <v>98</v>
      </c>
      <c r="AP763" t="s">
        <v>100</v>
      </c>
      <c r="AQ763" t="s">
        <v>101</v>
      </c>
      <c r="AV763" t="s">
        <v>98</v>
      </c>
      <c r="AX763" t="s">
        <v>484</v>
      </c>
      <c r="AZ763" t="s">
        <v>102</v>
      </c>
      <c r="BB763" t="s">
        <v>7528</v>
      </c>
      <c r="BC763" t="s">
        <v>7528</v>
      </c>
      <c r="BD763" t="s">
        <v>7528</v>
      </c>
      <c r="BF763" t="s">
        <v>2461</v>
      </c>
      <c r="BG763" t="s">
        <v>98</v>
      </c>
      <c r="BH763" t="s">
        <v>98</v>
      </c>
      <c r="BI763" t="s">
        <v>98</v>
      </c>
      <c r="BK763" t="s">
        <v>110</v>
      </c>
      <c r="BL763" t="s">
        <v>7528</v>
      </c>
      <c r="BR763">
        <v>0.75</v>
      </c>
      <c r="BS763">
        <v>5</v>
      </c>
      <c r="BT763">
        <v>5</v>
      </c>
      <c r="CA763">
        <v>4774</v>
      </c>
      <c r="CB763" t="s">
        <v>484</v>
      </c>
      <c r="CL763" t="s">
        <v>99</v>
      </c>
      <c r="CM763" t="s">
        <v>99</v>
      </c>
      <c r="CN763" t="s">
        <v>692</v>
      </c>
      <c r="CO763" s="1">
        <v>43038</v>
      </c>
      <c r="CP763" s="1">
        <v>43633</v>
      </c>
    </row>
    <row r="764" spans="1:94" x14ac:dyDescent="0.25">
      <c r="A764" t="s">
        <v>2462</v>
      </c>
      <c r="B764" t="str">
        <f xml:space="preserve"> "" &amp; 747396107554</f>
        <v>747396107554</v>
      </c>
      <c r="C764" t="s">
        <v>2463</v>
      </c>
      <c r="D764" t="s">
        <v>6739</v>
      </c>
      <c r="E764" t="s">
        <v>2454</v>
      </c>
      <c r="F764" t="s">
        <v>249</v>
      </c>
      <c r="G764">
        <v>1</v>
      </c>
      <c r="H764">
        <v>1</v>
      </c>
      <c r="I764" t="s">
        <v>97</v>
      </c>
      <c r="J764" s="10">
        <v>419</v>
      </c>
      <c r="K764" s="10">
        <v>1257</v>
      </c>
      <c r="L764" s="10">
        <v>0</v>
      </c>
      <c r="N764" s="10">
        <v>0</v>
      </c>
      <c r="O764" t="s">
        <v>99</v>
      </c>
      <c r="P764" s="10">
        <v>879.95</v>
      </c>
      <c r="S764">
        <v>42.5</v>
      </c>
      <c r="T764">
        <v>25</v>
      </c>
      <c r="U764">
        <v>25</v>
      </c>
      <c r="W764">
        <v>16.14</v>
      </c>
      <c r="X764">
        <v>1</v>
      </c>
      <c r="Y764">
        <v>43.5</v>
      </c>
      <c r="Z764">
        <v>27</v>
      </c>
      <c r="AA764">
        <v>27</v>
      </c>
      <c r="AB764">
        <v>18.352</v>
      </c>
      <c r="AC764">
        <v>29.98</v>
      </c>
      <c r="AE764">
        <v>12</v>
      </c>
      <c r="AF764" t="s">
        <v>1611</v>
      </c>
      <c r="AG764">
        <v>40</v>
      </c>
      <c r="AK764" t="s">
        <v>98</v>
      </c>
      <c r="AM764" t="s">
        <v>98</v>
      </c>
      <c r="AN764" t="s">
        <v>99</v>
      </c>
      <c r="AO764" t="s">
        <v>98</v>
      </c>
      <c r="AP764" t="s">
        <v>100</v>
      </c>
      <c r="AQ764" t="s">
        <v>101</v>
      </c>
      <c r="AV764" t="s">
        <v>98</v>
      </c>
      <c r="AX764" t="s">
        <v>367</v>
      </c>
      <c r="AZ764" t="s">
        <v>102</v>
      </c>
      <c r="BB764" t="s">
        <v>7528</v>
      </c>
      <c r="BC764" t="s">
        <v>7528</v>
      </c>
      <c r="BD764" t="s">
        <v>7528</v>
      </c>
      <c r="BF764" t="s">
        <v>2464</v>
      </c>
      <c r="BG764" t="s">
        <v>98</v>
      </c>
      <c r="BH764" t="s">
        <v>98</v>
      </c>
      <c r="BI764" t="s">
        <v>98</v>
      </c>
      <c r="BK764" t="s">
        <v>110</v>
      </c>
      <c r="BL764" t="s">
        <v>7528</v>
      </c>
      <c r="BR764">
        <v>0.75</v>
      </c>
      <c r="BT764">
        <v>5</v>
      </c>
      <c r="CA764">
        <v>4775</v>
      </c>
      <c r="CB764" t="s">
        <v>367</v>
      </c>
      <c r="CL764" t="s">
        <v>99</v>
      </c>
      <c r="CM764" t="s">
        <v>99</v>
      </c>
      <c r="CN764" t="s">
        <v>692</v>
      </c>
      <c r="CO764" s="1">
        <v>43108</v>
      </c>
      <c r="CP764" s="1">
        <v>43633</v>
      </c>
    </row>
    <row r="765" spans="1:94" x14ac:dyDescent="0.25">
      <c r="A765" t="s">
        <v>2465</v>
      </c>
      <c r="B765" t="str">
        <f xml:space="preserve"> "" &amp; 747396107547</f>
        <v>747396107547</v>
      </c>
      <c r="C765" t="s">
        <v>464</v>
      </c>
      <c r="D765" t="s">
        <v>6740</v>
      </c>
      <c r="E765" t="s">
        <v>2454</v>
      </c>
      <c r="F765" t="s">
        <v>249</v>
      </c>
      <c r="G765">
        <v>1</v>
      </c>
      <c r="H765">
        <v>1</v>
      </c>
      <c r="I765" t="s">
        <v>97</v>
      </c>
      <c r="J765" s="10">
        <v>419</v>
      </c>
      <c r="K765" s="10">
        <v>1257</v>
      </c>
      <c r="L765" s="10">
        <v>0</v>
      </c>
      <c r="N765" s="10">
        <v>0</v>
      </c>
      <c r="O765" t="s">
        <v>99</v>
      </c>
      <c r="P765" s="10">
        <v>879.95</v>
      </c>
      <c r="S765">
        <v>42.5</v>
      </c>
      <c r="T765">
        <v>25</v>
      </c>
      <c r="U765">
        <v>25</v>
      </c>
      <c r="W765">
        <v>16.14</v>
      </c>
      <c r="X765">
        <v>1</v>
      </c>
      <c r="Y765">
        <v>43.5</v>
      </c>
      <c r="Z765">
        <v>27</v>
      </c>
      <c r="AA765">
        <v>27</v>
      </c>
      <c r="AB765">
        <v>18.352</v>
      </c>
      <c r="AC765">
        <v>29.98</v>
      </c>
      <c r="AE765">
        <v>12</v>
      </c>
      <c r="AF765" t="s">
        <v>1611</v>
      </c>
      <c r="AG765">
        <v>40</v>
      </c>
      <c r="AK765" t="s">
        <v>98</v>
      </c>
      <c r="AM765" t="s">
        <v>98</v>
      </c>
      <c r="AN765" t="s">
        <v>99</v>
      </c>
      <c r="AO765" t="s">
        <v>98</v>
      </c>
      <c r="AP765" t="s">
        <v>100</v>
      </c>
      <c r="AQ765" t="s">
        <v>101</v>
      </c>
      <c r="AV765" t="s">
        <v>98</v>
      </c>
      <c r="AX765" t="s">
        <v>484</v>
      </c>
      <c r="AZ765" t="s">
        <v>102</v>
      </c>
      <c r="BB765" t="s">
        <v>7528</v>
      </c>
      <c r="BC765" t="s">
        <v>7528</v>
      </c>
      <c r="BD765" t="s">
        <v>7528</v>
      </c>
      <c r="BF765" t="s">
        <v>2466</v>
      </c>
      <c r="BG765" t="s">
        <v>98</v>
      </c>
      <c r="BH765" t="s">
        <v>98</v>
      </c>
      <c r="BI765" t="s">
        <v>98</v>
      </c>
      <c r="BK765" t="s">
        <v>110</v>
      </c>
      <c r="BL765" t="s">
        <v>7528</v>
      </c>
      <c r="BR765">
        <v>0.75</v>
      </c>
      <c r="BT765">
        <v>5</v>
      </c>
      <c r="CA765">
        <v>4775</v>
      </c>
      <c r="CB765" t="s">
        <v>484</v>
      </c>
      <c r="CL765" t="s">
        <v>99</v>
      </c>
      <c r="CM765" t="s">
        <v>99</v>
      </c>
      <c r="CN765" t="s">
        <v>692</v>
      </c>
      <c r="CO765" s="1">
        <v>43104</v>
      </c>
      <c r="CP765" s="1">
        <v>43633</v>
      </c>
    </row>
    <row r="766" spans="1:94" x14ac:dyDescent="0.25">
      <c r="A766" t="s">
        <v>2467</v>
      </c>
      <c r="B766" t="str">
        <f xml:space="preserve"> "" &amp; 747396105079</f>
        <v>747396105079</v>
      </c>
      <c r="C766" t="s">
        <v>879</v>
      </c>
      <c r="D766" t="s">
        <v>6741</v>
      </c>
      <c r="E766" t="s">
        <v>2454</v>
      </c>
      <c r="F766" t="s">
        <v>240</v>
      </c>
      <c r="G766">
        <v>1</v>
      </c>
      <c r="H766">
        <v>1</v>
      </c>
      <c r="I766" t="s">
        <v>97</v>
      </c>
      <c r="J766" s="10">
        <v>339</v>
      </c>
      <c r="K766" s="10">
        <v>1017</v>
      </c>
      <c r="L766" s="10">
        <v>0</v>
      </c>
      <c r="N766" s="10">
        <v>0</v>
      </c>
      <c r="O766" t="s">
        <v>99</v>
      </c>
      <c r="P766" s="10">
        <v>714.95</v>
      </c>
      <c r="S766">
        <v>22</v>
      </c>
      <c r="T766">
        <v>47</v>
      </c>
      <c r="U766">
        <v>12.75</v>
      </c>
      <c r="W766">
        <v>14.86</v>
      </c>
      <c r="X766">
        <v>1</v>
      </c>
      <c r="Y766">
        <v>24</v>
      </c>
      <c r="Z766">
        <v>50.25</v>
      </c>
      <c r="AA766">
        <v>18.5</v>
      </c>
      <c r="AB766">
        <v>12.911</v>
      </c>
      <c r="AC766">
        <v>26.9</v>
      </c>
      <c r="AE766">
        <v>6</v>
      </c>
      <c r="AF766" t="s">
        <v>1611</v>
      </c>
      <c r="AG766">
        <v>60</v>
      </c>
      <c r="AK766" t="s">
        <v>98</v>
      </c>
      <c r="AM766" t="s">
        <v>98</v>
      </c>
      <c r="AN766" t="s">
        <v>99</v>
      </c>
      <c r="AO766" t="s">
        <v>98</v>
      </c>
      <c r="AP766" t="s">
        <v>100</v>
      </c>
      <c r="AQ766" t="s">
        <v>101</v>
      </c>
      <c r="AV766" t="s">
        <v>98</v>
      </c>
      <c r="AX766" t="s">
        <v>367</v>
      </c>
      <c r="AZ766" t="s">
        <v>102</v>
      </c>
      <c r="BB766" t="s">
        <v>7528</v>
      </c>
      <c r="BC766" t="s">
        <v>7528</v>
      </c>
      <c r="BD766" t="s">
        <v>7528</v>
      </c>
      <c r="BF766" t="s">
        <v>2468</v>
      </c>
      <c r="BG766" t="s">
        <v>98</v>
      </c>
      <c r="BH766" t="s">
        <v>98</v>
      </c>
      <c r="BI766" t="s">
        <v>98</v>
      </c>
      <c r="BK766" t="s">
        <v>110</v>
      </c>
      <c r="BL766" t="s">
        <v>7528</v>
      </c>
      <c r="BR766">
        <v>0.75</v>
      </c>
      <c r="BS766">
        <v>8</v>
      </c>
      <c r="BT766">
        <v>4.5</v>
      </c>
      <c r="CA766">
        <v>4776</v>
      </c>
      <c r="CB766" t="s">
        <v>367</v>
      </c>
      <c r="CL766" t="s">
        <v>99</v>
      </c>
      <c r="CM766" t="s">
        <v>99</v>
      </c>
      <c r="CN766" t="s">
        <v>692</v>
      </c>
      <c r="CO766" s="1">
        <v>43038</v>
      </c>
      <c r="CP766" s="1">
        <v>43633</v>
      </c>
    </row>
    <row r="767" spans="1:94" x14ac:dyDescent="0.25">
      <c r="A767" t="s">
        <v>2469</v>
      </c>
      <c r="B767" t="str">
        <f xml:space="preserve"> "" &amp; 747396104997</f>
        <v>747396104997</v>
      </c>
      <c r="C767" t="s">
        <v>879</v>
      </c>
      <c r="D767" t="s">
        <v>6741</v>
      </c>
      <c r="E767" t="s">
        <v>2454</v>
      </c>
      <c r="F767" t="s">
        <v>240</v>
      </c>
      <c r="G767">
        <v>1</v>
      </c>
      <c r="H767">
        <v>1</v>
      </c>
      <c r="I767" t="s">
        <v>97</v>
      </c>
      <c r="J767" s="10">
        <v>339</v>
      </c>
      <c r="K767" s="10">
        <v>1017</v>
      </c>
      <c r="L767" s="10">
        <v>0</v>
      </c>
      <c r="N767" s="10">
        <v>0</v>
      </c>
      <c r="O767" t="s">
        <v>99</v>
      </c>
      <c r="P767" s="10">
        <v>714.95</v>
      </c>
      <c r="S767">
        <v>22</v>
      </c>
      <c r="T767">
        <v>47</v>
      </c>
      <c r="U767">
        <v>12.75</v>
      </c>
      <c r="W767">
        <v>14.86</v>
      </c>
      <c r="X767">
        <v>1</v>
      </c>
      <c r="Y767">
        <v>24</v>
      </c>
      <c r="Z767">
        <v>50.25</v>
      </c>
      <c r="AA767">
        <v>18.5</v>
      </c>
      <c r="AB767">
        <v>12.911</v>
      </c>
      <c r="AC767">
        <v>26.9</v>
      </c>
      <c r="AE767">
        <v>6</v>
      </c>
      <c r="AF767" t="s">
        <v>1611</v>
      </c>
      <c r="AG767">
        <v>60</v>
      </c>
      <c r="AK767" t="s">
        <v>98</v>
      </c>
      <c r="AM767" t="s">
        <v>98</v>
      </c>
      <c r="AN767" t="s">
        <v>99</v>
      </c>
      <c r="AO767" t="s">
        <v>98</v>
      </c>
      <c r="AP767" t="s">
        <v>100</v>
      </c>
      <c r="AQ767" t="s">
        <v>101</v>
      </c>
      <c r="AV767" t="s">
        <v>98</v>
      </c>
      <c r="AX767" t="s">
        <v>484</v>
      </c>
      <c r="AZ767" t="s">
        <v>102</v>
      </c>
      <c r="BB767" t="s">
        <v>7528</v>
      </c>
      <c r="BC767" t="s">
        <v>7528</v>
      </c>
      <c r="BD767" t="s">
        <v>7528</v>
      </c>
      <c r="BF767" t="s">
        <v>2470</v>
      </c>
      <c r="BG767" t="s">
        <v>98</v>
      </c>
      <c r="BH767" t="s">
        <v>98</v>
      </c>
      <c r="BI767" t="s">
        <v>98</v>
      </c>
      <c r="BK767" t="s">
        <v>110</v>
      </c>
      <c r="BL767" t="s">
        <v>7528</v>
      </c>
      <c r="BR767">
        <v>0.75</v>
      </c>
      <c r="BS767">
        <v>8</v>
      </c>
      <c r="BT767">
        <v>4.5</v>
      </c>
      <c r="CA767">
        <v>4776</v>
      </c>
      <c r="CB767" t="s">
        <v>484</v>
      </c>
      <c r="CL767" t="s">
        <v>99</v>
      </c>
      <c r="CM767" t="s">
        <v>99</v>
      </c>
      <c r="CN767" t="s">
        <v>692</v>
      </c>
      <c r="CO767" s="1">
        <v>43038</v>
      </c>
      <c r="CP767" s="1">
        <v>43633</v>
      </c>
    </row>
    <row r="768" spans="1:94" x14ac:dyDescent="0.25">
      <c r="A768" t="s">
        <v>2471</v>
      </c>
      <c r="B768" t="str">
        <f xml:space="preserve"> "" &amp; 747396105048</f>
        <v>747396105048</v>
      </c>
      <c r="C768" t="s">
        <v>464</v>
      </c>
      <c r="D768" t="s">
        <v>6742</v>
      </c>
      <c r="E768" t="s">
        <v>2454</v>
      </c>
      <c r="F768" t="s">
        <v>240</v>
      </c>
      <c r="G768">
        <v>1</v>
      </c>
      <c r="H768">
        <v>1</v>
      </c>
      <c r="I768" t="s">
        <v>97</v>
      </c>
      <c r="J768" s="10">
        <v>285</v>
      </c>
      <c r="K768" s="10">
        <v>855</v>
      </c>
      <c r="L768" s="10">
        <v>0</v>
      </c>
      <c r="N768" s="10">
        <v>0</v>
      </c>
      <c r="O768" t="s">
        <v>99</v>
      </c>
      <c r="P768" s="10">
        <v>594.95000000000005</v>
      </c>
      <c r="S768">
        <v>33.75</v>
      </c>
      <c r="T768">
        <v>19.75</v>
      </c>
      <c r="U768">
        <v>19.75</v>
      </c>
      <c r="W768">
        <v>10.63</v>
      </c>
      <c r="X768">
        <v>1</v>
      </c>
      <c r="Y768">
        <v>34</v>
      </c>
      <c r="Z768">
        <v>22</v>
      </c>
      <c r="AA768">
        <v>22</v>
      </c>
      <c r="AB768">
        <v>9.5229999999999997</v>
      </c>
      <c r="AC768">
        <v>20.059999999999999</v>
      </c>
      <c r="AE768">
        <v>8</v>
      </c>
      <c r="AF768" t="s">
        <v>1611</v>
      </c>
      <c r="AG768">
        <v>60</v>
      </c>
      <c r="AK768" t="s">
        <v>98</v>
      </c>
      <c r="AM768" t="s">
        <v>98</v>
      </c>
      <c r="AN768" t="s">
        <v>99</v>
      </c>
      <c r="AO768" t="s">
        <v>98</v>
      </c>
      <c r="AP768" t="s">
        <v>100</v>
      </c>
      <c r="AQ768" t="s">
        <v>101</v>
      </c>
      <c r="AV768" t="s">
        <v>98</v>
      </c>
      <c r="AX768" t="s">
        <v>367</v>
      </c>
      <c r="AZ768" t="s">
        <v>102</v>
      </c>
      <c r="BB768" t="s">
        <v>7528</v>
      </c>
      <c r="BC768" t="s">
        <v>7528</v>
      </c>
      <c r="BD768" t="s">
        <v>7528</v>
      </c>
      <c r="BF768" t="s">
        <v>2472</v>
      </c>
      <c r="BG768" t="s">
        <v>98</v>
      </c>
      <c r="BH768" t="s">
        <v>98</v>
      </c>
      <c r="BI768" t="s">
        <v>98</v>
      </c>
      <c r="BK768" t="s">
        <v>110</v>
      </c>
      <c r="BL768" t="s">
        <v>7528</v>
      </c>
      <c r="BR768">
        <v>0.75</v>
      </c>
      <c r="BS768">
        <v>5</v>
      </c>
      <c r="BT768">
        <v>5</v>
      </c>
      <c r="CA768">
        <v>4778</v>
      </c>
      <c r="CB768" t="s">
        <v>367</v>
      </c>
      <c r="CL768" t="s">
        <v>99</v>
      </c>
      <c r="CM768" t="s">
        <v>99</v>
      </c>
      <c r="CN768" t="s">
        <v>692</v>
      </c>
      <c r="CO768" s="1">
        <v>43038</v>
      </c>
      <c r="CP768" s="1">
        <v>43633</v>
      </c>
    </row>
    <row r="769" spans="1:94" x14ac:dyDescent="0.25">
      <c r="A769" t="s">
        <v>2473</v>
      </c>
      <c r="B769" t="str">
        <f xml:space="preserve"> "" &amp; 747396104966</f>
        <v>747396104966</v>
      </c>
      <c r="C769" t="s">
        <v>866</v>
      </c>
      <c r="D769" t="s">
        <v>6742</v>
      </c>
      <c r="E769" t="s">
        <v>2454</v>
      </c>
      <c r="F769" t="s">
        <v>240</v>
      </c>
      <c r="G769">
        <v>1</v>
      </c>
      <c r="H769">
        <v>1</v>
      </c>
      <c r="I769" t="s">
        <v>97</v>
      </c>
      <c r="J769" s="10">
        <v>285</v>
      </c>
      <c r="K769" s="10">
        <v>855</v>
      </c>
      <c r="L769" s="10">
        <v>0</v>
      </c>
      <c r="N769" s="10">
        <v>0</v>
      </c>
      <c r="O769" t="s">
        <v>99</v>
      </c>
      <c r="P769" s="10">
        <v>594.95000000000005</v>
      </c>
      <c r="S769">
        <v>33.75</v>
      </c>
      <c r="T769">
        <v>19.75</v>
      </c>
      <c r="U769">
        <v>19.75</v>
      </c>
      <c r="W769">
        <v>10.63</v>
      </c>
      <c r="X769">
        <v>1</v>
      </c>
      <c r="Y769">
        <v>34</v>
      </c>
      <c r="Z769">
        <v>22</v>
      </c>
      <c r="AA769">
        <v>22</v>
      </c>
      <c r="AB769">
        <v>9.5229999999999997</v>
      </c>
      <c r="AC769">
        <v>20.059999999999999</v>
      </c>
      <c r="AE769">
        <v>8</v>
      </c>
      <c r="AF769" t="s">
        <v>1611</v>
      </c>
      <c r="AG769">
        <v>60</v>
      </c>
      <c r="AK769" t="s">
        <v>98</v>
      </c>
      <c r="AM769" t="s">
        <v>98</v>
      </c>
      <c r="AN769" t="s">
        <v>99</v>
      </c>
      <c r="AO769" t="s">
        <v>98</v>
      </c>
      <c r="AP769" t="s">
        <v>100</v>
      </c>
      <c r="AQ769" t="s">
        <v>101</v>
      </c>
      <c r="AV769" t="s">
        <v>98</v>
      </c>
      <c r="AX769" t="s">
        <v>484</v>
      </c>
      <c r="AZ769" t="s">
        <v>102</v>
      </c>
      <c r="BB769" t="s">
        <v>7528</v>
      </c>
      <c r="BC769" t="s">
        <v>7528</v>
      </c>
      <c r="BD769" t="s">
        <v>7528</v>
      </c>
      <c r="BF769" t="s">
        <v>2474</v>
      </c>
      <c r="BG769" t="s">
        <v>98</v>
      </c>
      <c r="BH769" t="s">
        <v>98</v>
      </c>
      <c r="BI769" t="s">
        <v>98</v>
      </c>
      <c r="BK769" t="s">
        <v>110</v>
      </c>
      <c r="BL769" t="s">
        <v>7528</v>
      </c>
      <c r="BR769">
        <v>0.75</v>
      </c>
      <c r="BS769">
        <v>5</v>
      </c>
      <c r="BT769">
        <v>5</v>
      </c>
      <c r="CA769">
        <v>4778</v>
      </c>
      <c r="CB769" t="s">
        <v>484</v>
      </c>
      <c r="CL769" t="s">
        <v>99</v>
      </c>
      <c r="CM769" t="s">
        <v>99</v>
      </c>
      <c r="CN769" t="s">
        <v>692</v>
      </c>
      <c r="CO769" s="1">
        <v>43038</v>
      </c>
      <c r="CP769" s="1">
        <v>43633</v>
      </c>
    </row>
    <row r="770" spans="1:94" x14ac:dyDescent="0.25">
      <c r="A770" t="s">
        <v>2475</v>
      </c>
      <c r="B770" t="str">
        <f xml:space="preserve"> "" &amp; 747396106922</f>
        <v>747396106922</v>
      </c>
      <c r="C770" t="s">
        <v>569</v>
      </c>
      <c r="D770" t="s">
        <v>6743</v>
      </c>
      <c r="E770" t="s">
        <v>2454</v>
      </c>
      <c r="F770" t="s">
        <v>478</v>
      </c>
      <c r="G770">
        <v>1</v>
      </c>
      <c r="H770">
        <v>1</v>
      </c>
      <c r="I770" t="s">
        <v>97</v>
      </c>
      <c r="J770" s="10">
        <v>89</v>
      </c>
      <c r="K770" s="10">
        <v>267</v>
      </c>
      <c r="L770" s="10">
        <v>0</v>
      </c>
      <c r="N770" s="10">
        <v>0</v>
      </c>
      <c r="O770" t="s">
        <v>99</v>
      </c>
      <c r="P770" s="10">
        <v>189.95</v>
      </c>
      <c r="S770">
        <v>7.5</v>
      </c>
      <c r="T770">
        <v>14</v>
      </c>
      <c r="U770">
        <v>14</v>
      </c>
      <c r="W770">
        <v>3.42</v>
      </c>
      <c r="X770">
        <v>1</v>
      </c>
      <c r="Y770">
        <v>9.5</v>
      </c>
      <c r="Z770">
        <v>16</v>
      </c>
      <c r="AA770">
        <v>16</v>
      </c>
      <c r="AB770">
        <v>1.407</v>
      </c>
      <c r="AC770">
        <v>5.05</v>
      </c>
      <c r="AE770">
        <v>4</v>
      </c>
      <c r="AF770" t="s">
        <v>1611</v>
      </c>
      <c r="AG770">
        <v>60</v>
      </c>
      <c r="AK770" t="s">
        <v>98</v>
      </c>
      <c r="AM770" t="s">
        <v>98</v>
      </c>
      <c r="AN770" t="s">
        <v>99</v>
      </c>
      <c r="AO770" t="s">
        <v>98</v>
      </c>
      <c r="AP770" t="s">
        <v>100</v>
      </c>
      <c r="AQ770" t="s">
        <v>101</v>
      </c>
      <c r="AV770" t="s">
        <v>98</v>
      </c>
      <c r="AX770" t="s">
        <v>484</v>
      </c>
      <c r="AZ770" t="s">
        <v>102</v>
      </c>
      <c r="BB770" t="s">
        <v>7528</v>
      </c>
      <c r="BC770" t="s">
        <v>7528</v>
      </c>
      <c r="BD770" t="s">
        <v>7528</v>
      </c>
      <c r="BF770" t="s">
        <v>2476</v>
      </c>
      <c r="BG770" t="s">
        <v>98</v>
      </c>
      <c r="BH770" t="s">
        <v>98</v>
      </c>
      <c r="BI770" t="s">
        <v>98</v>
      </c>
      <c r="BK770" t="s">
        <v>127</v>
      </c>
      <c r="BL770" t="s">
        <v>7528</v>
      </c>
      <c r="BQ770">
        <v>6</v>
      </c>
      <c r="BR770">
        <v>0.75</v>
      </c>
      <c r="BS770">
        <v>6</v>
      </c>
      <c r="BT770">
        <v>6</v>
      </c>
      <c r="CA770">
        <v>4779</v>
      </c>
      <c r="CB770" t="s">
        <v>484</v>
      </c>
      <c r="CL770" t="s">
        <v>99</v>
      </c>
      <c r="CM770" t="s">
        <v>98</v>
      </c>
      <c r="CN770" t="s">
        <v>692</v>
      </c>
      <c r="CO770" s="1">
        <v>43038</v>
      </c>
      <c r="CP770" s="1">
        <v>43633</v>
      </c>
    </row>
    <row r="771" spans="1:94" x14ac:dyDescent="0.25">
      <c r="A771" t="s">
        <v>2477</v>
      </c>
      <c r="B771" t="str">
        <f xml:space="preserve"> "" &amp; 747396106915</f>
        <v>747396106915</v>
      </c>
      <c r="C771" t="s">
        <v>569</v>
      </c>
      <c r="D771" t="s">
        <v>6743</v>
      </c>
      <c r="E771" t="s">
        <v>2454</v>
      </c>
      <c r="F771" t="s">
        <v>478</v>
      </c>
      <c r="G771">
        <v>1</v>
      </c>
      <c r="H771">
        <v>1</v>
      </c>
      <c r="I771" t="s">
        <v>97</v>
      </c>
      <c r="J771" s="10">
        <v>89</v>
      </c>
      <c r="K771" s="10">
        <v>267</v>
      </c>
      <c r="L771" s="10">
        <v>0</v>
      </c>
      <c r="N771" s="10">
        <v>0</v>
      </c>
      <c r="O771" t="s">
        <v>99</v>
      </c>
      <c r="P771" s="10">
        <v>189.95</v>
      </c>
      <c r="S771">
        <v>7.5</v>
      </c>
      <c r="T771">
        <v>14</v>
      </c>
      <c r="U771">
        <v>14</v>
      </c>
      <c r="W771">
        <v>3.42</v>
      </c>
      <c r="X771">
        <v>1</v>
      </c>
      <c r="Y771">
        <v>9.5</v>
      </c>
      <c r="Z771">
        <v>16</v>
      </c>
      <c r="AA771">
        <v>16</v>
      </c>
      <c r="AB771">
        <v>1.407</v>
      </c>
      <c r="AC771">
        <v>5.05</v>
      </c>
      <c r="AE771">
        <v>4</v>
      </c>
      <c r="AF771" t="s">
        <v>1611</v>
      </c>
      <c r="AG771">
        <v>60</v>
      </c>
      <c r="AK771" t="s">
        <v>98</v>
      </c>
      <c r="AM771" t="s">
        <v>98</v>
      </c>
      <c r="AN771" t="s">
        <v>99</v>
      </c>
      <c r="AO771" t="s">
        <v>98</v>
      </c>
      <c r="AP771" t="s">
        <v>100</v>
      </c>
      <c r="AQ771" t="s">
        <v>101</v>
      </c>
      <c r="AV771" t="s">
        <v>98</v>
      </c>
      <c r="AX771" t="s">
        <v>484</v>
      </c>
      <c r="AZ771" t="s">
        <v>102</v>
      </c>
      <c r="BB771" t="s">
        <v>7528</v>
      </c>
      <c r="BC771" t="s">
        <v>7528</v>
      </c>
      <c r="BD771" t="s">
        <v>7528</v>
      </c>
      <c r="BF771" t="s">
        <v>2478</v>
      </c>
      <c r="BG771" t="s">
        <v>98</v>
      </c>
      <c r="BH771" t="s">
        <v>98</v>
      </c>
      <c r="BI771" t="s">
        <v>98</v>
      </c>
      <c r="BK771" t="s">
        <v>127</v>
      </c>
      <c r="BL771" t="s">
        <v>7528</v>
      </c>
      <c r="BQ771">
        <v>6</v>
      </c>
      <c r="BR771">
        <v>0.75</v>
      </c>
      <c r="BS771">
        <v>6</v>
      </c>
      <c r="BT771">
        <v>6</v>
      </c>
      <c r="CA771">
        <v>4779</v>
      </c>
      <c r="CB771" t="s">
        <v>484</v>
      </c>
      <c r="CL771" t="s">
        <v>99</v>
      </c>
      <c r="CM771" t="s">
        <v>98</v>
      </c>
      <c r="CN771" t="s">
        <v>692</v>
      </c>
      <c r="CO771" s="1">
        <v>43038</v>
      </c>
      <c r="CP771" s="1">
        <v>43633</v>
      </c>
    </row>
    <row r="772" spans="1:94" x14ac:dyDescent="0.25">
      <c r="A772" t="s">
        <v>2479</v>
      </c>
      <c r="B772" t="str">
        <f xml:space="preserve"> "" &amp; 747396105000</f>
        <v>747396105000</v>
      </c>
      <c r="C772" t="s">
        <v>751</v>
      </c>
      <c r="D772" t="s">
        <v>6744</v>
      </c>
      <c r="E772" t="s">
        <v>2480</v>
      </c>
      <c r="F772" t="s">
        <v>323</v>
      </c>
      <c r="G772">
        <v>1</v>
      </c>
      <c r="H772">
        <v>1</v>
      </c>
      <c r="I772" t="s">
        <v>97</v>
      </c>
      <c r="J772" s="10">
        <v>36</v>
      </c>
      <c r="K772" s="10">
        <v>108</v>
      </c>
      <c r="L772" s="10">
        <v>0</v>
      </c>
      <c r="N772" s="10">
        <v>0</v>
      </c>
      <c r="O772" t="s">
        <v>99</v>
      </c>
      <c r="P772" s="10">
        <v>74.95</v>
      </c>
      <c r="S772">
        <v>8</v>
      </c>
      <c r="U772">
        <v>5.5</v>
      </c>
      <c r="V772">
        <v>6.75</v>
      </c>
      <c r="W772">
        <v>2.4300000000000002</v>
      </c>
      <c r="X772">
        <v>1</v>
      </c>
      <c r="Y772">
        <v>14.75</v>
      </c>
      <c r="Z772">
        <v>17.25</v>
      </c>
      <c r="AA772">
        <v>12.5</v>
      </c>
      <c r="AB772">
        <v>1.841</v>
      </c>
      <c r="AC772">
        <v>3.06</v>
      </c>
      <c r="AE772">
        <v>1</v>
      </c>
      <c r="AF772" t="s">
        <v>282</v>
      </c>
      <c r="AG772">
        <v>60</v>
      </c>
      <c r="AK772" t="s">
        <v>98</v>
      </c>
      <c r="AL772">
        <v>1</v>
      </c>
      <c r="AM772" t="s">
        <v>98</v>
      </c>
      <c r="AN772" t="s">
        <v>99</v>
      </c>
      <c r="AO772" t="s">
        <v>98</v>
      </c>
      <c r="AP772" t="s">
        <v>100</v>
      </c>
      <c r="AQ772" t="s">
        <v>101</v>
      </c>
      <c r="AV772" t="s">
        <v>98</v>
      </c>
      <c r="AX772" t="s">
        <v>399</v>
      </c>
      <c r="AZ772" t="s">
        <v>102</v>
      </c>
      <c r="BB772" t="s">
        <v>235</v>
      </c>
      <c r="BC772" t="s">
        <v>746</v>
      </c>
      <c r="BD772" t="s">
        <v>7528</v>
      </c>
      <c r="BF772" t="s">
        <v>2481</v>
      </c>
      <c r="BG772" t="s">
        <v>98</v>
      </c>
      <c r="BH772" t="s">
        <v>98</v>
      </c>
      <c r="BI772" t="s">
        <v>98</v>
      </c>
      <c r="BK772" t="s">
        <v>127</v>
      </c>
      <c r="BL772" t="s">
        <v>756</v>
      </c>
      <c r="BM772">
        <v>4.5</v>
      </c>
      <c r="BN772">
        <v>7.88</v>
      </c>
      <c r="CA772">
        <v>4781</v>
      </c>
      <c r="CB772" t="s">
        <v>399</v>
      </c>
      <c r="CL772" t="s">
        <v>99</v>
      </c>
      <c r="CM772" t="s">
        <v>99</v>
      </c>
      <c r="CN772" t="s">
        <v>442</v>
      </c>
      <c r="CO772" s="1">
        <v>43034</v>
      </c>
      <c r="CP772" s="1">
        <v>43633</v>
      </c>
    </row>
    <row r="773" spans="1:94" x14ac:dyDescent="0.25">
      <c r="A773" t="s">
        <v>2482</v>
      </c>
      <c r="B773" t="str">
        <f xml:space="preserve"> "" &amp; 747396105017</f>
        <v>747396105017</v>
      </c>
      <c r="C773" t="s">
        <v>758</v>
      </c>
      <c r="D773" t="s">
        <v>6745</v>
      </c>
      <c r="E773" t="s">
        <v>2480</v>
      </c>
      <c r="F773" t="s">
        <v>323</v>
      </c>
      <c r="G773">
        <v>1</v>
      </c>
      <c r="H773">
        <v>1</v>
      </c>
      <c r="I773" t="s">
        <v>97</v>
      </c>
      <c r="J773" s="10">
        <v>66</v>
      </c>
      <c r="K773" s="10">
        <v>198</v>
      </c>
      <c r="L773" s="10">
        <v>0</v>
      </c>
      <c r="N773" s="10">
        <v>0</v>
      </c>
      <c r="O773" t="s">
        <v>99</v>
      </c>
      <c r="P773" s="10">
        <v>134.94999999999999</v>
      </c>
      <c r="S773">
        <v>7.25</v>
      </c>
      <c r="U773">
        <v>16.5</v>
      </c>
      <c r="V773">
        <v>6.75</v>
      </c>
      <c r="W773">
        <v>4.72</v>
      </c>
      <c r="X773">
        <v>1</v>
      </c>
      <c r="Y773">
        <v>9.5</v>
      </c>
      <c r="Z773">
        <v>20.25</v>
      </c>
      <c r="AA773">
        <v>8.25</v>
      </c>
      <c r="AB773">
        <v>0.91800000000000004</v>
      </c>
      <c r="AC773">
        <v>5.69</v>
      </c>
      <c r="AE773">
        <v>2</v>
      </c>
      <c r="AF773" t="s">
        <v>282</v>
      </c>
      <c r="AG773">
        <v>60</v>
      </c>
      <c r="AK773" t="s">
        <v>98</v>
      </c>
      <c r="AL773">
        <v>2</v>
      </c>
      <c r="AM773" t="s">
        <v>98</v>
      </c>
      <c r="AN773" t="s">
        <v>99</v>
      </c>
      <c r="AO773" t="s">
        <v>98</v>
      </c>
      <c r="AP773" t="s">
        <v>100</v>
      </c>
      <c r="AQ773" t="s">
        <v>101</v>
      </c>
      <c r="AV773" t="s">
        <v>98</v>
      </c>
      <c r="AX773" t="s">
        <v>399</v>
      </c>
      <c r="AZ773" t="s">
        <v>102</v>
      </c>
      <c r="BB773" t="s">
        <v>235</v>
      </c>
      <c r="BC773" t="s">
        <v>746</v>
      </c>
      <c r="BD773" t="s">
        <v>7528</v>
      </c>
      <c r="BF773" t="s">
        <v>2483</v>
      </c>
      <c r="BG773" t="s">
        <v>98</v>
      </c>
      <c r="BH773" t="s">
        <v>98</v>
      </c>
      <c r="BI773" t="s">
        <v>98</v>
      </c>
      <c r="BK773" t="s">
        <v>127</v>
      </c>
      <c r="BL773" t="s">
        <v>756</v>
      </c>
      <c r="BM773">
        <v>7.88</v>
      </c>
      <c r="BN773">
        <v>4.5</v>
      </c>
      <c r="CA773">
        <v>4782</v>
      </c>
      <c r="CB773" t="s">
        <v>399</v>
      </c>
      <c r="CL773" t="s">
        <v>99</v>
      </c>
      <c r="CM773" t="s">
        <v>98</v>
      </c>
      <c r="CN773" t="s">
        <v>442</v>
      </c>
      <c r="CO773" s="1">
        <v>43034</v>
      </c>
      <c r="CP773" s="1">
        <v>43633</v>
      </c>
    </row>
    <row r="774" spans="1:94" x14ac:dyDescent="0.25">
      <c r="A774" t="s">
        <v>2484</v>
      </c>
      <c r="B774" t="str">
        <f xml:space="preserve"> "" &amp; 747396105024</f>
        <v>747396105024</v>
      </c>
      <c r="C774" t="s">
        <v>762</v>
      </c>
      <c r="D774" t="s">
        <v>6746</v>
      </c>
      <c r="E774" t="s">
        <v>2480</v>
      </c>
      <c r="F774" t="s">
        <v>323</v>
      </c>
      <c r="G774">
        <v>1</v>
      </c>
      <c r="H774">
        <v>1</v>
      </c>
      <c r="I774" t="s">
        <v>97</v>
      </c>
      <c r="J774" s="10">
        <v>86</v>
      </c>
      <c r="K774" s="10">
        <v>258</v>
      </c>
      <c r="L774" s="10">
        <v>0</v>
      </c>
      <c r="N774" s="10">
        <v>0</v>
      </c>
      <c r="O774" t="s">
        <v>99</v>
      </c>
      <c r="P774" s="10">
        <v>179.95</v>
      </c>
      <c r="S774">
        <v>7.25</v>
      </c>
      <c r="U774">
        <v>24</v>
      </c>
      <c r="V774">
        <v>6.75</v>
      </c>
      <c r="W774">
        <v>6.72</v>
      </c>
      <c r="X774">
        <v>1</v>
      </c>
      <c r="Y774">
        <v>9.5</v>
      </c>
      <c r="Z774">
        <v>28</v>
      </c>
      <c r="AA774">
        <v>8.25</v>
      </c>
      <c r="AB774">
        <v>1.27</v>
      </c>
      <c r="AC774">
        <v>7.96</v>
      </c>
      <c r="AE774">
        <v>3</v>
      </c>
      <c r="AF774" t="s">
        <v>282</v>
      </c>
      <c r="AG774">
        <v>60</v>
      </c>
      <c r="AK774" t="s">
        <v>98</v>
      </c>
      <c r="AL774">
        <v>3</v>
      </c>
      <c r="AM774" t="s">
        <v>98</v>
      </c>
      <c r="AN774" t="s">
        <v>99</v>
      </c>
      <c r="AO774" t="s">
        <v>98</v>
      </c>
      <c r="AP774" t="s">
        <v>100</v>
      </c>
      <c r="AQ774" t="s">
        <v>101</v>
      </c>
      <c r="AV774" t="s">
        <v>98</v>
      </c>
      <c r="AX774" t="s">
        <v>399</v>
      </c>
      <c r="AZ774" t="s">
        <v>102</v>
      </c>
      <c r="BB774" t="s">
        <v>235</v>
      </c>
      <c r="BC774" t="s">
        <v>746</v>
      </c>
      <c r="BD774" t="s">
        <v>7528</v>
      </c>
      <c r="BF774" t="s">
        <v>2485</v>
      </c>
      <c r="BG774" t="s">
        <v>98</v>
      </c>
      <c r="BH774" t="s">
        <v>98</v>
      </c>
      <c r="BI774" t="s">
        <v>98</v>
      </c>
      <c r="BK774" t="s">
        <v>127</v>
      </c>
      <c r="BL774" t="s">
        <v>756</v>
      </c>
      <c r="BM774">
        <v>7.88</v>
      </c>
      <c r="BN774">
        <v>4.5</v>
      </c>
      <c r="CA774">
        <v>4783</v>
      </c>
      <c r="CB774" t="s">
        <v>399</v>
      </c>
      <c r="CL774" t="s">
        <v>99</v>
      </c>
      <c r="CM774" t="s">
        <v>98</v>
      </c>
      <c r="CN774" t="s">
        <v>442</v>
      </c>
      <c r="CO774" s="1">
        <v>43034</v>
      </c>
      <c r="CP774" s="1">
        <v>43633</v>
      </c>
    </row>
    <row r="775" spans="1:94" x14ac:dyDescent="0.25">
      <c r="A775" t="s">
        <v>2486</v>
      </c>
      <c r="B775" t="str">
        <f xml:space="preserve"> "" &amp; 747396105031</f>
        <v>747396105031</v>
      </c>
      <c r="C775" t="s">
        <v>766</v>
      </c>
      <c r="D775" t="s">
        <v>6747</v>
      </c>
      <c r="E775" t="s">
        <v>2480</v>
      </c>
      <c r="F775" t="s">
        <v>323</v>
      </c>
      <c r="G775">
        <v>1</v>
      </c>
      <c r="H775">
        <v>1</v>
      </c>
      <c r="I775" t="s">
        <v>97</v>
      </c>
      <c r="J775" s="10">
        <v>106</v>
      </c>
      <c r="K775" s="10">
        <v>318</v>
      </c>
      <c r="L775" s="10">
        <v>0</v>
      </c>
      <c r="N775" s="10">
        <v>0</v>
      </c>
      <c r="O775" t="s">
        <v>99</v>
      </c>
      <c r="P775" s="10">
        <v>224.95</v>
      </c>
      <c r="S775">
        <v>7.25</v>
      </c>
      <c r="U775">
        <v>33.25</v>
      </c>
      <c r="V775">
        <v>6.75</v>
      </c>
      <c r="W775">
        <v>8.6</v>
      </c>
      <c r="X775">
        <v>1</v>
      </c>
      <c r="Y775">
        <v>9.5</v>
      </c>
      <c r="Z775">
        <v>35</v>
      </c>
      <c r="AA775">
        <v>8.25</v>
      </c>
      <c r="AB775">
        <v>1.587</v>
      </c>
      <c r="AC775">
        <v>10.36</v>
      </c>
      <c r="AE775">
        <v>4</v>
      </c>
      <c r="AF775" t="s">
        <v>282</v>
      </c>
      <c r="AG775">
        <v>60</v>
      </c>
      <c r="AK775" t="s">
        <v>98</v>
      </c>
      <c r="AL775">
        <v>4</v>
      </c>
      <c r="AM775" t="s">
        <v>98</v>
      </c>
      <c r="AN775" t="s">
        <v>99</v>
      </c>
      <c r="AO775" t="s">
        <v>98</v>
      </c>
      <c r="AP775" t="s">
        <v>100</v>
      </c>
      <c r="AQ775" t="s">
        <v>101</v>
      </c>
      <c r="AV775" t="s">
        <v>98</v>
      </c>
      <c r="AX775" t="s">
        <v>399</v>
      </c>
      <c r="AZ775" t="s">
        <v>102</v>
      </c>
      <c r="BB775" t="s">
        <v>235</v>
      </c>
      <c r="BC775" t="s">
        <v>746</v>
      </c>
      <c r="BD775" t="s">
        <v>7528</v>
      </c>
      <c r="BF775" t="s">
        <v>2487</v>
      </c>
      <c r="BG775" t="s">
        <v>98</v>
      </c>
      <c r="BH775" t="s">
        <v>98</v>
      </c>
      <c r="BI775" t="s">
        <v>98</v>
      </c>
      <c r="BK775" t="s">
        <v>127</v>
      </c>
      <c r="BL775" t="s">
        <v>756</v>
      </c>
      <c r="BM775">
        <v>7.88</v>
      </c>
      <c r="BN775">
        <v>4.5</v>
      </c>
      <c r="CA775">
        <v>4784</v>
      </c>
      <c r="CB775" t="s">
        <v>399</v>
      </c>
      <c r="CL775" t="s">
        <v>99</v>
      </c>
      <c r="CM775" t="s">
        <v>98</v>
      </c>
      <c r="CN775" t="s">
        <v>442</v>
      </c>
      <c r="CO775" s="1">
        <v>43034</v>
      </c>
      <c r="CP775" s="1">
        <v>43633</v>
      </c>
    </row>
    <row r="776" spans="1:94" x14ac:dyDescent="0.25">
      <c r="A776" t="s">
        <v>2488</v>
      </c>
      <c r="B776" t="str">
        <f xml:space="preserve"> "" &amp; 747396104294</f>
        <v>747396104294</v>
      </c>
      <c r="C776" t="s">
        <v>1168</v>
      </c>
      <c r="D776" t="s">
        <v>6748</v>
      </c>
      <c r="E776" t="s">
        <v>2489</v>
      </c>
      <c r="F776" t="s">
        <v>7532</v>
      </c>
      <c r="G776">
        <v>1</v>
      </c>
      <c r="H776">
        <v>1</v>
      </c>
      <c r="I776" t="s">
        <v>97</v>
      </c>
      <c r="J776" s="10">
        <v>42</v>
      </c>
      <c r="K776" s="10">
        <v>126</v>
      </c>
      <c r="L776" s="10">
        <v>0</v>
      </c>
      <c r="N776" s="10">
        <v>0</v>
      </c>
      <c r="O776" t="s">
        <v>99</v>
      </c>
      <c r="P776" s="10">
        <v>84.95</v>
      </c>
      <c r="S776">
        <v>6</v>
      </c>
      <c r="T776">
        <v>11.13</v>
      </c>
      <c r="U776">
        <v>4.5</v>
      </c>
      <c r="V776">
        <v>6.5</v>
      </c>
      <c r="W776">
        <v>4.03</v>
      </c>
      <c r="X776">
        <v>1</v>
      </c>
      <c r="Y776">
        <v>7.25</v>
      </c>
      <c r="Z776">
        <v>11.13</v>
      </c>
      <c r="AA776">
        <v>8.3800000000000008</v>
      </c>
      <c r="AB776">
        <v>0.39100000000000001</v>
      </c>
      <c r="AC776">
        <v>4.76</v>
      </c>
      <c r="AE776">
        <v>1</v>
      </c>
      <c r="AF776" t="s">
        <v>559</v>
      </c>
      <c r="AG776">
        <v>8</v>
      </c>
      <c r="AK776" t="s">
        <v>99</v>
      </c>
      <c r="AM776" t="s">
        <v>98</v>
      </c>
      <c r="AN776" t="s">
        <v>99</v>
      </c>
      <c r="AO776" t="s">
        <v>98</v>
      </c>
      <c r="AP776" t="s">
        <v>100</v>
      </c>
      <c r="AQ776" t="s">
        <v>101</v>
      </c>
      <c r="AV776" t="s">
        <v>98</v>
      </c>
      <c r="AX776" t="s">
        <v>399</v>
      </c>
      <c r="AZ776" t="s">
        <v>102</v>
      </c>
      <c r="BB776" t="s">
        <v>235</v>
      </c>
      <c r="BC776" t="s">
        <v>746</v>
      </c>
      <c r="BD776" t="s">
        <v>7528</v>
      </c>
      <c r="BF776" t="s">
        <v>2490</v>
      </c>
      <c r="BG776" t="s">
        <v>98</v>
      </c>
      <c r="BH776" t="s">
        <v>98</v>
      </c>
      <c r="BI776" t="s">
        <v>98</v>
      </c>
      <c r="BK776" t="s">
        <v>127</v>
      </c>
      <c r="BL776" t="s">
        <v>7528</v>
      </c>
      <c r="BM776">
        <v>4.5</v>
      </c>
      <c r="BN776">
        <v>6</v>
      </c>
      <c r="CA776">
        <v>4791</v>
      </c>
      <c r="CB776" t="s">
        <v>399</v>
      </c>
      <c r="CG776">
        <v>3000</v>
      </c>
      <c r="CH776">
        <v>93</v>
      </c>
      <c r="CI776">
        <v>696.5</v>
      </c>
      <c r="CJ776">
        <v>557.20000000000005</v>
      </c>
      <c r="CK776">
        <v>30000</v>
      </c>
      <c r="CL776" t="s">
        <v>99</v>
      </c>
      <c r="CM776" t="s">
        <v>98</v>
      </c>
      <c r="CN776" t="s">
        <v>442</v>
      </c>
      <c r="CO776" s="1">
        <v>42993</v>
      </c>
      <c r="CP776" s="1">
        <v>43633</v>
      </c>
    </row>
    <row r="777" spans="1:94" x14ac:dyDescent="0.25">
      <c r="A777" t="s">
        <v>2491</v>
      </c>
      <c r="B777" t="str">
        <f xml:space="preserve"> "" &amp; 747396104300</f>
        <v>747396104300</v>
      </c>
      <c r="C777" t="s">
        <v>1172</v>
      </c>
      <c r="D777" t="s">
        <v>6749</v>
      </c>
      <c r="E777" t="s">
        <v>2489</v>
      </c>
      <c r="F777" t="s">
        <v>7532</v>
      </c>
      <c r="G777">
        <v>1</v>
      </c>
      <c r="H777">
        <v>1</v>
      </c>
      <c r="I777" t="s">
        <v>97</v>
      </c>
      <c r="J777" s="10">
        <v>84</v>
      </c>
      <c r="K777" s="10">
        <v>252</v>
      </c>
      <c r="L777" s="10">
        <v>0</v>
      </c>
      <c r="N777" s="10">
        <v>0</v>
      </c>
      <c r="O777" t="s">
        <v>99</v>
      </c>
      <c r="P777" s="10">
        <v>174.95</v>
      </c>
      <c r="S777">
        <v>6</v>
      </c>
      <c r="T777">
        <v>16.75</v>
      </c>
      <c r="U777">
        <v>14.5</v>
      </c>
      <c r="V777">
        <v>6.5</v>
      </c>
      <c r="W777">
        <v>7.85</v>
      </c>
      <c r="X777">
        <v>1</v>
      </c>
      <c r="Y777">
        <v>9.75</v>
      </c>
      <c r="Z777">
        <v>16.75</v>
      </c>
      <c r="AA777">
        <v>8.75</v>
      </c>
      <c r="AB777">
        <v>0.82699999999999996</v>
      </c>
      <c r="AC777">
        <v>9.08</v>
      </c>
      <c r="AE777">
        <v>2</v>
      </c>
      <c r="AF777" t="s">
        <v>559</v>
      </c>
      <c r="AG777">
        <v>8</v>
      </c>
      <c r="AK777" t="s">
        <v>99</v>
      </c>
      <c r="AM777" t="s">
        <v>98</v>
      </c>
      <c r="AN777" t="s">
        <v>99</v>
      </c>
      <c r="AO777" t="s">
        <v>98</v>
      </c>
      <c r="AP777" t="s">
        <v>100</v>
      </c>
      <c r="AQ777" t="s">
        <v>101</v>
      </c>
      <c r="AV777" t="s">
        <v>98</v>
      </c>
      <c r="AX777" t="s">
        <v>399</v>
      </c>
      <c r="AZ777" t="s">
        <v>102</v>
      </c>
      <c r="BB777" t="s">
        <v>235</v>
      </c>
      <c r="BC777" t="s">
        <v>746</v>
      </c>
      <c r="BD777" t="s">
        <v>7528</v>
      </c>
      <c r="BF777" t="s">
        <v>2492</v>
      </c>
      <c r="BG777" t="s">
        <v>98</v>
      </c>
      <c r="BH777" t="s">
        <v>98</v>
      </c>
      <c r="BI777" t="s">
        <v>98</v>
      </c>
      <c r="BK777" t="s">
        <v>127</v>
      </c>
      <c r="BL777" t="s">
        <v>7528</v>
      </c>
      <c r="BM777">
        <v>14.5</v>
      </c>
      <c r="BN777">
        <v>0.88</v>
      </c>
      <c r="CA777">
        <v>4792</v>
      </c>
      <c r="CB777" t="s">
        <v>399</v>
      </c>
      <c r="CG777">
        <v>3000</v>
      </c>
      <c r="CH777">
        <v>93</v>
      </c>
      <c r="CI777">
        <v>1350.8</v>
      </c>
      <c r="CJ777">
        <v>1065.5999999999999</v>
      </c>
      <c r="CK777">
        <v>30000</v>
      </c>
      <c r="CL777" t="s">
        <v>99</v>
      </c>
      <c r="CM777" t="s">
        <v>98</v>
      </c>
      <c r="CN777" t="s">
        <v>442</v>
      </c>
      <c r="CO777" s="1">
        <v>42993</v>
      </c>
      <c r="CP777" s="1">
        <v>43633</v>
      </c>
    </row>
    <row r="778" spans="1:94" x14ac:dyDescent="0.25">
      <c r="A778" t="s">
        <v>2493</v>
      </c>
      <c r="B778" t="str">
        <f xml:space="preserve"> "" &amp; 747396104317</f>
        <v>747396104317</v>
      </c>
      <c r="C778" t="s">
        <v>1179</v>
      </c>
      <c r="D778" t="s">
        <v>6750</v>
      </c>
      <c r="E778" t="s">
        <v>2489</v>
      </c>
      <c r="F778" t="s">
        <v>7532</v>
      </c>
      <c r="G778">
        <v>1</v>
      </c>
      <c r="H778">
        <v>1</v>
      </c>
      <c r="I778" t="s">
        <v>97</v>
      </c>
      <c r="J778" s="10">
        <v>124</v>
      </c>
      <c r="K778" s="10">
        <v>372</v>
      </c>
      <c r="L778" s="10">
        <v>0</v>
      </c>
      <c r="N778" s="10">
        <v>0</v>
      </c>
      <c r="O778" t="s">
        <v>99</v>
      </c>
      <c r="P778" s="10">
        <v>259.95</v>
      </c>
      <c r="S778">
        <v>6</v>
      </c>
      <c r="U778">
        <v>23</v>
      </c>
      <c r="V778">
        <v>6.5</v>
      </c>
      <c r="W778">
        <v>12.13</v>
      </c>
      <c r="X778">
        <v>1</v>
      </c>
      <c r="Y778">
        <v>9.75</v>
      </c>
      <c r="Z778">
        <v>25.5</v>
      </c>
      <c r="AA778">
        <v>8.75</v>
      </c>
      <c r="AB778">
        <v>1.2589999999999999</v>
      </c>
      <c r="AC778">
        <v>13.8</v>
      </c>
      <c r="AE778">
        <v>3</v>
      </c>
      <c r="AF778" t="s">
        <v>559</v>
      </c>
      <c r="AG778">
        <v>8</v>
      </c>
      <c r="AK778" t="s">
        <v>99</v>
      </c>
      <c r="AM778" t="s">
        <v>98</v>
      </c>
      <c r="AN778" t="s">
        <v>99</v>
      </c>
      <c r="AO778" t="s">
        <v>98</v>
      </c>
      <c r="AP778" t="s">
        <v>100</v>
      </c>
      <c r="AQ778" t="s">
        <v>101</v>
      </c>
      <c r="AV778" t="s">
        <v>98</v>
      </c>
      <c r="AX778" t="s">
        <v>399</v>
      </c>
      <c r="AZ778" t="s">
        <v>102</v>
      </c>
      <c r="BB778" t="s">
        <v>235</v>
      </c>
      <c r="BC778" t="s">
        <v>746</v>
      </c>
      <c r="BD778" t="s">
        <v>7528</v>
      </c>
      <c r="BF778" t="s">
        <v>2494</v>
      </c>
      <c r="BG778" t="s">
        <v>98</v>
      </c>
      <c r="BH778" t="s">
        <v>98</v>
      </c>
      <c r="BI778" t="s">
        <v>98</v>
      </c>
      <c r="BK778" t="s">
        <v>127</v>
      </c>
      <c r="BL778" t="s">
        <v>7528</v>
      </c>
      <c r="BM778">
        <v>23</v>
      </c>
      <c r="BN778">
        <v>0.88</v>
      </c>
      <c r="CA778">
        <v>4793</v>
      </c>
      <c r="CB778" t="s">
        <v>399</v>
      </c>
      <c r="CG778">
        <v>3000</v>
      </c>
      <c r="CH778">
        <v>93</v>
      </c>
      <c r="CI778">
        <v>2037.8</v>
      </c>
      <c r="CJ778">
        <v>1590.4</v>
      </c>
      <c r="CK778">
        <v>30000</v>
      </c>
      <c r="CL778" t="s">
        <v>99</v>
      </c>
      <c r="CM778" t="s">
        <v>98</v>
      </c>
      <c r="CN778" t="s">
        <v>442</v>
      </c>
      <c r="CO778" s="1">
        <v>42993</v>
      </c>
      <c r="CP778" s="1">
        <v>43633</v>
      </c>
    </row>
    <row r="779" spans="1:94" x14ac:dyDescent="0.25">
      <c r="A779" t="s">
        <v>2495</v>
      </c>
      <c r="B779" t="str">
        <f xml:space="preserve"> "" &amp; 747396104324</f>
        <v>747396104324</v>
      </c>
      <c r="C779" t="s">
        <v>1185</v>
      </c>
      <c r="D779" t="s">
        <v>6751</v>
      </c>
      <c r="E779" t="s">
        <v>2489</v>
      </c>
      <c r="F779" t="s">
        <v>7532</v>
      </c>
      <c r="G779">
        <v>1</v>
      </c>
      <c r="H779">
        <v>1</v>
      </c>
      <c r="I779" t="s">
        <v>97</v>
      </c>
      <c r="J779" s="10">
        <v>154</v>
      </c>
      <c r="K779" s="10">
        <v>462</v>
      </c>
      <c r="L779" s="10">
        <v>0</v>
      </c>
      <c r="N779" s="10">
        <v>0</v>
      </c>
      <c r="O779" t="s">
        <v>99</v>
      </c>
      <c r="P779" s="10">
        <v>324.95</v>
      </c>
      <c r="S779">
        <v>6</v>
      </c>
      <c r="U779">
        <v>31.5</v>
      </c>
      <c r="V779">
        <v>6.5</v>
      </c>
      <c r="W779">
        <v>16.399999999999999</v>
      </c>
      <c r="X779">
        <v>1</v>
      </c>
      <c r="Y779">
        <v>9.75</v>
      </c>
      <c r="Z779">
        <v>34</v>
      </c>
      <c r="AA779">
        <v>8.75</v>
      </c>
      <c r="AB779">
        <v>1.679</v>
      </c>
      <c r="AC779">
        <v>19.11</v>
      </c>
      <c r="AE779">
        <v>4</v>
      </c>
      <c r="AF779" t="s">
        <v>559</v>
      </c>
      <c r="AG779">
        <v>8</v>
      </c>
      <c r="AK779" t="s">
        <v>99</v>
      </c>
      <c r="AM779" t="s">
        <v>98</v>
      </c>
      <c r="AN779" t="s">
        <v>99</v>
      </c>
      <c r="AO779" t="s">
        <v>98</v>
      </c>
      <c r="AP779" t="s">
        <v>100</v>
      </c>
      <c r="AQ779" t="s">
        <v>101</v>
      </c>
      <c r="AV779" t="s">
        <v>98</v>
      </c>
      <c r="AX779" t="s">
        <v>399</v>
      </c>
      <c r="AZ779" t="s">
        <v>102</v>
      </c>
      <c r="BB779" t="s">
        <v>235</v>
      </c>
      <c r="BC779" t="s">
        <v>746</v>
      </c>
      <c r="BD779" t="s">
        <v>7528</v>
      </c>
      <c r="BF779" t="s">
        <v>2496</v>
      </c>
      <c r="BG779" t="s">
        <v>98</v>
      </c>
      <c r="BH779" t="s">
        <v>98</v>
      </c>
      <c r="BI779" t="s">
        <v>98</v>
      </c>
      <c r="BK779" t="s">
        <v>127</v>
      </c>
      <c r="BL779" t="s">
        <v>7528</v>
      </c>
      <c r="BM779">
        <v>31.5</v>
      </c>
      <c r="BN779">
        <v>0.88</v>
      </c>
      <c r="CA779">
        <v>4794</v>
      </c>
      <c r="CB779" t="s">
        <v>399</v>
      </c>
      <c r="CG779">
        <v>3000</v>
      </c>
      <c r="CH779">
        <v>93</v>
      </c>
      <c r="CI779">
        <v>2738.5</v>
      </c>
      <c r="CJ779">
        <v>2038.3</v>
      </c>
      <c r="CK779">
        <v>30000</v>
      </c>
      <c r="CL779" t="s">
        <v>99</v>
      </c>
      <c r="CM779" t="s">
        <v>98</v>
      </c>
      <c r="CN779" t="s">
        <v>442</v>
      </c>
      <c r="CO779" s="1">
        <v>42993</v>
      </c>
      <c r="CP779" s="1">
        <v>43633</v>
      </c>
    </row>
    <row r="780" spans="1:94" x14ac:dyDescent="0.25">
      <c r="A780" t="s">
        <v>2497</v>
      </c>
      <c r="B780" t="str">
        <f xml:space="preserve"> "" &amp; 747396105307</f>
        <v>747396105307</v>
      </c>
      <c r="C780" t="s">
        <v>758</v>
      </c>
      <c r="D780" t="s">
        <v>6752</v>
      </c>
      <c r="E780" t="s">
        <v>2498</v>
      </c>
      <c r="F780" t="s">
        <v>323</v>
      </c>
      <c r="G780">
        <v>1</v>
      </c>
      <c r="H780">
        <v>1</v>
      </c>
      <c r="I780" t="s">
        <v>97</v>
      </c>
      <c r="J780" s="10">
        <v>50</v>
      </c>
      <c r="K780" s="10">
        <v>150</v>
      </c>
      <c r="L780" s="10">
        <v>0</v>
      </c>
      <c r="N780" s="10">
        <v>0</v>
      </c>
      <c r="O780" t="s">
        <v>99</v>
      </c>
      <c r="P780" s="10">
        <v>104.95</v>
      </c>
      <c r="S780">
        <v>8.25</v>
      </c>
      <c r="U780">
        <v>8.5</v>
      </c>
      <c r="V780">
        <v>6.5</v>
      </c>
      <c r="W780">
        <v>3.09</v>
      </c>
      <c r="X780">
        <v>1</v>
      </c>
      <c r="Y780">
        <v>8.8800000000000008</v>
      </c>
      <c r="Z780">
        <v>11</v>
      </c>
      <c r="AA780">
        <v>10.25</v>
      </c>
      <c r="AB780">
        <v>0.57899999999999996</v>
      </c>
      <c r="AC780">
        <v>4.28</v>
      </c>
      <c r="AE780">
        <v>2</v>
      </c>
      <c r="AF780" t="s">
        <v>2226</v>
      </c>
      <c r="AG780">
        <v>60</v>
      </c>
      <c r="AK780" t="s">
        <v>98</v>
      </c>
      <c r="AM780" t="s">
        <v>98</v>
      </c>
      <c r="AN780" t="s">
        <v>98</v>
      </c>
      <c r="AO780" t="s">
        <v>99</v>
      </c>
      <c r="AP780" t="s">
        <v>100</v>
      </c>
      <c r="AQ780" t="s">
        <v>101</v>
      </c>
      <c r="AV780" t="s">
        <v>98</v>
      </c>
      <c r="AX780" t="s">
        <v>399</v>
      </c>
      <c r="AZ780" t="s">
        <v>392</v>
      </c>
      <c r="BB780" t="s">
        <v>876</v>
      </c>
      <c r="BC780" t="s">
        <v>746</v>
      </c>
      <c r="BD780" t="s">
        <v>7528</v>
      </c>
      <c r="BF780" t="s">
        <v>2499</v>
      </c>
      <c r="BG780" t="s">
        <v>98</v>
      </c>
      <c r="BH780" t="s">
        <v>98</v>
      </c>
      <c r="BI780" t="s">
        <v>98</v>
      </c>
      <c r="BK780" t="s">
        <v>127</v>
      </c>
      <c r="BL780" t="s">
        <v>128</v>
      </c>
      <c r="BM780">
        <v>8.5</v>
      </c>
      <c r="BN780">
        <v>7.85</v>
      </c>
      <c r="CA780">
        <v>4802</v>
      </c>
      <c r="CB780" t="s">
        <v>399</v>
      </c>
      <c r="CL780" t="s">
        <v>99</v>
      </c>
      <c r="CM780" t="s">
        <v>98</v>
      </c>
      <c r="CN780" t="s">
        <v>838</v>
      </c>
      <c r="CO780" s="1">
        <v>43032</v>
      </c>
      <c r="CP780" s="1">
        <v>43633</v>
      </c>
    </row>
    <row r="781" spans="1:94" x14ac:dyDescent="0.25">
      <c r="A781" t="s">
        <v>2500</v>
      </c>
      <c r="B781" t="str">
        <f xml:space="preserve"> "" &amp; 747396105314</f>
        <v>747396105314</v>
      </c>
      <c r="C781" t="s">
        <v>762</v>
      </c>
      <c r="D781" t="s">
        <v>6753</v>
      </c>
      <c r="E781" t="s">
        <v>2498</v>
      </c>
      <c r="F781" t="s">
        <v>323</v>
      </c>
      <c r="G781">
        <v>1</v>
      </c>
      <c r="H781">
        <v>1</v>
      </c>
      <c r="I781" t="s">
        <v>97</v>
      </c>
      <c r="J781" s="10">
        <v>100</v>
      </c>
      <c r="K781" s="10">
        <v>300</v>
      </c>
      <c r="L781" s="10">
        <v>0</v>
      </c>
      <c r="N781" s="10">
        <v>0</v>
      </c>
      <c r="O781" t="s">
        <v>99</v>
      </c>
      <c r="P781" s="10">
        <v>209.95</v>
      </c>
      <c r="S781">
        <v>8.25</v>
      </c>
      <c r="U781">
        <v>17</v>
      </c>
      <c r="V781">
        <v>6.5</v>
      </c>
      <c r="W781">
        <v>5.84</v>
      </c>
      <c r="X781">
        <v>1</v>
      </c>
      <c r="Y781">
        <v>9.5</v>
      </c>
      <c r="Z781">
        <v>20.63</v>
      </c>
      <c r="AA781">
        <v>11</v>
      </c>
      <c r="AB781">
        <v>1.248</v>
      </c>
      <c r="AC781">
        <v>7.78</v>
      </c>
      <c r="AE781">
        <v>3</v>
      </c>
      <c r="AF781" t="s">
        <v>2226</v>
      </c>
      <c r="AG781">
        <v>60</v>
      </c>
      <c r="AK781" t="s">
        <v>98</v>
      </c>
      <c r="AM781" t="s">
        <v>98</v>
      </c>
      <c r="AN781" t="s">
        <v>98</v>
      </c>
      <c r="AO781" t="s">
        <v>99</v>
      </c>
      <c r="AP781" t="s">
        <v>100</v>
      </c>
      <c r="AQ781" t="s">
        <v>101</v>
      </c>
      <c r="AV781" t="s">
        <v>98</v>
      </c>
      <c r="AX781" t="s">
        <v>399</v>
      </c>
      <c r="AZ781" t="s">
        <v>392</v>
      </c>
      <c r="BB781" t="s">
        <v>876</v>
      </c>
      <c r="BC781" t="s">
        <v>746</v>
      </c>
      <c r="BD781" t="s">
        <v>7528</v>
      </c>
      <c r="BF781" t="s">
        <v>2501</v>
      </c>
      <c r="BG781" t="s">
        <v>98</v>
      </c>
      <c r="BH781" t="s">
        <v>98</v>
      </c>
      <c r="BI781" t="s">
        <v>98</v>
      </c>
      <c r="BK781" t="s">
        <v>127</v>
      </c>
      <c r="BL781" t="s">
        <v>128</v>
      </c>
      <c r="BM781">
        <v>17</v>
      </c>
      <c r="BN781">
        <v>7.8</v>
      </c>
      <c r="CA781">
        <v>4803</v>
      </c>
      <c r="CB781" t="s">
        <v>399</v>
      </c>
      <c r="CL781" t="s">
        <v>99</v>
      </c>
      <c r="CM781" t="s">
        <v>98</v>
      </c>
      <c r="CN781" t="s">
        <v>838</v>
      </c>
      <c r="CO781" s="1">
        <v>43032</v>
      </c>
      <c r="CP781" s="1">
        <v>43633</v>
      </c>
    </row>
    <row r="782" spans="1:94" x14ac:dyDescent="0.25">
      <c r="A782" t="s">
        <v>2502</v>
      </c>
      <c r="B782" t="str">
        <f xml:space="preserve"> "" &amp; 747396105321</f>
        <v>747396105321</v>
      </c>
      <c r="C782" t="s">
        <v>2207</v>
      </c>
      <c r="D782" t="s">
        <v>6754</v>
      </c>
      <c r="E782" t="s">
        <v>2498</v>
      </c>
      <c r="F782" t="s">
        <v>323</v>
      </c>
      <c r="G782">
        <v>1</v>
      </c>
      <c r="H782">
        <v>1</v>
      </c>
      <c r="I782" t="s">
        <v>97</v>
      </c>
      <c r="J782" s="10">
        <v>129</v>
      </c>
      <c r="K782" s="10">
        <v>387</v>
      </c>
      <c r="L782" s="10">
        <v>0</v>
      </c>
      <c r="N782" s="10">
        <v>0</v>
      </c>
      <c r="O782" t="s">
        <v>99</v>
      </c>
      <c r="P782" s="10">
        <v>269.95</v>
      </c>
      <c r="S782">
        <v>8.25</v>
      </c>
      <c r="U782">
        <v>26</v>
      </c>
      <c r="V782">
        <v>6.5</v>
      </c>
      <c r="W782">
        <v>8.16</v>
      </c>
      <c r="X782">
        <v>1</v>
      </c>
      <c r="Y782">
        <v>9.5</v>
      </c>
      <c r="Z782">
        <v>29.88</v>
      </c>
      <c r="AA782">
        <v>11</v>
      </c>
      <c r="AB782">
        <v>1.8069999999999999</v>
      </c>
      <c r="AC782">
        <v>10.87</v>
      </c>
      <c r="AE782">
        <v>5</v>
      </c>
      <c r="AF782" t="s">
        <v>2226</v>
      </c>
      <c r="AG782">
        <v>60</v>
      </c>
      <c r="AK782" t="s">
        <v>98</v>
      </c>
      <c r="AM782" t="s">
        <v>98</v>
      </c>
      <c r="AN782" t="s">
        <v>98</v>
      </c>
      <c r="AO782" t="s">
        <v>99</v>
      </c>
      <c r="AP782" t="s">
        <v>100</v>
      </c>
      <c r="AQ782" t="s">
        <v>101</v>
      </c>
      <c r="AV782" t="s">
        <v>98</v>
      </c>
      <c r="AX782" t="s">
        <v>399</v>
      </c>
      <c r="AZ782" t="s">
        <v>392</v>
      </c>
      <c r="BB782" t="s">
        <v>876</v>
      </c>
      <c r="BC782" t="s">
        <v>746</v>
      </c>
      <c r="BD782" t="s">
        <v>7528</v>
      </c>
      <c r="BF782" t="s">
        <v>2503</v>
      </c>
      <c r="BG782" t="s">
        <v>98</v>
      </c>
      <c r="BH782" t="s">
        <v>98</v>
      </c>
      <c r="BI782" t="s">
        <v>98</v>
      </c>
      <c r="BK782" t="s">
        <v>127</v>
      </c>
      <c r="BL782" t="s">
        <v>128</v>
      </c>
      <c r="BM782">
        <v>26</v>
      </c>
      <c r="BN782">
        <v>7.8</v>
      </c>
      <c r="CA782">
        <v>4805</v>
      </c>
      <c r="CB782" t="s">
        <v>399</v>
      </c>
      <c r="CL782" t="s">
        <v>99</v>
      </c>
      <c r="CM782" t="s">
        <v>98</v>
      </c>
      <c r="CN782" t="s">
        <v>838</v>
      </c>
      <c r="CO782" s="1">
        <v>43032</v>
      </c>
      <c r="CP782" s="1">
        <v>43633</v>
      </c>
    </row>
    <row r="783" spans="1:94" x14ac:dyDescent="0.25">
      <c r="A783" t="s">
        <v>2504</v>
      </c>
      <c r="B783" t="str">
        <f xml:space="preserve"> "" &amp; 747396105338</f>
        <v>747396105338</v>
      </c>
      <c r="C783" t="s">
        <v>875</v>
      </c>
      <c r="D783" t="s">
        <v>6755</v>
      </c>
      <c r="E783" t="s">
        <v>2498</v>
      </c>
      <c r="F783" t="s">
        <v>323</v>
      </c>
      <c r="G783">
        <v>1</v>
      </c>
      <c r="H783">
        <v>1</v>
      </c>
      <c r="I783" t="s">
        <v>97</v>
      </c>
      <c r="J783" s="10">
        <v>149</v>
      </c>
      <c r="K783" s="10">
        <v>447</v>
      </c>
      <c r="L783" s="10">
        <v>0</v>
      </c>
      <c r="N783" s="10">
        <v>0</v>
      </c>
      <c r="O783" t="s">
        <v>99</v>
      </c>
      <c r="P783" s="10">
        <v>314.95</v>
      </c>
      <c r="S783">
        <v>8</v>
      </c>
      <c r="U783">
        <v>33</v>
      </c>
      <c r="V783">
        <v>6.5</v>
      </c>
      <c r="W783">
        <v>9.92</v>
      </c>
      <c r="X783">
        <v>1</v>
      </c>
      <c r="Y783">
        <v>9.5</v>
      </c>
      <c r="Z783">
        <v>37</v>
      </c>
      <c r="AA783">
        <v>11</v>
      </c>
      <c r="AB783">
        <v>2.238</v>
      </c>
      <c r="AC783">
        <v>13.4</v>
      </c>
      <c r="AE783">
        <v>6</v>
      </c>
      <c r="AF783" t="s">
        <v>870</v>
      </c>
      <c r="AG783">
        <v>60</v>
      </c>
      <c r="AK783" t="s">
        <v>98</v>
      </c>
      <c r="AM783" t="s">
        <v>98</v>
      </c>
      <c r="AN783" t="s">
        <v>98</v>
      </c>
      <c r="AO783" t="s">
        <v>99</v>
      </c>
      <c r="AP783" t="s">
        <v>100</v>
      </c>
      <c r="AQ783" t="s">
        <v>101</v>
      </c>
      <c r="AV783" t="s">
        <v>98</v>
      </c>
      <c r="AX783" t="s">
        <v>399</v>
      </c>
      <c r="AZ783" t="s">
        <v>392</v>
      </c>
      <c r="BB783" t="s">
        <v>876</v>
      </c>
      <c r="BC783" t="s">
        <v>746</v>
      </c>
      <c r="BD783" t="s">
        <v>7528</v>
      </c>
      <c r="BF783" t="s">
        <v>2505</v>
      </c>
      <c r="BG783" t="s">
        <v>98</v>
      </c>
      <c r="BH783" t="s">
        <v>98</v>
      </c>
      <c r="BI783" t="s">
        <v>98</v>
      </c>
      <c r="BK783" t="s">
        <v>127</v>
      </c>
      <c r="BL783" t="s">
        <v>128</v>
      </c>
      <c r="BM783">
        <v>33</v>
      </c>
      <c r="BN783">
        <v>7.85</v>
      </c>
      <c r="CA783">
        <v>4806</v>
      </c>
      <c r="CB783" t="s">
        <v>399</v>
      </c>
      <c r="CL783" t="s">
        <v>99</v>
      </c>
      <c r="CM783" t="s">
        <v>98</v>
      </c>
      <c r="CN783" t="s">
        <v>838</v>
      </c>
      <c r="CO783" s="1">
        <v>43032</v>
      </c>
      <c r="CP783" s="1">
        <v>43633</v>
      </c>
    </row>
    <row r="784" spans="1:94" x14ac:dyDescent="0.25">
      <c r="A784" t="s">
        <v>2506</v>
      </c>
      <c r="B784" t="str">
        <f xml:space="preserve"> "" &amp; 747396105352</f>
        <v>747396105352</v>
      </c>
      <c r="C784" t="s">
        <v>2507</v>
      </c>
      <c r="D784" t="s">
        <v>6756</v>
      </c>
      <c r="E784" t="s">
        <v>2508</v>
      </c>
      <c r="F784" t="s">
        <v>377</v>
      </c>
      <c r="G784">
        <v>1</v>
      </c>
      <c r="H784">
        <v>1</v>
      </c>
      <c r="I784" t="s">
        <v>97</v>
      </c>
      <c r="J784" s="10">
        <v>135</v>
      </c>
      <c r="K784" s="10">
        <v>405</v>
      </c>
      <c r="L784" s="10">
        <v>0</v>
      </c>
      <c r="N784" s="10">
        <v>0</v>
      </c>
      <c r="O784" t="s">
        <v>99</v>
      </c>
      <c r="P784" s="10">
        <v>284.95</v>
      </c>
      <c r="S784">
        <v>12</v>
      </c>
      <c r="T784">
        <v>19.5</v>
      </c>
      <c r="U784">
        <v>19.5</v>
      </c>
      <c r="W784">
        <v>10.08</v>
      </c>
      <c r="X784">
        <v>1</v>
      </c>
      <c r="Y784">
        <v>5.75</v>
      </c>
      <c r="Z784">
        <v>19.88</v>
      </c>
      <c r="AA784">
        <v>19.88</v>
      </c>
      <c r="AB784">
        <v>1.3149999999999999</v>
      </c>
      <c r="AC784">
        <v>14.9</v>
      </c>
      <c r="AE784">
        <v>6</v>
      </c>
      <c r="AF784" t="s">
        <v>1611</v>
      </c>
      <c r="AG784">
        <v>60</v>
      </c>
      <c r="AK784" t="s">
        <v>98</v>
      </c>
      <c r="AM784" t="s">
        <v>98</v>
      </c>
      <c r="AN784" t="s">
        <v>98</v>
      </c>
      <c r="AO784" t="s">
        <v>99</v>
      </c>
      <c r="AP784" t="s">
        <v>100</v>
      </c>
      <c r="AQ784" t="s">
        <v>101</v>
      </c>
      <c r="AV784" t="s">
        <v>98</v>
      </c>
      <c r="AX784" t="s">
        <v>399</v>
      </c>
      <c r="AZ784" t="s">
        <v>392</v>
      </c>
      <c r="BB784" t="s">
        <v>235</v>
      </c>
      <c r="BC784" t="s">
        <v>746</v>
      </c>
      <c r="BD784" t="s">
        <v>7528</v>
      </c>
      <c r="BF784" t="s">
        <v>2509</v>
      </c>
      <c r="BG784" t="s">
        <v>98</v>
      </c>
      <c r="BH784" t="s">
        <v>98</v>
      </c>
      <c r="BI784" t="s">
        <v>98</v>
      </c>
      <c r="BK784" t="s">
        <v>127</v>
      </c>
      <c r="BL784" t="s">
        <v>7528</v>
      </c>
      <c r="BQ784">
        <v>5.91</v>
      </c>
      <c r="BR784">
        <v>0.79</v>
      </c>
      <c r="BS784">
        <v>5.91</v>
      </c>
      <c r="BT784">
        <v>5.91</v>
      </c>
      <c r="CA784">
        <v>4811</v>
      </c>
      <c r="CB784" t="s">
        <v>399</v>
      </c>
      <c r="CL784" t="s">
        <v>99</v>
      </c>
      <c r="CM784" t="s">
        <v>98</v>
      </c>
      <c r="CN784" t="s">
        <v>442</v>
      </c>
      <c r="CO784" s="1">
        <v>43032</v>
      </c>
      <c r="CP784" s="1">
        <v>43633</v>
      </c>
    </row>
    <row r="785" spans="1:94" x14ac:dyDescent="0.25">
      <c r="A785" t="s">
        <v>2510</v>
      </c>
      <c r="B785" t="str">
        <f xml:space="preserve"> "" &amp; 747396106649</f>
        <v>747396106649</v>
      </c>
      <c r="C785" t="s">
        <v>322</v>
      </c>
      <c r="D785" t="s">
        <v>6757</v>
      </c>
      <c r="E785" t="s">
        <v>2508</v>
      </c>
      <c r="F785" t="s">
        <v>323</v>
      </c>
      <c r="G785">
        <v>1</v>
      </c>
      <c r="H785">
        <v>1</v>
      </c>
      <c r="I785" t="s">
        <v>97</v>
      </c>
      <c r="J785" s="10">
        <v>74</v>
      </c>
      <c r="K785" s="10">
        <v>222</v>
      </c>
      <c r="L785" s="10">
        <v>0</v>
      </c>
      <c r="N785" s="10">
        <v>0</v>
      </c>
      <c r="O785" t="s">
        <v>99</v>
      </c>
      <c r="P785" s="10">
        <v>154.94999999999999</v>
      </c>
      <c r="S785">
        <v>6.75</v>
      </c>
      <c r="U785">
        <v>14</v>
      </c>
      <c r="V785">
        <v>7</v>
      </c>
      <c r="W785">
        <v>3.9</v>
      </c>
      <c r="X785">
        <v>1</v>
      </c>
      <c r="Y785">
        <v>8.25</v>
      </c>
      <c r="Z785">
        <v>14.13</v>
      </c>
      <c r="AA785">
        <v>7.88</v>
      </c>
      <c r="AB785">
        <v>0.53200000000000003</v>
      </c>
      <c r="AC785">
        <v>5.22</v>
      </c>
      <c r="AE785">
        <v>2</v>
      </c>
      <c r="AF785" t="s">
        <v>2226</v>
      </c>
      <c r="AG785">
        <v>60</v>
      </c>
      <c r="AK785" t="s">
        <v>98</v>
      </c>
      <c r="AM785" t="s">
        <v>98</v>
      </c>
      <c r="AN785" t="s">
        <v>98</v>
      </c>
      <c r="AO785" t="s">
        <v>99</v>
      </c>
      <c r="AP785" t="s">
        <v>100</v>
      </c>
      <c r="AQ785" t="s">
        <v>101</v>
      </c>
      <c r="AV785" t="s">
        <v>98</v>
      </c>
      <c r="AX785" t="s">
        <v>399</v>
      </c>
      <c r="AZ785" t="s">
        <v>392</v>
      </c>
      <c r="BB785" t="s">
        <v>235</v>
      </c>
      <c r="BC785" t="s">
        <v>746</v>
      </c>
      <c r="BD785" t="s">
        <v>7528</v>
      </c>
      <c r="BF785" t="s">
        <v>2511</v>
      </c>
      <c r="BG785" t="s">
        <v>98</v>
      </c>
      <c r="BH785" t="s">
        <v>98</v>
      </c>
      <c r="BI785" t="s">
        <v>98</v>
      </c>
      <c r="BK785" t="s">
        <v>127</v>
      </c>
      <c r="BL785" t="s">
        <v>236</v>
      </c>
      <c r="BM785">
        <v>10.47</v>
      </c>
      <c r="BN785">
        <v>5.51</v>
      </c>
      <c r="CA785">
        <v>4812</v>
      </c>
      <c r="CB785" t="s">
        <v>399</v>
      </c>
      <c r="CL785" t="s">
        <v>99</v>
      </c>
      <c r="CM785" t="s">
        <v>98</v>
      </c>
      <c r="CN785" t="s">
        <v>2512</v>
      </c>
      <c r="CO785" s="1">
        <v>43032</v>
      </c>
      <c r="CP785" s="1">
        <v>43633</v>
      </c>
    </row>
    <row r="786" spans="1:94" x14ac:dyDescent="0.25">
      <c r="A786" t="s">
        <v>2513</v>
      </c>
      <c r="B786" t="str">
        <f xml:space="preserve"> "" &amp; 747396105369</f>
        <v>747396105369</v>
      </c>
      <c r="C786" t="s">
        <v>766</v>
      </c>
      <c r="D786" t="s">
        <v>6758</v>
      </c>
      <c r="E786" t="s">
        <v>2508</v>
      </c>
      <c r="F786" t="s">
        <v>323</v>
      </c>
      <c r="G786">
        <v>1</v>
      </c>
      <c r="H786">
        <v>1</v>
      </c>
      <c r="I786" t="s">
        <v>97</v>
      </c>
      <c r="J786" s="10">
        <v>80</v>
      </c>
      <c r="K786" s="10">
        <v>240</v>
      </c>
      <c r="L786" s="10">
        <v>0</v>
      </c>
      <c r="N786" s="10">
        <v>0</v>
      </c>
      <c r="O786" t="s">
        <v>99</v>
      </c>
      <c r="P786" s="10">
        <v>169.95</v>
      </c>
      <c r="S786">
        <v>6.75</v>
      </c>
      <c r="U786">
        <v>21</v>
      </c>
      <c r="V786">
        <v>7</v>
      </c>
      <c r="W786">
        <v>6.44</v>
      </c>
      <c r="X786">
        <v>1</v>
      </c>
      <c r="Y786">
        <v>8.25</v>
      </c>
      <c r="Z786">
        <v>21.88</v>
      </c>
      <c r="AA786">
        <v>7.88</v>
      </c>
      <c r="AB786">
        <v>0.82299999999999995</v>
      </c>
      <c r="AC786">
        <v>8.18</v>
      </c>
      <c r="AE786">
        <v>4</v>
      </c>
      <c r="AF786" t="s">
        <v>2226</v>
      </c>
      <c r="AG786">
        <v>60</v>
      </c>
      <c r="AK786" t="s">
        <v>98</v>
      </c>
      <c r="AM786" t="s">
        <v>98</v>
      </c>
      <c r="AN786" t="s">
        <v>98</v>
      </c>
      <c r="AO786" t="s">
        <v>99</v>
      </c>
      <c r="AP786" t="s">
        <v>100</v>
      </c>
      <c r="AQ786" t="s">
        <v>101</v>
      </c>
      <c r="AV786" t="s">
        <v>98</v>
      </c>
      <c r="AX786" t="s">
        <v>399</v>
      </c>
      <c r="AZ786" t="s">
        <v>392</v>
      </c>
      <c r="BB786" t="s">
        <v>235</v>
      </c>
      <c r="BC786" t="s">
        <v>746</v>
      </c>
      <c r="BD786" t="s">
        <v>7528</v>
      </c>
      <c r="BF786" t="s">
        <v>2514</v>
      </c>
      <c r="BG786" t="s">
        <v>98</v>
      </c>
      <c r="BH786" t="s">
        <v>98</v>
      </c>
      <c r="BI786" t="s">
        <v>98</v>
      </c>
      <c r="BK786" t="s">
        <v>127</v>
      </c>
      <c r="BL786" t="s">
        <v>7528</v>
      </c>
      <c r="BM786">
        <v>17.72</v>
      </c>
      <c r="BN786">
        <v>5.51</v>
      </c>
      <c r="CA786">
        <v>4813</v>
      </c>
      <c r="CB786" t="s">
        <v>399</v>
      </c>
      <c r="CL786" t="s">
        <v>99</v>
      </c>
      <c r="CM786" t="s">
        <v>98</v>
      </c>
      <c r="CN786" t="s">
        <v>2512</v>
      </c>
      <c r="CO786" s="1">
        <v>43032</v>
      </c>
      <c r="CP786" s="1">
        <v>43633</v>
      </c>
    </row>
    <row r="787" spans="1:94" x14ac:dyDescent="0.25">
      <c r="A787" t="s">
        <v>2515</v>
      </c>
      <c r="B787" t="str">
        <f xml:space="preserve"> "" &amp; 747396105376</f>
        <v>747396105376</v>
      </c>
      <c r="C787" t="s">
        <v>2207</v>
      </c>
      <c r="D787" t="s">
        <v>6759</v>
      </c>
      <c r="E787" t="s">
        <v>2508</v>
      </c>
      <c r="F787" t="s">
        <v>323</v>
      </c>
      <c r="G787">
        <v>1</v>
      </c>
      <c r="H787">
        <v>1</v>
      </c>
      <c r="I787" t="s">
        <v>97</v>
      </c>
      <c r="J787" s="10">
        <v>109</v>
      </c>
      <c r="K787" s="10">
        <v>327</v>
      </c>
      <c r="L787" s="10">
        <v>0</v>
      </c>
      <c r="N787" s="10">
        <v>0</v>
      </c>
      <c r="O787" t="s">
        <v>99</v>
      </c>
      <c r="P787" s="10">
        <v>229.95</v>
      </c>
      <c r="S787">
        <v>6.75</v>
      </c>
      <c r="U787">
        <v>24</v>
      </c>
      <c r="V787">
        <v>7</v>
      </c>
      <c r="W787">
        <v>7.19</v>
      </c>
      <c r="X787">
        <v>1</v>
      </c>
      <c r="Y787">
        <v>8.25</v>
      </c>
      <c r="Z787">
        <v>24</v>
      </c>
      <c r="AA787">
        <v>7.88</v>
      </c>
      <c r="AB787">
        <v>0.90300000000000002</v>
      </c>
      <c r="AC787">
        <v>9.4600000000000009</v>
      </c>
      <c r="AE787">
        <v>5</v>
      </c>
      <c r="AF787" t="s">
        <v>2226</v>
      </c>
      <c r="AG787">
        <v>60</v>
      </c>
      <c r="AK787" t="s">
        <v>98</v>
      </c>
      <c r="AM787" t="s">
        <v>98</v>
      </c>
      <c r="AN787" t="s">
        <v>98</v>
      </c>
      <c r="AO787" t="s">
        <v>99</v>
      </c>
      <c r="AP787" t="s">
        <v>100</v>
      </c>
      <c r="AQ787" t="s">
        <v>101</v>
      </c>
      <c r="AV787" t="s">
        <v>98</v>
      </c>
      <c r="AX787" t="s">
        <v>399</v>
      </c>
      <c r="AZ787" t="s">
        <v>392</v>
      </c>
      <c r="BB787" t="s">
        <v>235</v>
      </c>
      <c r="BC787" t="s">
        <v>746</v>
      </c>
      <c r="BD787" t="s">
        <v>7528</v>
      </c>
      <c r="BF787" t="s">
        <v>2516</v>
      </c>
      <c r="BG787" t="s">
        <v>98</v>
      </c>
      <c r="BH787" t="s">
        <v>98</v>
      </c>
      <c r="BI787" t="s">
        <v>98</v>
      </c>
      <c r="BK787" t="s">
        <v>127</v>
      </c>
      <c r="BL787" t="s">
        <v>7528</v>
      </c>
      <c r="BM787">
        <v>20.079999999999998</v>
      </c>
      <c r="BN787">
        <v>5.51</v>
      </c>
      <c r="CA787">
        <v>4814</v>
      </c>
      <c r="CB787" t="s">
        <v>399</v>
      </c>
      <c r="CL787" t="s">
        <v>99</v>
      </c>
      <c r="CM787" t="s">
        <v>98</v>
      </c>
      <c r="CN787" t="s">
        <v>2512</v>
      </c>
      <c r="CO787" s="1">
        <v>43032</v>
      </c>
      <c r="CP787" s="1">
        <v>43633</v>
      </c>
    </row>
    <row r="788" spans="1:94" x14ac:dyDescent="0.25">
      <c r="A788" t="s">
        <v>2517</v>
      </c>
      <c r="B788" t="str">
        <f xml:space="preserve"> "" &amp; 747396105383</f>
        <v>747396105383</v>
      </c>
      <c r="C788" t="s">
        <v>2518</v>
      </c>
      <c r="D788" t="s">
        <v>6760</v>
      </c>
      <c r="E788" t="s">
        <v>2508</v>
      </c>
      <c r="F788" t="s">
        <v>323</v>
      </c>
      <c r="G788">
        <v>1</v>
      </c>
      <c r="H788">
        <v>1</v>
      </c>
      <c r="I788" t="s">
        <v>97</v>
      </c>
      <c r="J788" s="10">
        <v>135</v>
      </c>
      <c r="K788" s="10">
        <v>405</v>
      </c>
      <c r="L788" s="10">
        <v>0</v>
      </c>
      <c r="N788" s="10">
        <v>0</v>
      </c>
      <c r="O788" t="s">
        <v>99</v>
      </c>
      <c r="P788" s="10">
        <v>284.95</v>
      </c>
      <c r="S788">
        <v>6.75</v>
      </c>
      <c r="U788">
        <v>30.5</v>
      </c>
      <c r="V788">
        <v>7</v>
      </c>
      <c r="W788">
        <v>9.7200000000000006</v>
      </c>
      <c r="X788">
        <v>1</v>
      </c>
      <c r="Y788">
        <v>8.25</v>
      </c>
      <c r="Z788">
        <v>31.13</v>
      </c>
      <c r="AA788">
        <v>7.88</v>
      </c>
      <c r="AB788">
        <v>1.171</v>
      </c>
      <c r="AC788">
        <v>12.52</v>
      </c>
      <c r="AE788">
        <v>8</v>
      </c>
      <c r="AF788" t="s">
        <v>2226</v>
      </c>
      <c r="AG788">
        <v>60</v>
      </c>
      <c r="AK788" t="s">
        <v>98</v>
      </c>
      <c r="AM788" t="s">
        <v>98</v>
      </c>
      <c r="AN788" t="s">
        <v>98</v>
      </c>
      <c r="AO788" t="s">
        <v>99</v>
      </c>
      <c r="AP788" t="s">
        <v>100</v>
      </c>
      <c r="AQ788" t="s">
        <v>101</v>
      </c>
      <c r="AV788" t="s">
        <v>98</v>
      </c>
      <c r="AX788" t="s">
        <v>399</v>
      </c>
      <c r="AZ788" t="s">
        <v>392</v>
      </c>
      <c r="BB788" t="s">
        <v>235</v>
      </c>
      <c r="BC788" t="s">
        <v>746</v>
      </c>
      <c r="BD788" t="s">
        <v>7528</v>
      </c>
      <c r="BF788" t="s">
        <v>2519</v>
      </c>
      <c r="BG788" t="s">
        <v>98</v>
      </c>
      <c r="BH788" t="s">
        <v>98</v>
      </c>
      <c r="BI788" t="s">
        <v>98</v>
      </c>
      <c r="BK788" t="s">
        <v>127</v>
      </c>
      <c r="BL788" t="s">
        <v>236</v>
      </c>
      <c r="BM788">
        <v>27.09</v>
      </c>
      <c r="BN788">
        <v>5.51</v>
      </c>
      <c r="CA788">
        <v>4815</v>
      </c>
      <c r="CB788" t="s">
        <v>399</v>
      </c>
      <c r="CL788" t="s">
        <v>99</v>
      </c>
      <c r="CM788" t="s">
        <v>98</v>
      </c>
      <c r="CN788" t="s">
        <v>2512</v>
      </c>
      <c r="CO788" s="1">
        <v>43032</v>
      </c>
      <c r="CP788" s="1">
        <v>43633</v>
      </c>
    </row>
    <row r="789" spans="1:94" x14ac:dyDescent="0.25">
      <c r="A789" t="s">
        <v>2520</v>
      </c>
      <c r="B789" t="str">
        <f xml:space="preserve"> "" &amp; 747396105390</f>
        <v>747396105390</v>
      </c>
      <c r="C789" t="s">
        <v>1711</v>
      </c>
      <c r="D789" t="s">
        <v>6761</v>
      </c>
      <c r="E789" t="s">
        <v>2508</v>
      </c>
      <c r="F789" t="s">
        <v>240</v>
      </c>
      <c r="G789">
        <v>1</v>
      </c>
      <c r="H789">
        <v>1</v>
      </c>
      <c r="I789" t="s">
        <v>97</v>
      </c>
      <c r="J789" s="10">
        <v>135</v>
      </c>
      <c r="K789" s="10">
        <v>405</v>
      </c>
      <c r="L789" s="10">
        <v>0</v>
      </c>
      <c r="N789" s="10">
        <v>0</v>
      </c>
      <c r="O789" t="s">
        <v>99</v>
      </c>
      <c r="P789" s="10">
        <v>284.95</v>
      </c>
      <c r="S789">
        <v>20.25</v>
      </c>
      <c r="T789">
        <v>19.5</v>
      </c>
      <c r="U789">
        <v>19.5</v>
      </c>
      <c r="W789">
        <v>11.97</v>
      </c>
      <c r="X789">
        <v>1</v>
      </c>
      <c r="Y789">
        <v>5.75</v>
      </c>
      <c r="Z789">
        <v>19.88</v>
      </c>
      <c r="AA789">
        <v>19.88</v>
      </c>
      <c r="AB789">
        <v>1.3149999999999999</v>
      </c>
      <c r="AC789">
        <v>17</v>
      </c>
      <c r="AE789">
        <v>6</v>
      </c>
      <c r="AF789" t="s">
        <v>1611</v>
      </c>
      <c r="AG789">
        <v>60</v>
      </c>
      <c r="AK789" t="s">
        <v>98</v>
      </c>
      <c r="AM789" t="s">
        <v>98</v>
      </c>
      <c r="AN789" t="s">
        <v>98</v>
      </c>
      <c r="AO789" t="s">
        <v>99</v>
      </c>
      <c r="AP789" t="s">
        <v>100</v>
      </c>
      <c r="AQ789" t="s">
        <v>101</v>
      </c>
      <c r="AV789" t="s">
        <v>98</v>
      </c>
      <c r="AX789" t="s">
        <v>399</v>
      </c>
      <c r="AZ789" t="s">
        <v>392</v>
      </c>
      <c r="BB789" t="s">
        <v>235</v>
      </c>
      <c r="BC789" t="s">
        <v>746</v>
      </c>
      <c r="BD789" t="s">
        <v>7528</v>
      </c>
      <c r="BF789" t="s">
        <v>2521</v>
      </c>
      <c r="BG789" t="s">
        <v>98</v>
      </c>
      <c r="BH789" t="s">
        <v>98</v>
      </c>
      <c r="BI789" t="s">
        <v>98</v>
      </c>
      <c r="BK789" t="s">
        <v>110</v>
      </c>
      <c r="BL789" t="s">
        <v>7528</v>
      </c>
      <c r="BQ789">
        <v>4.72</v>
      </c>
      <c r="BR789">
        <v>0.79</v>
      </c>
      <c r="BS789">
        <v>4.72</v>
      </c>
      <c r="BT789">
        <v>4.72</v>
      </c>
      <c r="CA789">
        <v>4816</v>
      </c>
      <c r="CB789" t="s">
        <v>399</v>
      </c>
      <c r="CL789" t="s">
        <v>99</v>
      </c>
      <c r="CM789" t="s">
        <v>99</v>
      </c>
      <c r="CN789" t="s">
        <v>2512</v>
      </c>
      <c r="CO789" s="1">
        <v>43033</v>
      </c>
      <c r="CP789" s="1">
        <v>43633</v>
      </c>
    </row>
    <row r="790" spans="1:94" x14ac:dyDescent="0.25">
      <c r="A790" t="s">
        <v>2522</v>
      </c>
      <c r="B790" t="str">
        <f xml:space="preserve"> "" &amp; 747396105406</f>
        <v>747396105406</v>
      </c>
      <c r="C790" t="s">
        <v>866</v>
      </c>
      <c r="D790" t="s">
        <v>6762</v>
      </c>
      <c r="E790" t="s">
        <v>2508</v>
      </c>
      <c r="F790" t="s">
        <v>240</v>
      </c>
      <c r="G790">
        <v>1</v>
      </c>
      <c r="H790">
        <v>1</v>
      </c>
      <c r="I790" t="s">
        <v>97</v>
      </c>
      <c r="J790" s="10">
        <v>185</v>
      </c>
      <c r="K790" s="10">
        <v>555</v>
      </c>
      <c r="L790" s="10">
        <v>0</v>
      </c>
      <c r="N790" s="10">
        <v>0</v>
      </c>
      <c r="O790" t="s">
        <v>99</v>
      </c>
      <c r="P790" s="10">
        <v>389.95</v>
      </c>
      <c r="S790">
        <v>23</v>
      </c>
      <c r="T790">
        <v>24.5</v>
      </c>
      <c r="U790">
        <v>24.5</v>
      </c>
      <c r="W790">
        <v>15.59</v>
      </c>
      <c r="X790">
        <v>1</v>
      </c>
      <c r="Y790">
        <v>5.75</v>
      </c>
      <c r="Z790">
        <v>24.38</v>
      </c>
      <c r="AA790">
        <v>24.38</v>
      </c>
      <c r="AB790">
        <v>1.978</v>
      </c>
      <c r="AC790">
        <v>21.41</v>
      </c>
      <c r="AE790">
        <v>8</v>
      </c>
      <c r="AF790" t="s">
        <v>1611</v>
      </c>
      <c r="AG790">
        <v>60</v>
      </c>
      <c r="AK790" t="s">
        <v>98</v>
      </c>
      <c r="AM790" t="s">
        <v>98</v>
      </c>
      <c r="AN790" t="s">
        <v>98</v>
      </c>
      <c r="AO790" t="s">
        <v>99</v>
      </c>
      <c r="AP790" t="s">
        <v>100</v>
      </c>
      <c r="AQ790" t="s">
        <v>101</v>
      </c>
      <c r="AV790" t="s">
        <v>98</v>
      </c>
      <c r="AX790" t="s">
        <v>399</v>
      </c>
      <c r="AZ790" t="s">
        <v>392</v>
      </c>
      <c r="BB790" t="s">
        <v>235</v>
      </c>
      <c r="BC790" t="s">
        <v>746</v>
      </c>
      <c r="BD790" t="s">
        <v>7528</v>
      </c>
      <c r="BF790" t="s">
        <v>2523</v>
      </c>
      <c r="BG790" t="s">
        <v>98</v>
      </c>
      <c r="BH790" t="s">
        <v>98</v>
      </c>
      <c r="BI790" t="s">
        <v>98</v>
      </c>
      <c r="BK790" t="s">
        <v>110</v>
      </c>
      <c r="BL790" t="s">
        <v>7528</v>
      </c>
      <c r="BQ790">
        <v>4.72</v>
      </c>
      <c r="BR790">
        <v>0.79</v>
      </c>
      <c r="BS790">
        <v>4.72</v>
      </c>
      <c r="BT790">
        <v>4.72</v>
      </c>
      <c r="CA790">
        <v>4817</v>
      </c>
      <c r="CB790" t="s">
        <v>399</v>
      </c>
      <c r="CL790" t="s">
        <v>99</v>
      </c>
      <c r="CM790" t="s">
        <v>99</v>
      </c>
      <c r="CN790" t="s">
        <v>2512</v>
      </c>
      <c r="CO790" s="1">
        <v>43034</v>
      </c>
      <c r="CP790" s="1">
        <v>43633</v>
      </c>
    </row>
    <row r="791" spans="1:94" x14ac:dyDescent="0.25">
      <c r="A791" t="s">
        <v>2524</v>
      </c>
      <c r="B791" t="str">
        <f xml:space="preserve"> "" &amp; 747396105413</f>
        <v>747396105413</v>
      </c>
      <c r="C791" t="s">
        <v>2525</v>
      </c>
      <c r="D791" t="s">
        <v>6763</v>
      </c>
      <c r="E791" t="s">
        <v>2508</v>
      </c>
      <c r="F791" t="s">
        <v>240</v>
      </c>
      <c r="G791">
        <v>1</v>
      </c>
      <c r="H791">
        <v>1</v>
      </c>
      <c r="I791" t="s">
        <v>97</v>
      </c>
      <c r="J791" s="10">
        <v>265</v>
      </c>
      <c r="K791" s="10">
        <v>795</v>
      </c>
      <c r="L791" s="10">
        <v>0</v>
      </c>
      <c r="N791" s="10">
        <v>0</v>
      </c>
      <c r="O791" t="s">
        <v>99</v>
      </c>
      <c r="P791" s="10">
        <v>554.95000000000005</v>
      </c>
      <c r="S791">
        <v>27</v>
      </c>
      <c r="T791">
        <v>29.25</v>
      </c>
      <c r="U791">
        <v>29.25</v>
      </c>
      <c r="W791">
        <v>21.65</v>
      </c>
      <c r="X791">
        <v>1</v>
      </c>
      <c r="Y791">
        <v>5.75</v>
      </c>
      <c r="Z791">
        <v>28.5</v>
      </c>
      <c r="AA791">
        <v>28.5</v>
      </c>
      <c r="AB791">
        <v>2.7029999999999998</v>
      </c>
      <c r="AC791">
        <v>29.87</v>
      </c>
      <c r="AE791">
        <v>10</v>
      </c>
      <c r="AF791" t="s">
        <v>1611</v>
      </c>
      <c r="AG791">
        <v>60</v>
      </c>
      <c r="AK791" t="s">
        <v>98</v>
      </c>
      <c r="AM791" t="s">
        <v>98</v>
      </c>
      <c r="AN791" t="s">
        <v>98</v>
      </c>
      <c r="AO791" t="s">
        <v>99</v>
      </c>
      <c r="AP791" t="s">
        <v>100</v>
      </c>
      <c r="AQ791" t="s">
        <v>101</v>
      </c>
      <c r="AV791" t="s">
        <v>98</v>
      </c>
      <c r="AX791" t="s">
        <v>399</v>
      </c>
      <c r="AZ791" t="s">
        <v>392</v>
      </c>
      <c r="BB791" t="s">
        <v>235</v>
      </c>
      <c r="BC791" t="s">
        <v>746</v>
      </c>
      <c r="BD791" t="s">
        <v>7528</v>
      </c>
      <c r="BF791" t="s">
        <v>2526</v>
      </c>
      <c r="BG791" t="s">
        <v>98</v>
      </c>
      <c r="BH791" t="s">
        <v>98</v>
      </c>
      <c r="BI791" t="s">
        <v>98</v>
      </c>
      <c r="BK791" t="s">
        <v>110</v>
      </c>
      <c r="BL791" t="s">
        <v>7528</v>
      </c>
      <c r="BQ791">
        <v>4.72</v>
      </c>
      <c r="BR791">
        <v>0.79</v>
      </c>
      <c r="BS791">
        <v>4.72</v>
      </c>
      <c r="BT791">
        <v>4.72</v>
      </c>
      <c r="CA791">
        <v>4818</v>
      </c>
      <c r="CB791" t="s">
        <v>399</v>
      </c>
      <c r="CL791" t="s">
        <v>99</v>
      </c>
      <c r="CM791" t="s">
        <v>99</v>
      </c>
      <c r="CN791" t="s">
        <v>2512</v>
      </c>
      <c r="CO791" s="1">
        <v>43034</v>
      </c>
      <c r="CP791" s="1">
        <v>43633</v>
      </c>
    </row>
    <row r="792" spans="1:94" x14ac:dyDescent="0.25">
      <c r="A792" t="s">
        <v>2527</v>
      </c>
      <c r="B792" t="str">
        <f xml:space="preserve"> "" &amp; 747396106458</f>
        <v>747396106458</v>
      </c>
      <c r="C792" t="s">
        <v>2265</v>
      </c>
      <c r="D792" t="s">
        <v>6764</v>
      </c>
      <c r="E792" t="s">
        <v>2508</v>
      </c>
      <c r="F792" t="s">
        <v>240</v>
      </c>
      <c r="G792">
        <v>1</v>
      </c>
      <c r="H792">
        <v>1</v>
      </c>
      <c r="I792" t="s">
        <v>97</v>
      </c>
      <c r="J792" s="10">
        <v>375</v>
      </c>
      <c r="K792" s="10">
        <v>1125</v>
      </c>
      <c r="L792" s="10">
        <v>0</v>
      </c>
      <c r="N792" s="10">
        <v>0</v>
      </c>
      <c r="O792" t="s">
        <v>99</v>
      </c>
      <c r="P792" s="10">
        <v>784.95</v>
      </c>
      <c r="S792">
        <v>30</v>
      </c>
      <c r="T792">
        <v>24.5</v>
      </c>
      <c r="U792">
        <v>24.5</v>
      </c>
      <c r="W792">
        <v>25.64</v>
      </c>
      <c r="X792">
        <v>1</v>
      </c>
      <c r="Y792">
        <v>9.25</v>
      </c>
      <c r="Z792">
        <v>24.38</v>
      </c>
      <c r="AA792">
        <v>24.38</v>
      </c>
      <c r="AB792">
        <v>3.1819999999999999</v>
      </c>
      <c r="AC792">
        <v>32.450000000000003</v>
      </c>
      <c r="AE792">
        <v>14</v>
      </c>
      <c r="AF792" t="s">
        <v>1611</v>
      </c>
      <c r="AG792">
        <v>60</v>
      </c>
      <c r="AK792" t="s">
        <v>98</v>
      </c>
      <c r="AM792" t="s">
        <v>98</v>
      </c>
      <c r="AN792" t="s">
        <v>98</v>
      </c>
      <c r="AO792" t="s">
        <v>99</v>
      </c>
      <c r="AP792" t="s">
        <v>100</v>
      </c>
      <c r="AQ792" t="s">
        <v>101</v>
      </c>
      <c r="AV792" t="s">
        <v>98</v>
      </c>
      <c r="AX792" t="s">
        <v>399</v>
      </c>
      <c r="AZ792" t="s">
        <v>392</v>
      </c>
      <c r="BB792" t="s">
        <v>235</v>
      </c>
      <c r="BC792" t="s">
        <v>746</v>
      </c>
      <c r="BD792" t="s">
        <v>7528</v>
      </c>
      <c r="BF792" t="s">
        <v>2528</v>
      </c>
      <c r="BG792" t="s">
        <v>98</v>
      </c>
      <c r="BH792" t="s">
        <v>98</v>
      </c>
      <c r="BI792" t="s">
        <v>98</v>
      </c>
      <c r="BK792" t="s">
        <v>110</v>
      </c>
      <c r="BL792" t="s">
        <v>7528</v>
      </c>
      <c r="BQ792">
        <v>4.72</v>
      </c>
      <c r="BR792">
        <v>0.79</v>
      </c>
      <c r="BS792">
        <v>4.72</v>
      </c>
      <c r="BT792">
        <v>4.72</v>
      </c>
      <c r="CA792">
        <v>4819</v>
      </c>
      <c r="CB792" t="s">
        <v>399</v>
      </c>
      <c r="CL792" t="s">
        <v>99</v>
      </c>
      <c r="CM792" t="s">
        <v>98</v>
      </c>
      <c r="CN792" t="s">
        <v>2512</v>
      </c>
      <c r="CO792" s="1">
        <v>43034</v>
      </c>
      <c r="CP792" s="1">
        <v>43633</v>
      </c>
    </row>
    <row r="793" spans="1:94" x14ac:dyDescent="0.25">
      <c r="A793" t="s">
        <v>2529</v>
      </c>
      <c r="B793" t="str">
        <f xml:space="preserve"> "" &amp; 747396108179</f>
        <v>747396108179</v>
      </c>
      <c r="C793" t="s">
        <v>2530</v>
      </c>
      <c r="D793" t="s">
        <v>6765</v>
      </c>
      <c r="E793" t="s">
        <v>2508</v>
      </c>
      <c r="F793" t="s">
        <v>249</v>
      </c>
      <c r="G793">
        <v>1</v>
      </c>
      <c r="H793">
        <v>1</v>
      </c>
      <c r="I793" t="s">
        <v>97</v>
      </c>
      <c r="J793" s="10">
        <v>695</v>
      </c>
      <c r="K793" s="10">
        <v>2085</v>
      </c>
      <c r="L793" s="10">
        <v>0</v>
      </c>
      <c r="N793" s="10">
        <v>0</v>
      </c>
      <c r="O793" t="s">
        <v>99</v>
      </c>
      <c r="P793" s="10">
        <v>1459.95</v>
      </c>
      <c r="S793">
        <v>37.75</v>
      </c>
      <c r="T793">
        <v>29.25</v>
      </c>
      <c r="U793">
        <v>29.25</v>
      </c>
      <c r="W793">
        <v>41.67</v>
      </c>
      <c r="X793">
        <v>1</v>
      </c>
      <c r="Y793">
        <v>17.5</v>
      </c>
      <c r="Z793">
        <v>29.5</v>
      </c>
      <c r="AA793">
        <v>29.5</v>
      </c>
      <c r="AB793">
        <v>8.8130000000000006</v>
      </c>
      <c r="AC793">
        <v>53.79</v>
      </c>
      <c r="AE793">
        <v>24</v>
      </c>
      <c r="AF793" t="s">
        <v>1611</v>
      </c>
      <c r="AG793">
        <v>60</v>
      </c>
      <c r="AK793" t="s">
        <v>98</v>
      </c>
      <c r="AM793" t="s">
        <v>98</v>
      </c>
      <c r="AN793" t="s">
        <v>98</v>
      </c>
      <c r="AO793" t="s">
        <v>99</v>
      </c>
      <c r="AP793" t="s">
        <v>100</v>
      </c>
      <c r="AQ793" t="s">
        <v>101</v>
      </c>
      <c r="AV793" t="s">
        <v>98</v>
      </c>
      <c r="AX793" t="s">
        <v>399</v>
      </c>
      <c r="AZ793" t="s">
        <v>392</v>
      </c>
      <c r="BB793" t="s">
        <v>235</v>
      </c>
      <c r="BC793" t="s">
        <v>746</v>
      </c>
      <c r="BD793" t="s">
        <v>7528</v>
      </c>
      <c r="BF793" t="s">
        <v>2531</v>
      </c>
      <c r="BG793" t="s">
        <v>98</v>
      </c>
      <c r="BH793" t="s">
        <v>98</v>
      </c>
      <c r="BI793" t="s">
        <v>98</v>
      </c>
      <c r="BK793" t="s">
        <v>127</v>
      </c>
      <c r="BL793" t="s">
        <v>7528</v>
      </c>
      <c r="BQ793">
        <v>4.75</v>
      </c>
      <c r="BR793">
        <v>0.75</v>
      </c>
      <c r="BS793">
        <v>4.75</v>
      </c>
      <c r="BT793">
        <v>4.75</v>
      </c>
      <c r="CA793">
        <v>4820</v>
      </c>
      <c r="CB793" t="s">
        <v>399</v>
      </c>
      <c r="CL793" t="s">
        <v>99</v>
      </c>
      <c r="CM793" t="s">
        <v>98</v>
      </c>
      <c r="CN793" t="s">
        <v>2512</v>
      </c>
      <c r="CO793" s="1">
        <v>43108</v>
      </c>
      <c r="CP793" s="1">
        <v>43633</v>
      </c>
    </row>
    <row r="794" spans="1:94" x14ac:dyDescent="0.25">
      <c r="A794" t="s">
        <v>2532</v>
      </c>
      <c r="B794" t="str">
        <f xml:space="preserve"> "" &amp; 747396110349</f>
        <v>747396110349</v>
      </c>
      <c r="C794" t="s">
        <v>2533</v>
      </c>
      <c r="D794" t="s">
        <v>2534</v>
      </c>
      <c r="E794" t="s">
        <v>2535</v>
      </c>
      <c r="F794" t="s">
        <v>240</v>
      </c>
      <c r="G794">
        <v>1</v>
      </c>
      <c r="H794">
        <v>1</v>
      </c>
      <c r="I794" t="s">
        <v>97</v>
      </c>
      <c r="J794" s="10">
        <v>100</v>
      </c>
      <c r="K794" s="10">
        <v>300</v>
      </c>
      <c r="L794" s="10">
        <v>0</v>
      </c>
      <c r="N794" s="10">
        <v>0</v>
      </c>
      <c r="O794" t="s">
        <v>99</v>
      </c>
      <c r="P794" s="10">
        <v>209.95</v>
      </c>
      <c r="S794">
        <v>18.5</v>
      </c>
      <c r="U794">
        <v>10</v>
      </c>
      <c r="W794">
        <v>4.63</v>
      </c>
      <c r="X794">
        <v>1</v>
      </c>
      <c r="Y794">
        <v>19.75</v>
      </c>
      <c r="Z794">
        <v>11.5</v>
      </c>
      <c r="AA794">
        <v>11.5</v>
      </c>
      <c r="AB794">
        <v>1.512</v>
      </c>
      <c r="AC794">
        <v>7.5</v>
      </c>
      <c r="AE794">
        <v>4</v>
      </c>
      <c r="AF794" t="s">
        <v>772</v>
      </c>
      <c r="AG794">
        <v>60</v>
      </c>
      <c r="AK794" t="s">
        <v>98</v>
      </c>
      <c r="AM794" t="s">
        <v>98</v>
      </c>
      <c r="AN794" t="s">
        <v>99</v>
      </c>
      <c r="AO794" t="s">
        <v>98</v>
      </c>
      <c r="AP794" t="s">
        <v>100</v>
      </c>
      <c r="AQ794" t="s">
        <v>101</v>
      </c>
      <c r="AV794" t="s">
        <v>98</v>
      </c>
      <c r="AX794" t="s">
        <v>2536</v>
      </c>
      <c r="AZ794" t="s">
        <v>124</v>
      </c>
      <c r="BB794" t="s">
        <v>7528</v>
      </c>
      <c r="BC794" t="s">
        <v>7528</v>
      </c>
      <c r="BD794" t="s">
        <v>7528</v>
      </c>
      <c r="BF794" t="s">
        <v>2537</v>
      </c>
      <c r="BG794" t="s">
        <v>98</v>
      </c>
      <c r="BH794" t="s">
        <v>98</v>
      </c>
      <c r="BI794" t="s">
        <v>98</v>
      </c>
      <c r="BK794" t="s">
        <v>127</v>
      </c>
      <c r="BL794" t="s">
        <v>7528</v>
      </c>
      <c r="BR794">
        <v>1</v>
      </c>
      <c r="BT794">
        <v>5</v>
      </c>
      <c r="CA794">
        <v>4832</v>
      </c>
      <c r="CB794" t="s">
        <v>2536</v>
      </c>
      <c r="CL794" t="s">
        <v>99</v>
      </c>
      <c r="CM794" t="s">
        <v>99</v>
      </c>
      <c r="CN794" t="s">
        <v>838</v>
      </c>
      <c r="CO794" s="1">
        <v>43525</v>
      </c>
      <c r="CP794" s="1">
        <v>43633</v>
      </c>
    </row>
    <row r="795" spans="1:94" x14ac:dyDescent="0.25">
      <c r="A795" t="s">
        <v>2538</v>
      </c>
      <c r="B795" t="str">
        <f xml:space="preserve"> "" &amp; 747396110325</f>
        <v>747396110325</v>
      </c>
      <c r="C795" t="s">
        <v>2539</v>
      </c>
      <c r="D795" t="s">
        <v>2540</v>
      </c>
      <c r="E795" t="s">
        <v>2535</v>
      </c>
      <c r="F795" t="s">
        <v>314</v>
      </c>
      <c r="G795">
        <v>1</v>
      </c>
      <c r="H795">
        <v>1</v>
      </c>
      <c r="I795" t="s">
        <v>97</v>
      </c>
      <c r="J795" s="10">
        <v>140</v>
      </c>
      <c r="K795" s="10">
        <v>420</v>
      </c>
      <c r="L795" s="10">
        <v>0</v>
      </c>
      <c r="N795" s="10">
        <v>0</v>
      </c>
      <c r="O795" t="s">
        <v>99</v>
      </c>
      <c r="P795" s="10">
        <v>299.95</v>
      </c>
      <c r="S795">
        <v>14.5</v>
      </c>
      <c r="T795">
        <v>37.75</v>
      </c>
      <c r="W795">
        <v>6.17</v>
      </c>
      <c r="X795">
        <v>1</v>
      </c>
      <c r="Y795">
        <v>14</v>
      </c>
      <c r="Z795">
        <v>40.5</v>
      </c>
      <c r="AA795">
        <v>3.5</v>
      </c>
      <c r="AB795">
        <v>1.1479999999999999</v>
      </c>
      <c r="AC795">
        <v>7.94</v>
      </c>
      <c r="AE795">
        <v>4</v>
      </c>
      <c r="AF795" t="s">
        <v>772</v>
      </c>
      <c r="AG795">
        <v>60</v>
      </c>
      <c r="AK795" t="s">
        <v>98</v>
      </c>
      <c r="AM795" t="s">
        <v>98</v>
      </c>
      <c r="AN795" t="s">
        <v>99</v>
      </c>
      <c r="AO795" t="s">
        <v>98</v>
      </c>
      <c r="AP795" t="s">
        <v>100</v>
      </c>
      <c r="AQ795" t="s">
        <v>101</v>
      </c>
      <c r="AV795" t="s">
        <v>98</v>
      </c>
      <c r="AX795" t="s">
        <v>2536</v>
      </c>
      <c r="AZ795" t="s">
        <v>124</v>
      </c>
      <c r="BB795" t="s">
        <v>7528</v>
      </c>
      <c r="BC795" t="s">
        <v>7528</v>
      </c>
      <c r="BD795" t="s">
        <v>7528</v>
      </c>
      <c r="BF795" t="s">
        <v>2541</v>
      </c>
      <c r="BG795" t="s">
        <v>98</v>
      </c>
      <c r="BH795" t="s">
        <v>98</v>
      </c>
      <c r="BI795" t="s">
        <v>98</v>
      </c>
      <c r="BK795" t="s">
        <v>127</v>
      </c>
      <c r="BL795" t="s">
        <v>7528</v>
      </c>
      <c r="BR795">
        <v>0.75</v>
      </c>
      <c r="BT795">
        <v>8</v>
      </c>
      <c r="CA795">
        <v>4834</v>
      </c>
      <c r="CB795" t="s">
        <v>2536</v>
      </c>
      <c r="CL795" t="s">
        <v>99</v>
      </c>
      <c r="CM795" t="s">
        <v>99</v>
      </c>
      <c r="CN795" t="s">
        <v>838</v>
      </c>
      <c r="CO795" s="1">
        <v>43525</v>
      </c>
      <c r="CP795" s="1">
        <v>43633</v>
      </c>
    </row>
    <row r="796" spans="1:94" x14ac:dyDescent="0.25">
      <c r="A796" t="s">
        <v>2542</v>
      </c>
      <c r="B796" t="str">
        <f xml:space="preserve"> "" &amp; 747396110332</f>
        <v>747396110332</v>
      </c>
      <c r="C796" t="s">
        <v>2543</v>
      </c>
      <c r="D796" t="s">
        <v>2544</v>
      </c>
      <c r="E796" t="s">
        <v>2535</v>
      </c>
      <c r="F796" t="s">
        <v>249</v>
      </c>
      <c r="G796">
        <v>1</v>
      </c>
      <c r="H796">
        <v>1</v>
      </c>
      <c r="I796" t="s">
        <v>97</v>
      </c>
      <c r="J796" s="10">
        <v>195</v>
      </c>
      <c r="K796" s="10">
        <v>585</v>
      </c>
      <c r="L796" s="10">
        <v>0</v>
      </c>
      <c r="N796" s="10">
        <v>0</v>
      </c>
      <c r="O796" t="s">
        <v>99</v>
      </c>
      <c r="P796" s="10">
        <v>409.95</v>
      </c>
      <c r="S796">
        <v>22.5</v>
      </c>
      <c r="U796">
        <v>26.5</v>
      </c>
      <c r="W796">
        <v>8.6</v>
      </c>
      <c r="X796">
        <v>1</v>
      </c>
      <c r="Y796">
        <v>19.5</v>
      </c>
      <c r="Z796">
        <v>29</v>
      </c>
      <c r="AA796">
        <v>8.5</v>
      </c>
      <c r="AB796">
        <v>2.782</v>
      </c>
      <c r="AC796">
        <v>12.13</v>
      </c>
      <c r="AE796">
        <v>6</v>
      </c>
      <c r="AF796" t="s">
        <v>519</v>
      </c>
      <c r="AG796">
        <v>60</v>
      </c>
      <c r="AK796" t="s">
        <v>98</v>
      </c>
      <c r="AM796" t="s">
        <v>98</v>
      </c>
      <c r="AN796" t="s">
        <v>99</v>
      </c>
      <c r="AO796" t="s">
        <v>98</v>
      </c>
      <c r="AP796" t="s">
        <v>100</v>
      </c>
      <c r="AQ796" t="s">
        <v>101</v>
      </c>
      <c r="AV796" t="s">
        <v>98</v>
      </c>
      <c r="AX796" t="s">
        <v>2536</v>
      </c>
      <c r="AZ796" t="s">
        <v>124</v>
      </c>
      <c r="BB796" t="s">
        <v>7528</v>
      </c>
      <c r="BC796" t="s">
        <v>7528</v>
      </c>
      <c r="BD796" t="s">
        <v>7528</v>
      </c>
      <c r="BF796" t="s">
        <v>2545</v>
      </c>
      <c r="BG796" t="s">
        <v>98</v>
      </c>
      <c r="BH796" t="s">
        <v>98</v>
      </c>
      <c r="BI796" t="s">
        <v>98</v>
      </c>
      <c r="BK796" t="s">
        <v>127</v>
      </c>
      <c r="BL796" t="s">
        <v>7528</v>
      </c>
      <c r="BR796">
        <v>1</v>
      </c>
      <c r="BT796">
        <v>5</v>
      </c>
      <c r="CA796">
        <v>4836</v>
      </c>
      <c r="CB796" t="s">
        <v>2536</v>
      </c>
      <c r="CL796" t="s">
        <v>99</v>
      </c>
      <c r="CM796" t="s">
        <v>99</v>
      </c>
      <c r="CN796" t="s">
        <v>838</v>
      </c>
      <c r="CO796" s="1">
        <v>43525</v>
      </c>
      <c r="CP796" s="1">
        <v>43633</v>
      </c>
    </row>
    <row r="797" spans="1:94" x14ac:dyDescent="0.25">
      <c r="A797" t="s">
        <v>2546</v>
      </c>
      <c r="B797" t="str">
        <f xml:space="preserve"> "" &amp; 747396110356</f>
        <v>747396110356</v>
      </c>
      <c r="C797" t="s">
        <v>2547</v>
      </c>
      <c r="D797" t="s">
        <v>2548</v>
      </c>
      <c r="E797" t="s">
        <v>2535</v>
      </c>
      <c r="F797" t="s">
        <v>249</v>
      </c>
      <c r="G797">
        <v>1</v>
      </c>
      <c r="H797">
        <v>1</v>
      </c>
      <c r="I797" t="s">
        <v>97</v>
      </c>
      <c r="J797" s="10">
        <v>245</v>
      </c>
      <c r="K797" s="10">
        <v>735</v>
      </c>
      <c r="L797" s="10">
        <v>0</v>
      </c>
      <c r="N797" s="10">
        <v>0</v>
      </c>
      <c r="O797" t="s">
        <v>99</v>
      </c>
      <c r="P797" s="10">
        <v>514.95000000000005</v>
      </c>
      <c r="S797">
        <v>18.5</v>
      </c>
      <c r="U797">
        <v>26</v>
      </c>
      <c r="W797">
        <v>9.92</v>
      </c>
      <c r="X797">
        <v>1</v>
      </c>
      <c r="Y797">
        <v>19.75</v>
      </c>
      <c r="Z797">
        <v>25</v>
      </c>
      <c r="AA797">
        <v>25</v>
      </c>
      <c r="AB797">
        <v>7.1429999999999998</v>
      </c>
      <c r="AC797">
        <v>17.420000000000002</v>
      </c>
      <c r="AE797">
        <v>8</v>
      </c>
      <c r="AF797" t="s">
        <v>772</v>
      </c>
      <c r="AG797">
        <v>60</v>
      </c>
      <c r="AK797" t="s">
        <v>98</v>
      </c>
      <c r="AM797" t="s">
        <v>98</v>
      </c>
      <c r="AN797" t="s">
        <v>99</v>
      </c>
      <c r="AO797" t="s">
        <v>98</v>
      </c>
      <c r="AP797" t="s">
        <v>100</v>
      </c>
      <c r="AQ797" t="s">
        <v>101</v>
      </c>
      <c r="AV797" t="s">
        <v>98</v>
      </c>
      <c r="AX797" t="s">
        <v>2536</v>
      </c>
      <c r="AZ797" t="s">
        <v>124</v>
      </c>
      <c r="BB797" t="s">
        <v>7528</v>
      </c>
      <c r="BC797" t="s">
        <v>7528</v>
      </c>
      <c r="BD797" t="s">
        <v>7528</v>
      </c>
      <c r="BF797" t="s">
        <v>2549</v>
      </c>
      <c r="BG797" t="s">
        <v>98</v>
      </c>
      <c r="BH797" t="s">
        <v>98</v>
      </c>
      <c r="BI797" t="s">
        <v>98</v>
      </c>
      <c r="BK797" t="s">
        <v>127</v>
      </c>
      <c r="BL797" t="s">
        <v>7528</v>
      </c>
      <c r="BR797">
        <v>1</v>
      </c>
      <c r="BT797">
        <v>5</v>
      </c>
      <c r="CA797">
        <v>4838</v>
      </c>
      <c r="CB797" t="s">
        <v>2536</v>
      </c>
      <c r="CL797" t="s">
        <v>99</v>
      </c>
      <c r="CM797" t="s">
        <v>99</v>
      </c>
      <c r="CN797" t="s">
        <v>838</v>
      </c>
      <c r="CO797" s="1">
        <v>43525</v>
      </c>
      <c r="CP797" s="1">
        <v>43633</v>
      </c>
    </row>
    <row r="798" spans="1:94" x14ac:dyDescent="0.25">
      <c r="A798" t="s">
        <v>2550</v>
      </c>
      <c r="B798" t="str">
        <f xml:space="preserve"> "" &amp; 747396110363</f>
        <v>747396110363</v>
      </c>
      <c r="C798" t="s">
        <v>2551</v>
      </c>
      <c r="D798" t="s">
        <v>2552</v>
      </c>
      <c r="E798" t="s">
        <v>2535</v>
      </c>
      <c r="F798" t="s">
        <v>249</v>
      </c>
      <c r="G798">
        <v>1</v>
      </c>
      <c r="H798">
        <v>1</v>
      </c>
      <c r="I798" t="s">
        <v>97</v>
      </c>
      <c r="J798" s="10">
        <v>285</v>
      </c>
      <c r="K798" s="10">
        <v>855</v>
      </c>
      <c r="L798" s="10">
        <v>0</v>
      </c>
      <c r="N798" s="10">
        <v>0</v>
      </c>
      <c r="O798" t="s">
        <v>99</v>
      </c>
      <c r="P798" s="10">
        <v>599.95000000000005</v>
      </c>
      <c r="S798">
        <v>18.5</v>
      </c>
      <c r="T798">
        <v>36</v>
      </c>
      <c r="U798">
        <v>13</v>
      </c>
      <c r="W798">
        <v>14.07</v>
      </c>
      <c r="X798">
        <v>1</v>
      </c>
      <c r="Y798">
        <v>19.5</v>
      </c>
      <c r="Z798">
        <v>38.75</v>
      </c>
      <c r="AA798">
        <v>15.5</v>
      </c>
      <c r="AB798">
        <v>6.7779999999999996</v>
      </c>
      <c r="AC798">
        <v>20.61</v>
      </c>
      <c r="AE798">
        <v>8</v>
      </c>
      <c r="AF798" t="s">
        <v>772</v>
      </c>
      <c r="AG798">
        <v>60</v>
      </c>
      <c r="AK798" t="s">
        <v>98</v>
      </c>
      <c r="AM798" t="s">
        <v>98</v>
      </c>
      <c r="AN798" t="s">
        <v>99</v>
      </c>
      <c r="AO798" t="s">
        <v>98</v>
      </c>
      <c r="AP798" t="s">
        <v>100</v>
      </c>
      <c r="AQ798" t="s">
        <v>101</v>
      </c>
      <c r="AV798" t="s">
        <v>98</v>
      </c>
      <c r="AX798" t="s">
        <v>2536</v>
      </c>
      <c r="AZ798" t="s">
        <v>124</v>
      </c>
      <c r="BB798" t="s">
        <v>7528</v>
      </c>
      <c r="BC798" t="s">
        <v>7528</v>
      </c>
      <c r="BD798" t="s">
        <v>7528</v>
      </c>
      <c r="BF798" t="s">
        <v>2553</v>
      </c>
      <c r="BG798" t="s">
        <v>98</v>
      </c>
      <c r="BH798" t="s">
        <v>98</v>
      </c>
      <c r="BI798" t="s">
        <v>98</v>
      </c>
      <c r="BK798" t="s">
        <v>127</v>
      </c>
      <c r="BL798" t="s">
        <v>7528</v>
      </c>
      <c r="BR798">
        <v>0.75</v>
      </c>
      <c r="BS798">
        <v>19</v>
      </c>
      <c r="BT798">
        <v>4.63</v>
      </c>
      <c r="CA798">
        <v>4839</v>
      </c>
      <c r="CB798" t="s">
        <v>2536</v>
      </c>
      <c r="CL798" t="s">
        <v>99</v>
      </c>
      <c r="CM798" t="s">
        <v>99</v>
      </c>
      <c r="CN798" t="s">
        <v>838</v>
      </c>
      <c r="CO798" s="1">
        <v>43525</v>
      </c>
      <c r="CP798" s="1">
        <v>43643</v>
      </c>
    </row>
    <row r="799" spans="1:94" x14ac:dyDescent="0.25">
      <c r="A799" t="s">
        <v>2554</v>
      </c>
      <c r="B799" t="str">
        <f xml:space="preserve"> "" &amp; 747396091679</f>
        <v>747396091679</v>
      </c>
      <c r="C799" t="s">
        <v>1876</v>
      </c>
      <c r="D799" t="s">
        <v>2555</v>
      </c>
      <c r="E799" t="s">
        <v>2556</v>
      </c>
      <c r="F799" t="s">
        <v>478</v>
      </c>
      <c r="G799">
        <v>1</v>
      </c>
      <c r="H799">
        <v>1</v>
      </c>
      <c r="I799" t="s">
        <v>97</v>
      </c>
      <c r="J799" s="10">
        <v>149.94999999999999</v>
      </c>
      <c r="K799" s="10">
        <v>449.85</v>
      </c>
      <c r="L799" s="10">
        <v>0</v>
      </c>
      <c r="N799" s="10">
        <v>0</v>
      </c>
      <c r="O799" t="s">
        <v>99</v>
      </c>
      <c r="P799" s="10">
        <v>299.89999999999998</v>
      </c>
      <c r="S799">
        <v>12.75</v>
      </c>
      <c r="T799">
        <v>16.25</v>
      </c>
      <c r="U799">
        <v>16.25</v>
      </c>
      <c r="W799">
        <v>7.1</v>
      </c>
      <c r="Y799">
        <v>12.25</v>
      </c>
      <c r="Z799">
        <v>19.5</v>
      </c>
      <c r="AA799">
        <v>19.5</v>
      </c>
      <c r="AB799">
        <v>2.6960000000000002</v>
      </c>
      <c r="AC799">
        <v>10.210000000000001</v>
      </c>
      <c r="AE799">
        <v>4</v>
      </c>
      <c r="AF799" t="s">
        <v>2557</v>
      </c>
      <c r="AG799">
        <v>60</v>
      </c>
      <c r="AK799" t="s">
        <v>98</v>
      </c>
      <c r="AM799" t="s">
        <v>98</v>
      </c>
      <c r="AN799" t="s">
        <v>99</v>
      </c>
      <c r="AO799" t="s">
        <v>98</v>
      </c>
      <c r="AP799" t="s">
        <v>100</v>
      </c>
      <c r="AQ799" t="s">
        <v>101</v>
      </c>
      <c r="AV799" t="s">
        <v>98</v>
      </c>
      <c r="AX799" t="s">
        <v>2558</v>
      </c>
      <c r="AZ799" t="s">
        <v>124</v>
      </c>
      <c r="BB799" t="s">
        <v>7528</v>
      </c>
      <c r="BC799" t="s">
        <v>7528</v>
      </c>
      <c r="BD799" t="s">
        <v>7528</v>
      </c>
      <c r="BF799" t="s">
        <v>2559</v>
      </c>
      <c r="BG799" t="s">
        <v>98</v>
      </c>
      <c r="BH799" t="s">
        <v>98</v>
      </c>
      <c r="BI799" t="s">
        <v>98</v>
      </c>
      <c r="BK799" t="s">
        <v>127</v>
      </c>
      <c r="BL799" t="s">
        <v>7528</v>
      </c>
      <c r="BQ799">
        <v>5.13</v>
      </c>
      <c r="BR799">
        <v>1</v>
      </c>
      <c r="BS799">
        <v>5.13</v>
      </c>
      <c r="BT799">
        <v>5.13</v>
      </c>
      <c r="CA799">
        <v>4847</v>
      </c>
      <c r="CB799" t="s">
        <v>2558</v>
      </c>
      <c r="CL799" t="s">
        <v>99</v>
      </c>
      <c r="CM799" t="s">
        <v>98</v>
      </c>
      <c r="CN799" t="s">
        <v>838</v>
      </c>
      <c r="CO799" s="1">
        <v>41599</v>
      </c>
      <c r="CP799" s="1">
        <v>43633</v>
      </c>
    </row>
    <row r="800" spans="1:94" x14ac:dyDescent="0.25">
      <c r="A800" t="s">
        <v>2560</v>
      </c>
      <c r="B800" t="str">
        <f xml:space="preserve"> "" &amp; 747396110264</f>
        <v>747396110264</v>
      </c>
      <c r="C800" t="s">
        <v>2561</v>
      </c>
      <c r="D800" t="s">
        <v>6766</v>
      </c>
      <c r="E800" t="s">
        <v>2562</v>
      </c>
      <c r="F800" t="s">
        <v>240</v>
      </c>
      <c r="G800">
        <v>1</v>
      </c>
      <c r="H800">
        <v>1</v>
      </c>
      <c r="I800" t="s">
        <v>97</v>
      </c>
      <c r="J800" s="10">
        <v>75</v>
      </c>
      <c r="K800" s="10">
        <v>225</v>
      </c>
      <c r="L800" s="10">
        <v>0</v>
      </c>
      <c r="N800" s="10">
        <v>0</v>
      </c>
      <c r="O800" t="s">
        <v>99</v>
      </c>
      <c r="P800" s="10">
        <v>159.94999999999999</v>
      </c>
      <c r="S800">
        <v>14</v>
      </c>
      <c r="U800">
        <v>8</v>
      </c>
      <c r="W800">
        <v>3.68</v>
      </c>
      <c r="X800">
        <v>1</v>
      </c>
      <c r="Y800">
        <v>11.25</v>
      </c>
      <c r="Z800">
        <v>15</v>
      </c>
      <c r="AA800">
        <v>10</v>
      </c>
      <c r="AB800">
        <v>0.97699999999999998</v>
      </c>
      <c r="AC800">
        <v>4.9400000000000004</v>
      </c>
      <c r="AE800">
        <v>1</v>
      </c>
      <c r="AF800" t="s">
        <v>772</v>
      </c>
      <c r="AG800">
        <v>60</v>
      </c>
      <c r="AK800" t="s">
        <v>98</v>
      </c>
      <c r="AM800" t="s">
        <v>98</v>
      </c>
      <c r="AN800" t="s">
        <v>99</v>
      </c>
      <c r="AO800" t="s">
        <v>98</v>
      </c>
      <c r="AP800" t="s">
        <v>100</v>
      </c>
      <c r="AQ800" t="s">
        <v>101</v>
      </c>
      <c r="AV800" t="s">
        <v>98</v>
      </c>
      <c r="AX800" t="s">
        <v>2563</v>
      </c>
      <c r="AZ800" t="s">
        <v>124</v>
      </c>
      <c r="BB800" t="s">
        <v>7528</v>
      </c>
      <c r="BC800" t="s">
        <v>7528</v>
      </c>
      <c r="BD800" t="s">
        <v>7528</v>
      </c>
      <c r="BF800" t="s">
        <v>2564</v>
      </c>
      <c r="BG800" t="s">
        <v>98</v>
      </c>
      <c r="BH800" t="s">
        <v>98</v>
      </c>
      <c r="BI800" t="s">
        <v>98</v>
      </c>
      <c r="BK800" t="s">
        <v>127</v>
      </c>
      <c r="BL800" t="s">
        <v>7528</v>
      </c>
      <c r="BR800">
        <v>0.75</v>
      </c>
      <c r="BT800">
        <v>5.5</v>
      </c>
      <c r="CA800">
        <v>4851</v>
      </c>
      <c r="CB800" t="s">
        <v>2563</v>
      </c>
      <c r="CL800" t="s">
        <v>99</v>
      </c>
      <c r="CM800" t="s">
        <v>99</v>
      </c>
      <c r="CN800" t="s">
        <v>692</v>
      </c>
      <c r="CO800" s="1">
        <v>43525</v>
      </c>
      <c r="CP800" s="1">
        <v>43633</v>
      </c>
    </row>
    <row r="801" spans="1:94" x14ac:dyDescent="0.25">
      <c r="A801" t="s">
        <v>2565</v>
      </c>
      <c r="B801" t="str">
        <f xml:space="preserve"> "" &amp; 747396110271</f>
        <v>747396110271</v>
      </c>
      <c r="C801" t="s">
        <v>2533</v>
      </c>
      <c r="D801" t="s">
        <v>6767</v>
      </c>
      <c r="E801" t="s">
        <v>2562</v>
      </c>
      <c r="F801" t="s">
        <v>240</v>
      </c>
      <c r="G801">
        <v>1</v>
      </c>
      <c r="H801">
        <v>1</v>
      </c>
      <c r="I801" t="s">
        <v>97</v>
      </c>
      <c r="J801" s="10">
        <v>145</v>
      </c>
      <c r="K801" s="10">
        <v>435</v>
      </c>
      <c r="L801" s="10">
        <v>0</v>
      </c>
      <c r="N801" s="10">
        <v>0</v>
      </c>
      <c r="O801" t="s">
        <v>99</v>
      </c>
      <c r="P801" s="10">
        <v>304.95</v>
      </c>
      <c r="S801">
        <v>24</v>
      </c>
      <c r="U801">
        <v>14</v>
      </c>
      <c r="W801">
        <v>5.84</v>
      </c>
      <c r="X801">
        <v>1</v>
      </c>
      <c r="Y801">
        <v>23.5</v>
      </c>
      <c r="Z801">
        <v>13</v>
      </c>
      <c r="AA801">
        <v>13</v>
      </c>
      <c r="AB801">
        <v>2.298</v>
      </c>
      <c r="AC801">
        <v>8.73</v>
      </c>
      <c r="AE801">
        <v>4</v>
      </c>
      <c r="AF801" t="s">
        <v>772</v>
      </c>
      <c r="AG801">
        <v>60</v>
      </c>
      <c r="AK801" t="s">
        <v>98</v>
      </c>
      <c r="AM801" t="s">
        <v>98</v>
      </c>
      <c r="AN801" t="s">
        <v>99</v>
      </c>
      <c r="AO801" t="s">
        <v>98</v>
      </c>
      <c r="AP801" t="s">
        <v>100</v>
      </c>
      <c r="AQ801" t="s">
        <v>101</v>
      </c>
      <c r="AV801" t="s">
        <v>98</v>
      </c>
      <c r="AX801" t="s">
        <v>2563</v>
      </c>
      <c r="AZ801" t="s">
        <v>124</v>
      </c>
      <c r="BB801" t="s">
        <v>7528</v>
      </c>
      <c r="BC801" t="s">
        <v>7528</v>
      </c>
      <c r="BD801" t="s">
        <v>7528</v>
      </c>
      <c r="BF801" t="s">
        <v>2566</v>
      </c>
      <c r="BG801" t="s">
        <v>98</v>
      </c>
      <c r="BH801" t="s">
        <v>98</v>
      </c>
      <c r="BI801" t="s">
        <v>98</v>
      </c>
      <c r="BK801" t="s">
        <v>127</v>
      </c>
      <c r="BL801" t="s">
        <v>7528</v>
      </c>
      <c r="BR801">
        <v>0.75</v>
      </c>
      <c r="BT801">
        <v>5.5</v>
      </c>
      <c r="CA801">
        <v>4852</v>
      </c>
      <c r="CB801" t="s">
        <v>2563</v>
      </c>
      <c r="CL801" t="s">
        <v>99</v>
      </c>
      <c r="CM801" t="s">
        <v>99</v>
      </c>
      <c r="CN801" t="s">
        <v>692</v>
      </c>
      <c r="CO801" s="1">
        <v>43530</v>
      </c>
      <c r="CP801" s="1">
        <v>43633</v>
      </c>
    </row>
    <row r="802" spans="1:94" x14ac:dyDescent="0.25">
      <c r="A802" t="s">
        <v>2567</v>
      </c>
      <c r="B802" t="str">
        <f xml:space="preserve"> "" &amp; 747396110288</f>
        <v>747396110288</v>
      </c>
      <c r="C802" t="s">
        <v>2568</v>
      </c>
      <c r="D802" t="s">
        <v>6768</v>
      </c>
      <c r="E802" t="s">
        <v>2562</v>
      </c>
      <c r="F802" t="s">
        <v>249</v>
      </c>
      <c r="G802">
        <v>1</v>
      </c>
      <c r="H802">
        <v>1</v>
      </c>
      <c r="I802" t="s">
        <v>97</v>
      </c>
      <c r="J802" s="10">
        <v>215</v>
      </c>
      <c r="K802" s="10">
        <v>645</v>
      </c>
      <c r="L802" s="10">
        <v>0</v>
      </c>
      <c r="N802" s="10">
        <v>0</v>
      </c>
      <c r="O802" t="s">
        <v>99</v>
      </c>
      <c r="P802" s="10">
        <v>449.95</v>
      </c>
      <c r="S802">
        <v>24</v>
      </c>
      <c r="T802">
        <v>36.5</v>
      </c>
      <c r="W802">
        <v>12.79</v>
      </c>
      <c r="X802">
        <v>1</v>
      </c>
      <c r="Y802">
        <v>19.75</v>
      </c>
      <c r="Z802">
        <v>35.5</v>
      </c>
      <c r="AA802">
        <v>6.5</v>
      </c>
      <c r="AB802">
        <v>2.637</v>
      </c>
      <c r="AC802">
        <v>16.53</v>
      </c>
      <c r="AE802">
        <v>3</v>
      </c>
      <c r="AF802" t="s">
        <v>772</v>
      </c>
      <c r="AG802">
        <v>60</v>
      </c>
      <c r="AK802" t="s">
        <v>98</v>
      </c>
      <c r="AM802" t="s">
        <v>98</v>
      </c>
      <c r="AN802" t="s">
        <v>99</v>
      </c>
      <c r="AO802" t="s">
        <v>98</v>
      </c>
      <c r="AP802" t="s">
        <v>100</v>
      </c>
      <c r="AQ802" t="s">
        <v>101</v>
      </c>
      <c r="AV802" t="s">
        <v>98</v>
      </c>
      <c r="AX802" t="s">
        <v>2563</v>
      </c>
      <c r="AZ802" t="s">
        <v>124</v>
      </c>
      <c r="BB802" t="s">
        <v>7528</v>
      </c>
      <c r="BC802" t="s">
        <v>2569</v>
      </c>
      <c r="BD802" t="s">
        <v>7528</v>
      </c>
      <c r="BF802" t="s">
        <v>2570</v>
      </c>
      <c r="BG802" t="s">
        <v>98</v>
      </c>
      <c r="BH802" t="s">
        <v>98</v>
      </c>
      <c r="BI802" t="s">
        <v>98</v>
      </c>
      <c r="BK802" t="s">
        <v>127</v>
      </c>
      <c r="BL802" t="s">
        <v>7528</v>
      </c>
      <c r="BR802">
        <v>0.75</v>
      </c>
      <c r="BT802">
        <v>17.75</v>
      </c>
      <c r="CA802">
        <v>4853</v>
      </c>
      <c r="CB802" t="s">
        <v>2563</v>
      </c>
      <c r="CL802" t="s">
        <v>99</v>
      </c>
      <c r="CM802" t="s">
        <v>98</v>
      </c>
      <c r="CN802" t="s">
        <v>442</v>
      </c>
      <c r="CO802" s="1">
        <v>43530</v>
      </c>
      <c r="CP802" s="1">
        <v>43633</v>
      </c>
    </row>
    <row r="803" spans="1:94" x14ac:dyDescent="0.25">
      <c r="A803" t="s">
        <v>2571</v>
      </c>
      <c r="B803" t="str">
        <f xml:space="preserve"> "" &amp; 747396110295</f>
        <v>747396110295</v>
      </c>
      <c r="C803" t="s">
        <v>2572</v>
      </c>
      <c r="D803" t="s">
        <v>6769</v>
      </c>
      <c r="E803" t="s">
        <v>2562</v>
      </c>
      <c r="F803" t="s">
        <v>249</v>
      </c>
      <c r="G803">
        <v>1</v>
      </c>
      <c r="H803">
        <v>1</v>
      </c>
      <c r="I803" t="s">
        <v>97</v>
      </c>
      <c r="J803" s="10">
        <v>175</v>
      </c>
      <c r="K803" s="10">
        <v>525</v>
      </c>
      <c r="L803" s="10">
        <v>0</v>
      </c>
      <c r="N803" s="10">
        <v>0</v>
      </c>
      <c r="O803" t="s">
        <v>99</v>
      </c>
      <c r="P803" s="10">
        <v>369.95</v>
      </c>
      <c r="S803">
        <v>20</v>
      </c>
      <c r="U803">
        <v>18</v>
      </c>
      <c r="W803">
        <v>11.68</v>
      </c>
      <c r="X803">
        <v>1</v>
      </c>
      <c r="Y803">
        <v>22.25</v>
      </c>
      <c r="Z803">
        <v>17</v>
      </c>
      <c r="AA803">
        <v>17</v>
      </c>
      <c r="AB803">
        <v>3.7210000000000001</v>
      </c>
      <c r="AC803">
        <v>16.27</v>
      </c>
      <c r="AE803">
        <v>4</v>
      </c>
      <c r="AF803" t="s">
        <v>772</v>
      </c>
      <c r="AG803">
        <v>60</v>
      </c>
      <c r="AK803" t="s">
        <v>98</v>
      </c>
      <c r="AM803" t="s">
        <v>98</v>
      </c>
      <c r="AN803" t="s">
        <v>99</v>
      </c>
      <c r="AO803" t="s">
        <v>98</v>
      </c>
      <c r="AP803" t="s">
        <v>100</v>
      </c>
      <c r="AQ803" t="s">
        <v>101</v>
      </c>
      <c r="AV803" t="s">
        <v>98</v>
      </c>
      <c r="AX803" t="s">
        <v>2563</v>
      </c>
      <c r="AZ803" t="s">
        <v>124</v>
      </c>
      <c r="BB803" t="s">
        <v>7528</v>
      </c>
      <c r="BC803" t="s">
        <v>2569</v>
      </c>
      <c r="BD803" t="s">
        <v>7528</v>
      </c>
      <c r="BF803" t="s">
        <v>2573</v>
      </c>
      <c r="BG803" t="s">
        <v>98</v>
      </c>
      <c r="BH803" t="s">
        <v>98</v>
      </c>
      <c r="BI803" t="s">
        <v>98</v>
      </c>
      <c r="BK803" t="s">
        <v>127</v>
      </c>
      <c r="BL803" t="s">
        <v>7528</v>
      </c>
      <c r="BR803">
        <v>0.75</v>
      </c>
      <c r="BT803">
        <v>5.5</v>
      </c>
      <c r="CA803">
        <v>4854</v>
      </c>
      <c r="CB803" t="s">
        <v>2563</v>
      </c>
      <c r="CL803" t="s">
        <v>99</v>
      </c>
      <c r="CM803" t="s">
        <v>99</v>
      </c>
      <c r="CN803" t="s">
        <v>442</v>
      </c>
      <c r="CO803" s="1">
        <v>43530</v>
      </c>
      <c r="CP803" s="1">
        <v>43633</v>
      </c>
    </row>
    <row r="804" spans="1:94" x14ac:dyDescent="0.25">
      <c r="A804" t="s">
        <v>2574</v>
      </c>
      <c r="B804" t="str">
        <f xml:space="preserve"> "" &amp; 747396110301</f>
        <v>747396110301</v>
      </c>
      <c r="C804" t="s">
        <v>2575</v>
      </c>
      <c r="D804" t="s">
        <v>6770</v>
      </c>
      <c r="E804" t="s">
        <v>2562</v>
      </c>
      <c r="F804" t="s">
        <v>240</v>
      </c>
      <c r="G804">
        <v>1</v>
      </c>
      <c r="H804">
        <v>1</v>
      </c>
      <c r="I804" t="s">
        <v>97</v>
      </c>
      <c r="J804" s="10">
        <v>195</v>
      </c>
      <c r="K804" s="10">
        <v>585</v>
      </c>
      <c r="L804" s="10">
        <v>0</v>
      </c>
      <c r="N804" s="10">
        <v>0</v>
      </c>
      <c r="O804" t="s">
        <v>99</v>
      </c>
      <c r="P804" s="10">
        <v>409.95</v>
      </c>
      <c r="S804">
        <v>32</v>
      </c>
      <c r="U804">
        <v>20</v>
      </c>
      <c r="W804">
        <v>7.28</v>
      </c>
      <c r="X804">
        <v>1</v>
      </c>
      <c r="Y804">
        <v>32</v>
      </c>
      <c r="Z804">
        <v>17</v>
      </c>
      <c r="AA804">
        <v>17</v>
      </c>
      <c r="AB804">
        <v>5.3520000000000003</v>
      </c>
      <c r="AC804">
        <v>12.79</v>
      </c>
      <c r="AE804">
        <v>6</v>
      </c>
      <c r="AF804" t="s">
        <v>772</v>
      </c>
      <c r="AG804">
        <v>60</v>
      </c>
      <c r="AK804" t="s">
        <v>98</v>
      </c>
      <c r="AM804" t="s">
        <v>98</v>
      </c>
      <c r="AN804" t="s">
        <v>99</v>
      </c>
      <c r="AO804" t="s">
        <v>98</v>
      </c>
      <c r="AP804" t="s">
        <v>100</v>
      </c>
      <c r="AQ804" t="s">
        <v>101</v>
      </c>
      <c r="AV804" t="s">
        <v>98</v>
      </c>
      <c r="AX804" t="s">
        <v>2563</v>
      </c>
      <c r="AZ804" t="s">
        <v>124</v>
      </c>
      <c r="BB804" t="s">
        <v>7528</v>
      </c>
      <c r="BC804" t="s">
        <v>7528</v>
      </c>
      <c r="BD804" t="s">
        <v>7528</v>
      </c>
      <c r="BF804" t="s">
        <v>2576</v>
      </c>
      <c r="BG804" t="s">
        <v>98</v>
      </c>
      <c r="BH804" t="s">
        <v>98</v>
      </c>
      <c r="BI804" t="s">
        <v>98</v>
      </c>
      <c r="BK804" t="s">
        <v>127</v>
      </c>
      <c r="BL804" t="s">
        <v>7528</v>
      </c>
      <c r="BR804">
        <v>0.75</v>
      </c>
      <c r="BT804">
        <v>5.5</v>
      </c>
      <c r="CA804">
        <v>4855</v>
      </c>
      <c r="CB804" t="s">
        <v>2563</v>
      </c>
      <c r="CL804" t="s">
        <v>99</v>
      </c>
      <c r="CM804" t="s">
        <v>99</v>
      </c>
      <c r="CN804" t="s">
        <v>692</v>
      </c>
      <c r="CO804" s="1">
        <v>43530</v>
      </c>
      <c r="CP804" s="1">
        <v>43633</v>
      </c>
    </row>
    <row r="805" spans="1:94" x14ac:dyDescent="0.25">
      <c r="A805" t="s">
        <v>2577</v>
      </c>
      <c r="B805" t="str">
        <f xml:space="preserve"> "" &amp; 747396110318</f>
        <v>747396110318</v>
      </c>
      <c r="C805" t="s">
        <v>2543</v>
      </c>
      <c r="D805" t="s">
        <v>6771</v>
      </c>
      <c r="E805" t="s">
        <v>2562</v>
      </c>
      <c r="F805" t="s">
        <v>249</v>
      </c>
      <c r="G805">
        <v>1</v>
      </c>
      <c r="H805">
        <v>1</v>
      </c>
      <c r="I805" t="s">
        <v>97</v>
      </c>
      <c r="J805" s="10">
        <v>275</v>
      </c>
      <c r="K805" s="10">
        <v>825</v>
      </c>
      <c r="L805" s="10">
        <v>0</v>
      </c>
      <c r="N805" s="10">
        <v>0</v>
      </c>
      <c r="O805" t="s">
        <v>99</v>
      </c>
      <c r="P805" s="10">
        <v>579.95000000000005</v>
      </c>
      <c r="S805">
        <v>26</v>
      </c>
      <c r="U805">
        <v>28.25</v>
      </c>
      <c r="W805">
        <v>17.28</v>
      </c>
      <c r="X805">
        <v>1</v>
      </c>
      <c r="Y805">
        <v>27.75</v>
      </c>
      <c r="Z805">
        <v>26.5</v>
      </c>
      <c r="AA805">
        <v>23.5</v>
      </c>
      <c r="AB805">
        <v>10.000999999999999</v>
      </c>
      <c r="AC805">
        <v>26.37</v>
      </c>
      <c r="AE805">
        <v>6</v>
      </c>
      <c r="AF805" t="s">
        <v>772</v>
      </c>
      <c r="AG805">
        <v>60</v>
      </c>
      <c r="AK805" t="s">
        <v>98</v>
      </c>
      <c r="AM805" t="s">
        <v>98</v>
      </c>
      <c r="AN805" t="s">
        <v>99</v>
      </c>
      <c r="AO805" t="s">
        <v>98</v>
      </c>
      <c r="AP805" t="s">
        <v>259</v>
      </c>
      <c r="AQ805" t="s">
        <v>101</v>
      </c>
      <c r="AV805" t="s">
        <v>98</v>
      </c>
      <c r="AX805" t="s">
        <v>2563</v>
      </c>
      <c r="AZ805" t="s">
        <v>124</v>
      </c>
      <c r="BB805" t="s">
        <v>7528</v>
      </c>
      <c r="BC805" t="s">
        <v>2569</v>
      </c>
      <c r="BD805" t="s">
        <v>7528</v>
      </c>
      <c r="BF805" t="s">
        <v>2578</v>
      </c>
      <c r="BG805" t="s">
        <v>98</v>
      </c>
      <c r="BH805" t="s">
        <v>98</v>
      </c>
      <c r="BI805" t="s">
        <v>98</v>
      </c>
      <c r="BK805" t="s">
        <v>127</v>
      </c>
      <c r="BL805" t="s">
        <v>7528</v>
      </c>
      <c r="BR805">
        <v>0.75</v>
      </c>
      <c r="BT805">
        <v>5.5</v>
      </c>
      <c r="CA805">
        <v>4856</v>
      </c>
      <c r="CB805" t="s">
        <v>2563</v>
      </c>
      <c r="CL805" t="s">
        <v>99</v>
      </c>
      <c r="CM805" t="s">
        <v>99</v>
      </c>
      <c r="CN805" t="s">
        <v>442</v>
      </c>
      <c r="CO805" s="1">
        <v>43530</v>
      </c>
      <c r="CP805" s="1">
        <v>43633</v>
      </c>
    </row>
    <row r="806" spans="1:94" x14ac:dyDescent="0.25">
      <c r="A806" t="s">
        <v>2579</v>
      </c>
      <c r="B806" t="str">
        <f xml:space="preserve"> "" &amp; 747396111094</f>
        <v>747396111094</v>
      </c>
      <c r="C806" t="s">
        <v>2580</v>
      </c>
      <c r="D806" t="s">
        <v>6772</v>
      </c>
      <c r="E806" t="s">
        <v>2562</v>
      </c>
      <c r="F806" t="s">
        <v>249</v>
      </c>
      <c r="G806">
        <v>1</v>
      </c>
      <c r="H806">
        <v>1</v>
      </c>
      <c r="I806" t="s">
        <v>97</v>
      </c>
      <c r="J806" s="10">
        <v>408</v>
      </c>
      <c r="K806" s="10">
        <v>1224</v>
      </c>
      <c r="L806" s="10">
        <v>0</v>
      </c>
      <c r="N806" s="10">
        <v>0</v>
      </c>
      <c r="O806" t="s">
        <v>99</v>
      </c>
      <c r="P806" s="10">
        <v>859.95</v>
      </c>
      <c r="S806">
        <v>32</v>
      </c>
      <c r="U806">
        <v>34</v>
      </c>
      <c r="W806">
        <v>26.1</v>
      </c>
      <c r="X806">
        <v>1</v>
      </c>
      <c r="Y806">
        <v>32.25</v>
      </c>
      <c r="Z806">
        <v>32</v>
      </c>
      <c r="AA806">
        <v>18.5</v>
      </c>
      <c r="AB806">
        <v>11.048999999999999</v>
      </c>
      <c r="AC806">
        <v>37.92</v>
      </c>
      <c r="AE806">
        <v>0</v>
      </c>
      <c r="AF806" t="s">
        <v>1205</v>
      </c>
      <c r="AG806">
        <v>60</v>
      </c>
      <c r="AK806" t="s">
        <v>98</v>
      </c>
      <c r="AM806" t="s">
        <v>98</v>
      </c>
      <c r="AN806" t="s">
        <v>99</v>
      </c>
      <c r="AO806" t="s">
        <v>98</v>
      </c>
      <c r="AP806" t="s">
        <v>259</v>
      </c>
      <c r="AQ806" t="s">
        <v>101</v>
      </c>
      <c r="AV806" t="s">
        <v>98</v>
      </c>
      <c r="AX806" t="s">
        <v>2563</v>
      </c>
      <c r="AZ806" t="s">
        <v>392</v>
      </c>
      <c r="BB806" t="s">
        <v>2569</v>
      </c>
      <c r="BC806" t="s">
        <v>2581</v>
      </c>
      <c r="BD806" t="s">
        <v>7528</v>
      </c>
      <c r="BF806" t="s">
        <v>2582</v>
      </c>
      <c r="BG806" t="s">
        <v>98</v>
      </c>
      <c r="BH806" t="s">
        <v>98</v>
      </c>
      <c r="BI806" t="s">
        <v>98</v>
      </c>
      <c r="BK806" t="s">
        <v>127</v>
      </c>
      <c r="BL806" t="s">
        <v>7528</v>
      </c>
      <c r="BQ806">
        <v>5.5</v>
      </c>
      <c r="BR806">
        <v>0.75</v>
      </c>
      <c r="BS806">
        <v>5.5</v>
      </c>
      <c r="BT806">
        <v>5.5</v>
      </c>
      <c r="CA806">
        <v>4859</v>
      </c>
      <c r="CB806" t="s">
        <v>2563</v>
      </c>
      <c r="CL806" t="s">
        <v>99</v>
      </c>
      <c r="CM806" t="s">
        <v>99</v>
      </c>
      <c r="CN806" t="s">
        <v>592</v>
      </c>
      <c r="CO806" s="1">
        <v>43530</v>
      </c>
      <c r="CP806" s="1">
        <v>43633</v>
      </c>
    </row>
    <row r="807" spans="1:94" x14ac:dyDescent="0.25">
      <c r="A807" t="s">
        <v>2583</v>
      </c>
      <c r="B807" t="str">
        <f xml:space="preserve"> "" &amp; 747396091815</f>
        <v>747396091815</v>
      </c>
      <c r="C807" t="s">
        <v>239</v>
      </c>
      <c r="D807" t="s">
        <v>6773</v>
      </c>
      <c r="E807" t="s">
        <v>2584</v>
      </c>
      <c r="F807" t="s">
        <v>7531</v>
      </c>
      <c r="G807">
        <v>1</v>
      </c>
      <c r="H807">
        <v>1</v>
      </c>
      <c r="I807" t="s">
        <v>97</v>
      </c>
      <c r="J807" s="10">
        <v>30</v>
      </c>
      <c r="K807" s="10">
        <v>90</v>
      </c>
      <c r="L807" s="10">
        <v>0</v>
      </c>
      <c r="N807" s="10">
        <v>0</v>
      </c>
      <c r="S807">
        <v>15</v>
      </c>
      <c r="T807">
        <v>6</v>
      </c>
      <c r="U807">
        <v>6</v>
      </c>
      <c r="W807">
        <v>3.86</v>
      </c>
      <c r="Y807">
        <v>11.25</v>
      </c>
      <c r="Z807">
        <v>13</v>
      </c>
      <c r="AA807">
        <v>7.75</v>
      </c>
      <c r="AB807">
        <v>0.65600000000000003</v>
      </c>
      <c r="AC807">
        <v>4.74</v>
      </c>
      <c r="AE807">
        <v>1</v>
      </c>
      <c r="AF807" t="s">
        <v>340</v>
      </c>
      <c r="AG807">
        <v>100</v>
      </c>
      <c r="AK807" t="s">
        <v>98</v>
      </c>
      <c r="AM807" t="s">
        <v>98</v>
      </c>
      <c r="AN807" t="s">
        <v>99</v>
      </c>
      <c r="AO807" t="s">
        <v>98</v>
      </c>
      <c r="AP807" t="s">
        <v>100</v>
      </c>
      <c r="AQ807" t="s">
        <v>101</v>
      </c>
      <c r="AV807" t="s">
        <v>98</v>
      </c>
      <c r="AX807" t="s">
        <v>2585</v>
      </c>
      <c r="AZ807" t="s">
        <v>124</v>
      </c>
      <c r="BB807" t="s">
        <v>235</v>
      </c>
      <c r="BC807" t="s">
        <v>561</v>
      </c>
      <c r="BD807" t="s">
        <v>7528</v>
      </c>
      <c r="BF807" t="s">
        <v>2586</v>
      </c>
      <c r="BG807" t="s">
        <v>98</v>
      </c>
      <c r="BH807" t="s">
        <v>98</v>
      </c>
      <c r="BI807" t="s">
        <v>98</v>
      </c>
      <c r="BK807" t="s">
        <v>110</v>
      </c>
      <c r="BL807" t="s">
        <v>7528</v>
      </c>
      <c r="BQ807">
        <v>5.5</v>
      </c>
      <c r="BR807">
        <v>1.75</v>
      </c>
      <c r="BS807">
        <v>5.5</v>
      </c>
      <c r="BT807">
        <v>5.5</v>
      </c>
      <c r="CA807">
        <v>4861</v>
      </c>
      <c r="CB807" t="s">
        <v>2585</v>
      </c>
      <c r="CL807" t="s">
        <v>99</v>
      </c>
      <c r="CM807" t="s">
        <v>99</v>
      </c>
      <c r="CN807" t="s">
        <v>442</v>
      </c>
      <c r="CO807" s="1">
        <v>41605</v>
      </c>
      <c r="CP807" s="1">
        <v>43633</v>
      </c>
    </row>
    <row r="808" spans="1:94" x14ac:dyDescent="0.25">
      <c r="A808" t="s">
        <v>2587</v>
      </c>
      <c r="B808" t="str">
        <f xml:space="preserve"> "" &amp; 747396091877</f>
        <v>747396091877</v>
      </c>
      <c r="C808" t="s">
        <v>322</v>
      </c>
      <c r="D808" t="s">
        <v>2588</v>
      </c>
      <c r="E808" t="s">
        <v>2589</v>
      </c>
      <c r="F808" t="s">
        <v>232</v>
      </c>
      <c r="G808">
        <v>1</v>
      </c>
      <c r="H808">
        <v>1</v>
      </c>
      <c r="I808" t="s">
        <v>97</v>
      </c>
      <c r="J808" s="10">
        <v>55</v>
      </c>
      <c r="K808" s="10">
        <v>165</v>
      </c>
      <c r="L808" s="10">
        <v>0</v>
      </c>
      <c r="N808" s="10">
        <v>0</v>
      </c>
      <c r="O808" t="s">
        <v>99</v>
      </c>
      <c r="P808" s="10">
        <v>109.95</v>
      </c>
      <c r="S808">
        <v>9.5</v>
      </c>
      <c r="U808">
        <v>8</v>
      </c>
      <c r="V808">
        <v>4.5</v>
      </c>
      <c r="W808">
        <v>3.31</v>
      </c>
      <c r="Y808">
        <v>9.25</v>
      </c>
      <c r="Z808">
        <v>12.25</v>
      </c>
      <c r="AA808">
        <v>11</v>
      </c>
      <c r="AB808">
        <v>0.72099999999999997</v>
      </c>
      <c r="AC808">
        <v>4.41</v>
      </c>
      <c r="AE808">
        <v>2</v>
      </c>
      <c r="AF808" t="s">
        <v>519</v>
      </c>
      <c r="AG808">
        <v>60</v>
      </c>
      <c r="AK808" t="s">
        <v>98</v>
      </c>
      <c r="AM808" t="s">
        <v>98</v>
      </c>
      <c r="AN808" t="s">
        <v>99</v>
      </c>
      <c r="AO808" t="s">
        <v>98</v>
      </c>
      <c r="AP808" t="s">
        <v>100</v>
      </c>
      <c r="AQ808" t="s">
        <v>101</v>
      </c>
      <c r="AV808" t="s">
        <v>98</v>
      </c>
      <c r="AX808" t="s">
        <v>2590</v>
      </c>
      <c r="AZ808" t="s">
        <v>102</v>
      </c>
      <c r="BB808" t="s">
        <v>235</v>
      </c>
      <c r="BC808" t="s">
        <v>2591</v>
      </c>
      <c r="BD808" t="s">
        <v>7528</v>
      </c>
      <c r="BF808" t="s">
        <v>2592</v>
      </c>
      <c r="BG808" t="s">
        <v>98</v>
      </c>
      <c r="BH808" t="s">
        <v>98</v>
      </c>
      <c r="BI808" t="s">
        <v>98</v>
      </c>
      <c r="BK808" t="s">
        <v>127</v>
      </c>
      <c r="BL808" t="s">
        <v>236</v>
      </c>
      <c r="BR808">
        <v>7.75</v>
      </c>
      <c r="BT808">
        <v>4.75</v>
      </c>
      <c r="CA808">
        <v>4870</v>
      </c>
      <c r="CB808" t="s">
        <v>2590</v>
      </c>
      <c r="CL808" t="s">
        <v>99</v>
      </c>
      <c r="CM808" t="s">
        <v>98</v>
      </c>
      <c r="CN808" t="s">
        <v>442</v>
      </c>
      <c r="CO808" s="1">
        <v>41600</v>
      </c>
      <c r="CP808" s="1">
        <v>43633</v>
      </c>
    </row>
    <row r="809" spans="1:94" x14ac:dyDescent="0.25">
      <c r="A809" t="s">
        <v>2593</v>
      </c>
      <c r="B809" t="str">
        <f xml:space="preserve"> "" &amp; 747396091891</f>
        <v>747396091891</v>
      </c>
      <c r="C809" t="s">
        <v>758</v>
      </c>
      <c r="D809" t="s">
        <v>2594</v>
      </c>
      <c r="E809" t="s">
        <v>2589</v>
      </c>
      <c r="F809" t="s">
        <v>323</v>
      </c>
      <c r="G809">
        <v>1</v>
      </c>
      <c r="H809">
        <v>1</v>
      </c>
      <c r="I809" t="s">
        <v>97</v>
      </c>
      <c r="J809" s="10">
        <v>85</v>
      </c>
      <c r="K809" s="10">
        <v>255</v>
      </c>
      <c r="L809" s="10">
        <v>0</v>
      </c>
      <c r="N809" s="10">
        <v>0</v>
      </c>
      <c r="S809">
        <v>5</v>
      </c>
      <c r="U809">
        <v>17</v>
      </c>
      <c r="V809">
        <v>5.5</v>
      </c>
      <c r="W809">
        <v>6.17</v>
      </c>
      <c r="Y809">
        <v>11.75</v>
      </c>
      <c r="Z809">
        <v>21</v>
      </c>
      <c r="AA809">
        <v>9.25</v>
      </c>
      <c r="AB809">
        <v>1.321</v>
      </c>
      <c r="AC809">
        <v>7.94</v>
      </c>
      <c r="AE809">
        <v>2</v>
      </c>
      <c r="AF809" t="s">
        <v>340</v>
      </c>
      <c r="AG809">
        <v>100</v>
      </c>
      <c r="AK809" t="s">
        <v>98</v>
      </c>
      <c r="AM809" t="s">
        <v>98</v>
      </c>
      <c r="AN809" t="s">
        <v>99</v>
      </c>
      <c r="AO809" t="s">
        <v>98</v>
      </c>
      <c r="AP809" t="s">
        <v>100</v>
      </c>
      <c r="AQ809" t="s">
        <v>101</v>
      </c>
      <c r="AV809" t="s">
        <v>98</v>
      </c>
      <c r="AX809" t="s">
        <v>2590</v>
      </c>
      <c r="AZ809" t="s">
        <v>102</v>
      </c>
      <c r="BB809" t="s">
        <v>235</v>
      </c>
      <c r="BC809" t="s">
        <v>2591</v>
      </c>
      <c r="BD809" t="s">
        <v>7528</v>
      </c>
      <c r="BF809" t="s">
        <v>2595</v>
      </c>
      <c r="BG809" t="s">
        <v>98</v>
      </c>
      <c r="BH809" t="s">
        <v>98</v>
      </c>
      <c r="BI809" t="s">
        <v>98</v>
      </c>
      <c r="BK809" t="s">
        <v>127</v>
      </c>
      <c r="BL809" t="s">
        <v>993</v>
      </c>
      <c r="BM809">
        <v>13</v>
      </c>
      <c r="BN809">
        <v>4.88</v>
      </c>
      <c r="CA809">
        <v>4872</v>
      </c>
      <c r="CB809" t="s">
        <v>2590</v>
      </c>
      <c r="CL809" t="s">
        <v>99</v>
      </c>
      <c r="CM809" t="s">
        <v>98</v>
      </c>
      <c r="CN809" t="s">
        <v>442</v>
      </c>
      <c r="CO809" s="1">
        <v>41701</v>
      </c>
      <c r="CP809" s="1">
        <v>43633</v>
      </c>
    </row>
    <row r="810" spans="1:94" x14ac:dyDescent="0.25">
      <c r="A810" t="s">
        <v>2596</v>
      </c>
      <c r="B810" t="str">
        <f xml:space="preserve"> "" &amp; 747396091907</f>
        <v>747396091907</v>
      </c>
      <c r="C810" t="s">
        <v>762</v>
      </c>
      <c r="D810" t="s">
        <v>2597</v>
      </c>
      <c r="E810" t="s">
        <v>2589</v>
      </c>
      <c r="F810" t="s">
        <v>323</v>
      </c>
      <c r="G810">
        <v>1</v>
      </c>
      <c r="H810">
        <v>1</v>
      </c>
      <c r="I810" t="s">
        <v>97</v>
      </c>
      <c r="J810" s="10">
        <v>99</v>
      </c>
      <c r="K810" s="10">
        <v>297</v>
      </c>
      <c r="L810" s="10">
        <v>0</v>
      </c>
      <c r="N810" s="10">
        <v>0</v>
      </c>
      <c r="S810">
        <v>5</v>
      </c>
      <c r="U810">
        <v>24</v>
      </c>
      <c r="V810">
        <v>5.5</v>
      </c>
      <c r="W810">
        <v>8.4700000000000006</v>
      </c>
      <c r="Y810">
        <v>11.75</v>
      </c>
      <c r="Z810">
        <v>29.5</v>
      </c>
      <c r="AA810">
        <v>9.25</v>
      </c>
      <c r="AB810">
        <v>1.855</v>
      </c>
      <c r="AC810">
        <v>10.43</v>
      </c>
      <c r="AE810">
        <v>3</v>
      </c>
      <c r="AF810" t="s">
        <v>340</v>
      </c>
      <c r="AG810">
        <v>100</v>
      </c>
      <c r="AK810" t="s">
        <v>98</v>
      </c>
      <c r="AM810" t="s">
        <v>98</v>
      </c>
      <c r="AN810" t="s">
        <v>99</v>
      </c>
      <c r="AO810" t="s">
        <v>98</v>
      </c>
      <c r="AP810" t="s">
        <v>100</v>
      </c>
      <c r="AQ810" t="s">
        <v>101</v>
      </c>
      <c r="AV810" t="s">
        <v>98</v>
      </c>
      <c r="AX810" t="s">
        <v>2590</v>
      </c>
      <c r="AZ810" t="s">
        <v>102</v>
      </c>
      <c r="BB810" t="s">
        <v>235</v>
      </c>
      <c r="BC810" t="s">
        <v>2591</v>
      </c>
      <c r="BD810" t="s">
        <v>7528</v>
      </c>
      <c r="BF810" t="s">
        <v>2598</v>
      </c>
      <c r="BG810" t="s">
        <v>98</v>
      </c>
      <c r="BH810" t="s">
        <v>98</v>
      </c>
      <c r="BI810" t="s">
        <v>98</v>
      </c>
      <c r="BK810" t="s">
        <v>127</v>
      </c>
      <c r="BL810" t="s">
        <v>993</v>
      </c>
      <c r="BM810">
        <v>20</v>
      </c>
      <c r="BN810">
        <v>4.88</v>
      </c>
      <c r="CA810">
        <v>4873</v>
      </c>
      <c r="CB810" t="s">
        <v>2590</v>
      </c>
      <c r="CL810" t="s">
        <v>99</v>
      </c>
      <c r="CM810" t="s">
        <v>98</v>
      </c>
      <c r="CN810" t="s">
        <v>442</v>
      </c>
      <c r="CO810" s="1">
        <v>41701</v>
      </c>
      <c r="CP810" s="1">
        <v>43633</v>
      </c>
    </row>
    <row r="811" spans="1:94" x14ac:dyDescent="0.25">
      <c r="A811" t="s">
        <v>2599</v>
      </c>
      <c r="B811" t="str">
        <f xml:space="preserve"> "" &amp; 747396091914</f>
        <v>747396091914</v>
      </c>
      <c r="C811" t="s">
        <v>766</v>
      </c>
      <c r="D811" t="s">
        <v>2600</v>
      </c>
      <c r="E811" t="s">
        <v>2589</v>
      </c>
      <c r="F811" t="s">
        <v>323</v>
      </c>
      <c r="G811">
        <v>1</v>
      </c>
      <c r="H811">
        <v>1</v>
      </c>
      <c r="I811" t="s">
        <v>97</v>
      </c>
      <c r="J811" s="10">
        <v>125</v>
      </c>
      <c r="K811" s="10">
        <v>375</v>
      </c>
      <c r="L811" s="10">
        <v>0</v>
      </c>
      <c r="N811" s="10">
        <v>0</v>
      </c>
      <c r="S811">
        <v>5</v>
      </c>
      <c r="U811">
        <v>30</v>
      </c>
      <c r="V811">
        <v>5.5</v>
      </c>
      <c r="W811">
        <v>10.43</v>
      </c>
      <c r="Y811">
        <v>11.75</v>
      </c>
      <c r="Z811">
        <v>36</v>
      </c>
      <c r="AA811">
        <v>9.25</v>
      </c>
      <c r="AB811">
        <v>2.2639999999999998</v>
      </c>
      <c r="AC811">
        <v>12.72</v>
      </c>
      <c r="AE811">
        <v>4</v>
      </c>
      <c r="AF811" t="s">
        <v>340</v>
      </c>
      <c r="AG811">
        <v>100</v>
      </c>
      <c r="AK811" t="s">
        <v>98</v>
      </c>
      <c r="AM811" t="s">
        <v>98</v>
      </c>
      <c r="AN811" t="s">
        <v>99</v>
      </c>
      <c r="AO811" t="s">
        <v>98</v>
      </c>
      <c r="AP811" t="s">
        <v>100</v>
      </c>
      <c r="AQ811" t="s">
        <v>101</v>
      </c>
      <c r="AV811" t="s">
        <v>98</v>
      </c>
      <c r="AX811" t="s">
        <v>2590</v>
      </c>
      <c r="AZ811" t="s">
        <v>102</v>
      </c>
      <c r="BB811" t="s">
        <v>235</v>
      </c>
      <c r="BC811" t="s">
        <v>2591</v>
      </c>
      <c r="BD811" t="s">
        <v>7528</v>
      </c>
      <c r="BF811" t="s">
        <v>2601</v>
      </c>
      <c r="BG811" t="s">
        <v>98</v>
      </c>
      <c r="BH811" t="s">
        <v>98</v>
      </c>
      <c r="BI811" t="s">
        <v>98</v>
      </c>
      <c r="BK811" t="s">
        <v>127</v>
      </c>
      <c r="BL811" t="s">
        <v>993</v>
      </c>
      <c r="BM811">
        <v>26</v>
      </c>
      <c r="BN811">
        <v>4.88</v>
      </c>
      <c r="CA811">
        <v>4874</v>
      </c>
      <c r="CB811" t="s">
        <v>2590</v>
      </c>
      <c r="CL811" t="s">
        <v>99</v>
      </c>
      <c r="CM811" t="s">
        <v>98</v>
      </c>
      <c r="CN811" t="s">
        <v>442</v>
      </c>
      <c r="CO811" s="1">
        <v>41701</v>
      </c>
      <c r="CP811" s="1">
        <v>43633</v>
      </c>
    </row>
    <row r="812" spans="1:94" x14ac:dyDescent="0.25">
      <c r="A812" t="s">
        <v>2602</v>
      </c>
      <c r="B812" t="str">
        <f xml:space="preserve"> "" &amp; 747396091921</f>
        <v>747396091921</v>
      </c>
      <c r="C812" t="s">
        <v>1233</v>
      </c>
      <c r="D812" t="s">
        <v>2603</v>
      </c>
      <c r="E812" t="s">
        <v>2589</v>
      </c>
      <c r="F812" t="s">
        <v>240</v>
      </c>
      <c r="G812">
        <v>1</v>
      </c>
      <c r="H812">
        <v>1</v>
      </c>
      <c r="I812" t="s">
        <v>97</v>
      </c>
      <c r="J812" s="10">
        <v>149.94999999999999</v>
      </c>
      <c r="K812" s="10">
        <v>449.85</v>
      </c>
      <c r="L812" s="10">
        <v>0</v>
      </c>
      <c r="N812" s="10">
        <v>0</v>
      </c>
      <c r="O812" t="s">
        <v>99</v>
      </c>
      <c r="P812" s="10">
        <v>299.95</v>
      </c>
      <c r="S812">
        <v>19.5</v>
      </c>
      <c r="T812">
        <v>15.5</v>
      </c>
      <c r="U812">
        <v>15.5</v>
      </c>
      <c r="W812">
        <v>13.45</v>
      </c>
      <c r="Y812">
        <v>20.25</v>
      </c>
      <c r="Z812">
        <v>23.75</v>
      </c>
      <c r="AA812">
        <v>18.75</v>
      </c>
      <c r="AB812">
        <v>5.2190000000000003</v>
      </c>
      <c r="AC812">
        <v>19.329999999999998</v>
      </c>
      <c r="AE812">
        <v>4</v>
      </c>
      <c r="AF812" t="s">
        <v>519</v>
      </c>
      <c r="AG812">
        <v>60</v>
      </c>
      <c r="AK812" t="s">
        <v>98</v>
      </c>
      <c r="AM812" t="s">
        <v>98</v>
      </c>
      <c r="AN812" t="s">
        <v>99</v>
      </c>
      <c r="AO812" t="s">
        <v>98</v>
      </c>
      <c r="AP812" t="s">
        <v>100</v>
      </c>
      <c r="AQ812" t="s">
        <v>101</v>
      </c>
      <c r="AV812" t="s">
        <v>98</v>
      </c>
      <c r="AX812" t="s">
        <v>2590</v>
      </c>
      <c r="AZ812" t="s">
        <v>102</v>
      </c>
      <c r="BB812" t="s">
        <v>235</v>
      </c>
      <c r="BC812" t="s">
        <v>1687</v>
      </c>
      <c r="BD812" t="s">
        <v>7528</v>
      </c>
      <c r="BF812" t="s">
        <v>2604</v>
      </c>
      <c r="BG812" t="s">
        <v>98</v>
      </c>
      <c r="BH812" t="s">
        <v>98</v>
      </c>
      <c r="BI812" t="s">
        <v>98</v>
      </c>
      <c r="BK812" t="s">
        <v>110</v>
      </c>
      <c r="BL812" t="s">
        <v>7528</v>
      </c>
      <c r="BQ812">
        <v>5</v>
      </c>
      <c r="BR812">
        <v>0.75</v>
      </c>
      <c r="BS812">
        <v>5</v>
      </c>
      <c r="BT812">
        <v>5</v>
      </c>
      <c r="CA812">
        <v>4875</v>
      </c>
      <c r="CB812" t="s">
        <v>2590</v>
      </c>
      <c r="CL812" t="s">
        <v>99</v>
      </c>
      <c r="CM812" t="s">
        <v>99</v>
      </c>
      <c r="CN812" t="s">
        <v>442</v>
      </c>
      <c r="CO812" s="1">
        <v>41600</v>
      </c>
      <c r="CP812" s="1">
        <v>43633</v>
      </c>
    </row>
    <row r="813" spans="1:94" x14ac:dyDescent="0.25">
      <c r="A813" t="s">
        <v>2605</v>
      </c>
      <c r="B813" t="str">
        <f xml:space="preserve"> "" &amp; 747396091990</f>
        <v>747396091990</v>
      </c>
      <c r="C813" t="s">
        <v>1876</v>
      </c>
      <c r="D813" t="s">
        <v>2606</v>
      </c>
      <c r="E813" t="s">
        <v>2589</v>
      </c>
      <c r="F813" t="s">
        <v>377</v>
      </c>
      <c r="G813">
        <v>1</v>
      </c>
      <c r="H813">
        <v>1</v>
      </c>
      <c r="I813" t="s">
        <v>97</v>
      </c>
      <c r="J813" s="10">
        <v>92.95</v>
      </c>
      <c r="K813" s="10">
        <v>278.85000000000002</v>
      </c>
      <c r="L813" s="10">
        <v>0</v>
      </c>
      <c r="N813" s="10">
        <v>0</v>
      </c>
      <c r="O813" t="s">
        <v>99</v>
      </c>
      <c r="P813" s="10">
        <v>184.95</v>
      </c>
      <c r="S813">
        <v>12.5</v>
      </c>
      <c r="T813">
        <v>11</v>
      </c>
      <c r="U813">
        <v>11</v>
      </c>
      <c r="W813">
        <v>6.9</v>
      </c>
      <c r="Y813">
        <v>15.75</v>
      </c>
      <c r="Z813">
        <v>17</v>
      </c>
      <c r="AA813">
        <v>14</v>
      </c>
      <c r="AB813">
        <v>2.169</v>
      </c>
      <c r="AC813">
        <v>9.19</v>
      </c>
      <c r="AE813">
        <v>4</v>
      </c>
      <c r="AF813" t="s">
        <v>772</v>
      </c>
      <c r="AG813">
        <v>60</v>
      </c>
      <c r="AK813" t="s">
        <v>98</v>
      </c>
      <c r="AM813" t="s">
        <v>98</v>
      </c>
      <c r="AN813" t="s">
        <v>99</v>
      </c>
      <c r="AO813" t="s">
        <v>98</v>
      </c>
      <c r="AP813" t="s">
        <v>100</v>
      </c>
      <c r="AQ813" t="s">
        <v>101</v>
      </c>
      <c r="AV813" t="s">
        <v>98</v>
      </c>
      <c r="AX813" t="s">
        <v>2590</v>
      </c>
      <c r="AZ813" t="s">
        <v>102</v>
      </c>
      <c r="BB813" t="s">
        <v>235</v>
      </c>
      <c r="BC813" t="s">
        <v>2607</v>
      </c>
      <c r="BD813" t="s">
        <v>7528</v>
      </c>
      <c r="BF813" t="s">
        <v>2608</v>
      </c>
      <c r="BG813" t="s">
        <v>98</v>
      </c>
      <c r="BH813" t="s">
        <v>98</v>
      </c>
      <c r="BI813" t="s">
        <v>98</v>
      </c>
      <c r="BK813" t="s">
        <v>127</v>
      </c>
      <c r="BL813" t="s">
        <v>7528</v>
      </c>
      <c r="BR813">
        <v>0.75</v>
      </c>
      <c r="BS813">
        <v>5.5</v>
      </c>
      <c r="BT813">
        <v>5.5</v>
      </c>
      <c r="CA813">
        <v>4876</v>
      </c>
      <c r="CB813" t="s">
        <v>2590</v>
      </c>
      <c r="CL813" t="s">
        <v>99</v>
      </c>
      <c r="CM813" t="s">
        <v>98</v>
      </c>
      <c r="CN813" t="s">
        <v>442</v>
      </c>
      <c r="CO813" s="1">
        <v>41701</v>
      </c>
      <c r="CP813" s="1">
        <v>43633</v>
      </c>
    </row>
    <row r="814" spans="1:94" x14ac:dyDescent="0.25">
      <c r="A814" t="s">
        <v>2609</v>
      </c>
      <c r="B814" t="str">
        <f xml:space="preserve"> "" &amp; 747396092003</f>
        <v>747396092003</v>
      </c>
      <c r="C814" t="s">
        <v>866</v>
      </c>
      <c r="D814" t="s">
        <v>2610</v>
      </c>
      <c r="E814" t="s">
        <v>2589</v>
      </c>
      <c r="F814" t="s">
        <v>240</v>
      </c>
      <c r="G814">
        <v>1</v>
      </c>
      <c r="H814">
        <v>1</v>
      </c>
      <c r="I814" t="s">
        <v>97</v>
      </c>
      <c r="J814" s="10">
        <v>179.95</v>
      </c>
      <c r="K814" s="10">
        <v>539.85</v>
      </c>
      <c r="L814" s="10">
        <v>0</v>
      </c>
      <c r="N814" s="10">
        <v>0</v>
      </c>
      <c r="O814" t="s">
        <v>99</v>
      </c>
      <c r="P814" s="10">
        <v>359.95</v>
      </c>
      <c r="S814">
        <v>26.5</v>
      </c>
      <c r="T814">
        <v>15</v>
      </c>
      <c r="U814">
        <v>15</v>
      </c>
      <c r="W814">
        <v>22.44</v>
      </c>
      <c r="Y814">
        <v>28</v>
      </c>
      <c r="Z814">
        <v>24.75</v>
      </c>
      <c r="AA814">
        <v>18.75</v>
      </c>
      <c r="AB814">
        <v>7.52</v>
      </c>
      <c r="AC814">
        <v>29.76</v>
      </c>
      <c r="AE814">
        <v>8</v>
      </c>
      <c r="AF814" t="s">
        <v>1545</v>
      </c>
      <c r="AG814">
        <v>60</v>
      </c>
      <c r="AK814" t="s">
        <v>98</v>
      </c>
      <c r="AM814" t="s">
        <v>98</v>
      </c>
      <c r="AN814" t="s">
        <v>99</v>
      </c>
      <c r="AO814" t="s">
        <v>98</v>
      </c>
      <c r="AP814" t="s">
        <v>100</v>
      </c>
      <c r="AQ814" t="s">
        <v>101</v>
      </c>
      <c r="AV814" t="s">
        <v>98</v>
      </c>
      <c r="AX814" t="s">
        <v>2590</v>
      </c>
      <c r="AZ814" t="s">
        <v>102</v>
      </c>
      <c r="BB814" t="s">
        <v>235</v>
      </c>
      <c r="BC814" t="s">
        <v>2591</v>
      </c>
      <c r="BD814" t="s">
        <v>7528</v>
      </c>
      <c r="BF814" t="s">
        <v>2611</v>
      </c>
      <c r="BG814" t="s">
        <v>98</v>
      </c>
      <c r="BH814" t="s">
        <v>98</v>
      </c>
      <c r="BI814" t="s">
        <v>98</v>
      </c>
      <c r="BK814" t="s">
        <v>110</v>
      </c>
      <c r="BL814" t="s">
        <v>7528</v>
      </c>
      <c r="BQ814">
        <v>5</v>
      </c>
      <c r="BR814">
        <v>0.75</v>
      </c>
      <c r="BS814">
        <v>5</v>
      </c>
      <c r="BT814">
        <v>5</v>
      </c>
      <c r="CA814">
        <v>4877</v>
      </c>
      <c r="CB814" t="s">
        <v>2590</v>
      </c>
      <c r="CL814" t="s">
        <v>99</v>
      </c>
      <c r="CM814" t="s">
        <v>99</v>
      </c>
      <c r="CN814" t="s">
        <v>442</v>
      </c>
      <c r="CO814" s="1">
        <v>41627</v>
      </c>
      <c r="CP814" s="1">
        <v>43633</v>
      </c>
    </row>
    <row r="815" spans="1:94" x14ac:dyDescent="0.25">
      <c r="A815" t="s">
        <v>2612</v>
      </c>
      <c r="B815" t="str">
        <f xml:space="preserve"> "" &amp; 747396091938</f>
        <v>747396091938</v>
      </c>
      <c r="C815" t="s">
        <v>2613</v>
      </c>
      <c r="D815" t="s">
        <v>2614</v>
      </c>
      <c r="E815" t="s">
        <v>2589</v>
      </c>
      <c r="F815" t="s">
        <v>314</v>
      </c>
      <c r="G815">
        <v>1</v>
      </c>
      <c r="H815">
        <v>1</v>
      </c>
      <c r="I815" t="s">
        <v>97</v>
      </c>
      <c r="J815" s="10">
        <v>229.95</v>
      </c>
      <c r="K815" s="10">
        <v>689.85</v>
      </c>
      <c r="L815" s="10">
        <v>0</v>
      </c>
      <c r="N815" s="10">
        <v>0</v>
      </c>
      <c r="O815" t="s">
        <v>99</v>
      </c>
      <c r="P815" s="10">
        <v>459.95</v>
      </c>
      <c r="S815">
        <v>15.25</v>
      </c>
      <c r="T815">
        <v>32</v>
      </c>
      <c r="U815">
        <v>15</v>
      </c>
      <c r="W815">
        <v>23.7</v>
      </c>
      <c r="Y815">
        <v>20</v>
      </c>
      <c r="Z815">
        <v>35</v>
      </c>
      <c r="AA815">
        <v>17.75</v>
      </c>
      <c r="AB815">
        <v>7.19</v>
      </c>
      <c r="AC815">
        <v>31.88</v>
      </c>
      <c r="AE815">
        <v>8</v>
      </c>
      <c r="AF815" t="s">
        <v>2557</v>
      </c>
      <c r="AG815">
        <v>60</v>
      </c>
      <c r="AK815" t="s">
        <v>98</v>
      </c>
      <c r="AM815" t="s">
        <v>98</v>
      </c>
      <c r="AN815" t="s">
        <v>99</v>
      </c>
      <c r="AO815" t="s">
        <v>98</v>
      </c>
      <c r="AP815" t="s">
        <v>259</v>
      </c>
      <c r="AQ815" t="s">
        <v>101</v>
      </c>
      <c r="AV815" t="s">
        <v>98</v>
      </c>
      <c r="AX815" t="s">
        <v>2590</v>
      </c>
      <c r="AZ815" t="s">
        <v>102</v>
      </c>
      <c r="BB815" t="s">
        <v>235</v>
      </c>
      <c r="BC815" t="s">
        <v>2591</v>
      </c>
      <c r="BD815" t="s">
        <v>7528</v>
      </c>
      <c r="BF815" t="s">
        <v>2615</v>
      </c>
      <c r="BG815" t="s">
        <v>98</v>
      </c>
      <c r="BH815" t="s">
        <v>98</v>
      </c>
      <c r="BI815" t="s">
        <v>98</v>
      </c>
      <c r="BK815" t="s">
        <v>110</v>
      </c>
      <c r="BL815" t="s">
        <v>7528</v>
      </c>
      <c r="BR815">
        <v>0.75</v>
      </c>
      <c r="BS815">
        <v>15.75</v>
      </c>
      <c r="BT815">
        <v>4.75</v>
      </c>
      <c r="CA815">
        <v>4878</v>
      </c>
      <c r="CB815" t="s">
        <v>2590</v>
      </c>
      <c r="CL815" t="s">
        <v>99</v>
      </c>
      <c r="CM815" t="s">
        <v>98</v>
      </c>
      <c r="CN815" t="s">
        <v>442</v>
      </c>
      <c r="CO815" s="1">
        <v>41600</v>
      </c>
      <c r="CP815" s="1">
        <v>43633</v>
      </c>
    </row>
    <row r="816" spans="1:94" x14ac:dyDescent="0.25">
      <c r="A816" t="s">
        <v>2616</v>
      </c>
      <c r="B816" t="str">
        <f xml:space="preserve"> "" &amp; 747396091945</f>
        <v>747396091945</v>
      </c>
      <c r="C816" t="s">
        <v>239</v>
      </c>
      <c r="D816" t="s">
        <v>2617</v>
      </c>
      <c r="E816" t="s">
        <v>2589</v>
      </c>
      <c r="F816" t="s">
        <v>240</v>
      </c>
      <c r="G816">
        <v>1</v>
      </c>
      <c r="H816">
        <v>1</v>
      </c>
      <c r="I816" t="s">
        <v>97</v>
      </c>
      <c r="J816" s="10">
        <v>64.95</v>
      </c>
      <c r="K816" s="10">
        <v>194.85</v>
      </c>
      <c r="L816" s="10">
        <v>0</v>
      </c>
      <c r="N816" s="10">
        <v>0</v>
      </c>
      <c r="O816" t="s">
        <v>99</v>
      </c>
      <c r="P816" s="10">
        <v>129.94999999999999</v>
      </c>
      <c r="S816">
        <v>13.25</v>
      </c>
      <c r="T816">
        <v>7.5</v>
      </c>
      <c r="U816">
        <v>7.5</v>
      </c>
      <c r="W816">
        <v>5.91</v>
      </c>
      <c r="Y816">
        <v>12.5</v>
      </c>
      <c r="Z816">
        <v>15.25</v>
      </c>
      <c r="AA816">
        <v>11.25</v>
      </c>
      <c r="AB816">
        <v>1.2410000000000001</v>
      </c>
      <c r="AC816">
        <v>7.34</v>
      </c>
      <c r="AE816">
        <v>1</v>
      </c>
      <c r="AF816" t="s">
        <v>340</v>
      </c>
      <c r="AG816">
        <v>100</v>
      </c>
      <c r="AK816" t="s">
        <v>98</v>
      </c>
      <c r="AM816" t="s">
        <v>98</v>
      </c>
      <c r="AN816" t="s">
        <v>99</v>
      </c>
      <c r="AO816" t="s">
        <v>98</v>
      </c>
      <c r="AP816" t="s">
        <v>100</v>
      </c>
      <c r="AQ816" t="s">
        <v>101</v>
      </c>
      <c r="AV816" t="s">
        <v>98</v>
      </c>
      <c r="AX816" t="s">
        <v>2590</v>
      </c>
      <c r="AZ816" t="s">
        <v>102</v>
      </c>
      <c r="BB816" t="s">
        <v>235</v>
      </c>
      <c r="BC816" t="s">
        <v>2591</v>
      </c>
      <c r="BD816" t="s">
        <v>7528</v>
      </c>
      <c r="BF816" t="s">
        <v>2618</v>
      </c>
      <c r="BG816" t="s">
        <v>98</v>
      </c>
      <c r="BH816" t="s">
        <v>98</v>
      </c>
      <c r="BI816" t="s">
        <v>98</v>
      </c>
      <c r="BK816" t="s">
        <v>110</v>
      </c>
      <c r="BL816" t="s">
        <v>7528</v>
      </c>
      <c r="BQ816">
        <v>5</v>
      </c>
      <c r="BR816">
        <v>0.75</v>
      </c>
      <c r="BS816">
        <v>5</v>
      </c>
      <c r="BT816">
        <v>5</v>
      </c>
      <c r="CA816">
        <v>4879</v>
      </c>
      <c r="CB816" t="s">
        <v>2590</v>
      </c>
      <c r="CL816" t="s">
        <v>99</v>
      </c>
      <c r="CM816" t="s">
        <v>99</v>
      </c>
      <c r="CN816" t="s">
        <v>442</v>
      </c>
      <c r="CO816" s="1">
        <v>41701</v>
      </c>
      <c r="CP816" s="1">
        <v>43633</v>
      </c>
    </row>
    <row r="817" spans="1:94" x14ac:dyDescent="0.25">
      <c r="A817" t="s">
        <v>2619</v>
      </c>
      <c r="B817" t="str">
        <f xml:space="preserve"> "" &amp; 747396091587</f>
        <v>747396091587</v>
      </c>
      <c r="C817" t="s">
        <v>239</v>
      </c>
      <c r="D817" t="s">
        <v>2620</v>
      </c>
      <c r="E817" t="s">
        <v>2621</v>
      </c>
      <c r="F817" t="s">
        <v>240</v>
      </c>
      <c r="G817">
        <v>1</v>
      </c>
      <c r="H817">
        <v>1</v>
      </c>
      <c r="I817" t="s">
        <v>97</v>
      </c>
      <c r="J817" s="10">
        <v>34.950000000000003</v>
      </c>
      <c r="K817" s="10">
        <v>104.85</v>
      </c>
      <c r="L817" s="10">
        <v>0</v>
      </c>
      <c r="N817" s="10">
        <v>0</v>
      </c>
      <c r="O817" t="s">
        <v>99</v>
      </c>
      <c r="P817" s="10">
        <v>69.900000000000006</v>
      </c>
      <c r="S817">
        <v>10.25</v>
      </c>
      <c r="T817">
        <v>6</v>
      </c>
      <c r="U817">
        <v>6</v>
      </c>
      <c r="W817">
        <v>3.13</v>
      </c>
      <c r="Y817">
        <v>8.25</v>
      </c>
      <c r="Z817">
        <v>14</v>
      </c>
      <c r="AA817">
        <v>8.25</v>
      </c>
      <c r="AB817">
        <v>0.55100000000000005</v>
      </c>
      <c r="AC817">
        <v>3.81</v>
      </c>
      <c r="AE817">
        <v>1</v>
      </c>
      <c r="AF817" t="s">
        <v>347</v>
      </c>
      <c r="AG817">
        <v>100</v>
      </c>
      <c r="AK817" t="s">
        <v>98</v>
      </c>
      <c r="AM817" t="s">
        <v>98</v>
      </c>
      <c r="AN817" t="s">
        <v>99</v>
      </c>
      <c r="AO817" t="s">
        <v>98</v>
      </c>
      <c r="AP817" t="s">
        <v>100</v>
      </c>
      <c r="AQ817" t="s">
        <v>101</v>
      </c>
      <c r="AV817" t="s">
        <v>98</v>
      </c>
      <c r="AX817" t="s">
        <v>1257</v>
      </c>
      <c r="AZ817" t="s">
        <v>102</v>
      </c>
      <c r="BB817" t="s">
        <v>235</v>
      </c>
      <c r="BC817" t="s">
        <v>561</v>
      </c>
      <c r="BD817" t="s">
        <v>7528</v>
      </c>
      <c r="BF817" t="s">
        <v>2622</v>
      </c>
      <c r="BG817" t="s">
        <v>98</v>
      </c>
      <c r="BH817" t="s">
        <v>98</v>
      </c>
      <c r="BI817" t="s">
        <v>98</v>
      </c>
      <c r="BK817" t="s">
        <v>110</v>
      </c>
      <c r="BL817" t="s">
        <v>7528</v>
      </c>
      <c r="BQ817">
        <v>6</v>
      </c>
      <c r="BR817">
        <v>0.75</v>
      </c>
      <c r="BS817">
        <v>6</v>
      </c>
      <c r="BT817">
        <v>6</v>
      </c>
      <c r="CA817">
        <v>4931</v>
      </c>
      <c r="CB817" t="s">
        <v>1257</v>
      </c>
      <c r="CL817" t="s">
        <v>99</v>
      </c>
      <c r="CM817" t="s">
        <v>99</v>
      </c>
      <c r="CN817" t="s">
        <v>442</v>
      </c>
      <c r="CO817" s="1">
        <v>41425</v>
      </c>
      <c r="CP817" s="1">
        <v>43633</v>
      </c>
    </row>
    <row r="818" spans="1:94" x14ac:dyDescent="0.25">
      <c r="A818" t="s">
        <v>2623</v>
      </c>
      <c r="B818" t="str">
        <f xml:space="preserve"> "" &amp; 747396091549</f>
        <v>747396091549</v>
      </c>
      <c r="C818" t="s">
        <v>376</v>
      </c>
      <c r="D818" t="s">
        <v>2624</v>
      </c>
      <c r="E818" t="s">
        <v>2621</v>
      </c>
      <c r="F818" t="s">
        <v>377</v>
      </c>
      <c r="G818">
        <v>1</v>
      </c>
      <c r="H818">
        <v>1</v>
      </c>
      <c r="I818" t="s">
        <v>97</v>
      </c>
      <c r="J818" s="10">
        <v>58</v>
      </c>
      <c r="K818" s="10">
        <v>174</v>
      </c>
      <c r="L818" s="10">
        <v>0</v>
      </c>
      <c r="N818" s="10">
        <v>0</v>
      </c>
      <c r="O818" t="s">
        <v>99</v>
      </c>
      <c r="P818" s="10">
        <v>114.95</v>
      </c>
      <c r="S818">
        <v>12.5</v>
      </c>
      <c r="T818">
        <v>17.25</v>
      </c>
      <c r="U818">
        <v>17.25</v>
      </c>
      <c r="W818">
        <v>5.86</v>
      </c>
      <c r="Y818">
        <v>10</v>
      </c>
      <c r="Z818">
        <v>19</v>
      </c>
      <c r="AA818">
        <v>18.25</v>
      </c>
      <c r="AB818">
        <v>2.0070000000000001</v>
      </c>
      <c r="AC818">
        <v>7.96</v>
      </c>
      <c r="AE818">
        <v>3</v>
      </c>
      <c r="AF818" t="s">
        <v>347</v>
      </c>
      <c r="AG818">
        <v>100</v>
      </c>
      <c r="AK818" t="s">
        <v>98</v>
      </c>
      <c r="AM818" t="s">
        <v>98</v>
      </c>
      <c r="AN818" t="s">
        <v>99</v>
      </c>
      <c r="AO818" t="s">
        <v>98</v>
      </c>
      <c r="AP818" t="s">
        <v>100</v>
      </c>
      <c r="AQ818" t="s">
        <v>101</v>
      </c>
      <c r="AV818" t="s">
        <v>98</v>
      </c>
      <c r="AX818" t="s">
        <v>1257</v>
      </c>
      <c r="AZ818" t="s">
        <v>102</v>
      </c>
      <c r="BB818" t="s">
        <v>235</v>
      </c>
      <c r="BC818" t="s">
        <v>561</v>
      </c>
      <c r="BD818" t="s">
        <v>7528</v>
      </c>
      <c r="BF818" t="s">
        <v>2625</v>
      </c>
      <c r="BG818" t="s">
        <v>98</v>
      </c>
      <c r="BH818" t="s">
        <v>98</v>
      </c>
      <c r="BI818" t="s">
        <v>98</v>
      </c>
      <c r="BK818" t="s">
        <v>127</v>
      </c>
      <c r="BL818" t="s">
        <v>7528</v>
      </c>
      <c r="BQ818">
        <v>6</v>
      </c>
      <c r="BR818">
        <v>0.75</v>
      </c>
      <c r="BS818">
        <v>6</v>
      </c>
      <c r="BT818">
        <v>6</v>
      </c>
      <c r="CA818">
        <v>4932</v>
      </c>
      <c r="CB818" t="s">
        <v>1257</v>
      </c>
      <c r="CL818" t="s">
        <v>99</v>
      </c>
      <c r="CM818" t="s">
        <v>98</v>
      </c>
      <c r="CN818" t="s">
        <v>442</v>
      </c>
      <c r="CO818" s="1">
        <v>41425</v>
      </c>
      <c r="CP818" s="1">
        <v>43633</v>
      </c>
    </row>
    <row r="819" spans="1:94" x14ac:dyDescent="0.25">
      <c r="A819" t="s">
        <v>2626</v>
      </c>
      <c r="B819" t="str">
        <f xml:space="preserve"> "" &amp; 747396091556</f>
        <v>747396091556</v>
      </c>
      <c r="C819" t="s">
        <v>248</v>
      </c>
      <c r="D819" t="s">
        <v>2627</v>
      </c>
      <c r="E819" t="s">
        <v>2621</v>
      </c>
      <c r="F819" t="s">
        <v>249</v>
      </c>
      <c r="G819">
        <v>1</v>
      </c>
      <c r="H819">
        <v>1</v>
      </c>
      <c r="I819" t="s">
        <v>97</v>
      </c>
      <c r="J819" s="10">
        <v>47.5</v>
      </c>
      <c r="K819" s="10">
        <v>142.5</v>
      </c>
      <c r="L819" s="10">
        <v>0</v>
      </c>
      <c r="N819" s="10">
        <v>0</v>
      </c>
      <c r="S819">
        <v>17.25</v>
      </c>
      <c r="T819">
        <v>18</v>
      </c>
      <c r="U819">
        <v>18</v>
      </c>
      <c r="W819">
        <v>8.16</v>
      </c>
      <c r="Y819">
        <v>18</v>
      </c>
      <c r="Z819">
        <v>18</v>
      </c>
      <c r="AA819">
        <v>8</v>
      </c>
      <c r="AB819">
        <v>1.5</v>
      </c>
      <c r="AC819">
        <v>11</v>
      </c>
      <c r="AE819">
        <v>3</v>
      </c>
      <c r="AF819" t="s">
        <v>347</v>
      </c>
      <c r="AG819">
        <v>100</v>
      </c>
      <c r="AK819" t="s">
        <v>98</v>
      </c>
      <c r="AL819">
        <v>3</v>
      </c>
      <c r="AM819" t="s">
        <v>98</v>
      </c>
      <c r="AN819" t="s">
        <v>99</v>
      </c>
      <c r="AO819" t="s">
        <v>98</v>
      </c>
      <c r="AP819" t="s">
        <v>100</v>
      </c>
      <c r="AQ819" t="s">
        <v>101</v>
      </c>
      <c r="AV819" t="s">
        <v>98</v>
      </c>
      <c r="AX819" t="s">
        <v>1257</v>
      </c>
      <c r="AZ819" t="s">
        <v>102</v>
      </c>
      <c r="BB819" t="s">
        <v>235</v>
      </c>
      <c r="BC819" t="s">
        <v>561</v>
      </c>
      <c r="BD819" t="s">
        <v>7528</v>
      </c>
      <c r="BF819" t="s">
        <v>2628</v>
      </c>
      <c r="BG819" t="s">
        <v>98</v>
      </c>
      <c r="BH819" t="s">
        <v>98</v>
      </c>
      <c r="BI819" t="s">
        <v>98</v>
      </c>
      <c r="BK819" t="s">
        <v>127</v>
      </c>
      <c r="BL819" t="s">
        <v>7528</v>
      </c>
      <c r="BQ819">
        <v>6</v>
      </c>
      <c r="BR819">
        <v>0.75</v>
      </c>
      <c r="BS819">
        <v>6</v>
      </c>
      <c r="BT819">
        <v>6</v>
      </c>
      <c r="CA819">
        <v>4933</v>
      </c>
      <c r="CB819" t="s">
        <v>1257</v>
      </c>
      <c r="CL819" t="s">
        <v>99</v>
      </c>
      <c r="CM819" t="s">
        <v>99</v>
      </c>
      <c r="CN819" t="s">
        <v>442</v>
      </c>
      <c r="CO819" s="1">
        <v>41425</v>
      </c>
      <c r="CP819" s="1">
        <v>43633</v>
      </c>
    </row>
    <row r="820" spans="1:94" x14ac:dyDescent="0.25">
      <c r="A820" t="s">
        <v>2630</v>
      </c>
      <c r="B820" t="str">
        <f xml:space="preserve"> "" &amp; 747396087597</f>
        <v>747396087597</v>
      </c>
      <c r="C820" t="s">
        <v>376</v>
      </c>
      <c r="D820" t="s">
        <v>2631</v>
      </c>
      <c r="E820" t="s">
        <v>2632</v>
      </c>
      <c r="F820" t="s">
        <v>377</v>
      </c>
      <c r="G820">
        <v>1</v>
      </c>
      <c r="H820">
        <v>1</v>
      </c>
      <c r="I820" t="s">
        <v>97</v>
      </c>
      <c r="J820" s="10">
        <v>117</v>
      </c>
      <c r="K820" s="10">
        <v>351</v>
      </c>
      <c r="L820" s="10">
        <v>0</v>
      </c>
      <c r="N820" s="10">
        <v>0</v>
      </c>
      <c r="O820" t="s">
        <v>99</v>
      </c>
      <c r="P820" s="10">
        <v>234.95</v>
      </c>
      <c r="S820">
        <v>10.25</v>
      </c>
      <c r="T820">
        <v>15</v>
      </c>
      <c r="U820">
        <v>15</v>
      </c>
      <c r="W820">
        <v>7.91</v>
      </c>
      <c r="Y820">
        <v>9.5</v>
      </c>
      <c r="Z820">
        <v>17.5</v>
      </c>
      <c r="AA820">
        <v>17.5</v>
      </c>
      <c r="AB820">
        <v>1.6839999999999999</v>
      </c>
      <c r="AC820">
        <v>10.54</v>
      </c>
      <c r="AE820">
        <v>3</v>
      </c>
      <c r="AF820" t="s">
        <v>347</v>
      </c>
      <c r="AG820">
        <v>100</v>
      </c>
      <c r="AK820" t="s">
        <v>98</v>
      </c>
      <c r="AM820" t="s">
        <v>98</v>
      </c>
      <c r="AN820" t="s">
        <v>99</v>
      </c>
      <c r="AO820" t="s">
        <v>98</v>
      </c>
      <c r="AP820" t="s">
        <v>100</v>
      </c>
      <c r="AQ820" t="s">
        <v>101</v>
      </c>
      <c r="AV820" t="s">
        <v>98</v>
      </c>
      <c r="AX820" t="s">
        <v>2633</v>
      </c>
      <c r="AZ820" t="s">
        <v>124</v>
      </c>
      <c r="BB820" t="s">
        <v>235</v>
      </c>
      <c r="BC820" t="s">
        <v>561</v>
      </c>
      <c r="BD820" t="s">
        <v>7528</v>
      </c>
      <c r="BF820" t="s">
        <v>2634</v>
      </c>
      <c r="BG820" t="s">
        <v>98</v>
      </c>
      <c r="BH820" t="s">
        <v>98</v>
      </c>
      <c r="BI820" t="s">
        <v>98</v>
      </c>
      <c r="BK820" t="s">
        <v>127</v>
      </c>
      <c r="BL820" t="s">
        <v>7528</v>
      </c>
      <c r="BQ820">
        <v>5.5</v>
      </c>
      <c r="BR820">
        <v>0.75</v>
      </c>
      <c r="BS820">
        <v>5.5</v>
      </c>
      <c r="BT820">
        <v>5.5</v>
      </c>
      <c r="CA820">
        <v>4942</v>
      </c>
      <c r="CB820" t="s">
        <v>2633</v>
      </c>
      <c r="CL820" t="s">
        <v>99</v>
      </c>
      <c r="CM820" t="s">
        <v>98</v>
      </c>
      <c r="CN820" t="s">
        <v>442</v>
      </c>
      <c r="CO820" s="1">
        <v>41243</v>
      </c>
      <c r="CP820" s="1">
        <v>43633</v>
      </c>
    </row>
    <row r="821" spans="1:94" x14ac:dyDescent="0.25">
      <c r="A821" t="s">
        <v>2635</v>
      </c>
      <c r="B821" t="str">
        <f xml:space="preserve"> "" &amp; 747396088297</f>
        <v>747396088297</v>
      </c>
      <c r="C821" t="s">
        <v>376</v>
      </c>
      <c r="D821" t="s">
        <v>2636</v>
      </c>
      <c r="E821" t="s">
        <v>2637</v>
      </c>
      <c r="F821" t="s">
        <v>377</v>
      </c>
      <c r="G821">
        <v>1</v>
      </c>
      <c r="H821">
        <v>1</v>
      </c>
      <c r="I821" t="s">
        <v>97</v>
      </c>
      <c r="J821" s="10">
        <v>79</v>
      </c>
      <c r="K821" s="10">
        <v>237</v>
      </c>
      <c r="L821" s="10">
        <v>0</v>
      </c>
      <c r="N821" s="10">
        <v>0</v>
      </c>
      <c r="O821" t="s">
        <v>99</v>
      </c>
      <c r="P821" s="10">
        <v>159.94999999999999</v>
      </c>
      <c r="S821">
        <v>9.75</v>
      </c>
      <c r="T821">
        <v>0</v>
      </c>
      <c r="U821">
        <v>15</v>
      </c>
      <c r="W821">
        <v>5.6</v>
      </c>
      <c r="Y821">
        <v>0</v>
      </c>
      <c r="Z821">
        <v>0</v>
      </c>
      <c r="AA821">
        <v>0</v>
      </c>
      <c r="AB821">
        <v>0</v>
      </c>
      <c r="AC821">
        <v>8.77</v>
      </c>
      <c r="AE821">
        <v>3</v>
      </c>
      <c r="AF821" t="s">
        <v>1473</v>
      </c>
      <c r="AG821">
        <v>100</v>
      </c>
      <c r="AK821" t="s">
        <v>98</v>
      </c>
      <c r="AM821" t="s">
        <v>98</v>
      </c>
      <c r="AN821" t="s">
        <v>98</v>
      </c>
      <c r="AO821" t="s">
        <v>99</v>
      </c>
      <c r="AP821" t="s">
        <v>100</v>
      </c>
      <c r="AQ821" t="s">
        <v>101</v>
      </c>
      <c r="AV821" t="s">
        <v>98</v>
      </c>
      <c r="AX821" t="s">
        <v>2165</v>
      </c>
      <c r="AZ821" t="s">
        <v>102</v>
      </c>
      <c r="BB821" t="s">
        <v>2638</v>
      </c>
      <c r="BC821" t="s">
        <v>7528</v>
      </c>
      <c r="BD821" t="s">
        <v>7528</v>
      </c>
      <c r="BF821" t="s">
        <v>2639</v>
      </c>
      <c r="BG821" t="s">
        <v>98</v>
      </c>
      <c r="BH821" t="s">
        <v>98</v>
      </c>
      <c r="BI821" t="s">
        <v>98</v>
      </c>
      <c r="BK821" t="s">
        <v>127</v>
      </c>
      <c r="BL821" t="s">
        <v>7528</v>
      </c>
      <c r="BR821">
        <v>1</v>
      </c>
      <c r="BT821">
        <v>5.5</v>
      </c>
      <c r="CA821">
        <v>4951</v>
      </c>
      <c r="CB821" t="s">
        <v>2165</v>
      </c>
      <c r="CL821" t="s">
        <v>99</v>
      </c>
      <c r="CM821" t="s">
        <v>98</v>
      </c>
      <c r="CN821" t="s">
        <v>2640</v>
      </c>
      <c r="CO821" s="1">
        <v>41246</v>
      </c>
      <c r="CP821" s="1">
        <v>43633</v>
      </c>
    </row>
    <row r="822" spans="1:94" x14ac:dyDescent="0.25">
      <c r="A822" t="s">
        <v>2641</v>
      </c>
      <c r="B822" t="str">
        <f xml:space="preserve"> "" &amp; 747396088303</f>
        <v>747396088303</v>
      </c>
      <c r="C822" t="s">
        <v>476</v>
      </c>
      <c r="D822" t="s">
        <v>2642</v>
      </c>
      <c r="E822" t="s">
        <v>2637</v>
      </c>
      <c r="F822" t="s">
        <v>478</v>
      </c>
      <c r="G822">
        <v>1</v>
      </c>
      <c r="H822">
        <v>1</v>
      </c>
      <c r="I822" t="s">
        <v>97</v>
      </c>
      <c r="J822" s="10">
        <v>79</v>
      </c>
      <c r="K822" s="10">
        <v>237</v>
      </c>
      <c r="L822" s="10">
        <v>0</v>
      </c>
      <c r="N822" s="10">
        <v>0</v>
      </c>
      <c r="O822" t="s">
        <v>99</v>
      </c>
      <c r="P822" s="10">
        <v>159.94999999999999</v>
      </c>
      <c r="S822">
        <v>5.75</v>
      </c>
      <c r="U822">
        <v>15</v>
      </c>
      <c r="W822">
        <v>5.73</v>
      </c>
      <c r="X822">
        <v>1</v>
      </c>
      <c r="Y822">
        <v>8.75</v>
      </c>
      <c r="Z822">
        <v>16</v>
      </c>
      <c r="AA822">
        <v>16</v>
      </c>
      <c r="AB822">
        <v>1.296</v>
      </c>
      <c r="AC822">
        <v>9.33</v>
      </c>
      <c r="AE822">
        <v>2</v>
      </c>
      <c r="AF822" t="s">
        <v>1473</v>
      </c>
      <c r="AG822">
        <v>60</v>
      </c>
      <c r="AK822" t="s">
        <v>98</v>
      </c>
      <c r="AM822" t="s">
        <v>98</v>
      </c>
      <c r="AN822" t="s">
        <v>98</v>
      </c>
      <c r="AO822" t="s">
        <v>99</v>
      </c>
      <c r="AP822" t="s">
        <v>100</v>
      </c>
      <c r="AQ822" t="s">
        <v>101</v>
      </c>
      <c r="AV822" t="s">
        <v>98</v>
      </c>
      <c r="AX822" t="s">
        <v>2165</v>
      </c>
      <c r="AZ822" t="s">
        <v>102</v>
      </c>
      <c r="BB822" t="s">
        <v>2638</v>
      </c>
      <c r="BC822" t="s">
        <v>7528</v>
      </c>
      <c r="BD822" t="s">
        <v>7528</v>
      </c>
      <c r="BF822" t="s">
        <v>2643</v>
      </c>
      <c r="BG822" t="s">
        <v>98</v>
      </c>
      <c r="BH822" t="s">
        <v>98</v>
      </c>
      <c r="BI822" t="s">
        <v>98</v>
      </c>
      <c r="BK822" t="s">
        <v>127</v>
      </c>
      <c r="BL822" t="s">
        <v>7528</v>
      </c>
      <c r="BR822">
        <v>1.25</v>
      </c>
      <c r="BT822">
        <v>13.5</v>
      </c>
      <c r="CA822">
        <v>4952</v>
      </c>
      <c r="CB822" t="s">
        <v>2165</v>
      </c>
      <c r="CL822" t="s">
        <v>99</v>
      </c>
      <c r="CM822" t="s">
        <v>98</v>
      </c>
      <c r="CN822" t="s">
        <v>1398</v>
      </c>
      <c r="CO822" s="1">
        <v>41246</v>
      </c>
      <c r="CP822" s="1">
        <v>43633</v>
      </c>
    </row>
    <row r="823" spans="1:94" x14ac:dyDescent="0.25">
      <c r="A823" t="s">
        <v>2644</v>
      </c>
      <c r="B823" t="str">
        <f xml:space="preserve"> "" &amp; 747396088266</f>
        <v>747396088266</v>
      </c>
      <c r="C823" t="s">
        <v>350</v>
      </c>
      <c r="D823" t="s">
        <v>2645</v>
      </c>
      <c r="E823" t="s">
        <v>2637</v>
      </c>
      <c r="F823" t="s">
        <v>7533</v>
      </c>
      <c r="G823">
        <v>1</v>
      </c>
      <c r="H823">
        <v>1</v>
      </c>
      <c r="I823" t="s">
        <v>97</v>
      </c>
      <c r="J823" s="10">
        <v>99</v>
      </c>
      <c r="K823" s="10">
        <v>297</v>
      </c>
      <c r="L823" s="10">
        <v>0</v>
      </c>
      <c r="N823" s="10">
        <v>0</v>
      </c>
      <c r="S823">
        <v>29.5</v>
      </c>
      <c r="T823">
        <v>32</v>
      </c>
      <c r="U823">
        <v>32</v>
      </c>
      <c r="W823">
        <v>16.010000000000002</v>
      </c>
      <c r="X823">
        <v>1</v>
      </c>
      <c r="Y823">
        <v>12</v>
      </c>
      <c r="Z823">
        <v>34.5</v>
      </c>
      <c r="AA823">
        <v>30.75</v>
      </c>
      <c r="AB823">
        <v>7.367</v>
      </c>
      <c r="AC823">
        <v>27.69</v>
      </c>
      <c r="AE823">
        <v>9</v>
      </c>
      <c r="AF823" t="s">
        <v>282</v>
      </c>
      <c r="AG823">
        <v>100</v>
      </c>
      <c r="AK823" t="s">
        <v>98</v>
      </c>
      <c r="AL823">
        <v>9</v>
      </c>
      <c r="AM823" t="s">
        <v>98</v>
      </c>
      <c r="AN823" t="s">
        <v>98</v>
      </c>
      <c r="AO823" t="s">
        <v>99</v>
      </c>
      <c r="AP823" t="s">
        <v>259</v>
      </c>
      <c r="AQ823" t="s">
        <v>101</v>
      </c>
      <c r="AV823" t="s">
        <v>98</v>
      </c>
      <c r="AX823" t="s">
        <v>2165</v>
      </c>
      <c r="AZ823" t="s">
        <v>102</v>
      </c>
      <c r="BB823" t="s">
        <v>235</v>
      </c>
      <c r="BC823" t="s">
        <v>7604</v>
      </c>
      <c r="BD823" t="s">
        <v>7528</v>
      </c>
      <c r="BF823" t="s">
        <v>2646</v>
      </c>
      <c r="BG823" t="s">
        <v>98</v>
      </c>
      <c r="BH823" t="s">
        <v>98</v>
      </c>
      <c r="BI823" t="s">
        <v>98</v>
      </c>
      <c r="BK823" t="s">
        <v>110</v>
      </c>
      <c r="BL823" t="s">
        <v>7528</v>
      </c>
      <c r="BQ823">
        <v>5</v>
      </c>
      <c r="BR823">
        <v>1</v>
      </c>
      <c r="CA823">
        <v>4959</v>
      </c>
      <c r="CB823" t="s">
        <v>2165</v>
      </c>
      <c r="CL823" t="s">
        <v>99</v>
      </c>
      <c r="CM823" t="s">
        <v>99</v>
      </c>
      <c r="CN823" t="s">
        <v>442</v>
      </c>
      <c r="CO823" s="1">
        <v>41246</v>
      </c>
      <c r="CP823" s="1">
        <v>43633</v>
      </c>
    </row>
    <row r="824" spans="1:94" x14ac:dyDescent="0.25">
      <c r="A824" t="s">
        <v>2647</v>
      </c>
      <c r="B824" t="str">
        <f xml:space="preserve"> "" &amp; 747396090696</f>
        <v>747396090696</v>
      </c>
      <c r="C824" t="s">
        <v>476</v>
      </c>
      <c r="D824" t="s">
        <v>2648</v>
      </c>
      <c r="E824" t="s">
        <v>2649</v>
      </c>
      <c r="F824" t="s">
        <v>478</v>
      </c>
      <c r="G824">
        <v>1</v>
      </c>
      <c r="H824">
        <v>1</v>
      </c>
      <c r="I824" t="s">
        <v>97</v>
      </c>
      <c r="J824" s="10">
        <v>25</v>
      </c>
      <c r="K824" s="10">
        <v>75</v>
      </c>
      <c r="L824" s="10">
        <v>0</v>
      </c>
      <c r="N824" s="10">
        <v>0</v>
      </c>
      <c r="O824" t="s">
        <v>99</v>
      </c>
      <c r="P824" s="10">
        <v>49.95</v>
      </c>
      <c r="S824">
        <v>6</v>
      </c>
      <c r="T824">
        <v>13</v>
      </c>
      <c r="U824">
        <v>13</v>
      </c>
      <c r="W824">
        <v>1</v>
      </c>
      <c r="X824">
        <v>1</v>
      </c>
      <c r="Y824">
        <v>0</v>
      </c>
      <c r="Z824">
        <v>0</v>
      </c>
      <c r="AA824">
        <v>0</v>
      </c>
      <c r="AB824">
        <v>0</v>
      </c>
      <c r="AC824">
        <v>0</v>
      </c>
      <c r="AE824">
        <v>2</v>
      </c>
      <c r="AF824" t="s">
        <v>7543</v>
      </c>
      <c r="AG824">
        <v>60</v>
      </c>
      <c r="AK824" t="s">
        <v>98</v>
      </c>
      <c r="AM824" t="s">
        <v>98</v>
      </c>
      <c r="AN824" t="s">
        <v>99</v>
      </c>
      <c r="AO824" t="s">
        <v>98</v>
      </c>
      <c r="AP824" t="s">
        <v>100</v>
      </c>
      <c r="AQ824" t="s">
        <v>101</v>
      </c>
      <c r="AV824" t="s">
        <v>98</v>
      </c>
      <c r="AX824" t="s">
        <v>1257</v>
      </c>
      <c r="AZ824" t="s">
        <v>102</v>
      </c>
      <c r="BB824" t="s">
        <v>235</v>
      </c>
      <c r="BC824" t="s">
        <v>808</v>
      </c>
      <c r="BD824" t="s">
        <v>7528</v>
      </c>
      <c r="BF824" t="s">
        <v>2650</v>
      </c>
      <c r="BG824" t="s">
        <v>98</v>
      </c>
      <c r="BH824" t="s">
        <v>98</v>
      </c>
      <c r="BI824" t="s">
        <v>98</v>
      </c>
      <c r="BK824" t="s">
        <v>110</v>
      </c>
      <c r="BL824" t="s">
        <v>7528</v>
      </c>
      <c r="BR824">
        <v>2</v>
      </c>
      <c r="BT824">
        <v>13</v>
      </c>
      <c r="CA824">
        <v>4960</v>
      </c>
      <c r="CB824" t="s">
        <v>1257</v>
      </c>
      <c r="CL824" t="s">
        <v>99</v>
      </c>
      <c r="CM824" t="s">
        <v>98</v>
      </c>
      <c r="CN824" t="s">
        <v>692</v>
      </c>
      <c r="CO824" s="1">
        <v>41604</v>
      </c>
      <c r="CP824" s="1">
        <v>43633</v>
      </c>
    </row>
    <row r="825" spans="1:94" x14ac:dyDescent="0.25">
      <c r="A825" t="s">
        <v>2651</v>
      </c>
      <c r="B825" t="str">
        <f xml:space="preserve"> "" &amp; 747396068473</f>
        <v>747396068473</v>
      </c>
      <c r="C825" t="s">
        <v>476</v>
      </c>
      <c r="D825" t="s">
        <v>2648</v>
      </c>
      <c r="E825" t="s">
        <v>2649</v>
      </c>
      <c r="F825" t="s">
        <v>478</v>
      </c>
      <c r="G825">
        <v>1</v>
      </c>
      <c r="H825">
        <v>1</v>
      </c>
      <c r="I825" t="s">
        <v>97</v>
      </c>
      <c r="J825" s="10">
        <v>25</v>
      </c>
      <c r="K825" s="10">
        <v>75</v>
      </c>
      <c r="L825" s="10">
        <v>0</v>
      </c>
      <c r="N825" s="10">
        <v>0</v>
      </c>
      <c r="O825" t="s">
        <v>99</v>
      </c>
      <c r="P825" s="10">
        <v>49.95</v>
      </c>
      <c r="S825">
        <v>6</v>
      </c>
      <c r="U825">
        <v>13</v>
      </c>
      <c r="W825">
        <v>3.15</v>
      </c>
      <c r="X825">
        <v>1</v>
      </c>
      <c r="Y825">
        <v>7.5</v>
      </c>
      <c r="Z825">
        <v>15</v>
      </c>
      <c r="AA825">
        <v>15</v>
      </c>
      <c r="AB825">
        <v>0.97699999999999998</v>
      </c>
      <c r="AC825">
        <v>4.8099999999999996</v>
      </c>
      <c r="AE825">
        <v>2</v>
      </c>
      <c r="AF825" t="s">
        <v>7544</v>
      </c>
      <c r="AG825">
        <v>60</v>
      </c>
      <c r="AK825" t="s">
        <v>98</v>
      </c>
      <c r="AM825" t="s">
        <v>98</v>
      </c>
      <c r="AN825" t="s">
        <v>99</v>
      </c>
      <c r="AO825" t="s">
        <v>98</v>
      </c>
      <c r="AP825" t="s">
        <v>100</v>
      </c>
      <c r="AQ825" t="s">
        <v>101</v>
      </c>
      <c r="AV825" t="s">
        <v>98</v>
      </c>
      <c r="AX825" t="s">
        <v>279</v>
      </c>
      <c r="AZ825" t="s">
        <v>102</v>
      </c>
      <c r="BB825" t="s">
        <v>235</v>
      </c>
      <c r="BC825" t="s">
        <v>808</v>
      </c>
      <c r="BD825" t="s">
        <v>7528</v>
      </c>
      <c r="BF825" t="s">
        <v>2652</v>
      </c>
      <c r="BG825" t="s">
        <v>98</v>
      </c>
      <c r="BH825" t="s">
        <v>98</v>
      </c>
      <c r="BI825" t="s">
        <v>98</v>
      </c>
      <c r="BK825" t="s">
        <v>127</v>
      </c>
      <c r="BL825" t="s">
        <v>7528</v>
      </c>
      <c r="BQ825">
        <v>13</v>
      </c>
      <c r="BR825">
        <v>2</v>
      </c>
      <c r="CA825">
        <v>4960</v>
      </c>
      <c r="CB825" t="s">
        <v>279</v>
      </c>
      <c r="CL825" t="s">
        <v>99</v>
      </c>
      <c r="CM825" t="s">
        <v>98</v>
      </c>
      <c r="CN825" t="s">
        <v>442</v>
      </c>
      <c r="CO825" s="1">
        <v>41425</v>
      </c>
      <c r="CP825" s="1">
        <v>43633</v>
      </c>
    </row>
    <row r="826" spans="1:94" x14ac:dyDescent="0.25">
      <c r="A826" t="s">
        <v>2653</v>
      </c>
      <c r="B826" t="str">
        <f xml:space="preserve"> "" &amp; 747396090672</f>
        <v>747396090672</v>
      </c>
      <c r="C826" t="s">
        <v>239</v>
      </c>
      <c r="D826" t="s">
        <v>2654</v>
      </c>
      <c r="E826" t="s">
        <v>2649</v>
      </c>
      <c r="F826" t="s">
        <v>240</v>
      </c>
      <c r="G826">
        <v>1</v>
      </c>
      <c r="H826">
        <v>1</v>
      </c>
      <c r="I826" t="s">
        <v>97</v>
      </c>
      <c r="J826" s="10">
        <v>39</v>
      </c>
      <c r="K826" s="10">
        <v>117</v>
      </c>
      <c r="L826" s="10">
        <v>0</v>
      </c>
      <c r="N826" s="10">
        <v>0</v>
      </c>
      <c r="O826" t="s">
        <v>99</v>
      </c>
      <c r="P826" s="10">
        <v>74.95</v>
      </c>
      <c r="S826">
        <v>7.5</v>
      </c>
      <c r="T826">
        <v>4.75</v>
      </c>
      <c r="U826">
        <v>4.75</v>
      </c>
      <c r="W826">
        <v>3.24</v>
      </c>
      <c r="Y826">
        <v>7.5</v>
      </c>
      <c r="Z826">
        <v>15</v>
      </c>
      <c r="AA826">
        <v>7.5</v>
      </c>
      <c r="AB826">
        <v>0.48799999999999999</v>
      </c>
      <c r="AC826">
        <v>4.0599999999999996</v>
      </c>
      <c r="AE826">
        <v>1</v>
      </c>
      <c r="AF826" t="s">
        <v>282</v>
      </c>
      <c r="AG826">
        <v>100</v>
      </c>
      <c r="AK826" t="s">
        <v>98</v>
      </c>
      <c r="AM826" t="s">
        <v>98</v>
      </c>
      <c r="AN826" t="s">
        <v>99</v>
      </c>
      <c r="AO826" t="s">
        <v>98</v>
      </c>
      <c r="AP826" t="s">
        <v>100</v>
      </c>
      <c r="AQ826" t="s">
        <v>101</v>
      </c>
      <c r="AV826" t="s">
        <v>98</v>
      </c>
      <c r="AX826" t="s">
        <v>1257</v>
      </c>
      <c r="AZ826" t="s">
        <v>102</v>
      </c>
      <c r="BB826" t="s">
        <v>235</v>
      </c>
      <c r="BC826" t="s">
        <v>561</v>
      </c>
      <c r="BD826" t="s">
        <v>7528</v>
      </c>
      <c r="BF826" t="s">
        <v>2655</v>
      </c>
      <c r="BG826" t="s">
        <v>98</v>
      </c>
      <c r="BH826" t="s">
        <v>98</v>
      </c>
      <c r="BI826" t="s">
        <v>98</v>
      </c>
      <c r="BK826" t="s">
        <v>110</v>
      </c>
      <c r="BL826" t="s">
        <v>7528</v>
      </c>
      <c r="BQ826">
        <v>5.5</v>
      </c>
      <c r="BR826">
        <v>0.75</v>
      </c>
      <c r="BS826">
        <v>5.5</v>
      </c>
      <c r="BT826">
        <v>5.5</v>
      </c>
      <c r="CA826">
        <v>4961</v>
      </c>
      <c r="CB826" t="s">
        <v>1257</v>
      </c>
      <c r="CL826" t="s">
        <v>98</v>
      </c>
      <c r="CM826" t="s">
        <v>98</v>
      </c>
      <c r="CN826" t="s">
        <v>442</v>
      </c>
      <c r="CO826" s="1">
        <v>41604</v>
      </c>
      <c r="CP826" s="1">
        <v>43633</v>
      </c>
    </row>
    <row r="827" spans="1:94" x14ac:dyDescent="0.25">
      <c r="A827" t="s">
        <v>2656</v>
      </c>
      <c r="B827" t="str">
        <f xml:space="preserve"> "" &amp; 747396068459</f>
        <v>747396068459</v>
      </c>
      <c r="C827" t="s">
        <v>239</v>
      </c>
      <c r="D827" t="s">
        <v>2657</v>
      </c>
      <c r="E827" t="s">
        <v>2649</v>
      </c>
      <c r="F827" t="s">
        <v>240</v>
      </c>
      <c r="G827">
        <v>1</v>
      </c>
      <c r="H827">
        <v>1</v>
      </c>
      <c r="I827" t="s">
        <v>97</v>
      </c>
      <c r="J827" s="10">
        <v>39</v>
      </c>
      <c r="K827" s="10">
        <v>117</v>
      </c>
      <c r="L827" s="10">
        <v>0</v>
      </c>
      <c r="N827" s="10">
        <v>0</v>
      </c>
      <c r="O827" t="s">
        <v>99</v>
      </c>
      <c r="P827" s="10">
        <v>74.95</v>
      </c>
      <c r="S827">
        <v>7.5</v>
      </c>
      <c r="T827">
        <v>4.75</v>
      </c>
      <c r="U827">
        <v>4.75</v>
      </c>
      <c r="W827">
        <v>3.24</v>
      </c>
      <c r="X827">
        <v>1</v>
      </c>
      <c r="Y827">
        <v>7.5</v>
      </c>
      <c r="Z827">
        <v>15</v>
      </c>
      <c r="AA827">
        <v>7.5</v>
      </c>
      <c r="AB827">
        <v>0.48799999999999999</v>
      </c>
      <c r="AC827">
        <v>4.0599999999999996</v>
      </c>
      <c r="AE827">
        <v>1</v>
      </c>
      <c r="AF827" t="s">
        <v>1473</v>
      </c>
      <c r="AG827">
        <v>100</v>
      </c>
      <c r="AK827" t="s">
        <v>98</v>
      </c>
      <c r="AM827" t="s">
        <v>98</v>
      </c>
      <c r="AN827" t="s">
        <v>99</v>
      </c>
      <c r="AO827" t="s">
        <v>98</v>
      </c>
      <c r="AP827" t="s">
        <v>100</v>
      </c>
      <c r="AQ827" t="s">
        <v>101</v>
      </c>
      <c r="AV827" t="s">
        <v>98</v>
      </c>
      <c r="AX827" t="s">
        <v>279</v>
      </c>
      <c r="AZ827" t="s">
        <v>102</v>
      </c>
      <c r="BB827" t="s">
        <v>235</v>
      </c>
      <c r="BC827" t="s">
        <v>561</v>
      </c>
      <c r="BD827" t="s">
        <v>7528</v>
      </c>
      <c r="BF827" t="s">
        <v>2658</v>
      </c>
      <c r="BG827" t="s">
        <v>98</v>
      </c>
      <c r="BH827" t="s">
        <v>98</v>
      </c>
      <c r="BI827" t="s">
        <v>98</v>
      </c>
      <c r="BK827" t="s">
        <v>110</v>
      </c>
      <c r="BL827" t="s">
        <v>7528</v>
      </c>
      <c r="BQ827">
        <v>5.5</v>
      </c>
      <c r="BR827">
        <v>0.75</v>
      </c>
      <c r="BS827">
        <v>5.5</v>
      </c>
      <c r="BT827">
        <v>5.5</v>
      </c>
      <c r="CA827">
        <v>4961</v>
      </c>
      <c r="CB827" t="s">
        <v>279</v>
      </c>
      <c r="CL827" t="s">
        <v>99</v>
      </c>
      <c r="CM827" t="s">
        <v>99</v>
      </c>
      <c r="CN827" t="s">
        <v>592</v>
      </c>
      <c r="CO827" s="1">
        <v>41425</v>
      </c>
      <c r="CP827" s="1">
        <v>43633</v>
      </c>
    </row>
    <row r="828" spans="1:94" x14ac:dyDescent="0.25">
      <c r="A828" t="s">
        <v>2659</v>
      </c>
      <c r="B828" t="str">
        <f xml:space="preserve"> "" &amp; 747396090689</f>
        <v>747396090689</v>
      </c>
      <c r="C828" t="s">
        <v>376</v>
      </c>
      <c r="D828" t="s">
        <v>2660</v>
      </c>
      <c r="E828" t="s">
        <v>2649</v>
      </c>
      <c r="F828" t="s">
        <v>377</v>
      </c>
      <c r="G828">
        <v>1</v>
      </c>
      <c r="H828">
        <v>1</v>
      </c>
      <c r="I828" t="s">
        <v>97</v>
      </c>
      <c r="J828" s="10">
        <v>74</v>
      </c>
      <c r="K828" s="10">
        <v>222</v>
      </c>
      <c r="L828" s="10">
        <v>0</v>
      </c>
      <c r="N828" s="10">
        <v>0</v>
      </c>
      <c r="O828" t="s">
        <v>99</v>
      </c>
      <c r="P828" s="10">
        <v>144.94999999999999</v>
      </c>
      <c r="S828">
        <v>11.75</v>
      </c>
      <c r="T828">
        <v>16.5</v>
      </c>
      <c r="U828">
        <v>16.5</v>
      </c>
      <c r="W828">
        <v>5.25</v>
      </c>
      <c r="Y828">
        <v>0</v>
      </c>
      <c r="Z828">
        <v>0</v>
      </c>
      <c r="AA828">
        <v>0</v>
      </c>
      <c r="AB828">
        <v>0</v>
      </c>
      <c r="AC828">
        <v>7.56</v>
      </c>
      <c r="AE828">
        <v>3</v>
      </c>
      <c r="AF828" t="s">
        <v>282</v>
      </c>
      <c r="AG828">
        <v>100</v>
      </c>
      <c r="AK828" t="s">
        <v>98</v>
      </c>
      <c r="AM828" t="s">
        <v>98</v>
      </c>
      <c r="AN828" t="s">
        <v>99</v>
      </c>
      <c r="AO828" t="s">
        <v>98</v>
      </c>
      <c r="AP828" t="s">
        <v>100</v>
      </c>
      <c r="AQ828" t="s">
        <v>101</v>
      </c>
      <c r="AV828" t="s">
        <v>98</v>
      </c>
      <c r="AX828" t="s">
        <v>1257</v>
      </c>
      <c r="AZ828" t="s">
        <v>102</v>
      </c>
      <c r="BB828" t="s">
        <v>235</v>
      </c>
      <c r="BC828" t="s">
        <v>561</v>
      </c>
      <c r="BD828" t="s">
        <v>7528</v>
      </c>
      <c r="BF828" t="s">
        <v>2661</v>
      </c>
      <c r="BG828" t="s">
        <v>98</v>
      </c>
      <c r="BH828" t="s">
        <v>98</v>
      </c>
      <c r="BI828" t="s">
        <v>98</v>
      </c>
      <c r="BK828" t="s">
        <v>127</v>
      </c>
      <c r="BL828" t="s">
        <v>7528</v>
      </c>
      <c r="BQ828">
        <v>6</v>
      </c>
      <c r="BR828">
        <v>0.75</v>
      </c>
      <c r="BS828">
        <v>6</v>
      </c>
      <c r="BT828">
        <v>6</v>
      </c>
      <c r="CA828">
        <v>4962</v>
      </c>
      <c r="CB828" t="s">
        <v>1257</v>
      </c>
      <c r="CL828" t="s">
        <v>99</v>
      </c>
      <c r="CM828" t="s">
        <v>98</v>
      </c>
      <c r="CN828" t="s">
        <v>442</v>
      </c>
      <c r="CO828" s="1">
        <v>41604</v>
      </c>
      <c r="CP828" s="1">
        <v>43633</v>
      </c>
    </row>
    <row r="829" spans="1:94" x14ac:dyDescent="0.25">
      <c r="A829" t="s">
        <v>2662</v>
      </c>
      <c r="B829" t="str">
        <f xml:space="preserve"> "" &amp; 747396068466</f>
        <v>747396068466</v>
      </c>
      <c r="C829" t="s">
        <v>376</v>
      </c>
      <c r="D829" t="s">
        <v>2660</v>
      </c>
      <c r="E829" t="s">
        <v>2649</v>
      </c>
      <c r="F829" t="s">
        <v>377</v>
      </c>
      <c r="G829">
        <v>1</v>
      </c>
      <c r="H829">
        <v>1</v>
      </c>
      <c r="I829" t="s">
        <v>97</v>
      </c>
      <c r="J829" s="10">
        <v>74</v>
      </c>
      <c r="K829" s="10">
        <v>222</v>
      </c>
      <c r="L829" s="10">
        <v>0</v>
      </c>
      <c r="N829" s="10">
        <v>0</v>
      </c>
      <c r="O829" t="s">
        <v>99</v>
      </c>
      <c r="P829" s="10">
        <v>144.94999999999999</v>
      </c>
      <c r="S829">
        <v>11.75</v>
      </c>
      <c r="U829">
        <v>16.5</v>
      </c>
      <c r="W829">
        <v>5.25</v>
      </c>
      <c r="X829">
        <v>1</v>
      </c>
      <c r="Y829">
        <v>11.75</v>
      </c>
      <c r="Z829">
        <v>18</v>
      </c>
      <c r="AA829">
        <v>18</v>
      </c>
      <c r="AB829">
        <v>2.2029999999999998</v>
      </c>
      <c r="AC829">
        <v>7.56</v>
      </c>
      <c r="AE829">
        <v>3</v>
      </c>
      <c r="AF829" t="s">
        <v>282</v>
      </c>
      <c r="AG829">
        <v>100</v>
      </c>
      <c r="AK829" t="s">
        <v>98</v>
      </c>
      <c r="AM829" t="s">
        <v>98</v>
      </c>
      <c r="AN829" t="s">
        <v>99</v>
      </c>
      <c r="AO829" t="s">
        <v>98</v>
      </c>
      <c r="AP829" t="s">
        <v>100</v>
      </c>
      <c r="AQ829" t="s">
        <v>101</v>
      </c>
      <c r="AV829" t="s">
        <v>98</v>
      </c>
      <c r="AX829" t="s">
        <v>279</v>
      </c>
      <c r="AZ829" t="s">
        <v>102</v>
      </c>
      <c r="BB829" t="s">
        <v>235</v>
      </c>
      <c r="BC829" t="s">
        <v>808</v>
      </c>
      <c r="BD829" t="s">
        <v>7528</v>
      </c>
      <c r="BF829" t="s">
        <v>2663</v>
      </c>
      <c r="BG829" t="s">
        <v>98</v>
      </c>
      <c r="BH829" t="s">
        <v>98</v>
      </c>
      <c r="BI829" t="s">
        <v>98</v>
      </c>
      <c r="BK829" t="s">
        <v>127</v>
      </c>
      <c r="BL829" t="s">
        <v>7528</v>
      </c>
      <c r="BQ829">
        <v>6</v>
      </c>
      <c r="BR829">
        <v>0.75</v>
      </c>
      <c r="BS829">
        <v>6</v>
      </c>
      <c r="BT829">
        <v>6</v>
      </c>
      <c r="CA829">
        <v>4962</v>
      </c>
      <c r="CB829" t="s">
        <v>279</v>
      </c>
      <c r="CL829" t="s">
        <v>99</v>
      </c>
      <c r="CM829" t="s">
        <v>98</v>
      </c>
      <c r="CN829" t="s">
        <v>442</v>
      </c>
      <c r="CO829" s="1">
        <v>41425</v>
      </c>
      <c r="CP829" s="1">
        <v>43633</v>
      </c>
    </row>
    <row r="830" spans="1:94" x14ac:dyDescent="0.25">
      <c r="A830" t="s">
        <v>2664</v>
      </c>
      <c r="B830" t="str">
        <f xml:space="preserve"> "" &amp; 747396090658</f>
        <v>747396090658</v>
      </c>
      <c r="C830" t="s">
        <v>248</v>
      </c>
      <c r="D830" t="s">
        <v>2665</v>
      </c>
      <c r="E830" t="s">
        <v>2649</v>
      </c>
      <c r="F830" t="s">
        <v>249</v>
      </c>
      <c r="G830">
        <v>1</v>
      </c>
      <c r="H830">
        <v>1</v>
      </c>
      <c r="I830" t="s">
        <v>97</v>
      </c>
      <c r="J830" s="10">
        <v>74</v>
      </c>
      <c r="K830" s="10">
        <v>222</v>
      </c>
      <c r="L830" s="10">
        <v>0</v>
      </c>
      <c r="N830" s="10">
        <v>0</v>
      </c>
      <c r="O830" t="s">
        <v>99</v>
      </c>
      <c r="P830" s="10">
        <v>149.94999999999999</v>
      </c>
      <c r="S830">
        <v>15.75</v>
      </c>
      <c r="T830">
        <v>16</v>
      </c>
      <c r="U830">
        <v>16</v>
      </c>
      <c r="W830">
        <v>8.51</v>
      </c>
      <c r="Y830">
        <v>0</v>
      </c>
      <c r="Z830">
        <v>0</v>
      </c>
      <c r="AA830">
        <v>0</v>
      </c>
      <c r="AB830">
        <v>0</v>
      </c>
      <c r="AC830">
        <v>10.98</v>
      </c>
      <c r="AE830">
        <v>3</v>
      </c>
      <c r="AF830" t="s">
        <v>347</v>
      </c>
      <c r="AG830">
        <v>100</v>
      </c>
      <c r="AK830" t="s">
        <v>98</v>
      </c>
      <c r="AL830">
        <v>3</v>
      </c>
      <c r="AM830" t="s">
        <v>98</v>
      </c>
      <c r="AN830" t="s">
        <v>99</v>
      </c>
      <c r="AO830" t="s">
        <v>98</v>
      </c>
      <c r="AP830" t="s">
        <v>100</v>
      </c>
      <c r="AQ830" t="s">
        <v>101</v>
      </c>
      <c r="AV830" t="s">
        <v>98</v>
      </c>
      <c r="AX830" t="s">
        <v>1257</v>
      </c>
      <c r="AZ830" t="s">
        <v>102</v>
      </c>
      <c r="BB830" t="s">
        <v>235</v>
      </c>
      <c r="BC830" t="s">
        <v>561</v>
      </c>
      <c r="BD830" t="s">
        <v>7528</v>
      </c>
      <c r="BF830" t="s">
        <v>2666</v>
      </c>
      <c r="BG830" t="s">
        <v>98</v>
      </c>
      <c r="BH830" t="s">
        <v>98</v>
      </c>
      <c r="BI830" t="s">
        <v>98</v>
      </c>
      <c r="BK830" t="s">
        <v>127</v>
      </c>
      <c r="BL830" t="s">
        <v>7528</v>
      </c>
      <c r="BQ830">
        <v>5.5</v>
      </c>
      <c r="BR830">
        <v>0.75</v>
      </c>
      <c r="BS830">
        <v>5.5</v>
      </c>
      <c r="BT830">
        <v>5.5</v>
      </c>
      <c r="CA830">
        <v>4963</v>
      </c>
      <c r="CB830" t="s">
        <v>1257</v>
      </c>
      <c r="CL830" t="s">
        <v>99</v>
      </c>
      <c r="CM830" t="s">
        <v>99</v>
      </c>
      <c r="CN830" t="s">
        <v>442</v>
      </c>
      <c r="CO830" s="1">
        <v>41604</v>
      </c>
      <c r="CP830" s="1">
        <v>43633</v>
      </c>
    </row>
    <row r="831" spans="1:94" x14ac:dyDescent="0.25">
      <c r="A831" t="s">
        <v>2667</v>
      </c>
      <c r="B831" t="str">
        <f xml:space="preserve"> "" &amp; 747396068411</f>
        <v>747396068411</v>
      </c>
      <c r="C831" t="s">
        <v>248</v>
      </c>
      <c r="D831" t="s">
        <v>2665</v>
      </c>
      <c r="E831" t="s">
        <v>2649</v>
      </c>
      <c r="F831" t="s">
        <v>249</v>
      </c>
      <c r="G831">
        <v>1</v>
      </c>
      <c r="H831">
        <v>1</v>
      </c>
      <c r="I831" t="s">
        <v>97</v>
      </c>
      <c r="J831" s="10">
        <v>74</v>
      </c>
      <c r="K831" s="10">
        <v>222</v>
      </c>
      <c r="L831" s="10">
        <v>0</v>
      </c>
      <c r="N831" s="10">
        <v>0</v>
      </c>
      <c r="O831" t="s">
        <v>99</v>
      </c>
      <c r="P831" s="10">
        <v>149.94999999999999</v>
      </c>
      <c r="S831">
        <v>15.75</v>
      </c>
      <c r="T831">
        <v>16</v>
      </c>
      <c r="U831">
        <v>16</v>
      </c>
      <c r="W831">
        <v>8.51</v>
      </c>
      <c r="X831">
        <v>1</v>
      </c>
      <c r="Y831">
        <v>17.25</v>
      </c>
      <c r="Z831">
        <v>16.25</v>
      </c>
      <c r="AA831">
        <v>8.5</v>
      </c>
      <c r="AB831">
        <v>1.379</v>
      </c>
      <c r="AC831">
        <v>11.68</v>
      </c>
      <c r="AE831">
        <v>3</v>
      </c>
      <c r="AF831" t="s">
        <v>347</v>
      </c>
      <c r="AG831">
        <v>100</v>
      </c>
      <c r="AK831" t="s">
        <v>98</v>
      </c>
      <c r="AL831">
        <v>3</v>
      </c>
      <c r="AM831" t="s">
        <v>98</v>
      </c>
      <c r="AN831" t="s">
        <v>99</v>
      </c>
      <c r="AO831" t="s">
        <v>98</v>
      </c>
      <c r="AP831" t="s">
        <v>100</v>
      </c>
      <c r="AQ831" t="s">
        <v>101</v>
      </c>
      <c r="AV831" t="s">
        <v>98</v>
      </c>
      <c r="AX831" t="s">
        <v>279</v>
      </c>
      <c r="AZ831" t="s">
        <v>102</v>
      </c>
      <c r="BB831" t="s">
        <v>235</v>
      </c>
      <c r="BC831" t="s">
        <v>363</v>
      </c>
      <c r="BD831" t="s">
        <v>7528</v>
      </c>
      <c r="BF831" t="s">
        <v>2668</v>
      </c>
      <c r="BG831" t="s">
        <v>98</v>
      </c>
      <c r="BH831" t="s">
        <v>98</v>
      </c>
      <c r="BI831" t="s">
        <v>98</v>
      </c>
      <c r="BK831" t="s">
        <v>127</v>
      </c>
      <c r="BL831" t="s">
        <v>7528</v>
      </c>
      <c r="BR831">
        <v>0.75</v>
      </c>
      <c r="BT831">
        <v>5.5</v>
      </c>
      <c r="CA831">
        <v>4963</v>
      </c>
      <c r="CB831" t="s">
        <v>279</v>
      </c>
      <c r="CL831" t="s">
        <v>99</v>
      </c>
      <c r="CM831" t="s">
        <v>99</v>
      </c>
      <c r="CN831" t="s">
        <v>442</v>
      </c>
      <c r="CO831" s="1">
        <v>41425</v>
      </c>
      <c r="CP831" s="1">
        <v>43633</v>
      </c>
    </row>
    <row r="832" spans="1:94" x14ac:dyDescent="0.25">
      <c r="A832" t="s">
        <v>2669</v>
      </c>
      <c r="B832" t="str">
        <f xml:space="preserve"> "" &amp; 747396090665</f>
        <v>747396090665</v>
      </c>
      <c r="C832" t="s">
        <v>243</v>
      </c>
      <c r="D832" t="s">
        <v>2670</v>
      </c>
      <c r="E832" t="s">
        <v>2649</v>
      </c>
      <c r="F832" t="s">
        <v>240</v>
      </c>
      <c r="G832">
        <v>1</v>
      </c>
      <c r="H832">
        <v>1</v>
      </c>
      <c r="I832" t="s">
        <v>97</v>
      </c>
      <c r="J832" s="10">
        <v>99</v>
      </c>
      <c r="K832" s="10">
        <v>297</v>
      </c>
      <c r="L832" s="10">
        <v>0</v>
      </c>
      <c r="N832" s="10">
        <v>0</v>
      </c>
      <c r="O832" t="s">
        <v>99</v>
      </c>
      <c r="P832" s="10">
        <v>199.95</v>
      </c>
      <c r="S832">
        <v>25.5</v>
      </c>
      <c r="T832">
        <v>21.5</v>
      </c>
      <c r="U832">
        <v>21.5</v>
      </c>
      <c r="W832">
        <v>11.57</v>
      </c>
      <c r="Y832">
        <v>0</v>
      </c>
      <c r="Z832">
        <v>0</v>
      </c>
      <c r="AA832">
        <v>0</v>
      </c>
      <c r="AB832">
        <v>0</v>
      </c>
      <c r="AC832">
        <v>15.98</v>
      </c>
      <c r="AE832">
        <v>3</v>
      </c>
      <c r="AF832" t="s">
        <v>347</v>
      </c>
      <c r="AG832">
        <v>100</v>
      </c>
      <c r="AK832" t="s">
        <v>98</v>
      </c>
      <c r="AM832" t="s">
        <v>98</v>
      </c>
      <c r="AN832" t="s">
        <v>99</v>
      </c>
      <c r="AO832" t="s">
        <v>98</v>
      </c>
      <c r="AP832" t="s">
        <v>100</v>
      </c>
      <c r="AQ832" t="s">
        <v>101</v>
      </c>
      <c r="AV832" t="s">
        <v>98</v>
      </c>
      <c r="AX832" t="s">
        <v>1257</v>
      </c>
      <c r="AZ832" t="s">
        <v>102</v>
      </c>
      <c r="BB832" t="s">
        <v>235</v>
      </c>
      <c r="BC832" t="s">
        <v>561</v>
      </c>
      <c r="BD832" t="s">
        <v>7528</v>
      </c>
      <c r="BF832" t="s">
        <v>2671</v>
      </c>
      <c r="BG832" t="s">
        <v>98</v>
      </c>
      <c r="BH832" t="s">
        <v>98</v>
      </c>
      <c r="BI832" t="s">
        <v>98</v>
      </c>
      <c r="BK832" t="s">
        <v>110</v>
      </c>
      <c r="BL832" t="s">
        <v>7528</v>
      </c>
      <c r="BQ832">
        <v>6</v>
      </c>
      <c r="BR832">
        <v>0.75</v>
      </c>
      <c r="BS832">
        <v>6</v>
      </c>
      <c r="BT832">
        <v>6</v>
      </c>
      <c r="CA832">
        <v>4964</v>
      </c>
      <c r="CB832" t="s">
        <v>1257</v>
      </c>
      <c r="CL832" t="s">
        <v>99</v>
      </c>
      <c r="CM832" t="s">
        <v>99</v>
      </c>
      <c r="CN832" t="s">
        <v>442</v>
      </c>
      <c r="CO832" s="1">
        <v>41604</v>
      </c>
      <c r="CP832" s="1">
        <v>43633</v>
      </c>
    </row>
    <row r="833" spans="1:94" x14ac:dyDescent="0.25">
      <c r="A833" t="s">
        <v>2672</v>
      </c>
      <c r="B833" t="str">
        <f xml:space="preserve"> "" &amp; 747396068442</f>
        <v>747396068442</v>
      </c>
      <c r="C833" t="s">
        <v>243</v>
      </c>
      <c r="D833" t="s">
        <v>2670</v>
      </c>
      <c r="E833" t="s">
        <v>2649</v>
      </c>
      <c r="F833" t="s">
        <v>240</v>
      </c>
      <c r="G833">
        <v>1</v>
      </c>
      <c r="H833">
        <v>1</v>
      </c>
      <c r="I833" t="s">
        <v>97</v>
      </c>
      <c r="J833" s="10">
        <v>99</v>
      </c>
      <c r="K833" s="10">
        <v>297</v>
      </c>
      <c r="L833" s="10">
        <v>0</v>
      </c>
      <c r="N833" s="10">
        <v>0</v>
      </c>
      <c r="O833" t="s">
        <v>99</v>
      </c>
      <c r="P833" s="10">
        <v>199.95</v>
      </c>
      <c r="S833">
        <v>25.5</v>
      </c>
      <c r="T833">
        <v>21.5</v>
      </c>
      <c r="U833">
        <v>21.5</v>
      </c>
      <c r="W833">
        <v>11.57</v>
      </c>
      <c r="X833">
        <v>1</v>
      </c>
      <c r="Y833">
        <v>11.5</v>
      </c>
      <c r="Z833">
        <v>22.5</v>
      </c>
      <c r="AA833">
        <v>22.5</v>
      </c>
      <c r="AB833">
        <v>3.3690000000000002</v>
      </c>
      <c r="AC833">
        <v>15.98</v>
      </c>
      <c r="AE833">
        <v>3</v>
      </c>
      <c r="AF833" t="s">
        <v>347</v>
      </c>
      <c r="AG833">
        <v>100</v>
      </c>
      <c r="AK833" t="s">
        <v>98</v>
      </c>
      <c r="AM833" t="s">
        <v>98</v>
      </c>
      <c r="AN833" t="s">
        <v>99</v>
      </c>
      <c r="AO833" t="s">
        <v>98</v>
      </c>
      <c r="AP833" t="s">
        <v>100</v>
      </c>
      <c r="AQ833" t="s">
        <v>101</v>
      </c>
      <c r="AV833" t="s">
        <v>98</v>
      </c>
      <c r="AX833" t="s">
        <v>279</v>
      </c>
      <c r="AZ833" t="s">
        <v>102</v>
      </c>
      <c r="BB833" t="s">
        <v>235</v>
      </c>
      <c r="BC833" t="s">
        <v>561</v>
      </c>
      <c r="BD833" t="s">
        <v>7528</v>
      </c>
      <c r="BF833" t="s">
        <v>2673</v>
      </c>
      <c r="BG833" t="s">
        <v>98</v>
      </c>
      <c r="BH833" t="s">
        <v>98</v>
      </c>
      <c r="BI833" t="s">
        <v>98</v>
      </c>
      <c r="BK833" t="s">
        <v>110</v>
      </c>
      <c r="BL833" t="s">
        <v>7528</v>
      </c>
      <c r="BQ833">
        <v>6</v>
      </c>
      <c r="BR833">
        <v>0.75</v>
      </c>
      <c r="BS833">
        <v>6</v>
      </c>
      <c r="BT833">
        <v>6</v>
      </c>
      <c r="CA833">
        <v>4964</v>
      </c>
      <c r="CB833" t="s">
        <v>279</v>
      </c>
      <c r="CL833" t="s">
        <v>99</v>
      </c>
      <c r="CM833" t="s">
        <v>99</v>
      </c>
      <c r="CN833" t="s">
        <v>442</v>
      </c>
      <c r="CO833" s="1">
        <v>41425</v>
      </c>
      <c r="CP833" s="1">
        <v>43633</v>
      </c>
    </row>
    <row r="834" spans="1:94" x14ac:dyDescent="0.25">
      <c r="A834" t="s">
        <v>2674</v>
      </c>
      <c r="B834" t="str">
        <f xml:space="preserve"> "" &amp; 747396090634</f>
        <v>747396090634</v>
      </c>
      <c r="C834" t="s">
        <v>343</v>
      </c>
      <c r="D834" t="s">
        <v>2675</v>
      </c>
      <c r="E834" t="s">
        <v>2649</v>
      </c>
      <c r="F834" t="s">
        <v>249</v>
      </c>
      <c r="G834">
        <v>1</v>
      </c>
      <c r="H834">
        <v>1</v>
      </c>
      <c r="I834" t="s">
        <v>97</v>
      </c>
      <c r="J834" s="10">
        <v>110</v>
      </c>
      <c r="K834" s="10">
        <v>330</v>
      </c>
      <c r="L834" s="10">
        <v>0</v>
      </c>
      <c r="N834" s="10">
        <v>0</v>
      </c>
      <c r="O834" t="s">
        <v>99</v>
      </c>
      <c r="P834" s="10">
        <v>219.95</v>
      </c>
      <c r="S834">
        <v>25</v>
      </c>
      <c r="T834">
        <v>26</v>
      </c>
      <c r="U834">
        <v>26</v>
      </c>
      <c r="W834">
        <v>14</v>
      </c>
      <c r="Y834">
        <v>0</v>
      </c>
      <c r="Z834">
        <v>0</v>
      </c>
      <c r="AA834">
        <v>0</v>
      </c>
      <c r="AB834">
        <v>0</v>
      </c>
      <c r="AC834">
        <v>18.7</v>
      </c>
      <c r="AE834">
        <v>5</v>
      </c>
      <c r="AF834" t="s">
        <v>2676</v>
      </c>
      <c r="AG834">
        <v>100</v>
      </c>
      <c r="AK834" t="s">
        <v>98</v>
      </c>
      <c r="AL834">
        <v>5</v>
      </c>
      <c r="AM834" t="s">
        <v>98</v>
      </c>
      <c r="AN834" t="s">
        <v>99</v>
      </c>
      <c r="AO834" t="s">
        <v>98</v>
      </c>
      <c r="AP834" t="s">
        <v>100</v>
      </c>
      <c r="AQ834" t="s">
        <v>101</v>
      </c>
      <c r="AV834" t="s">
        <v>98</v>
      </c>
      <c r="AX834" t="s">
        <v>1257</v>
      </c>
      <c r="AZ834" t="s">
        <v>102</v>
      </c>
      <c r="BB834" t="s">
        <v>235</v>
      </c>
      <c r="BC834" t="s">
        <v>561</v>
      </c>
      <c r="BD834" t="s">
        <v>7528</v>
      </c>
      <c r="BF834" t="s">
        <v>2677</v>
      </c>
      <c r="BG834" t="s">
        <v>98</v>
      </c>
      <c r="BH834" t="s">
        <v>98</v>
      </c>
      <c r="BI834" t="s">
        <v>98</v>
      </c>
      <c r="BK834" t="s">
        <v>110</v>
      </c>
      <c r="BL834" t="s">
        <v>7528</v>
      </c>
      <c r="BQ834">
        <v>5.5</v>
      </c>
      <c r="BR834">
        <v>0.75</v>
      </c>
      <c r="BS834">
        <v>5.5</v>
      </c>
      <c r="BT834">
        <v>5.5</v>
      </c>
      <c r="CA834">
        <v>4965</v>
      </c>
      <c r="CB834" t="s">
        <v>1257</v>
      </c>
      <c r="CL834" t="s">
        <v>99</v>
      </c>
      <c r="CM834" t="s">
        <v>99</v>
      </c>
      <c r="CN834" t="s">
        <v>442</v>
      </c>
      <c r="CO834" s="1">
        <v>41604</v>
      </c>
      <c r="CP834" s="1">
        <v>43633</v>
      </c>
    </row>
    <row r="835" spans="1:94" x14ac:dyDescent="0.25">
      <c r="A835" t="s">
        <v>2678</v>
      </c>
      <c r="B835" t="str">
        <f xml:space="preserve"> "" &amp; 747396068398</f>
        <v>747396068398</v>
      </c>
      <c r="C835" t="s">
        <v>343</v>
      </c>
      <c r="D835" t="s">
        <v>2675</v>
      </c>
      <c r="E835" t="s">
        <v>2649</v>
      </c>
      <c r="F835" t="s">
        <v>249</v>
      </c>
      <c r="G835">
        <v>1</v>
      </c>
      <c r="H835">
        <v>1</v>
      </c>
      <c r="I835" t="s">
        <v>97</v>
      </c>
      <c r="J835" s="10">
        <v>110</v>
      </c>
      <c r="K835" s="10">
        <v>330</v>
      </c>
      <c r="L835" s="10">
        <v>0</v>
      </c>
      <c r="N835" s="10">
        <v>0</v>
      </c>
      <c r="O835" t="s">
        <v>99</v>
      </c>
      <c r="P835" s="10">
        <v>219.95</v>
      </c>
      <c r="S835">
        <v>25</v>
      </c>
      <c r="T835">
        <v>26</v>
      </c>
      <c r="U835">
        <v>26</v>
      </c>
      <c r="W835">
        <v>14</v>
      </c>
      <c r="X835">
        <v>1</v>
      </c>
      <c r="Y835">
        <v>24.5</v>
      </c>
      <c r="Z835">
        <v>25.25</v>
      </c>
      <c r="AA835">
        <v>11.5</v>
      </c>
      <c r="AB835">
        <v>4.117</v>
      </c>
      <c r="AC835">
        <v>18.7</v>
      </c>
      <c r="AE835">
        <v>5</v>
      </c>
      <c r="AF835" t="s">
        <v>2629</v>
      </c>
      <c r="AG835">
        <v>100</v>
      </c>
      <c r="AK835" t="s">
        <v>98</v>
      </c>
      <c r="AL835">
        <v>5</v>
      </c>
      <c r="AM835" t="s">
        <v>98</v>
      </c>
      <c r="AN835" t="s">
        <v>99</v>
      </c>
      <c r="AO835" t="s">
        <v>98</v>
      </c>
      <c r="AP835" t="s">
        <v>100</v>
      </c>
      <c r="AQ835" t="s">
        <v>101</v>
      </c>
      <c r="AV835" t="s">
        <v>98</v>
      </c>
      <c r="AX835" t="s">
        <v>279</v>
      </c>
      <c r="AZ835" t="s">
        <v>102</v>
      </c>
      <c r="BB835" t="s">
        <v>235</v>
      </c>
      <c r="BC835" t="s">
        <v>561</v>
      </c>
      <c r="BD835" t="s">
        <v>7528</v>
      </c>
      <c r="BF835" t="s">
        <v>2679</v>
      </c>
      <c r="BG835" t="s">
        <v>98</v>
      </c>
      <c r="BH835" t="s">
        <v>98</v>
      </c>
      <c r="BI835" t="s">
        <v>98</v>
      </c>
      <c r="BK835" t="s">
        <v>110</v>
      </c>
      <c r="BL835" t="s">
        <v>7528</v>
      </c>
      <c r="BQ835">
        <v>5.5</v>
      </c>
      <c r="BR835">
        <v>0.75</v>
      </c>
      <c r="BS835">
        <v>5.5</v>
      </c>
      <c r="BT835">
        <v>5.5</v>
      </c>
      <c r="CA835">
        <v>4965</v>
      </c>
      <c r="CB835" t="s">
        <v>279</v>
      </c>
      <c r="CL835" t="s">
        <v>99</v>
      </c>
      <c r="CM835" t="s">
        <v>99</v>
      </c>
      <c r="CN835" t="s">
        <v>442</v>
      </c>
      <c r="CO835" s="1">
        <v>41402</v>
      </c>
      <c r="CP835" s="1">
        <v>43633</v>
      </c>
    </row>
    <row r="836" spans="1:94" x14ac:dyDescent="0.25">
      <c r="A836" t="s">
        <v>2680</v>
      </c>
      <c r="B836" t="str">
        <f xml:space="preserve"> "" &amp; 747396093789</f>
        <v>747396093789</v>
      </c>
      <c r="C836" t="s">
        <v>258</v>
      </c>
      <c r="D836" t="s">
        <v>2681</v>
      </c>
      <c r="E836" t="s">
        <v>2649</v>
      </c>
      <c r="F836" t="s">
        <v>249</v>
      </c>
      <c r="G836">
        <v>1</v>
      </c>
      <c r="H836">
        <v>1</v>
      </c>
      <c r="I836" t="s">
        <v>97</v>
      </c>
      <c r="J836" s="10">
        <v>309</v>
      </c>
      <c r="K836" s="10">
        <v>927</v>
      </c>
      <c r="L836" s="10">
        <v>0</v>
      </c>
      <c r="N836" s="10">
        <v>0</v>
      </c>
      <c r="O836" t="s">
        <v>99</v>
      </c>
      <c r="P836" s="10">
        <v>619.95000000000005</v>
      </c>
      <c r="S836">
        <v>39.5</v>
      </c>
      <c r="T836">
        <v>39</v>
      </c>
      <c r="U836">
        <v>39</v>
      </c>
      <c r="W836">
        <v>33.33</v>
      </c>
      <c r="Y836">
        <v>39.5</v>
      </c>
      <c r="Z836">
        <v>39.5</v>
      </c>
      <c r="AA836">
        <v>12.5</v>
      </c>
      <c r="AB836">
        <v>11.287000000000001</v>
      </c>
      <c r="AC836">
        <v>45.08</v>
      </c>
      <c r="AE836">
        <v>12</v>
      </c>
      <c r="AF836" t="s">
        <v>2629</v>
      </c>
      <c r="AG836">
        <v>60</v>
      </c>
      <c r="AK836" t="s">
        <v>98</v>
      </c>
      <c r="AL836">
        <v>12</v>
      </c>
      <c r="AM836" t="s">
        <v>98</v>
      </c>
      <c r="AN836" t="s">
        <v>99</v>
      </c>
      <c r="AO836" t="s">
        <v>98</v>
      </c>
      <c r="AP836" t="s">
        <v>259</v>
      </c>
      <c r="AQ836" t="s">
        <v>101</v>
      </c>
      <c r="AV836" t="s">
        <v>98</v>
      </c>
      <c r="AX836" t="s">
        <v>279</v>
      </c>
      <c r="AZ836" t="s">
        <v>102</v>
      </c>
      <c r="BB836" t="s">
        <v>235</v>
      </c>
      <c r="BC836" t="s">
        <v>561</v>
      </c>
      <c r="BD836" t="s">
        <v>7528</v>
      </c>
      <c r="BF836" t="s">
        <v>2682</v>
      </c>
      <c r="BG836" t="s">
        <v>98</v>
      </c>
      <c r="BH836" t="s">
        <v>98</v>
      </c>
      <c r="BI836" t="s">
        <v>98</v>
      </c>
      <c r="BK836" t="s">
        <v>110</v>
      </c>
      <c r="BL836" t="s">
        <v>7528</v>
      </c>
      <c r="BQ836">
        <v>6</v>
      </c>
      <c r="BR836">
        <v>0.75</v>
      </c>
      <c r="BS836">
        <v>6</v>
      </c>
      <c r="BT836">
        <v>6</v>
      </c>
      <c r="CA836">
        <v>4968</v>
      </c>
      <c r="CB836" t="s">
        <v>279</v>
      </c>
      <c r="CL836" t="s">
        <v>99</v>
      </c>
      <c r="CM836" t="s">
        <v>98</v>
      </c>
      <c r="CN836" t="s">
        <v>442</v>
      </c>
      <c r="CO836" s="1">
        <v>41782</v>
      </c>
      <c r="CP836" s="1">
        <v>43633</v>
      </c>
    </row>
    <row r="837" spans="1:94" x14ac:dyDescent="0.25">
      <c r="A837" t="s">
        <v>2683</v>
      </c>
      <c r="B837" t="str">
        <f xml:space="preserve"> "" &amp; 747396090641</f>
        <v>747396090641</v>
      </c>
      <c r="C837" t="s">
        <v>350</v>
      </c>
      <c r="D837" t="s">
        <v>2684</v>
      </c>
      <c r="E837" t="s">
        <v>2649</v>
      </c>
      <c r="F837" t="s">
        <v>249</v>
      </c>
      <c r="G837">
        <v>1</v>
      </c>
      <c r="H837">
        <v>1</v>
      </c>
      <c r="I837" t="s">
        <v>97</v>
      </c>
      <c r="J837" s="10">
        <v>189</v>
      </c>
      <c r="K837" s="10">
        <v>567</v>
      </c>
      <c r="L837" s="10">
        <v>0</v>
      </c>
      <c r="N837" s="10">
        <v>0</v>
      </c>
      <c r="O837" t="s">
        <v>99</v>
      </c>
      <c r="P837" s="10">
        <v>379.95</v>
      </c>
      <c r="S837">
        <v>29.25</v>
      </c>
      <c r="T837">
        <v>30</v>
      </c>
      <c r="U837">
        <v>30</v>
      </c>
      <c r="W837">
        <v>23.81</v>
      </c>
      <c r="Y837">
        <v>0</v>
      </c>
      <c r="Z837">
        <v>0</v>
      </c>
      <c r="AA837">
        <v>0</v>
      </c>
      <c r="AB837">
        <v>0</v>
      </c>
      <c r="AC837">
        <v>31.31</v>
      </c>
      <c r="AE837">
        <v>9</v>
      </c>
      <c r="AF837" t="s">
        <v>2629</v>
      </c>
      <c r="AG837">
        <v>100</v>
      </c>
      <c r="AK837" t="s">
        <v>98</v>
      </c>
      <c r="AL837">
        <v>9</v>
      </c>
      <c r="AM837" t="s">
        <v>98</v>
      </c>
      <c r="AN837" t="s">
        <v>99</v>
      </c>
      <c r="AO837" t="s">
        <v>98</v>
      </c>
      <c r="AP837" t="s">
        <v>100</v>
      </c>
      <c r="AQ837" t="s">
        <v>101</v>
      </c>
      <c r="AV837" t="s">
        <v>98</v>
      </c>
      <c r="AX837" t="s">
        <v>1257</v>
      </c>
      <c r="AZ837" t="s">
        <v>102</v>
      </c>
      <c r="BB837" t="s">
        <v>235</v>
      </c>
      <c r="BC837" t="s">
        <v>561</v>
      </c>
      <c r="BD837" t="s">
        <v>7528</v>
      </c>
      <c r="BF837" t="s">
        <v>2685</v>
      </c>
      <c r="BG837" t="s">
        <v>98</v>
      </c>
      <c r="BH837" t="s">
        <v>98</v>
      </c>
      <c r="BI837" t="s">
        <v>98</v>
      </c>
      <c r="BK837" t="s">
        <v>110</v>
      </c>
      <c r="BL837" t="s">
        <v>7528</v>
      </c>
      <c r="BQ837">
        <v>5.5</v>
      </c>
      <c r="BR837">
        <v>0.75</v>
      </c>
      <c r="BS837">
        <v>5.5</v>
      </c>
      <c r="BT837">
        <v>5.5</v>
      </c>
      <c r="CA837">
        <v>4969</v>
      </c>
      <c r="CB837" t="s">
        <v>1257</v>
      </c>
      <c r="CL837" t="s">
        <v>99</v>
      </c>
      <c r="CM837" t="s">
        <v>98</v>
      </c>
      <c r="CN837" t="s">
        <v>592</v>
      </c>
      <c r="CO837" s="1">
        <v>41604</v>
      </c>
      <c r="CP837" s="1">
        <v>43633</v>
      </c>
    </row>
    <row r="838" spans="1:94" x14ac:dyDescent="0.25">
      <c r="A838" t="s">
        <v>2686</v>
      </c>
      <c r="B838" t="str">
        <f xml:space="preserve"> "" &amp; 747396068404</f>
        <v>747396068404</v>
      </c>
      <c r="C838" t="s">
        <v>350</v>
      </c>
      <c r="D838" t="s">
        <v>2687</v>
      </c>
      <c r="E838" t="s">
        <v>2649</v>
      </c>
      <c r="F838" t="s">
        <v>249</v>
      </c>
      <c r="G838">
        <v>1</v>
      </c>
      <c r="H838">
        <v>1</v>
      </c>
      <c r="I838" t="s">
        <v>97</v>
      </c>
      <c r="J838" s="10">
        <v>189</v>
      </c>
      <c r="K838" s="10">
        <v>567</v>
      </c>
      <c r="L838" s="10">
        <v>0</v>
      </c>
      <c r="N838" s="10">
        <v>0</v>
      </c>
      <c r="O838" t="s">
        <v>99</v>
      </c>
      <c r="P838" s="10">
        <v>379.95</v>
      </c>
      <c r="S838">
        <v>29.25</v>
      </c>
      <c r="T838">
        <v>30</v>
      </c>
      <c r="U838">
        <v>30</v>
      </c>
      <c r="W838">
        <v>23.81</v>
      </c>
      <c r="X838">
        <v>1</v>
      </c>
      <c r="Y838">
        <v>29.5</v>
      </c>
      <c r="Z838">
        <v>30.5</v>
      </c>
      <c r="AA838">
        <v>11.5</v>
      </c>
      <c r="AB838">
        <v>5.9880000000000004</v>
      </c>
      <c r="AC838">
        <v>31.31</v>
      </c>
      <c r="AE838">
        <v>9</v>
      </c>
      <c r="AF838" t="s">
        <v>2629</v>
      </c>
      <c r="AG838">
        <v>100</v>
      </c>
      <c r="AK838" t="s">
        <v>98</v>
      </c>
      <c r="AL838">
        <v>9</v>
      </c>
      <c r="AM838" t="s">
        <v>98</v>
      </c>
      <c r="AN838" t="s">
        <v>99</v>
      </c>
      <c r="AO838" t="s">
        <v>98</v>
      </c>
      <c r="AP838" t="s">
        <v>100</v>
      </c>
      <c r="AQ838" t="s">
        <v>101</v>
      </c>
      <c r="AV838" t="s">
        <v>98</v>
      </c>
      <c r="AX838" t="s">
        <v>279</v>
      </c>
      <c r="AZ838" t="s">
        <v>102</v>
      </c>
      <c r="BB838" t="s">
        <v>235</v>
      </c>
      <c r="BC838" t="s">
        <v>561</v>
      </c>
      <c r="BD838" t="s">
        <v>7528</v>
      </c>
      <c r="BF838" t="s">
        <v>2688</v>
      </c>
      <c r="BG838" t="s">
        <v>98</v>
      </c>
      <c r="BH838" t="s">
        <v>98</v>
      </c>
      <c r="BI838" t="s">
        <v>98</v>
      </c>
      <c r="BK838" t="s">
        <v>110</v>
      </c>
      <c r="BL838" t="s">
        <v>7528</v>
      </c>
      <c r="BQ838">
        <v>5.5</v>
      </c>
      <c r="BR838">
        <v>0.75</v>
      </c>
      <c r="BS838">
        <v>5.5</v>
      </c>
      <c r="BT838">
        <v>5.5</v>
      </c>
      <c r="CA838">
        <v>4969</v>
      </c>
      <c r="CB838" t="s">
        <v>279</v>
      </c>
      <c r="CL838" t="s">
        <v>99</v>
      </c>
      <c r="CM838" t="s">
        <v>98</v>
      </c>
      <c r="CN838" t="s">
        <v>442</v>
      </c>
      <c r="CO838" s="1">
        <v>41425</v>
      </c>
      <c r="CP838" s="1">
        <v>43633</v>
      </c>
    </row>
    <row r="839" spans="1:94" x14ac:dyDescent="0.25">
      <c r="A839" t="s">
        <v>2689</v>
      </c>
      <c r="B839" t="str">
        <f xml:space="preserve"> "" &amp; 747396091051</f>
        <v>747396091051</v>
      </c>
      <c r="C839" t="s">
        <v>2690</v>
      </c>
      <c r="D839" t="s">
        <v>2691</v>
      </c>
      <c r="E839" t="s">
        <v>2692</v>
      </c>
      <c r="F839" t="s">
        <v>240</v>
      </c>
      <c r="G839">
        <v>1</v>
      </c>
      <c r="H839">
        <v>1</v>
      </c>
      <c r="I839" t="s">
        <v>97</v>
      </c>
      <c r="J839" s="10">
        <v>30</v>
      </c>
      <c r="K839" s="10">
        <v>90</v>
      </c>
      <c r="L839" s="10">
        <v>0</v>
      </c>
      <c r="N839" s="10">
        <v>0</v>
      </c>
      <c r="S839">
        <v>26.5</v>
      </c>
      <c r="T839">
        <v>22.25</v>
      </c>
      <c r="U839">
        <v>22.25</v>
      </c>
      <c r="W839">
        <v>14.46</v>
      </c>
      <c r="X839">
        <v>1</v>
      </c>
      <c r="Y839">
        <v>7.25</v>
      </c>
      <c r="Z839">
        <v>24.75</v>
      </c>
      <c r="AA839">
        <v>24.75</v>
      </c>
      <c r="AB839">
        <v>2.57</v>
      </c>
      <c r="AC839">
        <v>18.54</v>
      </c>
      <c r="AE839">
        <v>3</v>
      </c>
      <c r="AF839" t="s">
        <v>347</v>
      </c>
      <c r="AG839">
        <v>100</v>
      </c>
      <c r="AK839" t="s">
        <v>98</v>
      </c>
      <c r="AM839" t="s">
        <v>98</v>
      </c>
      <c r="AN839" t="s">
        <v>99</v>
      </c>
      <c r="AO839" t="s">
        <v>98</v>
      </c>
      <c r="AP839" t="s">
        <v>100</v>
      </c>
      <c r="AQ839" t="s">
        <v>101</v>
      </c>
      <c r="AV839" t="s">
        <v>98</v>
      </c>
      <c r="AX839" t="s">
        <v>2693</v>
      </c>
      <c r="AZ839" t="s">
        <v>124</v>
      </c>
      <c r="BB839" t="s">
        <v>235</v>
      </c>
      <c r="BC839" t="s">
        <v>561</v>
      </c>
      <c r="BD839" t="s">
        <v>7528</v>
      </c>
      <c r="BF839" t="s">
        <v>2694</v>
      </c>
      <c r="BG839" t="s">
        <v>98</v>
      </c>
      <c r="BH839" t="s">
        <v>98</v>
      </c>
      <c r="BI839" t="s">
        <v>98</v>
      </c>
      <c r="BK839" t="s">
        <v>110</v>
      </c>
      <c r="BL839" t="s">
        <v>7528</v>
      </c>
      <c r="BQ839">
        <v>5.5</v>
      </c>
      <c r="BR839">
        <v>0.75</v>
      </c>
      <c r="BS839">
        <v>5.5</v>
      </c>
      <c r="BT839">
        <v>5.5</v>
      </c>
      <c r="CA839">
        <v>4972</v>
      </c>
      <c r="CB839" t="s">
        <v>2693</v>
      </c>
      <c r="CL839" t="s">
        <v>99</v>
      </c>
      <c r="CM839" t="s">
        <v>99</v>
      </c>
      <c r="CN839" t="s">
        <v>442</v>
      </c>
      <c r="CO839" s="1">
        <v>41585</v>
      </c>
      <c r="CP839" s="1">
        <v>43633</v>
      </c>
    </row>
    <row r="840" spans="1:94" x14ac:dyDescent="0.25">
      <c r="A840" t="s">
        <v>2695</v>
      </c>
      <c r="B840" t="str">
        <f xml:space="preserve"> "" &amp; 747396097121</f>
        <v>747396097121</v>
      </c>
      <c r="C840" t="s">
        <v>243</v>
      </c>
      <c r="D840" t="s">
        <v>6774</v>
      </c>
      <c r="E840" t="s">
        <v>1651</v>
      </c>
      <c r="F840" t="s">
        <v>249</v>
      </c>
      <c r="G840">
        <v>1</v>
      </c>
      <c r="H840">
        <v>1</v>
      </c>
      <c r="I840" t="s">
        <v>97</v>
      </c>
      <c r="J840" s="10">
        <v>119</v>
      </c>
      <c r="K840" s="10">
        <v>357</v>
      </c>
      <c r="L840" s="10">
        <v>0</v>
      </c>
      <c r="N840" s="10">
        <v>0</v>
      </c>
      <c r="O840" t="s">
        <v>99</v>
      </c>
      <c r="P840" s="10">
        <v>249.95</v>
      </c>
      <c r="S840">
        <v>17</v>
      </c>
      <c r="T840">
        <v>16.5</v>
      </c>
      <c r="U840">
        <v>16.5</v>
      </c>
      <c r="W840">
        <v>6.06</v>
      </c>
      <c r="Y840">
        <v>17.5</v>
      </c>
      <c r="Z840">
        <v>18.25</v>
      </c>
      <c r="AA840">
        <v>9</v>
      </c>
      <c r="AB840">
        <v>1.663</v>
      </c>
      <c r="AC840">
        <v>8.07</v>
      </c>
      <c r="AE840">
        <v>3</v>
      </c>
      <c r="AF840" t="s">
        <v>308</v>
      </c>
      <c r="AG840">
        <v>60</v>
      </c>
      <c r="AK840" t="s">
        <v>98</v>
      </c>
      <c r="AM840" t="s">
        <v>98</v>
      </c>
      <c r="AN840" t="s">
        <v>99</v>
      </c>
      <c r="AO840" t="s">
        <v>98</v>
      </c>
      <c r="AP840" t="s">
        <v>100</v>
      </c>
      <c r="AQ840" t="s">
        <v>101</v>
      </c>
      <c r="AV840" t="s">
        <v>98</v>
      </c>
      <c r="AX840" t="s">
        <v>484</v>
      </c>
      <c r="AZ840" t="s">
        <v>102</v>
      </c>
      <c r="BB840" t="s">
        <v>7528</v>
      </c>
      <c r="BC840" t="s">
        <v>7528</v>
      </c>
      <c r="BD840" t="s">
        <v>7528</v>
      </c>
      <c r="BF840" t="s">
        <v>2696</v>
      </c>
      <c r="BG840" t="s">
        <v>98</v>
      </c>
      <c r="BH840" t="s">
        <v>98</v>
      </c>
      <c r="BI840" t="s">
        <v>98</v>
      </c>
      <c r="BK840" t="s">
        <v>110</v>
      </c>
      <c r="BL840" t="s">
        <v>7528</v>
      </c>
      <c r="BQ840">
        <v>5.5</v>
      </c>
      <c r="BR840">
        <v>0.75</v>
      </c>
      <c r="BS840">
        <v>5.5</v>
      </c>
      <c r="BT840">
        <v>5.5</v>
      </c>
      <c r="CA840">
        <v>4982</v>
      </c>
      <c r="CB840" t="s">
        <v>484</v>
      </c>
      <c r="CL840" t="s">
        <v>99</v>
      </c>
      <c r="CM840" t="s">
        <v>99</v>
      </c>
      <c r="CN840" t="s">
        <v>692</v>
      </c>
      <c r="CO840" s="1">
        <v>42324</v>
      </c>
      <c r="CP840" s="1">
        <v>43633</v>
      </c>
    </row>
    <row r="841" spans="1:94" x14ac:dyDescent="0.25">
      <c r="A841" t="s">
        <v>2697</v>
      </c>
      <c r="B841" t="str">
        <f xml:space="preserve"> "" &amp; 747396097169</f>
        <v>747396097169</v>
      </c>
      <c r="C841" t="s">
        <v>376</v>
      </c>
      <c r="D841" t="s">
        <v>2698</v>
      </c>
      <c r="E841" t="s">
        <v>1651</v>
      </c>
      <c r="F841" t="s">
        <v>377</v>
      </c>
      <c r="G841">
        <v>1</v>
      </c>
      <c r="H841">
        <v>1</v>
      </c>
      <c r="I841" t="s">
        <v>97</v>
      </c>
      <c r="J841" s="10">
        <v>92</v>
      </c>
      <c r="K841" s="10">
        <v>276</v>
      </c>
      <c r="L841" s="10">
        <v>0</v>
      </c>
      <c r="N841" s="10">
        <v>0</v>
      </c>
      <c r="O841" t="s">
        <v>99</v>
      </c>
      <c r="P841" s="10">
        <v>194.95</v>
      </c>
      <c r="S841">
        <v>13.75</v>
      </c>
      <c r="T841">
        <v>14</v>
      </c>
      <c r="U841">
        <v>14</v>
      </c>
      <c r="W841">
        <v>4.41</v>
      </c>
      <c r="Y841">
        <v>15</v>
      </c>
      <c r="Z841">
        <v>16</v>
      </c>
      <c r="AA841">
        <v>14.5</v>
      </c>
      <c r="AB841">
        <v>2.0139999999999998</v>
      </c>
      <c r="AC841">
        <v>7.28</v>
      </c>
      <c r="AE841">
        <v>3</v>
      </c>
      <c r="AF841" t="s">
        <v>519</v>
      </c>
      <c r="AG841">
        <v>60</v>
      </c>
      <c r="AK841" t="s">
        <v>98</v>
      </c>
      <c r="AM841" t="s">
        <v>98</v>
      </c>
      <c r="AN841" t="s">
        <v>99</v>
      </c>
      <c r="AO841" t="s">
        <v>98</v>
      </c>
      <c r="AP841" t="s">
        <v>100</v>
      </c>
      <c r="AQ841" t="s">
        <v>101</v>
      </c>
      <c r="AV841" t="s">
        <v>98</v>
      </c>
      <c r="AX841" t="s">
        <v>484</v>
      </c>
      <c r="AZ841" t="s">
        <v>102</v>
      </c>
      <c r="BB841" t="s">
        <v>7528</v>
      </c>
      <c r="BC841" t="s">
        <v>7528</v>
      </c>
      <c r="BD841" t="s">
        <v>7528</v>
      </c>
      <c r="BF841" t="s">
        <v>2699</v>
      </c>
      <c r="BG841" t="s">
        <v>98</v>
      </c>
      <c r="BH841" t="s">
        <v>98</v>
      </c>
      <c r="BI841" t="s">
        <v>98</v>
      </c>
      <c r="BK841" t="s">
        <v>127</v>
      </c>
      <c r="BL841" t="s">
        <v>7528</v>
      </c>
      <c r="BQ841">
        <v>5.5</v>
      </c>
      <c r="BR841">
        <v>0.75</v>
      </c>
      <c r="BS841">
        <v>5.5</v>
      </c>
      <c r="BT841">
        <v>5.5</v>
      </c>
      <c r="CA841">
        <v>4983</v>
      </c>
      <c r="CB841" t="s">
        <v>484</v>
      </c>
      <c r="CL841" t="s">
        <v>99</v>
      </c>
      <c r="CM841" t="s">
        <v>98</v>
      </c>
      <c r="CN841" t="s">
        <v>692</v>
      </c>
      <c r="CO841" s="1">
        <v>42324</v>
      </c>
      <c r="CP841" s="1">
        <v>43633</v>
      </c>
    </row>
    <row r="842" spans="1:94" x14ac:dyDescent="0.25">
      <c r="A842" t="s">
        <v>2700</v>
      </c>
      <c r="B842" t="str">
        <f xml:space="preserve"> "" &amp; 747396097138</f>
        <v>747396097138</v>
      </c>
      <c r="C842" t="s">
        <v>339</v>
      </c>
      <c r="D842" t="s">
        <v>2701</v>
      </c>
      <c r="E842" t="s">
        <v>1651</v>
      </c>
      <c r="F842" t="s">
        <v>240</v>
      </c>
      <c r="G842">
        <v>1</v>
      </c>
      <c r="H842">
        <v>1</v>
      </c>
      <c r="I842" t="s">
        <v>97</v>
      </c>
      <c r="J842" s="10">
        <v>132</v>
      </c>
      <c r="K842" s="10">
        <v>396</v>
      </c>
      <c r="L842" s="10">
        <v>0</v>
      </c>
      <c r="N842" s="10">
        <v>0</v>
      </c>
      <c r="O842" t="s">
        <v>99</v>
      </c>
      <c r="P842" s="10">
        <v>279.95</v>
      </c>
      <c r="S842">
        <v>20.5</v>
      </c>
      <c r="T842">
        <v>19</v>
      </c>
      <c r="U842">
        <v>19</v>
      </c>
      <c r="W842">
        <v>6.17</v>
      </c>
      <c r="Y842">
        <v>20.5</v>
      </c>
      <c r="Z842">
        <v>21</v>
      </c>
      <c r="AA842">
        <v>9</v>
      </c>
      <c r="AB842">
        <v>2.242</v>
      </c>
      <c r="AC842">
        <v>9.26</v>
      </c>
      <c r="AE842">
        <v>4</v>
      </c>
      <c r="AF842" t="s">
        <v>519</v>
      </c>
      <c r="AG842">
        <v>60</v>
      </c>
      <c r="AK842" t="s">
        <v>98</v>
      </c>
      <c r="AM842" t="s">
        <v>98</v>
      </c>
      <c r="AN842" t="s">
        <v>99</v>
      </c>
      <c r="AO842" t="s">
        <v>98</v>
      </c>
      <c r="AP842" t="s">
        <v>100</v>
      </c>
      <c r="AQ842" t="s">
        <v>101</v>
      </c>
      <c r="AV842" t="s">
        <v>98</v>
      </c>
      <c r="AX842" t="s">
        <v>484</v>
      </c>
      <c r="AZ842" t="s">
        <v>102</v>
      </c>
      <c r="BB842" t="s">
        <v>7528</v>
      </c>
      <c r="BC842" t="s">
        <v>7528</v>
      </c>
      <c r="BD842" t="s">
        <v>7528</v>
      </c>
      <c r="BF842" t="s">
        <v>2702</v>
      </c>
      <c r="BG842" t="s">
        <v>98</v>
      </c>
      <c r="BH842" t="s">
        <v>98</v>
      </c>
      <c r="BI842" t="s">
        <v>98</v>
      </c>
      <c r="BK842" t="s">
        <v>110</v>
      </c>
      <c r="BL842" t="s">
        <v>7528</v>
      </c>
      <c r="BQ842">
        <v>5.5</v>
      </c>
      <c r="BR842">
        <v>0.75</v>
      </c>
      <c r="BS842">
        <v>5.5</v>
      </c>
      <c r="BT842">
        <v>5.5</v>
      </c>
      <c r="CA842">
        <v>4984</v>
      </c>
      <c r="CB842" t="s">
        <v>484</v>
      </c>
      <c r="CL842" t="s">
        <v>99</v>
      </c>
      <c r="CM842" t="s">
        <v>99</v>
      </c>
      <c r="CN842" t="s">
        <v>692</v>
      </c>
      <c r="CO842" s="1">
        <v>42324</v>
      </c>
      <c r="CP842" s="1">
        <v>43633</v>
      </c>
    </row>
    <row r="843" spans="1:94" x14ac:dyDescent="0.25">
      <c r="A843" t="s">
        <v>2703</v>
      </c>
      <c r="B843" t="str">
        <f xml:space="preserve"> "" &amp; 747396097145</f>
        <v>747396097145</v>
      </c>
      <c r="C843" t="s">
        <v>252</v>
      </c>
      <c r="D843" t="s">
        <v>6775</v>
      </c>
      <c r="E843" t="s">
        <v>1651</v>
      </c>
      <c r="F843" t="s">
        <v>249</v>
      </c>
      <c r="G843">
        <v>1</v>
      </c>
      <c r="H843">
        <v>1</v>
      </c>
      <c r="I843" t="s">
        <v>97</v>
      </c>
      <c r="J843" s="10">
        <v>189</v>
      </c>
      <c r="K843" s="10">
        <v>567</v>
      </c>
      <c r="L843" s="10">
        <v>0</v>
      </c>
      <c r="N843" s="10">
        <v>0</v>
      </c>
      <c r="O843" t="s">
        <v>99</v>
      </c>
      <c r="P843" s="10">
        <v>394.95</v>
      </c>
      <c r="S843">
        <v>24.25</v>
      </c>
      <c r="T843">
        <v>24</v>
      </c>
      <c r="U843">
        <v>24</v>
      </c>
      <c r="W843">
        <v>9.92</v>
      </c>
      <c r="Y843">
        <v>24.5</v>
      </c>
      <c r="Z843">
        <v>26</v>
      </c>
      <c r="AA843">
        <v>10</v>
      </c>
      <c r="AB843">
        <v>3.6859999999999999</v>
      </c>
      <c r="AC843">
        <v>15.1</v>
      </c>
      <c r="AE843">
        <v>6</v>
      </c>
      <c r="AF843" t="s">
        <v>519</v>
      </c>
      <c r="AG843">
        <v>60</v>
      </c>
      <c r="AK843" t="s">
        <v>98</v>
      </c>
      <c r="AM843" t="s">
        <v>98</v>
      </c>
      <c r="AN843" t="s">
        <v>99</v>
      </c>
      <c r="AO843" t="s">
        <v>98</v>
      </c>
      <c r="AP843" t="s">
        <v>100</v>
      </c>
      <c r="AQ843" t="s">
        <v>101</v>
      </c>
      <c r="AV843" t="s">
        <v>98</v>
      </c>
      <c r="AX843" t="s">
        <v>484</v>
      </c>
      <c r="AZ843" t="s">
        <v>102</v>
      </c>
      <c r="BB843" t="s">
        <v>7528</v>
      </c>
      <c r="BC843" t="s">
        <v>7528</v>
      </c>
      <c r="BD843" t="s">
        <v>7528</v>
      </c>
      <c r="BF843" t="s">
        <v>2704</v>
      </c>
      <c r="BG843" t="s">
        <v>98</v>
      </c>
      <c r="BH843" t="s">
        <v>98</v>
      </c>
      <c r="BI843" t="s">
        <v>98</v>
      </c>
      <c r="BK843" t="s">
        <v>110</v>
      </c>
      <c r="BL843" t="s">
        <v>7528</v>
      </c>
      <c r="BQ843">
        <v>5.5</v>
      </c>
      <c r="BR843">
        <v>0.75</v>
      </c>
      <c r="BS843">
        <v>5.5</v>
      </c>
      <c r="BT843">
        <v>5.5</v>
      </c>
      <c r="CA843">
        <v>4986</v>
      </c>
      <c r="CB843" t="s">
        <v>484</v>
      </c>
      <c r="CL843" t="s">
        <v>99</v>
      </c>
      <c r="CM843" t="s">
        <v>99</v>
      </c>
      <c r="CN843" t="s">
        <v>692</v>
      </c>
      <c r="CO843" s="1">
        <v>42324</v>
      </c>
      <c r="CP843" s="1">
        <v>43633</v>
      </c>
    </row>
    <row r="844" spans="1:94" x14ac:dyDescent="0.25">
      <c r="A844" t="s">
        <v>2705</v>
      </c>
      <c r="B844" t="str">
        <f xml:space="preserve"> "" &amp; 747396097152</f>
        <v>747396097152</v>
      </c>
      <c r="C844" t="s">
        <v>350</v>
      </c>
      <c r="D844" t="s">
        <v>2706</v>
      </c>
      <c r="E844" t="s">
        <v>1651</v>
      </c>
      <c r="F844" t="s">
        <v>249</v>
      </c>
      <c r="G844">
        <v>1</v>
      </c>
      <c r="H844">
        <v>1</v>
      </c>
      <c r="I844" t="s">
        <v>97</v>
      </c>
      <c r="J844" s="10">
        <v>269</v>
      </c>
      <c r="K844" s="10">
        <v>807</v>
      </c>
      <c r="L844" s="10">
        <v>0</v>
      </c>
      <c r="N844" s="10">
        <v>0</v>
      </c>
      <c r="O844" t="s">
        <v>99</v>
      </c>
      <c r="P844" s="10">
        <v>569.95000000000005</v>
      </c>
      <c r="S844">
        <v>33.5</v>
      </c>
      <c r="T844">
        <v>30.25</v>
      </c>
      <c r="U844">
        <v>30.25</v>
      </c>
      <c r="W844">
        <v>13.67</v>
      </c>
      <c r="Y844">
        <v>34</v>
      </c>
      <c r="Z844">
        <v>32.5</v>
      </c>
      <c r="AA844">
        <v>12</v>
      </c>
      <c r="AB844">
        <v>7.6740000000000004</v>
      </c>
      <c r="AC844">
        <v>21.38</v>
      </c>
      <c r="AE844">
        <v>9</v>
      </c>
      <c r="AF844" t="s">
        <v>519</v>
      </c>
      <c r="AG844">
        <v>60</v>
      </c>
      <c r="AK844" t="s">
        <v>98</v>
      </c>
      <c r="AM844" t="s">
        <v>98</v>
      </c>
      <c r="AN844" t="s">
        <v>99</v>
      </c>
      <c r="AO844" t="s">
        <v>98</v>
      </c>
      <c r="AP844" t="s">
        <v>100</v>
      </c>
      <c r="AQ844" t="s">
        <v>101</v>
      </c>
      <c r="AV844" t="s">
        <v>98</v>
      </c>
      <c r="AX844" t="s">
        <v>484</v>
      </c>
      <c r="AZ844" t="s">
        <v>102</v>
      </c>
      <c r="BB844" t="s">
        <v>7528</v>
      </c>
      <c r="BC844" t="s">
        <v>7528</v>
      </c>
      <c r="BD844" t="s">
        <v>7528</v>
      </c>
      <c r="BF844" t="s">
        <v>2707</v>
      </c>
      <c r="BG844" t="s">
        <v>98</v>
      </c>
      <c r="BH844" t="s">
        <v>98</v>
      </c>
      <c r="BI844" t="s">
        <v>98</v>
      </c>
      <c r="BK844" t="s">
        <v>110</v>
      </c>
      <c r="BL844" t="s">
        <v>7528</v>
      </c>
      <c r="BQ844">
        <v>5.5</v>
      </c>
      <c r="BR844">
        <v>0.75</v>
      </c>
      <c r="BS844">
        <v>5.5</v>
      </c>
      <c r="BT844">
        <v>5.5</v>
      </c>
      <c r="CA844">
        <v>4989</v>
      </c>
      <c r="CB844" t="s">
        <v>484</v>
      </c>
      <c r="CL844" t="s">
        <v>99</v>
      </c>
      <c r="CM844" t="s">
        <v>99</v>
      </c>
      <c r="CN844" t="s">
        <v>692</v>
      </c>
      <c r="CO844" s="1">
        <v>42324</v>
      </c>
      <c r="CP844" s="1">
        <v>43633</v>
      </c>
    </row>
    <row r="845" spans="1:94" x14ac:dyDescent="0.25">
      <c r="A845" t="s">
        <v>2709</v>
      </c>
      <c r="B845" t="str">
        <f xml:space="preserve"> "" &amp; 840253039699</f>
        <v>840253039699</v>
      </c>
      <c r="C845" t="s">
        <v>2710</v>
      </c>
      <c r="D845" t="s">
        <v>6776</v>
      </c>
      <c r="E845" t="s">
        <v>7528</v>
      </c>
      <c r="F845" t="s">
        <v>358</v>
      </c>
      <c r="G845">
        <v>1</v>
      </c>
      <c r="H845">
        <v>1</v>
      </c>
      <c r="I845" t="s">
        <v>97</v>
      </c>
      <c r="J845" s="10">
        <v>39.950000000000003</v>
      </c>
      <c r="K845" s="10">
        <v>119.85</v>
      </c>
      <c r="L845" s="10">
        <v>0</v>
      </c>
      <c r="N845" s="10">
        <v>0</v>
      </c>
      <c r="S845">
        <v>25.5</v>
      </c>
      <c r="U845">
        <v>16.5</v>
      </c>
      <c r="W845">
        <v>11.42</v>
      </c>
      <c r="X845">
        <v>1</v>
      </c>
      <c r="Y845">
        <v>7.28</v>
      </c>
      <c r="Z845">
        <v>28.07</v>
      </c>
      <c r="AA845">
        <v>18.62</v>
      </c>
      <c r="AB845">
        <v>2.2000000000000002</v>
      </c>
      <c r="AC845">
        <v>13.67</v>
      </c>
      <c r="AE845">
        <v>0</v>
      </c>
      <c r="AF845" t="e">
        <v>#N/A</v>
      </c>
      <c r="AG845">
        <v>0</v>
      </c>
      <c r="AH845">
        <v>0</v>
      </c>
      <c r="AJ845">
        <v>0</v>
      </c>
      <c r="AK845" t="s">
        <v>98</v>
      </c>
      <c r="AM845" t="s">
        <v>98</v>
      </c>
      <c r="AN845" t="s">
        <v>98</v>
      </c>
      <c r="AO845" t="s">
        <v>98</v>
      </c>
      <c r="AP845" t="s">
        <v>259</v>
      </c>
      <c r="AQ845" t="s">
        <v>101</v>
      </c>
      <c r="AV845" t="s">
        <v>98</v>
      </c>
      <c r="AX845" t="s">
        <v>2711</v>
      </c>
      <c r="AZ845" t="s">
        <v>7528</v>
      </c>
      <c r="BB845" t="s">
        <v>7528</v>
      </c>
      <c r="BC845" t="s">
        <v>7528</v>
      </c>
      <c r="BD845" t="s">
        <v>7528</v>
      </c>
      <c r="BF845" t="s">
        <v>2712</v>
      </c>
      <c r="BG845" t="s">
        <v>98</v>
      </c>
      <c r="BH845" t="s">
        <v>98</v>
      </c>
      <c r="BI845" t="s">
        <v>98</v>
      </c>
      <c r="BK845" t="e">
        <v>#N/A</v>
      </c>
      <c r="BL845" t="s">
        <v>7528</v>
      </c>
      <c r="CA845">
        <v>50680</v>
      </c>
      <c r="CB845" t="s">
        <v>2711</v>
      </c>
      <c r="CL845" t="s">
        <v>98</v>
      </c>
      <c r="CM845" t="s">
        <v>98</v>
      </c>
      <c r="CN845" t="s">
        <v>7528</v>
      </c>
      <c r="CO845" s="1">
        <v>38601</v>
      </c>
      <c r="CP845" s="1">
        <v>43633</v>
      </c>
    </row>
    <row r="846" spans="1:94" x14ac:dyDescent="0.25">
      <c r="A846" t="s">
        <v>2713</v>
      </c>
      <c r="B846" t="str">
        <f xml:space="preserve"> "" &amp; 747396070926</f>
        <v>747396070926</v>
      </c>
      <c r="C846" t="s">
        <v>758</v>
      </c>
      <c r="D846" t="s">
        <v>758</v>
      </c>
      <c r="E846" t="s">
        <v>2714</v>
      </c>
      <c r="F846" t="s">
        <v>323</v>
      </c>
      <c r="G846">
        <v>1</v>
      </c>
      <c r="H846">
        <v>1</v>
      </c>
      <c r="I846" t="s">
        <v>97</v>
      </c>
      <c r="J846" s="10">
        <v>40</v>
      </c>
      <c r="K846" s="10">
        <v>120</v>
      </c>
      <c r="L846" s="10">
        <v>0</v>
      </c>
      <c r="N846" s="10">
        <v>0</v>
      </c>
      <c r="U846">
        <v>17</v>
      </c>
      <c r="V846">
        <v>5</v>
      </c>
      <c r="W846">
        <v>4.41</v>
      </c>
      <c r="Y846">
        <v>8.6300000000000008</v>
      </c>
      <c r="Z846">
        <v>18.13</v>
      </c>
      <c r="AA846">
        <v>8.6300000000000008</v>
      </c>
      <c r="AB846">
        <v>0.78</v>
      </c>
      <c r="AC846">
        <v>7.17</v>
      </c>
      <c r="AE846">
        <v>2</v>
      </c>
      <c r="AF846" t="s">
        <v>2715</v>
      </c>
      <c r="AG846">
        <v>40</v>
      </c>
      <c r="AK846" t="s">
        <v>99</v>
      </c>
      <c r="AM846" t="s">
        <v>98</v>
      </c>
      <c r="AN846" t="s">
        <v>98</v>
      </c>
      <c r="AO846" t="s">
        <v>99</v>
      </c>
      <c r="AP846" t="s">
        <v>100</v>
      </c>
      <c r="AQ846" t="s">
        <v>101</v>
      </c>
      <c r="AV846" t="s">
        <v>98</v>
      </c>
      <c r="AX846" t="s">
        <v>2716</v>
      </c>
      <c r="AZ846" t="s">
        <v>7528</v>
      </c>
      <c r="BB846" t="s">
        <v>7528</v>
      </c>
      <c r="BC846" t="s">
        <v>7528</v>
      </c>
      <c r="BD846" t="s">
        <v>7528</v>
      </c>
      <c r="BF846" t="s">
        <v>2717</v>
      </c>
      <c r="BG846" t="s">
        <v>98</v>
      </c>
      <c r="BH846" t="s">
        <v>98</v>
      </c>
      <c r="BI846" t="s">
        <v>98</v>
      </c>
      <c r="BK846" t="s">
        <v>127</v>
      </c>
      <c r="BL846" t="s">
        <v>7528</v>
      </c>
      <c r="CA846">
        <v>5112</v>
      </c>
      <c r="CB846" t="s">
        <v>2716</v>
      </c>
      <c r="CL846" t="s">
        <v>98</v>
      </c>
      <c r="CM846" t="s">
        <v>98</v>
      </c>
      <c r="CN846" t="s">
        <v>237</v>
      </c>
      <c r="CO846" s="1">
        <v>38826</v>
      </c>
      <c r="CP846" s="1">
        <v>43633</v>
      </c>
    </row>
    <row r="847" spans="1:94" x14ac:dyDescent="0.25">
      <c r="A847" t="s">
        <v>2718</v>
      </c>
      <c r="B847" t="str">
        <f xml:space="preserve"> "" &amp; 747396070933</f>
        <v>747396070933</v>
      </c>
      <c r="C847" t="s">
        <v>762</v>
      </c>
      <c r="D847" t="s">
        <v>762</v>
      </c>
      <c r="E847" t="s">
        <v>2714</v>
      </c>
      <c r="F847" t="s">
        <v>323</v>
      </c>
      <c r="G847">
        <v>1</v>
      </c>
      <c r="H847">
        <v>1</v>
      </c>
      <c r="I847" t="s">
        <v>97</v>
      </c>
      <c r="J847" s="10">
        <v>50</v>
      </c>
      <c r="K847" s="10">
        <v>150</v>
      </c>
      <c r="L847" s="10">
        <v>0</v>
      </c>
      <c r="N847" s="10">
        <v>0</v>
      </c>
      <c r="U847">
        <v>29</v>
      </c>
      <c r="V847">
        <v>5</v>
      </c>
      <c r="W847">
        <v>7.94</v>
      </c>
      <c r="Y847">
        <v>8.6300000000000008</v>
      </c>
      <c r="Z847">
        <v>31.13</v>
      </c>
      <c r="AA847">
        <v>8.6300000000000008</v>
      </c>
      <c r="AB847">
        <v>1.34</v>
      </c>
      <c r="AC847">
        <v>11.75</v>
      </c>
      <c r="AE847">
        <v>3</v>
      </c>
      <c r="AF847" t="s">
        <v>2715</v>
      </c>
      <c r="AG847">
        <v>40</v>
      </c>
      <c r="AK847" t="s">
        <v>99</v>
      </c>
      <c r="AM847" t="s">
        <v>98</v>
      </c>
      <c r="AN847" t="s">
        <v>98</v>
      </c>
      <c r="AO847" t="s">
        <v>99</v>
      </c>
      <c r="AP847" t="s">
        <v>100</v>
      </c>
      <c r="AQ847" t="s">
        <v>101</v>
      </c>
      <c r="AV847" t="s">
        <v>98</v>
      </c>
      <c r="AX847" t="s">
        <v>2716</v>
      </c>
      <c r="AZ847" t="s">
        <v>7528</v>
      </c>
      <c r="BB847" t="s">
        <v>7528</v>
      </c>
      <c r="BC847" t="s">
        <v>7528</v>
      </c>
      <c r="BD847" t="s">
        <v>7528</v>
      </c>
      <c r="BF847" t="s">
        <v>2719</v>
      </c>
      <c r="BG847" t="s">
        <v>98</v>
      </c>
      <c r="BH847" t="s">
        <v>98</v>
      </c>
      <c r="BI847" t="s">
        <v>98</v>
      </c>
      <c r="BK847" t="s">
        <v>127</v>
      </c>
      <c r="BL847" t="s">
        <v>7528</v>
      </c>
      <c r="CA847">
        <v>5113</v>
      </c>
      <c r="CB847" t="s">
        <v>2716</v>
      </c>
      <c r="CL847" t="s">
        <v>98</v>
      </c>
      <c r="CM847" t="s">
        <v>98</v>
      </c>
      <c r="CN847" t="s">
        <v>237</v>
      </c>
      <c r="CO847" s="1">
        <v>38826</v>
      </c>
      <c r="CP847" s="1">
        <v>43633</v>
      </c>
    </row>
    <row r="848" spans="1:94" x14ac:dyDescent="0.25">
      <c r="A848" t="s">
        <v>2720</v>
      </c>
      <c r="B848" t="str">
        <f xml:space="preserve"> "" &amp; 747396070940</f>
        <v>747396070940</v>
      </c>
      <c r="C848" t="s">
        <v>766</v>
      </c>
      <c r="D848" t="s">
        <v>766</v>
      </c>
      <c r="E848" t="s">
        <v>2721</v>
      </c>
      <c r="F848" t="s">
        <v>323</v>
      </c>
      <c r="G848">
        <v>1</v>
      </c>
      <c r="H848">
        <v>1</v>
      </c>
      <c r="I848" t="s">
        <v>97</v>
      </c>
      <c r="J848" s="10">
        <v>40</v>
      </c>
      <c r="K848" s="10">
        <v>120</v>
      </c>
      <c r="L848" s="10">
        <v>0</v>
      </c>
      <c r="N848" s="10">
        <v>0</v>
      </c>
      <c r="U848">
        <v>41.25</v>
      </c>
      <c r="V848">
        <v>5</v>
      </c>
      <c r="W848">
        <v>11.88</v>
      </c>
      <c r="Y848">
        <v>8.6300000000000008</v>
      </c>
      <c r="Z848">
        <v>43.75</v>
      </c>
      <c r="AA848">
        <v>8.6300000000000008</v>
      </c>
      <c r="AB848">
        <v>1.89</v>
      </c>
      <c r="AC848">
        <v>15.19</v>
      </c>
      <c r="AE848">
        <v>4</v>
      </c>
      <c r="AF848" t="s">
        <v>2722</v>
      </c>
      <c r="AG848">
        <v>40</v>
      </c>
      <c r="AK848" t="s">
        <v>99</v>
      </c>
      <c r="AM848" t="s">
        <v>98</v>
      </c>
      <c r="AN848" t="s">
        <v>98</v>
      </c>
      <c r="AO848" t="s">
        <v>99</v>
      </c>
      <c r="AP848" t="s">
        <v>100</v>
      </c>
      <c r="AQ848" t="s">
        <v>101</v>
      </c>
      <c r="AV848" t="s">
        <v>98</v>
      </c>
      <c r="AX848" t="s">
        <v>2716</v>
      </c>
      <c r="AZ848" t="s">
        <v>7528</v>
      </c>
      <c r="BB848" t="s">
        <v>7528</v>
      </c>
      <c r="BC848" t="s">
        <v>7528</v>
      </c>
      <c r="BD848" t="s">
        <v>7528</v>
      </c>
      <c r="BF848" t="s">
        <v>2723</v>
      </c>
      <c r="BG848" t="s">
        <v>98</v>
      </c>
      <c r="BH848" t="s">
        <v>98</v>
      </c>
      <c r="BI848" t="s">
        <v>98</v>
      </c>
      <c r="BK848" t="s">
        <v>7528</v>
      </c>
      <c r="BL848" t="s">
        <v>7528</v>
      </c>
      <c r="CA848">
        <v>5114</v>
      </c>
      <c r="CB848" t="s">
        <v>2716</v>
      </c>
      <c r="CL848" t="s">
        <v>98</v>
      </c>
      <c r="CM848" t="s">
        <v>98</v>
      </c>
      <c r="CN848" t="s">
        <v>237</v>
      </c>
      <c r="CO848" s="1">
        <v>38826</v>
      </c>
      <c r="CP848" s="1">
        <v>43633</v>
      </c>
    </row>
    <row r="849" spans="1:94" x14ac:dyDescent="0.25">
      <c r="A849" t="s">
        <v>2724</v>
      </c>
      <c r="B849" t="str">
        <f xml:space="preserve"> "" &amp; 747396069487</f>
        <v>747396069487</v>
      </c>
      <c r="C849" t="s">
        <v>1550</v>
      </c>
      <c r="D849" t="s">
        <v>2725</v>
      </c>
      <c r="E849" t="s">
        <v>1868</v>
      </c>
      <c r="F849" t="s">
        <v>232</v>
      </c>
      <c r="G849">
        <v>1</v>
      </c>
      <c r="H849">
        <v>1</v>
      </c>
      <c r="I849" t="s">
        <v>97</v>
      </c>
      <c r="J849" s="10">
        <v>45</v>
      </c>
      <c r="K849" s="10">
        <v>135</v>
      </c>
      <c r="L849" s="10">
        <v>0</v>
      </c>
      <c r="N849" s="10">
        <v>0</v>
      </c>
      <c r="O849" t="s">
        <v>99</v>
      </c>
      <c r="P849" s="10">
        <v>89.95</v>
      </c>
      <c r="S849">
        <v>5</v>
      </c>
      <c r="T849">
        <v>8</v>
      </c>
      <c r="U849">
        <v>6.25</v>
      </c>
      <c r="V849">
        <v>4.75</v>
      </c>
      <c r="W849">
        <v>1.01</v>
      </c>
      <c r="X849">
        <v>1</v>
      </c>
      <c r="Y849">
        <v>5.5</v>
      </c>
      <c r="Z849">
        <v>8</v>
      </c>
      <c r="AA849">
        <v>7</v>
      </c>
      <c r="AB849">
        <v>0.17799999999999999</v>
      </c>
      <c r="AC849">
        <v>1.37</v>
      </c>
      <c r="AE849">
        <v>2</v>
      </c>
      <c r="AF849" t="s">
        <v>696</v>
      </c>
      <c r="AG849">
        <v>40</v>
      </c>
      <c r="AK849" t="s">
        <v>98</v>
      </c>
      <c r="AM849" t="s">
        <v>98</v>
      </c>
      <c r="AN849" t="s">
        <v>99</v>
      </c>
      <c r="AO849" t="s">
        <v>98</v>
      </c>
      <c r="AP849" t="s">
        <v>100</v>
      </c>
      <c r="AQ849" t="s">
        <v>101</v>
      </c>
      <c r="AV849" t="s">
        <v>98</v>
      </c>
      <c r="AX849" t="s">
        <v>279</v>
      </c>
      <c r="AZ849" t="s">
        <v>102</v>
      </c>
      <c r="BB849" t="s">
        <v>7528</v>
      </c>
      <c r="BC849" t="s">
        <v>7528</v>
      </c>
      <c r="BD849" t="s">
        <v>7528</v>
      </c>
      <c r="BF849" t="s">
        <v>2726</v>
      </c>
      <c r="BG849" t="s">
        <v>98</v>
      </c>
      <c r="BH849" t="s">
        <v>98</v>
      </c>
      <c r="BI849" t="s">
        <v>98</v>
      </c>
      <c r="BK849" t="s">
        <v>127</v>
      </c>
      <c r="BL849" t="s">
        <v>979</v>
      </c>
      <c r="BM849">
        <v>5</v>
      </c>
      <c r="BN849">
        <v>1.75</v>
      </c>
      <c r="CA849">
        <v>5130</v>
      </c>
      <c r="CB849" t="s">
        <v>279</v>
      </c>
      <c r="CL849" t="s">
        <v>99</v>
      </c>
      <c r="CM849" t="s">
        <v>98</v>
      </c>
      <c r="CN849" t="s">
        <v>692</v>
      </c>
      <c r="CO849" s="1">
        <v>41498</v>
      </c>
      <c r="CP849" s="1">
        <v>43633</v>
      </c>
    </row>
    <row r="850" spans="1:94" x14ac:dyDescent="0.25">
      <c r="A850" t="s">
        <v>2727</v>
      </c>
      <c r="B850" t="str">
        <f xml:space="preserve"> "" &amp; 747396069548</f>
        <v>747396069548</v>
      </c>
      <c r="C850" t="s">
        <v>758</v>
      </c>
      <c r="D850" t="s">
        <v>2728</v>
      </c>
      <c r="E850" t="s">
        <v>1868</v>
      </c>
      <c r="F850" t="s">
        <v>323</v>
      </c>
      <c r="G850">
        <v>1</v>
      </c>
      <c r="H850">
        <v>1</v>
      </c>
      <c r="I850" t="s">
        <v>97</v>
      </c>
      <c r="J850" s="10">
        <v>119</v>
      </c>
      <c r="K850" s="10">
        <v>357</v>
      </c>
      <c r="L850" s="10">
        <v>0</v>
      </c>
      <c r="N850" s="10">
        <v>0</v>
      </c>
      <c r="O850" t="s">
        <v>99</v>
      </c>
      <c r="P850" s="10">
        <v>239.95</v>
      </c>
      <c r="S850">
        <v>10.5</v>
      </c>
      <c r="U850">
        <v>18.5</v>
      </c>
      <c r="V850">
        <v>10.5</v>
      </c>
      <c r="W850">
        <v>5.14</v>
      </c>
      <c r="X850">
        <v>1</v>
      </c>
      <c r="Y850">
        <v>12</v>
      </c>
      <c r="Z850">
        <v>20</v>
      </c>
      <c r="AA850">
        <v>11.5</v>
      </c>
      <c r="AB850">
        <v>1.597</v>
      </c>
      <c r="AC850">
        <v>7.5</v>
      </c>
      <c r="AE850">
        <v>2</v>
      </c>
      <c r="AF850" t="s">
        <v>347</v>
      </c>
      <c r="AG850">
        <v>60</v>
      </c>
      <c r="AK850" t="s">
        <v>98</v>
      </c>
      <c r="AL850">
        <v>2</v>
      </c>
      <c r="AM850" t="s">
        <v>98</v>
      </c>
      <c r="AN850" t="s">
        <v>99</v>
      </c>
      <c r="AO850" t="s">
        <v>98</v>
      </c>
      <c r="AP850" t="s">
        <v>100</v>
      </c>
      <c r="AQ850" t="s">
        <v>101</v>
      </c>
      <c r="AV850" t="s">
        <v>98</v>
      </c>
      <c r="AX850" t="s">
        <v>279</v>
      </c>
      <c r="AZ850" t="s">
        <v>102</v>
      </c>
      <c r="BB850" t="s">
        <v>235</v>
      </c>
      <c r="BC850" t="s">
        <v>746</v>
      </c>
      <c r="BD850" t="s">
        <v>7528</v>
      </c>
      <c r="BF850" t="s">
        <v>2729</v>
      </c>
      <c r="BG850" t="s">
        <v>98</v>
      </c>
      <c r="BH850" t="s">
        <v>98</v>
      </c>
      <c r="BI850" t="s">
        <v>98</v>
      </c>
      <c r="BK850" t="s">
        <v>127</v>
      </c>
      <c r="BL850" t="s">
        <v>756</v>
      </c>
      <c r="BM850">
        <v>18</v>
      </c>
      <c r="BN850">
        <v>4.5</v>
      </c>
      <c r="CA850">
        <v>5132</v>
      </c>
      <c r="CB850" t="s">
        <v>279</v>
      </c>
      <c r="CL850" t="s">
        <v>99</v>
      </c>
      <c r="CM850" t="s">
        <v>98</v>
      </c>
      <c r="CN850" t="s">
        <v>442</v>
      </c>
      <c r="CO850" s="1">
        <v>41498</v>
      </c>
      <c r="CP850" s="1">
        <v>43633</v>
      </c>
    </row>
    <row r="851" spans="1:94" x14ac:dyDescent="0.25">
      <c r="A851" t="s">
        <v>2730</v>
      </c>
      <c r="B851" t="str">
        <f xml:space="preserve"> "" &amp; 747396069586</f>
        <v>747396069586</v>
      </c>
      <c r="C851" t="s">
        <v>762</v>
      </c>
      <c r="D851" t="s">
        <v>6777</v>
      </c>
      <c r="E851" t="s">
        <v>1868</v>
      </c>
      <c r="F851" t="s">
        <v>323</v>
      </c>
      <c r="G851">
        <v>1</v>
      </c>
      <c r="H851">
        <v>1</v>
      </c>
      <c r="I851" t="s">
        <v>97</v>
      </c>
      <c r="J851" s="10">
        <v>169</v>
      </c>
      <c r="K851" s="10">
        <v>507</v>
      </c>
      <c r="L851" s="10">
        <v>0</v>
      </c>
      <c r="N851" s="10">
        <v>0</v>
      </c>
      <c r="O851" t="s">
        <v>99</v>
      </c>
      <c r="P851" s="10">
        <v>339.95</v>
      </c>
      <c r="S851">
        <v>10.5</v>
      </c>
      <c r="U851">
        <v>28.5</v>
      </c>
      <c r="V851">
        <v>10.5</v>
      </c>
      <c r="W851">
        <v>7.87</v>
      </c>
      <c r="X851">
        <v>1</v>
      </c>
      <c r="Y851">
        <v>12</v>
      </c>
      <c r="Z851">
        <v>29.5</v>
      </c>
      <c r="AA851">
        <v>11.5</v>
      </c>
      <c r="AB851">
        <v>2.3559999999999999</v>
      </c>
      <c r="AC851">
        <v>10.96</v>
      </c>
      <c r="AE851">
        <v>3</v>
      </c>
      <c r="AF851" t="s">
        <v>347</v>
      </c>
      <c r="AG851">
        <v>60</v>
      </c>
      <c r="AK851" t="s">
        <v>98</v>
      </c>
      <c r="AL851">
        <v>3</v>
      </c>
      <c r="AM851" t="s">
        <v>98</v>
      </c>
      <c r="AN851" t="s">
        <v>99</v>
      </c>
      <c r="AO851" t="s">
        <v>98</v>
      </c>
      <c r="AP851" t="s">
        <v>100</v>
      </c>
      <c r="AQ851" t="s">
        <v>101</v>
      </c>
      <c r="AV851" t="s">
        <v>98</v>
      </c>
      <c r="AX851" t="s">
        <v>279</v>
      </c>
      <c r="AZ851" t="s">
        <v>102</v>
      </c>
      <c r="BB851" t="s">
        <v>235</v>
      </c>
      <c r="BC851" t="s">
        <v>746</v>
      </c>
      <c r="BD851" t="s">
        <v>7528</v>
      </c>
      <c r="BF851" t="s">
        <v>2731</v>
      </c>
      <c r="BG851" t="s">
        <v>98</v>
      </c>
      <c r="BH851" t="s">
        <v>98</v>
      </c>
      <c r="BI851" t="s">
        <v>98</v>
      </c>
      <c r="BK851" t="s">
        <v>127</v>
      </c>
      <c r="BL851" t="s">
        <v>756</v>
      </c>
      <c r="BM851">
        <v>24</v>
      </c>
      <c r="BN851">
        <v>4.5</v>
      </c>
      <c r="CA851">
        <v>5133</v>
      </c>
      <c r="CB851" t="s">
        <v>279</v>
      </c>
      <c r="CL851" t="s">
        <v>99</v>
      </c>
      <c r="CM851" t="s">
        <v>98</v>
      </c>
      <c r="CN851" t="s">
        <v>442</v>
      </c>
      <c r="CO851" s="1">
        <v>41498</v>
      </c>
      <c r="CP851" s="1">
        <v>43633</v>
      </c>
    </row>
    <row r="852" spans="1:94" x14ac:dyDescent="0.25">
      <c r="A852" t="s">
        <v>2732</v>
      </c>
      <c r="B852" t="str">
        <f xml:space="preserve"> "" &amp; 747396090535</f>
        <v>747396090535</v>
      </c>
      <c r="C852" t="s">
        <v>766</v>
      </c>
      <c r="D852" t="s">
        <v>2733</v>
      </c>
      <c r="E852" t="s">
        <v>1868</v>
      </c>
      <c r="F852" t="s">
        <v>323</v>
      </c>
      <c r="G852">
        <v>1</v>
      </c>
      <c r="H852">
        <v>1</v>
      </c>
      <c r="I852" t="s">
        <v>97</v>
      </c>
      <c r="J852" s="10">
        <v>189</v>
      </c>
      <c r="K852" s="10">
        <v>567</v>
      </c>
      <c r="L852" s="10">
        <v>0</v>
      </c>
      <c r="N852" s="10">
        <v>0</v>
      </c>
      <c r="O852" t="s">
        <v>99</v>
      </c>
      <c r="P852" s="10">
        <v>379.95</v>
      </c>
      <c r="S852">
        <v>10.5</v>
      </c>
      <c r="U852">
        <v>38.5</v>
      </c>
      <c r="V852">
        <v>10.5</v>
      </c>
      <c r="W852">
        <v>11.11</v>
      </c>
      <c r="X852">
        <v>1</v>
      </c>
      <c r="Y852">
        <v>12</v>
      </c>
      <c r="Z852">
        <v>39.5</v>
      </c>
      <c r="AA852">
        <v>11.5</v>
      </c>
      <c r="AB852">
        <v>3.1549999999999998</v>
      </c>
      <c r="AC852">
        <v>15.15</v>
      </c>
      <c r="AE852">
        <v>4</v>
      </c>
      <c r="AF852" t="s">
        <v>347</v>
      </c>
      <c r="AG852">
        <v>60</v>
      </c>
      <c r="AK852" t="s">
        <v>98</v>
      </c>
      <c r="AL852">
        <v>4</v>
      </c>
      <c r="AM852" t="s">
        <v>98</v>
      </c>
      <c r="AN852" t="s">
        <v>99</v>
      </c>
      <c r="AO852" t="s">
        <v>98</v>
      </c>
      <c r="AP852" t="s">
        <v>100</v>
      </c>
      <c r="AQ852" t="s">
        <v>101</v>
      </c>
      <c r="AV852" t="s">
        <v>98</v>
      </c>
      <c r="AX852" t="s">
        <v>279</v>
      </c>
      <c r="AZ852" t="s">
        <v>102</v>
      </c>
      <c r="BB852" t="s">
        <v>235</v>
      </c>
      <c r="BC852" t="s">
        <v>746</v>
      </c>
      <c r="BD852" t="s">
        <v>7528</v>
      </c>
      <c r="BF852" t="s">
        <v>2734</v>
      </c>
      <c r="BG852" t="s">
        <v>98</v>
      </c>
      <c r="BH852" t="s">
        <v>98</v>
      </c>
      <c r="BI852" t="s">
        <v>98</v>
      </c>
      <c r="BK852" t="s">
        <v>127</v>
      </c>
      <c r="BL852" t="s">
        <v>756</v>
      </c>
      <c r="BM852">
        <v>36</v>
      </c>
      <c r="BN852">
        <v>4.5</v>
      </c>
      <c r="CA852">
        <v>5134</v>
      </c>
      <c r="CB852" t="s">
        <v>279</v>
      </c>
      <c r="CL852" t="s">
        <v>99</v>
      </c>
      <c r="CM852" t="s">
        <v>99</v>
      </c>
      <c r="CN852" t="s">
        <v>442</v>
      </c>
      <c r="CO852" s="1">
        <v>41498</v>
      </c>
      <c r="CP852" s="1">
        <v>43633</v>
      </c>
    </row>
    <row r="853" spans="1:94" x14ac:dyDescent="0.25">
      <c r="A853" t="s">
        <v>2735</v>
      </c>
      <c r="B853" t="str">
        <f xml:space="preserve"> "" &amp; 747396069517</f>
        <v>747396069517</v>
      </c>
      <c r="C853" t="s">
        <v>762</v>
      </c>
      <c r="D853" t="s">
        <v>6777</v>
      </c>
      <c r="E853" t="s">
        <v>1868</v>
      </c>
      <c r="F853" t="s">
        <v>323</v>
      </c>
      <c r="G853">
        <v>1</v>
      </c>
      <c r="H853">
        <v>1</v>
      </c>
      <c r="I853" t="s">
        <v>97</v>
      </c>
      <c r="J853" s="10">
        <v>69</v>
      </c>
      <c r="K853" s="10">
        <v>207</v>
      </c>
      <c r="L853" s="10">
        <v>0</v>
      </c>
      <c r="N853" s="10">
        <v>0</v>
      </c>
      <c r="O853" t="s">
        <v>99</v>
      </c>
      <c r="P853" s="10">
        <v>139.94999999999999</v>
      </c>
      <c r="S853">
        <v>4.5</v>
      </c>
      <c r="U853">
        <v>14.5</v>
      </c>
      <c r="V853">
        <v>4.75</v>
      </c>
      <c r="W853">
        <v>2.16</v>
      </c>
      <c r="X853">
        <v>1</v>
      </c>
      <c r="Y853">
        <v>7.75</v>
      </c>
      <c r="Z853">
        <v>16.5</v>
      </c>
      <c r="AA853">
        <v>6</v>
      </c>
      <c r="AB853">
        <v>0.44400000000000001</v>
      </c>
      <c r="AC853">
        <v>2.91</v>
      </c>
      <c r="AE853">
        <v>3</v>
      </c>
      <c r="AF853" t="s">
        <v>696</v>
      </c>
      <c r="AG853">
        <v>40</v>
      </c>
      <c r="AK853" t="s">
        <v>98</v>
      </c>
      <c r="AM853" t="s">
        <v>98</v>
      </c>
      <c r="AN853" t="s">
        <v>99</v>
      </c>
      <c r="AO853" t="s">
        <v>98</v>
      </c>
      <c r="AP853" t="s">
        <v>100</v>
      </c>
      <c r="AQ853" t="s">
        <v>101</v>
      </c>
      <c r="AV853" t="s">
        <v>98</v>
      </c>
      <c r="AX853" t="s">
        <v>279</v>
      </c>
      <c r="AZ853" t="s">
        <v>102</v>
      </c>
      <c r="BB853" t="s">
        <v>7528</v>
      </c>
      <c r="BC853" t="s">
        <v>7528</v>
      </c>
      <c r="BD853" t="s">
        <v>7528</v>
      </c>
      <c r="BF853" t="s">
        <v>2736</v>
      </c>
      <c r="BG853" t="s">
        <v>98</v>
      </c>
      <c r="BH853" t="s">
        <v>98</v>
      </c>
      <c r="BI853" t="s">
        <v>98</v>
      </c>
      <c r="BK853" t="s">
        <v>127</v>
      </c>
      <c r="BL853" t="s">
        <v>979</v>
      </c>
      <c r="BM853">
        <v>12</v>
      </c>
      <c r="BN853">
        <v>4.5</v>
      </c>
      <c r="CA853">
        <v>5135</v>
      </c>
      <c r="CB853" t="s">
        <v>279</v>
      </c>
      <c r="CL853" t="s">
        <v>99</v>
      </c>
      <c r="CM853" t="s">
        <v>98</v>
      </c>
      <c r="CN853" t="s">
        <v>692</v>
      </c>
      <c r="CO853" s="1">
        <v>41496</v>
      </c>
      <c r="CP853" s="1">
        <v>43633</v>
      </c>
    </row>
    <row r="854" spans="1:94" x14ac:dyDescent="0.25">
      <c r="A854" t="s">
        <v>2737</v>
      </c>
      <c r="B854" t="str">
        <f xml:space="preserve"> "" &amp; 747396069531</f>
        <v>747396069531</v>
      </c>
      <c r="C854" t="s">
        <v>2207</v>
      </c>
      <c r="D854" t="s">
        <v>2738</v>
      </c>
      <c r="E854" t="s">
        <v>1868</v>
      </c>
      <c r="F854" t="s">
        <v>323</v>
      </c>
      <c r="G854">
        <v>1</v>
      </c>
      <c r="H854">
        <v>1</v>
      </c>
      <c r="I854" t="s">
        <v>97</v>
      </c>
      <c r="J854" s="10">
        <v>102</v>
      </c>
      <c r="K854" s="10">
        <v>306</v>
      </c>
      <c r="L854" s="10">
        <v>0</v>
      </c>
      <c r="N854" s="10">
        <v>0</v>
      </c>
      <c r="O854" t="s">
        <v>99</v>
      </c>
      <c r="P854" s="10">
        <v>204.95</v>
      </c>
      <c r="S854">
        <v>4.5</v>
      </c>
      <c r="U854">
        <v>27.5</v>
      </c>
      <c r="V854">
        <v>4.75</v>
      </c>
      <c r="W854">
        <v>2.87</v>
      </c>
      <c r="X854">
        <v>1</v>
      </c>
      <c r="Y854">
        <v>7</v>
      </c>
      <c r="Z854">
        <v>30.25</v>
      </c>
      <c r="AA854">
        <v>9.25</v>
      </c>
      <c r="AB854">
        <v>1.133</v>
      </c>
      <c r="AC854">
        <v>4.92</v>
      </c>
      <c r="AE854">
        <v>5</v>
      </c>
      <c r="AF854" t="s">
        <v>696</v>
      </c>
      <c r="AG854">
        <v>40</v>
      </c>
      <c r="AK854" t="s">
        <v>98</v>
      </c>
      <c r="AM854" t="s">
        <v>98</v>
      </c>
      <c r="AN854" t="s">
        <v>99</v>
      </c>
      <c r="AO854" t="s">
        <v>98</v>
      </c>
      <c r="AP854" t="s">
        <v>100</v>
      </c>
      <c r="AQ854" t="s">
        <v>101</v>
      </c>
      <c r="AV854" t="s">
        <v>98</v>
      </c>
      <c r="AX854" t="s">
        <v>279</v>
      </c>
      <c r="AZ854" t="s">
        <v>102</v>
      </c>
      <c r="BB854" t="s">
        <v>7528</v>
      </c>
      <c r="BC854" t="s">
        <v>7528</v>
      </c>
      <c r="BD854" t="s">
        <v>7528</v>
      </c>
      <c r="BF854" t="s">
        <v>2739</v>
      </c>
      <c r="BG854" t="s">
        <v>98</v>
      </c>
      <c r="BH854" t="s">
        <v>98</v>
      </c>
      <c r="BI854" t="s">
        <v>98</v>
      </c>
      <c r="BK854" t="s">
        <v>127</v>
      </c>
      <c r="BL854" t="s">
        <v>756</v>
      </c>
      <c r="BM854">
        <v>12</v>
      </c>
      <c r="BN854">
        <v>4.5</v>
      </c>
      <c r="CA854">
        <v>5136</v>
      </c>
      <c r="CB854" t="s">
        <v>279</v>
      </c>
      <c r="CL854" t="s">
        <v>99</v>
      </c>
      <c r="CM854" t="s">
        <v>98</v>
      </c>
      <c r="CN854" t="s">
        <v>692</v>
      </c>
      <c r="CO854" s="1">
        <v>41496</v>
      </c>
      <c r="CP854" s="1">
        <v>43633</v>
      </c>
    </row>
    <row r="855" spans="1:94" x14ac:dyDescent="0.25">
      <c r="A855" t="s">
        <v>2740</v>
      </c>
      <c r="B855" t="str">
        <f xml:space="preserve"> "" &amp; 747396083278</f>
        <v>747396083278</v>
      </c>
      <c r="C855" t="s">
        <v>751</v>
      </c>
      <c r="D855" t="s">
        <v>2741</v>
      </c>
      <c r="E855" t="s">
        <v>1885</v>
      </c>
      <c r="F855" t="s">
        <v>323</v>
      </c>
      <c r="G855">
        <v>1</v>
      </c>
      <c r="H855">
        <v>1</v>
      </c>
      <c r="I855" t="s">
        <v>97</v>
      </c>
      <c r="J855" s="10">
        <v>42</v>
      </c>
      <c r="K855" s="10">
        <v>126</v>
      </c>
      <c r="L855" s="10">
        <v>0</v>
      </c>
      <c r="N855" s="10">
        <v>0</v>
      </c>
      <c r="O855" t="s">
        <v>99</v>
      </c>
      <c r="P855" s="10">
        <v>84.95</v>
      </c>
      <c r="S855">
        <v>8</v>
      </c>
      <c r="T855">
        <v>12.25</v>
      </c>
      <c r="U855">
        <v>4.75</v>
      </c>
      <c r="V855">
        <v>6</v>
      </c>
      <c r="W855">
        <v>2.0499999999999998</v>
      </c>
      <c r="Y855">
        <v>7.75</v>
      </c>
      <c r="Z855">
        <v>12.25</v>
      </c>
      <c r="AA855">
        <v>5.75</v>
      </c>
      <c r="AB855">
        <v>0.316</v>
      </c>
      <c r="AC855">
        <v>2.76</v>
      </c>
      <c r="AE855">
        <v>1</v>
      </c>
      <c r="AF855" t="s">
        <v>282</v>
      </c>
      <c r="AG855">
        <v>100</v>
      </c>
      <c r="AK855" t="s">
        <v>98</v>
      </c>
      <c r="AM855" t="s">
        <v>98</v>
      </c>
      <c r="AN855" t="s">
        <v>98</v>
      </c>
      <c r="AO855" t="s">
        <v>99</v>
      </c>
      <c r="AP855" t="s">
        <v>100</v>
      </c>
      <c r="AQ855" t="s">
        <v>101</v>
      </c>
      <c r="AV855" t="s">
        <v>98</v>
      </c>
      <c r="AX855" t="s">
        <v>560</v>
      </c>
      <c r="AZ855" t="s">
        <v>102</v>
      </c>
      <c r="BB855" t="s">
        <v>235</v>
      </c>
      <c r="BC855" t="s">
        <v>460</v>
      </c>
      <c r="BD855" t="s">
        <v>7528</v>
      </c>
      <c r="BF855" t="s">
        <v>2742</v>
      </c>
      <c r="BG855" t="s">
        <v>98</v>
      </c>
      <c r="BH855" t="s">
        <v>98</v>
      </c>
      <c r="BI855" t="s">
        <v>98</v>
      </c>
      <c r="BK855" t="s">
        <v>127</v>
      </c>
      <c r="BL855" t="s">
        <v>756</v>
      </c>
      <c r="BR855">
        <v>8.1300000000000008</v>
      </c>
      <c r="BT855">
        <v>4.63</v>
      </c>
      <c r="CA855">
        <v>5171</v>
      </c>
      <c r="CB855" t="s">
        <v>560</v>
      </c>
      <c r="CL855" t="s">
        <v>99</v>
      </c>
      <c r="CM855" t="s">
        <v>98</v>
      </c>
      <c r="CN855" t="s">
        <v>592</v>
      </c>
      <c r="CO855" s="1">
        <v>40421</v>
      </c>
      <c r="CP855" s="1">
        <v>43633</v>
      </c>
    </row>
    <row r="856" spans="1:94" x14ac:dyDescent="0.25">
      <c r="A856" t="s">
        <v>2743</v>
      </c>
      <c r="B856" t="str">
        <f xml:space="preserve"> "" &amp; 747396086514</f>
        <v>747396086514</v>
      </c>
      <c r="C856" t="s">
        <v>751</v>
      </c>
      <c r="D856" t="s">
        <v>2741</v>
      </c>
      <c r="E856" t="s">
        <v>1885</v>
      </c>
      <c r="F856" t="s">
        <v>323</v>
      </c>
      <c r="G856">
        <v>1</v>
      </c>
      <c r="H856">
        <v>1</v>
      </c>
      <c r="I856" t="s">
        <v>97</v>
      </c>
      <c r="J856" s="10">
        <v>42</v>
      </c>
      <c r="K856" s="10">
        <v>126</v>
      </c>
      <c r="L856" s="10">
        <v>0</v>
      </c>
      <c r="N856" s="10">
        <v>0</v>
      </c>
      <c r="O856" t="s">
        <v>99</v>
      </c>
      <c r="P856" s="10">
        <v>84.95</v>
      </c>
      <c r="S856">
        <v>8</v>
      </c>
      <c r="T856">
        <v>12.25</v>
      </c>
      <c r="U856">
        <v>4.75</v>
      </c>
      <c r="V856">
        <v>6</v>
      </c>
      <c r="W856">
        <v>2.0499999999999998</v>
      </c>
      <c r="Y856">
        <v>7.75</v>
      </c>
      <c r="Z856">
        <v>12.25</v>
      </c>
      <c r="AA856">
        <v>5.75</v>
      </c>
      <c r="AB856">
        <v>0.316</v>
      </c>
      <c r="AC856">
        <v>2.76</v>
      </c>
      <c r="AE856">
        <v>1</v>
      </c>
      <c r="AF856" t="s">
        <v>598</v>
      </c>
      <c r="AG856">
        <v>100</v>
      </c>
      <c r="AK856" t="s">
        <v>98</v>
      </c>
      <c r="AM856" t="s">
        <v>98</v>
      </c>
      <c r="AN856" t="s">
        <v>98</v>
      </c>
      <c r="AO856" t="s">
        <v>99</v>
      </c>
      <c r="AP856" t="s">
        <v>100</v>
      </c>
      <c r="AQ856" t="s">
        <v>101</v>
      </c>
      <c r="AV856" t="s">
        <v>98</v>
      </c>
      <c r="AX856" t="s">
        <v>279</v>
      </c>
      <c r="AZ856" t="s">
        <v>102</v>
      </c>
      <c r="BB856" t="s">
        <v>235</v>
      </c>
      <c r="BC856" t="s">
        <v>460</v>
      </c>
      <c r="BD856" t="s">
        <v>7528</v>
      </c>
      <c r="BF856" t="s">
        <v>2744</v>
      </c>
      <c r="BG856" t="s">
        <v>98</v>
      </c>
      <c r="BH856" t="s">
        <v>98</v>
      </c>
      <c r="BI856" t="s">
        <v>98</v>
      </c>
      <c r="BK856" t="s">
        <v>127</v>
      </c>
      <c r="BL856" t="s">
        <v>7528</v>
      </c>
      <c r="BR856">
        <v>8.1300000000000008</v>
      </c>
      <c r="BT856">
        <v>4.63</v>
      </c>
      <c r="CA856">
        <v>5171</v>
      </c>
      <c r="CB856" t="s">
        <v>279</v>
      </c>
      <c r="CL856" t="s">
        <v>98</v>
      </c>
      <c r="CM856" t="s">
        <v>98</v>
      </c>
      <c r="CN856" t="s">
        <v>442</v>
      </c>
      <c r="CO856" s="1">
        <v>41407</v>
      </c>
      <c r="CP856" s="1">
        <v>43633</v>
      </c>
    </row>
    <row r="857" spans="1:94" x14ac:dyDescent="0.25">
      <c r="A857" t="s">
        <v>2745</v>
      </c>
      <c r="B857" t="str">
        <f xml:space="preserve"> "" &amp; 747396083285</f>
        <v>747396083285</v>
      </c>
      <c r="C857" t="s">
        <v>758</v>
      </c>
      <c r="D857" t="s">
        <v>2746</v>
      </c>
      <c r="E857" t="s">
        <v>1885</v>
      </c>
      <c r="F857" t="s">
        <v>323</v>
      </c>
      <c r="G857">
        <v>1</v>
      </c>
      <c r="H857">
        <v>1</v>
      </c>
      <c r="I857" t="s">
        <v>97</v>
      </c>
      <c r="J857" s="10">
        <v>65</v>
      </c>
      <c r="K857" s="10">
        <v>195</v>
      </c>
      <c r="L857" s="10">
        <v>0</v>
      </c>
      <c r="N857" s="10">
        <v>0</v>
      </c>
      <c r="O857" t="s">
        <v>99</v>
      </c>
      <c r="P857" s="10">
        <v>129.94999999999999</v>
      </c>
      <c r="S857">
        <v>7.25</v>
      </c>
      <c r="T857">
        <v>14</v>
      </c>
      <c r="U857">
        <v>11.25</v>
      </c>
      <c r="V857">
        <v>6</v>
      </c>
      <c r="W857">
        <v>3.13</v>
      </c>
      <c r="Y857">
        <v>10.5</v>
      </c>
      <c r="Z857">
        <v>14</v>
      </c>
      <c r="AA857">
        <v>7.5</v>
      </c>
      <c r="AB857">
        <v>0.63800000000000001</v>
      </c>
      <c r="AC857">
        <v>4.34</v>
      </c>
      <c r="AE857">
        <v>2</v>
      </c>
      <c r="AF857" t="s">
        <v>282</v>
      </c>
      <c r="AG857">
        <v>100</v>
      </c>
      <c r="AK857" t="s">
        <v>98</v>
      </c>
      <c r="AM857" t="s">
        <v>98</v>
      </c>
      <c r="AN857" t="s">
        <v>98</v>
      </c>
      <c r="AO857" t="s">
        <v>99</v>
      </c>
      <c r="AP857" t="s">
        <v>100</v>
      </c>
      <c r="AQ857" t="s">
        <v>101</v>
      </c>
      <c r="AV857" t="s">
        <v>98</v>
      </c>
      <c r="AX857" t="s">
        <v>560</v>
      </c>
      <c r="AZ857" t="s">
        <v>102</v>
      </c>
      <c r="BB857" t="s">
        <v>235</v>
      </c>
      <c r="BC857" t="s">
        <v>2747</v>
      </c>
      <c r="BD857" t="s">
        <v>7528</v>
      </c>
      <c r="BF857" t="s">
        <v>2748</v>
      </c>
      <c r="BG857" t="s">
        <v>98</v>
      </c>
      <c r="BH857" t="s">
        <v>98</v>
      </c>
      <c r="BI857" t="s">
        <v>98</v>
      </c>
      <c r="BK857" t="s">
        <v>127</v>
      </c>
      <c r="BL857" t="s">
        <v>756</v>
      </c>
      <c r="BR857">
        <v>4.75</v>
      </c>
      <c r="BT857">
        <v>8</v>
      </c>
      <c r="CA857">
        <v>5172</v>
      </c>
      <c r="CB857" t="s">
        <v>560</v>
      </c>
      <c r="CL857" t="s">
        <v>99</v>
      </c>
      <c r="CM857" t="s">
        <v>98</v>
      </c>
      <c r="CN857" t="s">
        <v>370</v>
      </c>
      <c r="CO857" s="1">
        <v>40421</v>
      </c>
      <c r="CP857" s="1">
        <v>43633</v>
      </c>
    </row>
    <row r="858" spans="1:94" x14ac:dyDescent="0.25">
      <c r="A858" t="s">
        <v>2749</v>
      </c>
      <c r="B858" t="str">
        <f xml:space="preserve"> "" &amp; 747396086521</f>
        <v>747396086521</v>
      </c>
      <c r="C858" t="s">
        <v>758</v>
      </c>
      <c r="D858" t="s">
        <v>2746</v>
      </c>
      <c r="E858" t="s">
        <v>1885</v>
      </c>
      <c r="F858" t="s">
        <v>323</v>
      </c>
      <c r="G858">
        <v>1</v>
      </c>
      <c r="H858">
        <v>1</v>
      </c>
      <c r="I858" t="s">
        <v>97</v>
      </c>
      <c r="J858" s="10">
        <v>65</v>
      </c>
      <c r="K858" s="10">
        <v>195</v>
      </c>
      <c r="L858" s="10">
        <v>0</v>
      </c>
      <c r="N858" s="10">
        <v>0</v>
      </c>
      <c r="O858" t="s">
        <v>99</v>
      </c>
      <c r="P858" s="10">
        <v>129.94999999999999</v>
      </c>
      <c r="S858">
        <v>7.25</v>
      </c>
      <c r="T858">
        <v>14</v>
      </c>
      <c r="U858">
        <v>11.25</v>
      </c>
      <c r="V858">
        <v>6</v>
      </c>
      <c r="W858">
        <v>3.13</v>
      </c>
      <c r="Y858">
        <v>10.5</v>
      </c>
      <c r="Z858">
        <v>14</v>
      </c>
      <c r="AA858">
        <v>7.5</v>
      </c>
      <c r="AB858">
        <v>0.63800000000000001</v>
      </c>
      <c r="AC858">
        <v>4.34</v>
      </c>
      <c r="AE858">
        <v>2</v>
      </c>
      <c r="AF858" t="s">
        <v>1473</v>
      </c>
      <c r="AG858">
        <v>100</v>
      </c>
      <c r="AK858" t="s">
        <v>98</v>
      </c>
      <c r="AM858" t="s">
        <v>98</v>
      </c>
      <c r="AN858" t="s">
        <v>98</v>
      </c>
      <c r="AO858" t="s">
        <v>99</v>
      </c>
      <c r="AP858" t="s">
        <v>100</v>
      </c>
      <c r="AQ858" t="s">
        <v>101</v>
      </c>
      <c r="AV858" t="s">
        <v>98</v>
      </c>
      <c r="AX858" t="s">
        <v>279</v>
      </c>
      <c r="AZ858" t="s">
        <v>102</v>
      </c>
      <c r="BB858" t="s">
        <v>235</v>
      </c>
      <c r="BC858" t="s">
        <v>460</v>
      </c>
      <c r="BD858" t="s">
        <v>7528</v>
      </c>
      <c r="BF858" t="s">
        <v>2750</v>
      </c>
      <c r="BG858" t="s">
        <v>98</v>
      </c>
      <c r="BH858" t="s">
        <v>98</v>
      </c>
      <c r="BI858" t="s">
        <v>98</v>
      </c>
      <c r="BK858" t="s">
        <v>127</v>
      </c>
      <c r="BL858" t="s">
        <v>756</v>
      </c>
      <c r="BR858">
        <v>4.75</v>
      </c>
      <c r="BT858">
        <v>8</v>
      </c>
      <c r="CA858">
        <v>5172</v>
      </c>
      <c r="CB858" t="s">
        <v>279</v>
      </c>
      <c r="CL858" t="s">
        <v>99</v>
      </c>
      <c r="CM858" t="s">
        <v>98</v>
      </c>
      <c r="CN858" t="s">
        <v>442</v>
      </c>
      <c r="CO858" s="1">
        <v>41407</v>
      </c>
      <c r="CP858" s="1">
        <v>43633</v>
      </c>
    </row>
    <row r="859" spans="1:94" x14ac:dyDescent="0.25">
      <c r="A859" t="s">
        <v>2751</v>
      </c>
      <c r="B859" t="str">
        <f xml:space="preserve"> "" &amp; 747396083292</f>
        <v>747396083292</v>
      </c>
      <c r="C859" t="s">
        <v>762</v>
      </c>
      <c r="D859" t="s">
        <v>2752</v>
      </c>
      <c r="E859" t="s">
        <v>1885</v>
      </c>
      <c r="F859" t="s">
        <v>323</v>
      </c>
      <c r="G859">
        <v>1</v>
      </c>
      <c r="H859">
        <v>1</v>
      </c>
      <c r="I859" t="s">
        <v>97</v>
      </c>
      <c r="J859" s="10">
        <v>89</v>
      </c>
      <c r="K859" s="10">
        <v>267</v>
      </c>
      <c r="L859" s="10">
        <v>0</v>
      </c>
      <c r="N859" s="10">
        <v>0</v>
      </c>
      <c r="O859" t="s">
        <v>99</v>
      </c>
      <c r="P859" s="10">
        <v>179.95</v>
      </c>
      <c r="S859">
        <v>7.25</v>
      </c>
      <c r="T859">
        <v>20.75</v>
      </c>
      <c r="U859">
        <v>19</v>
      </c>
      <c r="V859">
        <v>6</v>
      </c>
      <c r="W859">
        <v>4.1399999999999997</v>
      </c>
      <c r="Y859">
        <v>10.5</v>
      </c>
      <c r="Z859">
        <v>20.75</v>
      </c>
      <c r="AA859">
        <v>7.5</v>
      </c>
      <c r="AB859">
        <v>0.94599999999999995</v>
      </c>
      <c r="AC859">
        <v>6</v>
      </c>
      <c r="AE859">
        <v>3</v>
      </c>
      <c r="AF859" t="s">
        <v>282</v>
      </c>
      <c r="AG859">
        <v>100</v>
      </c>
      <c r="AK859" t="s">
        <v>98</v>
      </c>
      <c r="AM859" t="s">
        <v>98</v>
      </c>
      <c r="AN859" t="s">
        <v>98</v>
      </c>
      <c r="AO859" t="s">
        <v>99</v>
      </c>
      <c r="AP859" t="s">
        <v>100</v>
      </c>
      <c r="AQ859" t="s">
        <v>101</v>
      </c>
      <c r="AV859" t="s">
        <v>98</v>
      </c>
      <c r="AX859" t="s">
        <v>560</v>
      </c>
      <c r="AZ859" t="s">
        <v>102</v>
      </c>
      <c r="BB859" t="s">
        <v>235</v>
      </c>
      <c r="BC859" t="s">
        <v>460</v>
      </c>
      <c r="BD859" t="s">
        <v>7528</v>
      </c>
      <c r="BF859" t="s">
        <v>2753</v>
      </c>
      <c r="BG859" t="s">
        <v>98</v>
      </c>
      <c r="BH859" t="s">
        <v>98</v>
      </c>
      <c r="BI859" t="s">
        <v>98</v>
      </c>
      <c r="BK859" t="s">
        <v>127</v>
      </c>
      <c r="BL859" t="s">
        <v>756</v>
      </c>
      <c r="BR859">
        <v>4.5</v>
      </c>
      <c r="BT859">
        <v>8</v>
      </c>
      <c r="CA859">
        <v>5173</v>
      </c>
      <c r="CB859" t="s">
        <v>560</v>
      </c>
      <c r="CL859" t="s">
        <v>99</v>
      </c>
      <c r="CM859" t="s">
        <v>98</v>
      </c>
      <c r="CN859" t="s">
        <v>592</v>
      </c>
      <c r="CO859" s="1">
        <v>40421</v>
      </c>
      <c r="CP859" s="1">
        <v>43633</v>
      </c>
    </row>
    <row r="860" spans="1:94" x14ac:dyDescent="0.25">
      <c r="A860" t="s">
        <v>2754</v>
      </c>
      <c r="B860" t="str">
        <f xml:space="preserve"> "" &amp; 747396086538</f>
        <v>747396086538</v>
      </c>
      <c r="C860" t="s">
        <v>762</v>
      </c>
      <c r="D860" t="s">
        <v>2752</v>
      </c>
      <c r="E860" t="s">
        <v>1885</v>
      </c>
      <c r="F860" t="s">
        <v>323</v>
      </c>
      <c r="G860">
        <v>1</v>
      </c>
      <c r="H860">
        <v>1</v>
      </c>
      <c r="I860" t="s">
        <v>97</v>
      </c>
      <c r="J860" s="10">
        <v>89</v>
      </c>
      <c r="K860" s="10">
        <v>267</v>
      </c>
      <c r="L860" s="10">
        <v>0</v>
      </c>
      <c r="N860" s="10">
        <v>0</v>
      </c>
      <c r="O860" t="s">
        <v>99</v>
      </c>
      <c r="P860" s="10">
        <v>179.95</v>
      </c>
      <c r="S860">
        <v>7.25</v>
      </c>
      <c r="T860">
        <v>20.75</v>
      </c>
      <c r="U860">
        <v>19</v>
      </c>
      <c r="V860">
        <v>6</v>
      </c>
      <c r="W860">
        <v>4.1399999999999997</v>
      </c>
      <c r="Y860">
        <v>10.5</v>
      </c>
      <c r="Z860">
        <v>20.75</v>
      </c>
      <c r="AA860">
        <v>7.5</v>
      </c>
      <c r="AB860">
        <v>0.94599999999999995</v>
      </c>
      <c r="AC860">
        <v>6</v>
      </c>
      <c r="AE860">
        <v>3</v>
      </c>
      <c r="AF860" t="s">
        <v>282</v>
      </c>
      <c r="AG860">
        <v>100</v>
      </c>
      <c r="AK860" t="s">
        <v>98</v>
      </c>
      <c r="AM860" t="s">
        <v>98</v>
      </c>
      <c r="AN860" t="s">
        <v>98</v>
      </c>
      <c r="AO860" t="s">
        <v>99</v>
      </c>
      <c r="AP860" t="s">
        <v>100</v>
      </c>
      <c r="AQ860" t="s">
        <v>101</v>
      </c>
      <c r="AV860" t="s">
        <v>98</v>
      </c>
      <c r="AX860" t="s">
        <v>279</v>
      </c>
      <c r="AZ860" t="s">
        <v>102</v>
      </c>
      <c r="BB860" t="s">
        <v>235</v>
      </c>
      <c r="BC860" t="s">
        <v>7528</v>
      </c>
      <c r="BD860" t="s">
        <v>7528</v>
      </c>
      <c r="BF860" t="s">
        <v>2755</v>
      </c>
      <c r="BG860" t="s">
        <v>98</v>
      </c>
      <c r="BH860" t="s">
        <v>98</v>
      </c>
      <c r="BI860" t="s">
        <v>98</v>
      </c>
      <c r="BK860" t="s">
        <v>127</v>
      </c>
      <c r="BL860" t="s">
        <v>756</v>
      </c>
      <c r="BR860">
        <v>4.75</v>
      </c>
      <c r="BT860">
        <v>8</v>
      </c>
      <c r="CA860">
        <v>5173</v>
      </c>
      <c r="CB860" t="s">
        <v>279</v>
      </c>
      <c r="CL860" t="s">
        <v>99</v>
      </c>
      <c r="CM860" t="s">
        <v>98</v>
      </c>
      <c r="CN860" t="s">
        <v>442</v>
      </c>
      <c r="CO860" s="1">
        <v>41407</v>
      </c>
      <c r="CP860" s="1">
        <v>43633</v>
      </c>
    </row>
    <row r="861" spans="1:94" x14ac:dyDescent="0.25">
      <c r="A861" t="s">
        <v>2756</v>
      </c>
      <c r="B861" t="str">
        <f xml:space="preserve"> "" &amp; 747396082967</f>
        <v>747396082967</v>
      </c>
      <c r="C861" t="s">
        <v>322</v>
      </c>
      <c r="D861" t="s">
        <v>2757</v>
      </c>
      <c r="E861" t="s">
        <v>1906</v>
      </c>
      <c r="F861" t="s">
        <v>232</v>
      </c>
      <c r="G861">
        <v>1</v>
      </c>
      <c r="H861">
        <v>1</v>
      </c>
      <c r="I861" t="s">
        <v>97</v>
      </c>
      <c r="J861" s="10">
        <v>58</v>
      </c>
      <c r="K861" s="10">
        <v>174</v>
      </c>
      <c r="L861" s="10">
        <v>0</v>
      </c>
      <c r="N861" s="10">
        <v>0</v>
      </c>
      <c r="S861">
        <v>11.5</v>
      </c>
      <c r="U861">
        <v>12</v>
      </c>
      <c r="V861">
        <v>4</v>
      </c>
      <c r="W861">
        <v>4.25</v>
      </c>
      <c r="Y861">
        <v>6</v>
      </c>
      <c r="Z861">
        <v>15.25</v>
      </c>
      <c r="AA861">
        <v>15</v>
      </c>
      <c r="AB861">
        <v>0.79400000000000004</v>
      </c>
      <c r="AC861">
        <v>5.89</v>
      </c>
      <c r="AE861">
        <v>2</v>
      </c>
      <c r="AF861" t="s">
        <v>519</v>
      </c>
      <c r="AG861">
        <v>60</v>
      </c>
      <c r="AK861" t="s">
        <v>98</v>
      </c>
      <c r="AL861">
        <v>2</v>
      </c>
      <c r="AM861" t="s">
        <v>98</v>
      </c>
      <c r="AN861" t="s">
        <v>99</v>
      </c>
      <c r="AO861" t="s">
        <v>98</v>
      </c>
      <c r="AP861" t="s">
        <v>100</v>
      </c>
      <c r="AQ861" t="s">
        <v>101</v>
      </c>
      <c r="AV861" t="s">
        <v>98</v>
      </c>
      <c r="AX861" t="s">
        <v>1907</v>
      </c>
      <c r="AZ861" t="s">
        <v>124</v>
      </c>
      <c r="BB861" t="s">
        <v>197</v>
      </c>
      <c r="BC861" t="s">
        <v>2758</v>
      </c>
      <c r="BD861" t="s">
        <v>7528</v>
      </c>
      <c r="BF861" t="s">
        <v>2759</v>
      </c>
      <c r="BG861" t="s">
        <v>98</v>
      </c>
      <c r="BH861" t="s">
        <v>99</v>
      </c>
      <c r="BI861" t="s">
        <v>98</v>
      </c>
      <c r="BK861" t="s">
        <v>127</v>
      </c>
      <c r="BL861" t="s">
        <v>236</v>
      </c>
      <c r="BR861">
        <v>4.5</v>
      </c>
      <c r="BT861">
        <v>8.25</v>
      </c>
      <c r="CA861">
        <v>5200</v>
      </c>
      <c r="CB861" t="s">
        <v>1907</v>
      </c>
      <c r="CL861" t="s">
        <v>98</v>
      </c>
      <c r="CM861" t="s">
        <v>98</v>
      </c>
      <c r="CN861" t="s">
        <v>2760</v>
      </c>
      <c r="CO861" s="1">
        <v>40854</v>
      </c>
      <c r="CP861" s="1">
        <v>43633</v>
      </c>
    </row>
    <row r="862" spans="1:94" x14ac:dyDescent="0.25">
      <c r="A862" t="s">
        <v>2761</v>
      </c>
      <c r="B862" t="str">
        <f xml:space="preserve"> "" &amp; 747396004518</f>
        <v>747396004518</v>
      </c>
      <c r="C862" t="s">
        <v>1310</v>
      </c>
      <c r="D862" t="s">
        <v>2762</v>
      </c>
      <c r="E862" t="s">
        <v>2763</v>
      </c>
      <c r="F862" t="s">
        <v>7537</v>
      </c>
      <c r="G862">
        <v>1</v>
      </c>
      <c r="H862">
        <v>1</v>
      </c>
      <c r="I862" t="s">
        <v>97</v>
      </c>
      <c r="J862" s="10">
        <v>14.95</v>
      </c>
      <c r="K862" s="10">
        <v>44.85</v>
      </c>
      <c r="L862" s="10">
        <v>0</v>
      </c>
      <c r="N862" s="10">
        <v>0</v>
      </c>
      <c r="S862">
        <v>8.5</v>
      </c>
      <c r="U862">
        <v>6.25</v>
      </c>
      <c r="V862">
        <v>7.25</v>
      </c>
      <c r="W862">
        <v>2.09</v>
      </c>
      <c r="X862">
        <v>1</v>
      </c>
      <c r="Y862">
        <v>9.75</v>
      </c>
      <c r="Z862">
        <v>8.6300000000000008</v>
      </c>
      <c r="AA862">
        <v>7.13</v>
      </c>
      <c r="AB862">
        <v>0.34699999999999998</v>
      </c>
      <c r="AC862">
        <v>3.09</v>
      </c>
      <c r="AE862">
        <v>1</v>
      </c>
      <c r="AF862" t="s">
        <v>233</v>
      </c>
      <c r="AG862">
        <v>100</v>
      </c>
      <c r="AK862" t="s">
        <v>98</v>
      </c>
      <c r="AL862">
        <v>1</v>
      </c>
      <c r="AM862" t="s">
        <v>98</v>
      </c>
      <c r="AN862" t="s">
        <v>98</v>
      </c>
      <c r="AO862" t="s">
        <v>98</v>
      </c>
      <c r="AP862" t="s">
        <v>100</v>
      </c>
      <c r="AQ862" t="s">
        <v>101</v>
      </c>
      <c r="AV862" t="s">
        <v>98</v>
      </c>
      <c r="AX862" t="s">
        <v>399</v>
      </c>
      <c r="AZ862" t="s">
        <v>124</v>
      </c>
      <c r="BB862" t="s">
        <v>235</v>
      </c>
      <c r="BC862" t="s">
        <v>5177</v>
      </c>
      <c r="BD862" t="s">
        <v>7528</v>
      </c>
      <c r="BF862" t="s">
        <v>2764</v>
      </c>
      <c r="BG862" t="s">
        <v>98</v>
      </c>
      <c r="BH862" t="s">
        <v>98</v>
      </c>
      <c r="BI862" t="s">
        <v>98</v>
      </c>
      <c r="BK862" t="s">
        <v>7528</v>
      </c>
      <c r="BL862" t="s">
        <v>756</v>
      </c>
      <c r="BT862">
        <v>5.25</v>
      </c>
      <c r="CA862">
        <v>5271</v>
      </c>
      <c r="CB862" t="s">
        <v>399</v>
      </c>
      <c r="CL862" t="s">
        <v>98</v>
      </c>
      <c r="CM862" t="s">
        <v>98</v>
      </c>
      <c r="CN862" t="s">
        <v>2765</v>
      </c>
      <c r="CO862" s="1">
        <v>36549</v>
      </c>
      <c r="CP862" s="1">
        <v>43633</v>
      </c>
    </row>
    <row r="863" spans="1:94" x14ac:dyDescent="0.25">
      <c r="A863" t="s">
        <v>2766</v>
      </c>
      <c r="B863" t="str">
        <f xml:space="preserve"> "" &amp; 747396094670</f>
        <v>747396094670</v>
      </c>
      <c r="C863" t="s">
        <v>751</v>
      </c>
      <c r="D863" t="s">
        <v>2767</v>
      </c>
      <c r="E863" t="s">
        <v>1950</v>
      </c>
      <c r="F863" t="s">
        <v>323</v>
      </c>
      <c r="G863">
        <v>1</v>
      </c>
      <c r="H863">
        <v>1</v>
      </c>
      <c r="I863" t="s">
        <v>97</v>
      </c>
      <c r="J863" s="10">
        <v>29.95</v>
      </c>
      <c r="K863" s="10">
        <v>89.85</v>
      </c>
      <c r="L863" s="10">
        <v>0</v>
      </c>
      <c r="N863" s="10">
        <v>0</v>
      </c>
      <c r="S863">
        <v>10</v>
      </c>
      <c r="U863">
        <v>6.25</v>
      </c>
      <c r="V863">
        <v>7.25</v>
      </c>
      <c r="W863">
        <v>2.2000000000000002</v>
      </c>
      <c r="Y863">
        <v>12.5</v>
      </c>
      <c r="Z863">
        <v>11.5</v>
      </c>
      <c r="AA863">
        <v>9.5</v>
      </c>
      <c r="AB863">
        <v>0.79</v>
      </c>
      <c r="AC863">
        <v>3.31</v>
      </c>
      <c r="AE863">
        <v>1</v>
      </c>
      <c r="AF863" t="s">
        <v>282</v>
      </c>
      <c r="AG863">
        <v>100</v>
      </c>
      <c r="AK863" t="s">
        <v>98</v>
      </c>
      <c r="AL863">
        <v>1</v>
      </c>
      <c r="AM863" t="s">
        <v>98</v>
      </c>
      <c r="AN863" t="s">
        <v>99</v>
      </c>
      <c r="AO863" t="s">
        <v>98</v>
      </c>
      <c r="AP863" t="s">
        <v>100</v>
      </c>
      <c r="AQ863" t="s">
        <v>101</v>
      </c>
      <c r="AV863" t="s">
        <v>98</v>
      </c>
      <c r="AX863" t="s">
        <v>1951</v>
      </c>
      <c r="AZ863" t="s">
        <v>102</v>
      </c>
      <c r="BB863" t="s">
        <v>235</v>
      </c>
      <c r="BC863" t="s">
        <v>561</v>
      </c>
      <c r="BD863" t="s">
        <v>7528</v>
      </c>
      <c r="BF863" t="s">
        <v>2768</v>
      </c>
      <c r="BG863" t="s">
        <v>98</v>
      </c>
      <c r="BH863" t="s">
        <v>98</v>
      </c>
      <c r="BI863" t="s">
        <v>98</v>
      </c>
      <c r="BK863" t="s">
        <v>127</v>
      </c>
      <c r="BL863" t="s">
        <v>756</v>
      </c>
      <c r="BR863">
        <v>10</v>
      </c>
      <c r="BT863">
        <v>5</v>
      </c>
      <c r="CA863">
        <v>5341</v>
      </c>
      <c r="CB863" t="s">
        <v>1951</v>
      </c>
      <c r="CL863" t="s">
        <v>99</v>
      </c>
      <c r="CM863" t="s">
        <v>98</v>
      </c>
      <c r="CN863" t="s">
        <v>1668</v>
      </c>
      <c r="CO863" s="1">
        <v>41942</v>
      </c>
      <c r="CP863" s="1">
        <v>43633</v>
      </c>
    </row>
    <row r="864" spans="1:94" x14ac:dyDescent="0.25">
      <c r="A864" t="s">
        <v>2769</v>
      </c>
      <c r="B864" t="str">
        <f xml:space="preserve"> "" &amp; 747396094687</f>
        <v>747396094687</v>
      </c>
      <c r="C864" t="s">
        <v>758</v>
      </c>
      <c r="D864" t="s">
        <v>2770</v>
      </c>
      <c r="E864" t="s">
        <v>1950</v>
      </c>
      <c r="F864" t="s">
        <v>323</v>
      </c>
      <c r="G864">
        <v>1</v>
      </c>
      <c r="H864">
        <v>1</v>
      </c>
      <c r="I864" t="s">
        <v>97</v>
      </c>
      <c r="J864" s="10">
        <v>39.950000000000003</v>
      </c>
      <c r="K864" s="10">
        <v>119.85</v>
      </c>
      <c r="L864" s="10">
        <v>0</v>
      </c>
      <c r="N864" s="10">
        <v>0</v>
      </c>
      <c r="S864">
        <v>9</v>
      </c>
      <c r="U864">
        <v>14.75</v>
      </c>
      <c r="V864">
        <v>7.25</v>
      </c>
      <c r="W864">
        <v>3.84</v>
      </c>
      <c r="Y864">
        <v>9.5</v>
      </c>
      <c r="Z864">
        <v>17.5</v>
      </c>
      <c r="AA864">
        <v>10.5</v>
      </c>
      <c r="AB864">
        <v>1.01</v>
      </c>
      <c r="AC864">
        <v>5.29</v>
      </c>
      <c r="AE864">
        <v>2</v>
      </c>
      <c r="AF864" t="s">
        <v>598</v>
      </c>
      <c r="AG864">
        <v>100</v>
      </c>
      <c r="AK864" t="s">
        <v>98</v>
      </c>
      <c r="AL864">
        <v>2</v>
      </c>
      <c r="AM864" t="s">
        <v>98</v>
      </c>
      <c r="AN864" t="s">
        <v>99</v>
      </c>
      <c r="AO864" t="s">
        <v>98</v>
      </c>
      <c r="AP864" t="s">
        <v>100</v>
      </c>
      <c r="AQ864" t="s">
        <v>101</v>
      </c>
      <c r="AV864" t="s">
        <v>98</v>
      </c>
      <c r="AX864" t="s">
        <v>1951</v>
      </c>
      <c r="AZ864" t="s">
        <v>102</v>
      </c>
      <c r="BB864" t="s">
        <v>235</v>
      </c>
      <c r="BC864" t="s">
        <v>561</v>
      </c>
      <c r="BD864" t="s">
        <v>7528</v>
      </c>
      <c r="BF864" t="s">
        <v>2771</v>
      </c>
      <c r="BG864" t="s">
        <v>98</v>
      </c>
      <c r="BH864" t="s">
        <v>98</v>
      </c>
      <c r="BI864" t="s">
        <v>98</v>
      </c>
      <c r="BK864" t="s">
        <v>127</v>
      </c>
      <c r="BL864" t="s">
        <v>756</v>
      </c>
      <c r="BR864">
        <v>5</v>
      </c>
      <c r="BT864">
        <v>10</v>
      </c>
      <c r="CA864">
        <v>5342</v>
      </c>
      <c r="CB864" t="s">
        <v>1951</v>
      </c>
      <c r="CL864" t="s">
        <v>99</v>
      </c>
      <c r="CM864" t="s">
        <v>98</v>
      </c>
      <c r="CN864" t="s">
        <v>1668</v>
      </c>
      <c r="CO864" s="1">
        <v>41942</v>
      </c>
      <c r="CP864" s="1">
        <v>43633</v>
      </c>
    </row>
    <row r="865" spans="1:94" x14ac:dyDescent="0.25">
      <c r="A865" t="s">
        <v>2772</v>
      </c>
      <c r="B865" t="str">
        <f xml:space="preserve"> "" &amp; 747396094830</f>
        <v>747396094830</v>
      </c>
      <c r="C865" t="s">
        <v>766</v>
      </c>
      <c r="D865" t="s">
        <v>2773</v>
      </c>
      <c r="E865" t="s">
        <v>1973</v>
      </c>
      <c r="F865" t="s">
        <v>7537</v>
      </c>
      <c r="G865">
        <v>1</v>
      </c>
      <c r="H865">
        <v>1</v>
      </c>
      <c r="I865" t="s">
        <v>97</v>
      </c>
      <c r="J865" s="10">
        <v>30</v>
      </c>
      <c r="K865" s="10">
        <v>90</v>
      </c>
      <c r="L865" s="10">
        <v>0</v>
      </c>
      <c r="N865" s="10">
        <v>0</v>
      </c>
      <c r="S865">
        <v>7.75</v>
      </c>
      <c r="U865">
        <v>33</v>
      </c>
      <c r="V865">
        <v>8.25</v>
      </c>
      <c r="W865">
        <v>6.81</v>
      </c>
      <c r="Y865">
        <v>9.75</v>
      </c>
      <c r="Z865">
        <v>33</v>
      </c>
      <c r="AA865">
        <v>15.5</v>
      </c>
      <c r="AB865">
        <v>2.8860000000000001</v>
      </c>
      <c r="AC865">
        <v>9.6999999999999993</v>
      </c>
      <c r="AE865">
        <v>4</v>
      </c>
      <c r="AF865" t="s">
        <v>282</v>
      </c>
      <c r="AG865">
        <v>100</v>
      </c>
      <c r="AK865" t="s">
        <v>98</v>
      </c>
      <c r="AL865">
        <v>4</v>
      </c>
      <c r="AM865" t="s">
        <v>98</v>
      </c>
      <c r="AN865" t="s">
        <v>99</v>
      </c>
      <c r="AO865" t="s">
        <v>98</v>
      </c>
      <c r="AP865" t="s">
        <v>100</v>
      </c>
      <c r="AQ865" t="s">
        <v>101</v>
      </c>
      <c r="AV865" t="s">
        <v>98</v>
      </c>
      <c r="AX865" t="s">
        <v>1951</v>
      </c>
      <c r="AZ865" t="s">
        <v>124</v>
      </c>
      <c r="BB865" t="s">
        <v>235</v>
      </c>
      <c r="BC865" t="s">
        <v>1908</v>
      </c>
      <c r="BD865" t="s">
        <v>7528</v>
      </c>
      <c r="BF865" t="s">
        <v>2774</v>
      </c>
      <c r="BG865" t="s">
        <v>98</v>
      </c>
      <c r="BH865" t="s">
        <v>98</v>
      </c>
      <c r="BI865" t="s">
        <v>98</v>
      </c>
      <c r="BK865" t="s">
        <v>127</v>
      </c>
      <c r="BL865" t="s">
        <v>756</v>
      </c>
      <c r="BM865">
        <v>10</v>
      </c>
      <c r="BN865">
        <v>5</v>
      </c>
      <c r="CA865">
        <v>5354</v>
      </c>
      <c r="CB865" t="s">
        <v>1951</v>
      </c>
      <c r="CL865" t="s">
        <v>99</v>
      </c>
      <c r="CM865" t="s">
        <v>98</v>
      </c>
      <c r="CN865" t="s">
        <v>442</v>
      </c>
      <c r="CO865" s="1">
        <v>42010</v>
      </c>
      <c r="CP865" s="1">
        <v>43633</v>
      </c>
    </row>
    <row r="866" spans="1:94" x14ac:dyDescent="0.25">
      <c r="A866" t="s">
        <v>2775</v>
      </c>
      <c r="B866" t="str">
        <f xml:space="preserve"> "" &amp; 747396044637</f>
        <v>747396044637</v>
      </c>
      <c r="C866" t="s">
        <v>758</v>
      </c>
      <c r="D866" t="s">
        <v>6778</v>
      </c>
      <c r="E866" t="s">
        <v>362</v>
      </c>
      <c r="F866" t="s">
        <v>323</v>
      </c>
      <c r="G866">
        <v>1</v>
      </c>
      <c r="H866">
        <v>1</v>
      </c>
      <c r="I866" t="s">
        <v>97</v>
      </c>
      <c r="J866" s="10">
        <v>47</v>
      </c>
      <c r="K866" s="10">
        <v>141</v>
      </c>
      <c r="L866" s="10">
        <v>0</v>
      </c>
      <c r="N866" s="10">
        <v>0</v>
      </c>
      <c r="O866" t="s">
        <v>99</v>
      </c>
      <c r="P866" s="10">
        <v>94.95</v>
      </c>
      <c r="S866">
        <v>7.13</v>
      </c>
      <c r="U866">
        <v>18</v>
      </c>
      <c r="V866">
        <v>8.5</v>
      </c>
      <c r="W866">
        <v>4.74</v>
      </c>
      <c r="X866">
        <v>1</v>
      </c>
      <c r="Y866">
        <v>10</v>
      </c>
      <c r="Z866">
        <v>21</v>
      </c>
      <c r="AA866">
        <v>10</v>
      </c>
      <c r="AB866">
        <v>1.2150000000000001</v>
      </c>
      <c r="AC866">
        <v>7.36</v>
      </c>
      <c r="AE866">
        <v>2</v>
      </c>
      <c r="AF866" t="s">
        <v>1012</v>
      </c>
      <c r="AG866">
        <v>100</v>
      </c>
      <c r="AK866" t="s">
        <v>98</v>
      </c>
      <c r="AM866" t="s">
        <v>98</v>
      </c>
      <c r="AN866" t="s">
        <v>98</v>
      </c>
      <c r="AO866" t="s">
        <v>99</v>
      </c>
      <c r="AP866" t="s">
        <v>100</v>
      </c>
      <c r="AQ866" t="s">
        <v>101</v>
      </c>
      <c r="AV866" t="s">
        <v>98</v>
      </c>
      <c r="AX866" t="s">
        <v>279</v>
      </c>
      <c r="AZ866" t="s">
        <v>102</v>
      </c>
      <c r="BB866" t="s">
        <v>235</v>
      </c>
      <c r="BC866" t="s">
        <v>5177</v>
      </c>
      <c r="BD866" t="s">
        <v>7528</v>
      </c>
      <c r="BF866" t="s">
        <v>2776</v>
      </c>
      <c r="BG866" t="s">
        <v>98</v>
      </c>
      <c r="BH866" t="s">
        <v>98</v>
      </c>
      <c r="BI866" t="s">
        <v>98</v>
      </c>
      <c r="BK866" t="s">
        <v>127</v>
      </c>
      <c r="BL866" t="s">
        <v>756</v>
      </c>
      <c r="BR866">
        <v>4.5</v>
      </c>
      <c r="BT866">
        <v>18</v>
      </c>
      <c r="CA866">
        <v>5422</v>
      </c>
      <c r="CB866" t="s">
        <v>279</v>
      </c>
      <c r="CL866" t="s">
        <v>99</v>
      </c>
      <c r="CM866" t="s">
        <v>98</v>
      </c>
      <c r="CN866" t="s">
        <v>370</v>
      </c>
      <c r="CO866" s="1">
        <v>38054</v>
      </c>
      <c r="CP866" s="1">
        <v>43633</v>
      </c>
    </row>
    <row r="867" spans="1:94" x14ac:dyDescent="0.25">
      <c r="A867" t="s">
        <v>2777</v>
      </c>
      <c r="B867" t="str">
        <f xml:space="preserve"> "" &amp; 747396052885</f>
        <v>747396052885</v>
      </c>
      <c r="C867" t="s">
        <v>758</v>
      </c>
      <c r="D867" t="s">
        <v>6778</v>
      </c>
      <c r="E867" t="s">
        <v>362</v>
      </c>
      <c r="F867" t="s">
        <v>1633</v>
      </c>
      <c r="G867">
        <v>1</v>
      </c>
      <c r="H867">
        <v>1</v>
      </c>
      <c r="I867" t="s">
        <v>97</v>
      </c>
      <c r="J867" s="10">
        <v>51.5</v>
      </c>
      <c r="K867" s="10">
        <v>154.5</v>
      </c>
      <c r="L867" s="10">
        <v>0</v>
      </c>
      <c r="N867" s="10">
        <v>0</v>
      </c>
      <c r="S867">
        <v>7.25</v>
      </c>
      <c r="U867">
        <v>18</v>
      </c>
      <c r="V867">
        <v>8.5</v>
      </c>
      <c r="W867">
        <v>5.91</v>
      </c>
      <c r="X867">
        <v>1</v>
      </c>
      <c r="Y867">
        <v>10</v>
      </c>
      <c r="Z867">
        <v>21</v>
      </c>
      <c r="AA867">
        <v>10</v>
      </c>
      <c r="AB867">
        <v>1.2150000000000001</v>
      </c>
      <c r="AC867">
        <v>8.84</v>
      </c>
      <c r="AE867">
        <v>2</v>
      </c>
      <c r="AF867" t="s">
        <v>2778</v>
      </c>
      <c r="AG867">
        <v>13</v>
      </c>
      <c r="AK867" t="s">
        <v>99</v>
      </c>
      <c r="AM867" t="s">
        <v>98</v>
      </c>
      <c r="AN867" t="s">
        <v>98</v>
      </c>
      <c r="AO867" t="s">
        <v>99</v>
      </c>
      <c r="AP867" t="s">
        <v>100</v>
      </c>
      <c r="AQ867" t="s">
        <v>101</v>
      </c>
      <c r="AV867" t="s">
        <v>99</v>
      </c>
      <c r="AX867" t="s">
        <v>279</v>
      </c>
      <c r="AZ867" t="s">
        <v>102</v>
      </c>
      <c r="BB867" t="s">
        <v>235</v>
      </c>
      <c r="BC867" t="s">
        <v>5177</v>
      </c>
      <c r="BD867" t="s">
        <v>7528</v>
      </c>
      <c r="BF867" t="s">
        <v>2779</v>
      </c>
      <c r="BG867" t="s">
        <v>98</v>
      </c>
      <c r="BH867" t="s">
        <v>98</v>
      </c>
      <c r="BI867" t="s">
        <v>98</v>
      </c>
      <c r="BK867" t="s">
        <v>127</v>
      </c>
      <c r="BL867" t="s">
        <v>756</v>
      </c>
      <c r="BR867">
        <v>4.25</v>
      </c>
      <c r="BT867">
        <v>13.5</v>
      </c>
      <c r="CA867" t="s">
        <v>2780</v>
      </c>
      <c r="CB867" t="s">
        <v>279</v>
      </c>
      <c r="CL867" t="s">
        <v>98</v>
      </c>
      <c r="CM867" t="s">
        <v>98</v>
      </c>
      <c r="CN867" t="s">
        <v>365</v>
      </c>
      <c r="CO867" s="1">
        <v>38475</v>
      </c>
      <c r="CP867" s="1">
        <v>43633</v>
      </c>
    </row>
    <row r="868" spans="1:94" x14ac:dyDescent="0.25">
      <c r="A868" t="s">
        <v>2781</v>
      </c>
      <c r="B868" t="str">
        <f xml:space="preserve"> "" &amp; 747396044644</f>
        <v>747396044644</v>
      </c>
      <c r="C868" t="s">
        <v>762</v>
      </c>
      <c r="D868" t="s">
        <v>6779</v>
      </c>
      <c r="E868" t="s">
        <v>362</v>
      </c>
      <c r="F868" t="s">
        <v>323</v>
      </c>
      <c r="G868">
        <v>1</v>
      </c>
      <c r="H868">
        <v>1</v>
      </c>
      <c r="I868" t="s">
        <v>97</v>
      </c>
      <c r="J868" s="10">
        <v>64</v>
      </c>
      <c r="K868" s="10">
        <v>192</v>
      </c>
      <c r="L868" s="10">
        <v>0</v>
      </c>
      <c r="N868" s="10">
        <v>0</v>
      </c>
      <c r="O868" t="s">
        <v>99</v>
      </c>
      <c r="P868" s="10">
        <v>129.94999999999999</v>
      </c>
      <c r="S868">
        <v>7.13</v>
      </c>
      <c r="U868">
        <v>24</v>
      </c>
      <c r="V868">
        <v>8.5</v>
      </c>
      <c r="W868">
        <v>7.32</v>
      </c>
      <c r="X868">
        <v>1</v>
      </c>
      <c r="Y868">
        <v>10</v>
      </c>
      <c r="Z868">
        <v>27</v>
      </c>
      <c r="AA868">
        <v>10</v>
      </c>
      <c r="AB868">
        <v>1.5629999999999999</v>
      </c>
      <c r="AC868">
        <v>10.93</v>
      </c>
      <c r="AE868">
        <v>3</v>
      </c>
      <c r="AF868" t="s">
        <v>233</v>
      </c>
      <c r="AG868">
        <v>100</v>
      </c>
      <c r="AK868" t="s">
        <v>98</v>
      </c>
      <c r="AM868" t="s">
        <v>98</v>
      </c>
      <c r="AN868" t="s">
        <v>98</v>
      </c>
      <c r="AO868" t="s">
        <v>99</v>
      </c>
      <c r="AP868" t="s">
        <v>100</v>
      </c>
      <c r="AQ868" t="s">
        <v>101</v>
      </c>
      <c r="AV868" t="s">
        <v>98</v>
      </c>
      <c r="AX868" t="s">
        <v>279</v>
      </c>
      <c r="AZ868" t="s">
        <v>102</v>
      </c>
      <c r="BB868" t="s">
        <v>235</v>
      </c>
      <c r="BC868" t="s">
        <v>5177</v>
      </c>
      <c r="BD868" t="s">
        <v>7528</v>
      </c>
      <c r="BF868" t="s">
        <v>2782</v>
      </c>
      <c r="BG868" t="s">
        <v>98</v>
      </c>
      <c r="BH868" t="s">
        <v>98</v>
      </c>
      <c r="BI868" t="s">
        <v>98</v>
      </c>
      <c r="BK868" t="s">
        <v>127</v>
      </c>
      <c r="BL868" t="s">
        <v>756</v>
      </c>
      <c r="BR868">
        <v>4.5</v>
      </c>
      <c r="BT868">
        <v>24</v>
      </c>
      <c r="CA868">
        <v>5423</v>
      </c>
      <c r="CB868" t="s">
        <v>279</v>
      </c>
      <c r="CL868" t="s">
        <v>98</v>
      </c>
      <c r="CM868" t="s">
        <v>98</v>
      </c>
      <c r="CN868" t="s">
        <v>370</v>
      </c>
      <c r="CO868" s="1">
        <v>38054</v>
      </c>
      <c r="CP868" s="1">
        <v>43633</v>
      </c>
    </row>
    <row r="869" spans="1:94" x14ac:dyDescent="0.25">
      <c r="A869" t="s">
        <v>2783</v>
      </c>
      <c r="B869" t="str">
        <f xml:space="preserve"> "" &amp; 747396052892</f>
        <v>747396052892</v>
      </c>
      <c r="C869" t="s">
        <v>762</v>
      </c>
      <c r="D869" t="s">
        <v>6779</v>
      </c>
      <c r="E869" t="s">
        <v>362</v>
      </c>
      <c r="F869" t="s">
        <v>1633</v>
      </c>
      <c r="G869">
        <v>1</v>
      </c>
      <c r="H869">
        <v>1</v>
      </c>
      <c r="I869" t="s">
        <v>97</v>
      </c>
      <c r="J869" s="10">
        <v>69.95</v>
      </c>
      <c r="K869" s="10">
        <v>209.85</v>
      </c>
      <c r="L869" s="10">
        <v>0</v>
      </c>
      <c r="N869" s="10">
        <v>0</v>
      </c>
      <c r="O869" t="s">
        <v>99</v>
      </c>
      <c r="P869" s="10">
        <v>139.9</v>
      </c>
      <c r="S869">
        <v>7.25</v>
      </c>
      <c r="U869">
        <v>24</v>
      </c>
      <c r="V869">
        <v>8.5</v>
      </c>
      <c r="W869">
        <v>8.82</v>
      </c>
      <c r="X869">
        <v>1</v>
      </c>
      <c r="Y869">
        <v>10</v>
      </c>
      <c r="Z869">
        <v>27</v>
      </c>
      <c r="AA869">
        <v>10</v>
      </c>
      <c r="AB869">
        <v>1.5629999999999999</v>
      </c>
      <c r="AC869">
        <v>12.52</v>
      </c>
      <c r="AE869">
        <v>3</v>
      </c>
      <c r="AF869" t="s">
        <v>2784</v>
      </c>
      <c r="AG869">
        <v>13</v>
      </c>
      <c r="AK869" t="s">
        <v>99</v>
      </c>
      <c r="AM869" t="s">
        <v>98</v>
      </c>
      <c r="AN869" t="s">
        <v>98</v>
      </c>
      <c r="AO869" t="s">
        <v>99</v>
      </c>
      <c r="AP869" t="s">
        <v>100</v>
      </c>
      <c r="AQ869" t="s">
        <v>101</v>
      </c>
      <c r="AV869" t="s">
        <v>99</v>
      </c>
      <c r="AX869" t="s">
        <v>279</v>
      </c>
      <c r="AZ869" t="s">
        <v>102</v>
      </c>
      <c r="BB869" t="s">
        <v>235</v>
      </c>
      <c r="BC869" t="s">
        <v>5177</v>
      </c>
      <c r="BD869" t="s">
        <v>7528</v>
      </c>
      <c r="BF869" t="s">
        <v>2785</v>
      </c>
      <c r="BG869" t="s">
        <v>98</v>
      </c>
      <c r="BH869" t="s">
        <v>98</v>
      </c>
      <c r="BI869" t="s">
        <v>98</v>
      </c>
      <c r="BK869" t="s">
        <v>127</v>
      </c>
      <c r="BL869" t="s">
        <v>756</v>
      </c>
      <c r="BR869">
        <v>4.25</v>
      </c>
      <c r="BT869">
        <v>19</v>
      </c>
      <c r="CA869" t="s">
        <v>2786</v>
      </c>
      <c r="CB869" t="s">
        <v>279</v>
      </c>
      <c r="CL869" t="s">
        <v>98</v>
      </c>
      <c r="CM869" t="s">
        <v>98</v>
      </c>
      <c r="CN869" t="s">
        <v>365</v>
      </c>
      <c r="CO869" s="1">
        <v>38475</v>
      </c>
      <c r="CP869" s="1">
        <v>43633</v>
      </c>
    </row>
    <row r="870" spans="1:94" x14ac:dyDescent="0.25">
      <c r="A870" t="s">
        <v>2787</v>
      </c>
      <c r="B870" t="str">
        <f xml:space="preserve"> "" &amp; 747396044651</f>
        <v>747396044651</v>
      </c>
      <c r="C870" t="s">
        <v>766</v>
      </c>
      <c r="D870" t="s">
        <v>6780</v>
      </c>
      <c r="E870" t="s">
        <v>362</v>
      </c>
      <c r="F870" t="s">
        <v>323</v>
      </c>
      <c r="G870">
        <v>1</v>
      </c>
      <c r="H870">
        <v>1</v>
      </c>
      <c r="I870" t="s">
        <v>97</v>
      </c>
      <c r="J870" s="10">
        <v>79</v>
      </c>
      <c r="K870" s="10">
        <v>237</v>
      </c>
      <c r="L870" s="10">
        <v>0</v>
      </c>
      <c r="N870" s="10">
        <v>0</v>
      </c>
      <c r="O870" t="s">
        <v>99</v>
      </c>
      <c r="P870" s="10">
        <v>159.94999999999999</v>
      </c>
      <c r="S870">
        <v>7.13</v>
      </c>
      <c r="U870">
        <v>30</v>
      </c>
      <c r="V870">
        <v>8.5</v>
      </c>
      <c r="W870">
        <v>9.7899999999999991</v>
      </c>
      <c r="X870">
        <v>1</v>
      </c>
      <c r="Y870">
        <v>10</v>
      </c>
      <c r="Z870">
        <v>33</v>
      </c>
      <c r="AA870">
        <v>10</v>
      </c>
      <c r="AB870">
        <v>1.91</v>
      </c>
      <c r="AC870">
        <v>13.82</v>
      </c>
      <c r="AE870">
        <v>4</v>
      </c>
      <c r="AF870" t="s">
        <v>233</v>
      </c>
      <c r="AG870">
        <v>100</v>
      </c>
      <c r="AK870" t="s">
        <v>98</v>
      </c>
      <c r="AM870" t="s">
        <v>98</v>
      </c>
      <c r="AN870" t="s">
        <v>98</v>
      </c>
      <c r="AO870" t="s">
        <v>99</v>
      </c>
      <c r="AP870" t="s">
        <v>100</v>
      </c>
      <c r="AQ870" t="s">
        <v>101</v>
      </c>
      <c r="AV870" t="s">
        <v>98</v>
      </c>
      <c r="AX870" t="s">
        <v>279</v>
      </c>
      <c r="AZ870" t="s">
        <v>102</v>
      </c>
      <c r="BB870" t="s">
        <v>235</v>
      </c>
      <c r="BC870" t="s">
        <v>5177</v>
      </c>
      <c r="BD870" t="s">
        <v>7528</v>
      </c>
      <c r="BF870" t="s">
        <v>2788</v>
      </c>
      <c r="BG870" t="s">
        <v>98</v>
      </c>
      <c r="BH870" t="s">
        <v>98</v>
      </c>
      <c r="BI870" t="s">
        <v>98</v>
      </c>
      <c r="BK870" t="s">
        <v>127</v>
      </c>
      <c r="BL870" t="s">
        <v>756</v>
      </c>
      <c r="BR870">
        <v>4.5</v>
      </c>
      <c r="BT870">
        <v>30</v>
      </c>
      <c r="CA870">
        <v>5424</v>
      </c>
      <c r="CB870" t="s">
        <v>279</v>
      </c>
      <c r="CL870" t="s">
        <v>98</v>
      </c>
      <c r="CM870" t="s">
        <v>98</v>
      </c>
      <c r="CN870" t="s">
        <v>365</v>
      </c>
      <c r="CO870" s="1">
        <v>38054</v>
      </c>
      <c r="CP870" s="1">
        <v>43633</v>
      </c>
    </row>
    <row r="871" spans="1:94" x14ac:dyDescent="0.25">
      <c r="A871" t="s">
        <v>2789</v>
      </c>
      <c r="B871" t="str">
        <f xml:space="preserve"> "" &amp; 747396052908</f>
        <v>747396052908</v>
      </c>
      <c r="C871" t="s">
        <v>766</v>
      </c>
      <c r="D871" t="s">
        <v>6780</v>
      </c>
      <c r="E871" t="s">
        <v>362</v>
      </c>
      <c r="F871" t="s">
        <v>1633</v>
      </c>
      <c r="G871">
        <v>1</v>
      </c>
      <c r="H871">
        <v>1</v>
      </c>
      <c r="I871" t="s">
        <v>97</v>
      </c>
      <c r="J871" s="10">
        <v>79</v>
      </c>
      <c r="K871" s="10">
        <v>237</v>
      </c>
      <c r="L871" s="10">
        <v>0</v>
      </c>
      <c r="N871" s="10">
        <v>0</v>
      </c>
      <c r="S871">
        <v>7.25</v>
      </c>
      <c r="U871">
        <v>30</v>
      </c>
      <c r="V871">
        <v>8.5</v>
      </c>
      <c r="W871">
        <v>11.68</v>
      </c>
      <c r="X871">
        <v>1</v>
      </c>
      <c r="Y871">
        <v>10</v>
      </c>
      <c r="Z871">
        <v>33</v>
      </c>
      <c r="AA871">
        <v>10</v>
      </c>
      <c r="AB871">
        <v>1.91</v>
      </c>
      <c r="AC871">
        <v>15.63</v>
      </c>
      <c r="AE871">
        <v>4</v>
      </c>
      <c r="AF871" t="s">
        <v>2778</v>
      </c>
      <c r="AG871">
        <v>13</v>
      </c>
      <c r="AK871" t="s">
        <v>99</v>
      </c>
      <c r="AM871" t="s">
        <v>98</v>
      </c>
      <c r="AN871" t="s">
        <v>98</v>
      </c>
      <c r="AO871" t="s">
        <v>99</v>
      </c>
      <c r="AP871" t="s">
        <v>100</v>
      </c>
      <c r="AQ871" t="s">
        <v>101</v>
      </c>
      <c r="AV871" t="s">
        <v>99</v>
      </c>
      <c r="AX871" t="s">
        <v>279</v>
      </c>
      <c r="AZ871" t="s">
        <v>102</v>
      </c>
      <c r="BB871" t="s">
        <v>235</v>
      </c>
      <c r="BC871" t="s">
        <v>5177</v>
      </c>
      <c r="BD871" t="s">
        <v>7528</v>
      </c>
      <c r="BF871" t="s">
        <v>2790</v>
      </c>
      <c r="BG871" t="s">
        <v>98</v>
      </c>
      <c r="BH871" t="s">
        <v>98</v>
      </c>
      <c r="BI871" t="s">
        <v>98</v>
      </c>
      <c r="BK871" t="s">
        <v>127</v>
      </c>
      <c r="BL871" t="s">
        <v>756</v>
      </c>
      <c r="BR871">
        <v>4.25</v>
      </c>
      <c r="BT871">
        <v>25.13</v>
      </c>
      <c r="CA871" t="s">
        <v>2791</v>
      </c>
      <c r="CB871" t="s">
        <v>279</v>
      </c>
      <c r="CL871" t="s">
        <v>98</v>
      </c>
      <c r="CM871" t="s">
        <v>98</v>
      </c>
      <c r="CN871" t="s">
        <v>365</v>
      </c>
      <c r="CO871" s="1">
        <v>38475</v>
      </c>
      <c r="CP871" s="1">
        <v>43633</v>
      </c>
    </row>
    <row r="872" spans="1:94" x14ac:dyDescent="0.25">
      <c r="A872" t="s">
        <v>2792</v>
      </c>
      <c r="B872" t="str">
        <f xml:space="preserve"> "" &amp; 747396058023</f>
        <v>747396058023</v>
      </c>
      <c r="C872" t="s">
        <v>2207</v>
      </c>
      <c r="D872" t="s">
        <v>6781</v>
      </c>
      <c r="E872" t="s">
        <v>362</v>
      </c>
      <c r="F872" t="s">
        <v>323</v>
      </c>
      <c r="G872">
        <v>1</v>
      </c>
      <c r="H872">
        <v>1</v>
      </c>
      <c r="I872" t="s">
        <v>97</v>
      </c>
      <c r="J872" s="10">
        <v>89</v>
      </c>
      <c r="K872" s="10">
        <v>267</v>
      </c>
      <c r="L872" s="10">
        <v>0</v>
      </c>
      <c r="N872" s="10">
        <v>0</v>
      </c>
      <c r="O872" t="s">
        <v>99</v>
      </c>
      <c r="P872" s="10">
        <v>179.95</v>
      </c>
      <c r="S872">
        <v>7</v>
      </c>
      <c r="U872">
        <v>37.75</v>
      </c>
      <c r="V872">
        <v>8.5</v>
      </c>
      <c r="W872">
        <v>12.19</v>
      </c>
      <c r="X872">
        <v>1</v>
      </c>
      <c r="Y872">
        <v>10</v>
      </c>
      <c r="Z872">
        <v>39</v>
      </c>
      <c r="AA872">
        <v>10</v>
      </c>
      <c r="AB872">
        <v>2.2570000000000001</v>
      </c>
      <c r="AC872">
        <v>15.5</v>
      </c>
      <c r="AE872">
        <v>5</v>
      </c>
      <c r="AF872" t="s">
        <v>233</v>
      </c>
      <c r="AG872">
        <v>100</v>
      </c>
      <c r="AK872" t="s">
        <v>98</v>
      </c>
      <c r="AM872" t="s">
        <v>98</v>
      </c>
      <c r="AN872" t="s">
        <v>98</v>
      </c>
      <c r="AO872" t="s">
        <v>99</v>
      </c>
      <c r="AP872" t="s">
        <v>100</v>
      </c>
      <c r="AQ872" t="s">
        <v>101</v>
      </c>
      <c r="AV872" t="s">
        <v>98</v>
      </c>
      <c r="AX872" t="s">
        <v>279</v>
      </c>
      <c r="AZ872" t="s">
        <v>102</v>
      </c>
      <c r="BB872" t="s">
        <v>235</v>
      </c>
      <c r="BC872" t="s">
        <v>5177</v>
      </c>
      <c r="BD872" t="s">
        <v>7528</v>
      </c>
      <c r="BF872" t="s">
        <v>2793</v>
      </c>
      <c r="BG872" t="s">
        <v>98</v>
      </c>
      <c r="BH872" t="s">
        <v>98</v>
      </c>
      <c r="BI872" t="s">
        <v>98</v>
      </c>
      <c r="BK872" t="s">
        <v>127</v>
      </c>
      <c r="BL872" t="s">
        <v>756</v>
      </c>
      <c r="BR872">
        <v>4.5</v>
      </c>
      <c r="BT872">
        <v>36</v>
      </c>
      <c r="CA872">
        <v>5425</v>
      </c>
      <c r="CB872" t="s">
        <v>279</v>
      </c>
      <c r="CL872" t="s">
        <v>98</v>
      </c>
      <c r="CM872" t="s">
        <v>98</v>
      </c>
      <c r="CN872" t="s">
        <v>365</v>
      </c>
      <c r="CO872" s="1">
        <v>38888</v>
      </c>
      <c r="CP872" s="1">
        <v>43686</v>
      </c>
    </row>
    <row r="873" spans="1:94" x14ac:dyDescent="0.25">
      <c r="A873" t="s">
        <v>2794</v>
      </c>
      <c r="B873" t="str">
        <f xml:space="preserve"> "" &amp; 747396106540</f>
        <v>747396106540</v>
      </c>
      <c r="C873" t="s">
        <v>2795</v>
      </c>
      <c r="D873" t="s">
        <v>6782</v>
      </c>
      <c r="E873" t="s">
        <v>7528</v>
      </c>
      <c r="F873" t="s">
        <v>232</v>
      </c>
      <c r="G873">
        <v>1</v>
      </c>
      <c r="H873">
        <v>1</v>
      </c>
      <c r="I873" t="s">
        <v>97</v>
      </c>
      <c r="J873" s="10">
        <v>74</v>
      </c>
      <c r="K873" s="10">
        <v>222</v>
      </c>
      <c r="L873" s="10">
        <v>0</v>
      </c>
      <c r="N873" s="10">
        <v>0</v>
      </c>
      <c r="O873" t="s">
        <v>99</v>
      </c>
      <c r="P873" s="10">
        <v>154.94999999999999</v>
      </c>
      <c r="S873">
        <v>13</v>
      </c>
      <c r="T873">
        <v>16.75</v>
      </c>
      <c r="U873">
        <v>4.75</v>
      </c>
      <c r="V873">
        <v>4.5</v>
      </c>
      <c r="W873">
        <v>3.2</v>
      </c>
      <c r="X873">
        <v>1</v>
      </c>
      <c r="Y873">
        <v>6.75</v>
      </c>
      <c r="Z873">
        <v>16.75</v>
      </c>
      <c r="AA873">
        <v>8</v>
      </c>
      <c r="AB873">
        <v>0.52300000000000002</v>
      </c>
      <c r="AC873">
        <v>4.03</v>
      </c>
      <c r="AE873">
        <v>1</v>
      </c>
      <c r="AF873" t="s">
        <v>559</v>
      </c>
      <c r="AG873">
        <v>15</v>
      </c>
      <c r="AK873" t="s">
        <v>99</v>
      </c>
      <c r="AM873" t="s">
        <v>98</v>
      </c>
      <c r="AN873" t="s">
        <v>99</v>
      </c>
      <c r="AO873" t="s">
        <v>98</v>
      </c>
      <c r="AP873" t="s">
        <v>100</v>
      </c>
      <c r="AQ873" t="s">
        <v>101</v>
      </c>
      <c r="AV873" t="s">
        <v>98</v>
      </c>
      <c r="AX873" t="s">
        <v>560</v>
      </c>
      <c r="AZ873" t="s">
        <v>124</v>
      </c>
      <c r="BB873" t="s">
        <v>235</v>
      </c>
      <c r="BC873" t="s">
        <v>561</v>
      </c>
      <c r="BD873" t="s">
        <v>7528</v>
      </c>
      <c r="BF873" t="s">
        <v>2796</v>
      </c>
      <c r="BG873" t="s">
        <v>98</v>
      </c>
      <c r="BH873" t="s">
        <v>98</v>
      </c>
      <c r="BI873" t="s">
        <v>98</v>
      </c>
      <c r="BK873" t="s">
        <v>127</v>
      </c>
      <c r="BL873" t="s">
        <v>756</v>
      </c>
      <c r="BM873">
        <v>4.5</v>
      </c>
      <c r="BN873">
        <v>13</v>
      </c>
      <c r="CA873">
        <v>5500</v>
      </c>
      <c r="CB873" t="s">
        <v>560</v>
      </c>
      <c r="CG873">
        <v>3000</v>
      </c>
      <c r="CH873">
        <v>92</v>
      </c>
      <c r="CI873">
        <v>1211</v>
      </c>
      <c r="CJ873">
        <v>913</v>
      </c>
      <c r="CK873">
        <v>30000</v>
      </c>
      <c r="CL873" t="s">
        <v>99</v>
      </c>
      <c r="CM873" t="s">
        <v>98</v>
      </c>
      <c r="CN873" t="s">
        <v>442</v>
      </c>
      <c r="CO873" s="1">
        <v>43038</v>
      </c>
      <c r="CP873" s="1">
        <v>43633</v>
      </c>
    </row>
    <row r="874" spans="1:94" x14ac:dyDescent="0.25">
      <c r="A874" t="s">
        <v>2797</v>
      </c>
      <c r="B874" t="str">
        <f xml:space="preserve"> "" &amp; 747396106557</f>
        <v>747396106557</v>
      </c>
      <c r="C874" t="s">
        <v>2795</v>
      </c>
      <c r="D874" t="s">
        <v>6782</v>
      </c>
      <c r="E874" t="s">
        <v>7528</v>
      </c>
      <c r="F874" t="s">
        <v>232</v>
      </c>
      <c r="G874">
        <v>1</v>
      </c>
      <c r="H874">
        <v>1</v>
      </c>
      <c r="I874" t="s">
        <v>97</v>
      </c>
      <c r="J874" s="10">
        <v>74</v>
      </c>
      <c r="K874" s="10">
        <v>222</v>
      </c>
      <c r="L874" s="10">
        <v>0</v>
      </c>
      <c r="N874" s="10">
        <v>0</v>
      </c>
      <c r="O874" t="s">
        <v>99</v>
      </c>
      <c r="P874" s="10">
        <v>154.94999999999999</v>
      </c>
      <c r="S874">
        <v>13</v>
      </c>
      <c r="T874">
        <v>16.75</v>
      </c>
      <c r="U874">
        <v>4.75</v>
      </c>
      <c r="V874">
        <v>4.5</v>
      </c>
      <c r="W874">
        <v>3.2</v>
      </c>
      <c r="X874">
        <v>1</v>
      </c>
      <c r="Y874">
        <v>6.75</v>
      </c>
      <c r="Z874">
        <v>16.75</v>
      </c>
      <c r="AA874">
        <v>8</v>
      </c>
      <c r="AB874">
        <v>0.52300000000000002</v>
      </c>
      <c r="AC874">
        <v>4.03</v>
      </c>
      <c r="AE874">
        <v>1</v>
      </c>
      <c r="AF874" t="s">
        <v>559</v>
      </c>
      <c r="AG874">
        <v>15</v>
      </c>
      <c r="AK874" t="s">
        <v>99</v>
      </c>
      <c r="AM874" t="s">
        <v>98</v>
      </c>
      <c r="AN874" t="s">
        <v>99</v>
      </c>
      <c r="AO874" t="s">
        <v>98</v>
      </c>
      <c r="AP874" t="s">
        <v>100</v>
      </c>
      <c r="AQ874" t="s">
        <v>101</v>
      </c>
      <c r="AV874" t="s">
        <v>98</v>
      </c>
      <c r="AX874" t="s">
        <v>367</v>
      </c>
      <c r="AZ874" t="s">
        <v>124</v>
      </c>
      <c r="BB874" t="s">
        <v>235</v>
      </c>
      <c r="BC874" t="s">
        <v>561</v>
      </c>
      <c r="BD874" t="s">
        <v>7528</v>
      </c>
      <c r="BF874" t="s">
        <v>2798</v>
      </c>
      <c r="BG874" t="s">
        <v>98</v>
      </c>
      <c r="BH874" t="s">
        <v>98</v>
      </c>
      <c r="BI874" t="s">
        <v>98</v>
      </c>
      <c r="BK874" t="s">
        <v>127</v>
      </c>
      <c r="BL874" t="s">
        <v>756</v>
      </c>
      <c r="BM874">
        <v>4.5</v>
      </c>
      <c r="BN874">
        <v>13</v>
      </c>
      <c r="CA874">
        <v>5500</v>
      </c>
      <c r="CB874" t="s">
        <v>367</v>
      </c>
      <c r="CG874">
        <v>3000</v>
      </c>
      <c r="CH874">
        <v>92</v>
      </c>
      <c r="CI874">
        <v>1211</v>
      </c>
      <c r="CJ874">
        <v>913</v>
      </c>
      <c r="CK874">
        <v>30000</v>
      </c>
      <c r="CL874" t="s">
        <v>99</v>
      </c>
      <c r="CM874" t="s">
        <v>98</v>
      </c>
      <c r="CN874" t="s">
        <v>442</v>
      </c>
      <c r="CO874" s="1">
        <v>43038</v>
      </c>
      <c r="CP874" s="1">
        <v>43633</v>
      </c>
    </row>
    <row r="875" spans="1:94" x14ac:dyDescent="0.25">
      <c r="A875" t="s">
        <v>2799</v>
      </c>
      <c r="B875" t="str">
        <f xml:space="preserve"> "" &amp; 747396106533</f>
        <v>747396106533</v>
      </c>
      <c r="C875" t="s">
        <v>2795</v>
      </c>
      <c r="D875" t="s">
        <v>6782</v>
      </c>
      <c r="E875" t="s">
        <v>7528</v>
      </c>
      <c r="F875" t="s">
        <v>232</v>
      </c>
      <c r="G875">
        <v>1</v>
      </c>
      <c r="H875">
        <v>1</v>
      </c>
      <c r="I875" t="s">
        <v>97</v>
      </c>
      <c r="J875" s="10">
        <v>74</v>
      </c>
      <c r="K875" s="10">
        <v>222</v>
      </c>
      <c r="L875" s="10">
        <v>0</v>
      </c>
      <c r="N875" s="10">
        <v>0</v>
      </c>
      <c r="O875" t="s">
        <v>99</v>
      </c>
      <c r="P875" s="10">
        <v>154.94999999999999</v>
      </c>
      <c r="S875">
        <v>13</v>
      </c>
      <c r="T875">
        <v>16.75</v>
      </c>
      <c r="U875">
        <v>4.75</v>
      </c>
      <c r="V875">
        <v>4.75</v>
      </c>
      <c r="W875">
        <v>4.32</v>
      </c>
      <c r="X875">
        <v>1</v>
      </c>
      <c r="Y875">
        <v>6.75</v>
      </c>
      <c r="Z875">
        <v>16.75</v>
      </c>
      <c r="AA875">
        <v>8</v>
      </c>
      <c r="AB875">
        <v>0.52300000000000002</v>
      </c>
      <c r="AC875">
        <v>5.18</v>
      </c>
      <c r="AE875">
        <v>1</v>
      </c>
      <c r="AF875" t="s">
        <v>559</v>
      </c>
      <c r="AG875">
        <v>15</v>
      </c>
      <c r="AK875" t="s">
        <v>99</v>
      </c>
      <c r="AM875" t="s">
        <v>98</v>
      </c>
      <c r="AN875" t="s">
        <v>99</v>
      </c>
      <c r="AO875" t="s">
        <v>98</v>
      </c>
      <c r="AP875" t="s">
        <v>100</v>
      </c>
      <c r="AQ875" t="s">
        <v>101</v>
      </c>
      <c r="AV875" t="s">
        <v>98</v>
      </c>
      <c r="AX875" t="s">
        <v>399</v>
      </c>
      <c r="AZ875" t="s">
        <v>124</v>
      </c>
      <c r="BB875" t="s">
        <v>235</v>
      </c>
      <c r="BC875" t="s">
        <v>561</v>
      </c>
      <c r="BD875" t="s">
        <v>7528</v>
      </c>
      <c r="BF875" t="s">
        <v>2800</v>
      </c>
      <c r="BG875" t="s">
        <v>98</v>
      </c>
      <c r="BH875" t="s">
        <v>98</v>
      </c>
      <c r="BI875" t="s">
        <v>98</v>
      </c>
      <c r="BK875" t="s">
        <v>127</v>
      </c>
      <c r="BL875" t="s">
        <v>756</v>
      </c>
      <c r="BM875">
        <v>4.5</v>
      </c>
      <c r="BN875">
        <v>13</v>
      </c>
      <c r="CA875">
        <v>5500</v>
      </c>
      <c r="CB875" t="s">
        <v>399</v>
      </c>
      <c r="CG875">
        <v>3000</v>
      </c>
      <c r="CH875">
        <v>92</v>
      </c>
      <c r="CI875">
        <v>1185</v>
      </c>
      <c r="CJ875">
        <v>638</v>
      </c>
      <c r="CK875">
        <v>30000</v>
      </c>
      <c r="CL875" t="s">
        <v>99</v>
      </c>
      <c r="CM875" t="s">
        <v>98</v>
      </c>
      <c r="CN875" t="s">
        <v>442</v>
      </c>
      <c r="CO875" s="1">
        <v>43038</v>
      </c>
      <c r="CP875" s="1">
        <v>43633</v>
      </c>
    </row>
    <row r="876" spans="1:94" x14ac:dyDescent="0.25">
      <c r="A876" t="s">
        <v>2801</v>
      </c>
      <c r="B876" t="str">
        <f xml:space="preserve"> "" &amp; 747396106526</f>
        <v>747396106526</v>
      </c>
      <c r="C876" t="s">
        <v>2795</v>
      </c>
      <c r="D876" t="s">
        <v>6782</v>
      </c>
      <c r="E876" t="s">
        <v>7528</v>
      </c>
      <c r="F876" t="s">
        <v>232</v>
      </c>
      <c r="G876">
        <v>1</v>
      </c>
      <c r="H876">
        <v>1</v>
      </c>
      <c r="I876" t="s">
        <v>97</v>
      </c>
      <c r="J876" s="10">
        <v>74</v>
      </c>
      <c r="K876" s="10">
        <v>222</v>
      </c>
      <c r="L876" s="10">
        <v>0</v>
      </c>
      <c r="N876" s="10">
        <v>0</v>
      </c>
      <c r="O876" t="s">
        <v>99</v>
      </c>
      <c r="P876" s="10">
        <v>154.94999999999999</v>
      </c>
      <c r="S876">
        <v>13</v>
      </c>
      <c r="T876">
        <v>16.75</v>
      </c>
      <c r="U876">
        <v>4.75</v>
      </c>
      <c r="V876">
        <v>4.5</v>
      </c>
      <c r="W876">
        <v>3.2</v>
      </c>
      <c r="X876">
        <v>1</v>
      </c>
      <c r="Y876">
        <v>6.75</v>
      </c>
      <c r="Z876">
        <v>16.75</v>
      </c>
      <c r="AA876">
        <v>8</v>
      </c>
      <c r="AB876">
        <v>0.52300000000000002</v>
      </c>
      <c r="AC876">
        <v>4.03</v>
      </c>
      <c r="AE876">
        <v>1</v>
      </c>
      <c r="AF876" t="s">
        <v>559</v>
      </c>
      <c r="AG876">
        <v>15</v>
      </c>
      <c r="AK876" t="s">
        <v>99</v>
      </c>
      <c r="AM876" t="s">
        <v>98</v>
      </c>
      <c r="AN876" t="s">
        <v>99</v>
      </c>
      <c r="AO876" t="s">
        <v>98</v>
      </c>
      <c r="AP876" t="s">
        <v>100</v>
      </c>
      <c r="AQ876" t="s">
        <v>101</v>
      </c>
      <c r="AV876" t="s">
        <v>98</v>
      </c>
      <c r="AX876" t="s">
        <v>279</v>
      </c>
      <c r="AZ876" t="s">
        <v>124</v>
      </c>
      <c r="BB876" t="s">
        <v>235</v>
      </c>
      <c r="BC876" t="s">
        <v>561</v>
      </c>
      <c r="BD876" t="s">
        <v>7528</v>
      </c>
      <c r="BF876" t="s">
        <v>2802</v>
      </c>
      <c r="BG876" t="s">
        <v>98</v>
      </c>
      <c r="BH876" t="s">
        <v>98</v>
      </c>
      <c r="BI876" t="s">
        <v>98</v>
      </c>
      <c r="BK876" t="s">
        <v>127</v>
      </c>
      <c r="BL876" t="s">
        <v>756</v>
      </c>
      <c r="BM876">
        <v>4.5</v>
      </c>
      <c r="BN876">
        <v>13</v>
      </c>
      <c r="CA876">
        <v>5500</v>
      </c>
      <c r="CB876" t="s">
        <v>279</v>
      </c>
      <c r="CG876">
        <v>3000</v>
      </c>
      <c r="CH876">
        <v>92</v>
      </c>
      <c r="CI876">
        <v>1211</v>
      </c>
      <c r="CJ876">
        <v>913</v>
      </c>
      <c r="CK876">
        <v>30000</v>
      </c>
      <c r="CL876" t="s">
        <v>99</v>
      </c>
      <c r="CM876" t="s">
        <v>98</v>
      </c>
      <c r="CN876" t="s">
        <v>442</v>
      </c>
      <c r="CO876" s="1">
        <v>43038</v>
      </c>
      <c r="CP876" s="1">
        <v>43633</v>
      </c>
    </row>
    <row r="877" spans="1:94" x14ac:dyDescent="0.25">
      <c r="A877" t="s">
        <v>2803</v>
      </c>
      <c r="B877" t="str">
        <f xml:space="preserve"> "" &amp; 747396106588</f>
        <v>747396106588</v>
      </c>
      <c r="C877" t="s">
        <v>2795</v>
      </c>
      <c r="D877" t="s">
        <v>6782</v>
      </c>
      <c r="E877" t="s">
        <v>7528</v>
      </c>
      <c r="F877" t="s">
        <v>232</v>
      </c>
      <c r="G877">
        <v>1</v>
      </c>
      <c r="H877">
        <v>1</v>
      </c>
      <c r="I877" t="s">
        <v>97</v>
      </c>
      <c r="J877" s="10">
        <v>74</v>
      </c>
      <c r="K877" s="10">
        <v>222</v>
      </c>
      <c r="L877" s="10">
        <v>0</v>
      </c>
      <c r="N877" s="10">
        <v>0</v>
      </c>
      <c r="O877" t="s">
        <v>99</v>
      </c>
      <c r="P877" s="10">
        <v>154.94999999999999</v>
      </c>
      <c r="S877">
        <v>13</v>
      </c>
      <c r="T877">
        <v>16.5</v>
      </c>
      <c r="U877">
        <v>4.75</v>
      </c>
      <c r="V877">
        <v>4.5</v>
      </c>
      <c r="W877">
        <v>4.32</v>
      </c>
      <c r="X877">
        <v>1</v>
      </c>
      <c r="Y877">
        <v>7</v>
      </c>
      <c r="Z877">
        <v>16.5</v>
      </c>
      <c r="AA877">
        <v>8</v>
      </c>
      <c r="AB877">
        <v>0.53500000000000003</v>
      </c>
      <c r="AC877">
        <v>5.18</v>
      </c>
      <c r="AE877">
        <v>1</v>
      </c>
      <c r="AF877" t="s">
        <v>559</v>
      </c>
      <c r="AG877">
        <v>15</v>
      </c>
      <c r="AK877" t="s">
        <v>99</v>
      </c>
      <c r="AM877" t="s">
        <v>98</v>
      </c>
      <c r="AN877" t="s">
        <v>99</v>
      </c>
      <c r="AO877" t="s">
        <v>98</v>
      </c>
      <c r="AP877" t="s">
        <v>100</v>
      </c>
      <c r="AQ877" t="s">
        <v>101</v>
      </c>
      <c r="AV877" t="s">
        <v>98</v>
      </c>
      <c r="AX877" t="s">
        <v>560</v>
      </c>
      <c r="AZ877" t="s">
        <v>124</v>
      </c>
      <c r="BB877" t="s">
        <v>235</v>
      </c>
      <c r="BC877" t="s">
        <v>1601</v>
      </c>
      <c r="BD877" t="s">
        <v>7528</v>
      </c>
      <c r="BF877" t="s">
        <v>2804</v>
      </c>
      <c r="BG877" t="s">
        <v>98</v>
      </c>
      <c r="BH877" t="s">
        <v>98</v>
      </c>
      <c r="BI877" t="s">
        <v>98</v>
      </c>
      <c r="BK877" t="s">
        <v>110</v>
      </c>
      <c r="BL877" t="s">
        <v>756</v>
      </c>
      <c r="BM877">
        <v>4.5</v>
      </c>
      <c r="BN877">
        <v>13</v>
      </c>
      <c r="CA877">
        <v>5501</v>
      </c>
      <c r="CB877" t="s">
        <v>560</v>
      </c>
      <c r="CG877">
        <v>3000</v>
      </c>
      <c r="CH877">
        <v>92</v>
      </c>
      <c r="CI877">
        <v>1185</v>
      </c>
      <c r="CJ877">
        <v>638</v>
      </c>
      <c r="CK877">
        <v>30000</v>
      </c>
      <c r="CL877" t="s">
        <v>99</v>
      </c>
      <c r="CM877" t="s">
        <v>98</v>
      </c>
      <c r="CN877" t="s">
        <v>442</v>
      </c>
      <c r="CO877" s="1">
        <v>43038</v>
      </c>
      <c r="CP877" s="1">
        <v>43633</v>
      </c>
    </row>
    <row r="878" spans="1:94" x14ac:dyDescent="0.25">
      <c r="A878" t="s">
        <v>2805</v>
      </c>
      <c r="B878" t="str">
        <f xml:space="preserve"> "" &amp; 747396106595</f>
        <v>747396106595</v>
      </c>
      <c r="C878" t="s">
        <v>2795</v>
      </c>
      <c r="D878" t="s">
        <v>6782</v>
      </c>
      <c r="E878" t="s">
        <v>7528</v>
      </c>
      <c r="F878" t="s">
        <v>232</v>
      </c>
      <c r="G878">
        <v>1</v>
      </c>
      <c r="H878">
        <v>1</v>
      </c>
      <c r="I878" t="s">
        <v>97</v>
      </c>
      <c r="J878" s="10">
        <v>74</v>
      </c>
      <c r="K878" s="10">
        <v>222</v>
      </c>
      <c r="L878" s="10">
        <v>0</v>
      </c>
      <c r="N878" s="10">
        <v>0</v>
      </c>
      <c r="O878" t="s">
        <v>99</v>
      </c>
      <c r="P878" s="10">
        <v>154.94999999999999</v>
      </c>
      <c r="S878">
        <v>13</v>
      </c>
      <c r="T878">
        <v>16.5</v>
      </c>
      <c r="U878">
        <v>4.75</v>
      </c>
      <c r="V878">
        <v>4.5</v>
      </c>
      <c r="W878">
        <v>4.32</v>
      </c>
      <c r="X878">
        <v>1</v>
      </c>
      <c r="Y878">
        <v>7</v>
      </c>
      <c r="Z878">
        <v>16.5</v>
      </c>
      <c r="AA878">
        <v>8</v>
      </c>
      <c r="AB878">
        <v>0.53500000000000003</v>
      </c>
      <c r="AC878">
        <v>5.18</v>
      </c>
      <c r="AE878">
        <v>1</v>
      </c>
      <c r="AF878" t="s">
        <v>559</v>
      </c>
      <c r="AG878">
        <v>15</v>
      </c>
      <c r="AK878" t="s">
        <v>99</v>
      </c>
      <c r="AM878" t="s">
        <v>98</v>
      </c>
      <c r="AN878" t="s">
        <v>99</v>
      </c>
      <c r="AO878" t="s">
        <v>98</v>
      </c>
      <c r="AP878" t="s">
        <v>100</v>
      </c>
      <c r="AQ878" t="s">
        <v>101</v>
      </c>
      <c r="AV878" t="s">
        <v>98</v>
      </c>
      <c r="AX878" t="s">
        <v>367</v>
      </c>
      <c r="AZ878" t="s">
        <v>124</v>
      </c>
      <c r="BB878" t="s">
        <v>235</v>
      </c>
      <c r="BC878" t="s">
        <v>1601</v>
      </c>
      <c r="BD878" t="s">
        <v>7528</v>
      </c>
      <c r="BF878" t="s">
        <v>2806</v>
      </c>
      <c r="BG878" t="s">
        <v>98</v>
      </c>
      <c r="BH878" t="s">
        <v>98</v>
      </c>
      <c r="BI878" t="s">
        <v>98</v>
      </c>
      <c r="BK878" t="s">
        <v>127</v>
      </c>
      <c r="BL878" t="s">
        <v>756</v>
      </c>
      <c r="BM878">
        <v>4.5</v>
      </c>
      <c r="BN878">
        <v>13</v>
      </c>
      <c r="CA878">
        <v>5501</v>
      </c>
      <c r="CB878" t="s">
        <v>367</v>
      </c>
      <c r="CG878">
        <v>3000</v>
      </c>
      <c r="CH878">
        <v>92</v>
      </c>
      <c r="CI878">
        <v>1185</v>
      </c>
      <c r="CJ878">
        <v>638</v>
      </c>
      <c r="CK878">
        <v>30000</v>
      </c>
      <c r="CL878" t="s">
        <v>99</v>
      </c>
      <c r="CM878" t="s">
        <v>98</v>
      </c>
      <c r="CN878" t="s">
        <v>442</v>
      </c>
      <c r="CO878" s="1">
        <v>43040</v>
      </c>
      <c r="CP878" s="1">
        <v>43633</v>
      </c>
    </row>
    <row r="879" spans="1:94" x14ac:dyDescent="0.25">
      <c r="A879" t="s">
        <v>2807</v>
      </c>
      <c r="B879" t="str">
        <f xml:space="preserve"> "" &amp; 747396106571</f>
        <v>747396106571</v>
      </c>
      <c r="C879" t="s">
        <v>2795</v>
      </c>
      <c r="D879" t="s">
        <v>6782</v>
      </c>
      <c r="E879" t="s">
        <v>7528</v>
      </c>
      <c r="F879" t="s">
        <v>232</v>
      </c>
      <c r="G879">
        <v>1</v>
      </c>
      <c r="H879">
        <v>1</v>
      </c>
      <c r="I879" t="s">
        <v>97</v>
      </c>
      <c r="J879" s="10">
        <v>74</v>
      </c>
      <c r="K879" s="10">
        <v>222</v>
      </c>
      <c r="L879" s="10">
        <v>0</v>
      </c>
      <c r="N879" s="10">
        <v>0</v>
      </c>
      <c r="O879" t="s">
        <v>99</v>
      </c>
      <c r="P879" s="10">
        <v>154.94999999999999</v>
      </c>
      <c r="S879">
        <v>13</v>
      </c>
      <c r="T879">
        <v>16.5</v>
      </c>
      <c r="U879">
        <v>4.75</v>
      </c>
      <c r="V879">
        <v>4.5</v>
      </c>
      <c r="W879">
        <v>4.32</v>
      </c>
      <c r="X879">
        <v>1</v>
      </c>
      <c r="Y879">
        <v>7</v>
      </c>
      <c r="Z879">
        <v>16.5</v>
      </c>
      <c r="AA879">
        <v>8</v>
      </c>
      <c r="AB879">
        <v>0.53500000000000003</v>
      </c>
      <c r="AC879">
        <v>5.18</v>
      </c>
      <c r="AE879">
        <v>1</v>
      </c>
      <c r="AF879" t="s">
        <v>559</v>
      </c>
      <c r="AG879">
        <v>15</v>
      </c>
      <c r="AK879" t="s">
        <v>99</v>
      </c>
      <c r="AM879" t="s">
        <v>98</v>
      </c>
      <c r="AN879" t="s">
        <v>99</v>
      </c>
      <c r="AO879" t="s">
        <v>98</v>
      </c>
      <c r="AP879" t="s">
        <v>100</v>
      </c>
      <c r="AQ879" t="s">
        <v>101</v>
      </c>
      <c r="AV879" t="s">
        <v>98</v>
      </c>
      <c r="AX879" t="s">
        <v>399</v>
      </c>
      <c r="AZ879" t="s">
        <v>124</v>
      </c>
      <c r="BB879" t="s">
        <v>235</v>
      </c>
      <c r="BC879" t="s">
        <v>1601</v>
      </c>
      <c r="BD879" t="s">
        <v>7528</v>
      </c>
      <c r="BF879" t="s">
        <v>2808</v>
      </c>
      <c r="BG879" t="s">
        <v>98</v>
      </c>
      <c r="BH879" t="s">
        <v>98</v>
      </c>
      <c r="BI879" t="s">
        <v>98</v>
      </c>
      <c r="BK879" t="s">
        <v>110</v>
      </c>
      <c r="BL879" t="s">
        <v>756</v>
      </c>
      <c r="BM879">
        <v>4.5</v>
      </c>
      <c r="BN879">
        <v>13</v>
      </c>
      <c r="CA879">
        <v>5501</v>
      </c>
      <c r="CB879" t="s">
        <v>399</v>
      </c>
      <c r="CG879">
        <v>3000</v>
      </c>
      <c r="CH879">
        <v>92</v>
      </c>
      <c r="CI879">
        <v>1185</v>
      </c>
      <c r="CJ879">
        <v>638</v>
      </c>
      <c r="CK879">
        <v>30000</v>
      </c>
      <c r="CL879" t="s">
        <v>99</v>
      </c>
      <c r="CM879" t="s">
        <v>98</v>
      </c>
      <c r="CN879" t="s">
        <v>442</v>
      </c>
      <c r="CO879" s="1">
        <v>43038</v>
      </c>
      <c r="CP879" s="1">
        <v>43633</v>
      </c>
    </row>
    <row r="880" spans="1:94" x14ac:dyDescent="0.25">
      <c r="A880" t="s">
        <v>2809</v>
      </c>
      <c r="B880" t="str">
        <f xml:space="preserve"> "" &amp; 747396106564</f>
        <v>747396106564</v>
      </c>
      <c r="C880" t="s">
        <v>2795</v>
      </c>
      <c r="D880" t="s">
        <v>6782</v>
      </c>
      <c r="E880" t="s">
        <v>7528</v>
      </c>
      <c r="F880" t="s">
        <v>232</v>
      </c>
      <c r="G880">
        <v>1</v>
      </c>
      <c r="H880">
        <v>1</v>
      </c>
      <c r="I880" t="s">
        <v>97</v>
      </c>
      <c r="J880" s="10">
        <v>74</v>
      </c>
      <c r="K880" s="10">
        <v>222</v>
      </c>
      <c r="L880" s="10">
        <v>0</v>
      </c>
      <c r="N880" s="10">
        <v>0</v>
      </c>
      <c r="O880" t="s">
        <v>99</v>
      </c>
      <c r="P880" s="10">
        <v>154.94999999999999</v>
      </c>
      <c r="S880">
        <v>13</v>
      </c>
      <c r="T880">
        <v>16.5</v>
      </c>
      <c r="U880">
        <v>4.75</v>
      </c>
      <c r="V880">
        <v>4.75</v>
      </c>
      <c r="W880">
        <v>4.32</v>
      </c>
      <c r="X880">
        <v>1</v>
      </c>
      <c r="Y880">
        <v>7</v>
      </c>
      <c r="Z880">
        <v>16.5</v>
      </c>
      <c r="AA880">
        <v>8</v>
      </c>
      <c r="AB880">
        <v>0.53500000000000003</v>
      </c>
      <c r="AC880">
        <v>5.18</v>
      </c>
      <c r="AE880">
        <v>1</v>
      </c>
      <c r="AF880" t="s">
        <v>559</v>
      </c>
      <c r="AG880">
        <v>15</v>
      </c>
      <c r="AK880" t="s">
        <v>99</v>
      </c>
      <c r="AM880" t="s">
        <v>98</v>
      </c>
      <c r="AN880" t="s">
        <v>99</v>
      </c>
      <c r="AO880" t="s">
        <v>98</v>
      </c>
      <c r="AP880" t="s">
        <v>100</v>
      </c>
      <c r="AQ880" t="s">
        <v>101</v>
      </c>
      <c r="AV880" t="s">
        <v>98</v>
      </c>
      <c r="AX880" t="s">
        <v>279</v>
      </c>
      <c r="AZ880" t="s">
        <v>124</v>
      </c>
      <c r="BB880" t="s">
        <v>235</v>
      </c>
      <c r="BC880" t="s">
        <v>1601</v>
      </c>
      <c r="BD880" t="s">
        <v>7528</v>
      </c>
      <c r="BF880" t="s">
        <v>2810</v>
      </c>
      <c r="BG880" t="s">
        <v>98</v>
      </c>
      <c r="BH880" t="s">
        <v>98</v>
      </c>
      <c r="BI880" t="s">
        <v>98</v>
      </c>
      <c r="BK880" t="s">
        <v>127</v>
      </c>
      <c r="BL880" t="s">
        <v>756</v>
      </c>
      <c r="BM880">
        <v>4.5</v>
      </c>
      <c r="BN880">
        <v>13</v>
      </c>
      <c r="CA880">
        <v>5501</v>
      </c>
      <c r="CB880" t="s">
        <v>279</v>
      </c>
      <c r="CG880">
        <v>3000</v>
      </c>
      <c r="CH880">
        <v>92</v>
      </c>
      <c r="CI880">
        <v>1185</v>
      </c>
      <c r="CJ880">
        <v>638</v>
      </c>
      <c r="CK880">
        <v>30000</v>
      </c>
      <c r="CL880" t="s">
        <v>99</v>
      </c>
      <c r="CM880" t="s">
        <v>98</v>
      </c>
      <c r="CN880" t="s">
        <v>442</v>
      </c>
      <c r="CO880" s="1">
        <v>43038</v>
      </c>
      <c r="CP880" s="1">
        <v>43633</v>
      </c>
    </row>
    <row r="881" spans="1:94" x14ac:dyDescent="0.25">
      <c r="A881" t="s">
        <v>2811</v>
      </c>
      <c r="B881" t="str">
        <f xml:space="preserve"> "" &amp; 747396044798</f>
        <v>747396044798</v>
      </c>
      <c r="C881" t="s">
        <v>751</v>
      </c>
      <c r="D881" t="s">
        <v>6783</v>
      </c>
      <c r="E881" t="s">
        <v>462</v>
      </c>
      <c r="F881" t="s">
        <v>323</v>
      </c>
      <c r="G881">
        <v>1</v>
      </c>
      <c r="H881">
        <v>1</v>
      </c>
      <c r="I881" t="s">
        <v>97</v>
      </c>
      <c r="J881" s="10">
        <v>42</v>
      </c>
      <c r="K881" s="10">
        <v>126</v>
      </c>
      <c r="L881" s="10">
        <v>0</v>
      </c>
      <c r="N881" s="10">
        <v>0</v>
      </c>
      <c r="O881" t="s">
        <v>99</v>
      </c>
      <c r="P881" s="10">
        <v>85.9</v>
      </c>
      <c r="S881">
        <v>10.25</v>
      </c>
      <c r="T881">
        <v>13.5</v>
      </c>
      <c r="U881">
        <v>5.25</v>
      </c>
      <c r="V881">
        <v>7</v>
      </c>
      <c r="W881">
        <v>2.78</v>
      </c>
      <c r="X881">
        <v>1</v>
      </c>
      <c r="Y881">
        <v>7.5</v>
      </c>
      <c r="Z881">
        <v>13.5</v>
      </c>
      <c r="AA881">
        <v>9</v>
      </c>
      <c r="AB881">
        <v>0.52700000000000002</v>
      </c>
      <c r="AC881">
        <v>3.97</v>
      </c>
      <c r="AE881">
        <v>1</v>
      </c>
      <c r="AF881" t="s">
        <v>340</v>
      </c>
      <c r="AG881">
        <v>100</v>
      </c>
      <c r="AH881">
        <v>0</v>
      </c>
      <c r="AK881" t="s">
        <v>98</v>
      </c>
      <c r="AL881">
        <v>1</v>
      </c>
      <c r="AM881" t="s">
        <v>98</v>
      </c>
      <c r="AN881" t="s">
        <v>99</v>
      </c>
      <c r="AO881" t="s">
        <v>98</v>
      </c>
      <c r="AP881" t="s">
        <v>100</v>
      </c>
      <c r="AQ881" t="s">
        <v>101</v>
      </c>
      <c r="AV881" t="s">
        <v>98</v>
      </c>
      <c r="AX881" t="s">
        <v>463</v>
      </c>
      <c r="AZ881" t="s">
        <v>124</v>
      </c>
      <c r="BB881" t="s">
        <v>235</v>
      </c>
      <c r="BC881" t="s">
        <v>7597</v>
      </c>
      <c r="BD881" t="s">
        <v>7528</v>
      </c>
      <c r="BF881" t="s">
        <v>2812</v>
      </c>
      <c r="BG881" t="s">
        <v>98</v>
      </c>
      <c r="BH881" t="s">
        <v>98</v>
      </c>
      <c r="BI881" t="s">
        <v>98</v>
      </c>
      <c r="BK881" t="s">
        <v>127</v>
      </c>
      <c r="BL881" t="s">
        <v>756</v>
      </c>
      <c r="BM881">
        <v>5</v>
      </c>
      <c r="BN881">
        <v>7.25</v>
      </c>
      <c r="CA881">
        <v>5551</v>
      </c>
      <c r="CB881" t="s">
        <v>463</v>
      </c>
      <c r="CL881" t="s">
        <v>99</v>
      </c>
      <c r="CM881" t="s">
        <v>98</v>
      </c>
      <c r="CN881" t="s">
        <v>337</v>
      </c>
      <c r="CO881" s="1">
        <v>38307</v>
      </c>
      <c r="CP881" s="1">
        <v>43633</v>
      </c>
    </row>
    <row r="882" spans="1:94" x14ac:dyDescent="0.25">
      <c r="A882" t="s">
        <v>2813</v>
      </c>
      <c r="B882" t="str">
        <f xml:space="preserve"> "" &amp; 747396044811</f>
        <v>747396044811</v>
      </c>
      <c r="C882" t="s">
        <v>762</v>
      </c>
      <c r="D882" t="s">
        <v>6784</v>
      </c>
      <c r="E882" t="s">
        <v>462</v>
      </c>
      <c r="F882" t="s">
        <v>323</v>
      </c>
      <c r="G882">
        <v>1</v>
      </c>
      <c r="H882">
        <v>1</v>
      </c>
      <c r="I882" t="s">
        <v>97</v>
      </c>
      <c r="J882" s="10">
        <v>84</v>
      </c>
      <c r="K882" s="10">
        <v>252</v>
      </c>
      <c r="L882" s="10">
        <v>0</v>
      </c>
      <c r="N882" s="10">
        <v>0</v>
      </c>
      <c r="O882" t="s">
        <v>99</v>
      </c>
      <c r="P882" s="10">
        <v>170.9</v>
      </c>
      <c r="S882">
        <v>10.25</v>
      </c>
      <c r="U882">
        <v>23.75</v>
      </c>
      <c r="V882">
        <v>7</v>
      </c>
      <c r="W882">
        <v>6.17</v>
      </c>
      <c r="X882">
        <v>1</v>
      </c>
      <c r="Y882">
        <v>10.25</v>
      </c>
      <c r="Z882">
        <v>24</v>
      </c>
      <c r="AA882">
        <v>11.25</v>
      </c>
      <c r="AB882">
        <v>1.6020000000000001</v>
      </c>
      <c r="AC882">
        <v>8.75</v>
      </c>
      <c r="AE882">
        <v>3</v>
      </c>
      <c r="AF882" t="s">
        <v>225</v>
      </c>
      <c r="AG882">
        <v>100</v>
      </c>
      <c r="AH882">
        <v>0</v>
      </c>
      <c r="AK882" t="s">
        <v>98</v>
      </c>
      <c r="AM882" t="s">
        <v>98</v>
      </c>
      <c r="AN882" t="s">
        <v>98</v>
      </c>
      <c r="AO882" t="s">
        <v>99</v>
      </c>
      <c r="AP882" t="s">
        <v>100</v>
      </c>
      <c r="AQ882" t="s">
        <v>101</v>
      </c>
      <c r="AV882" t="s">
        <v>98</v>
      </c>
      <c r="AX882" t="s">
        <v>463</v>
      </c>
      <c r="AZ882" t="s">
        <v>124</v>
      </c>
      <c r="BB882" t="s">
        <v>235</v>
      </c>
      <c r="BC882" t="s">
        <v>7597</v>
      </c>
      <c r="BD882" t="s">
        <v>7528</v>
      </c>
      <c r="BF882" t="s">
        <v>2814</v>
      </c>
      <c r="BG882" t="s">
        <v>98</v>
      </c>
      <c r="BH882" t="s">
        <v>98</v>
      </c>
      <c r="BI882" t="s">
        <v>98</v>
      </c>
      <c r="BK882" t="s">
        <v>127</v>
      </c>
      <c r="BL882" t="s">
        <v>756</v>
      </c>
      <c r="BR882">
        <v>5</v>
      </c>
      <c r="BT882">
        <v>7.25</v>
      </c>
      <c r="CA882">
        <v>5553</v>
      </c>
      <c r="CB882" t="s">
        <v>463</v>
      </c>
      <c r="CL882" t="s">
        <v>98</v>
      </c>
      <c r="CM882" t="s">
        <v>98</v>
      </c>
      <c r="CN882" t="s">
        <v>7528</v>
      </c>
      <c r="CO882" s="1">
        <v>38307</v>
      </c>
      <c r="CP882" s="1">
        <v>43633</v>
      </c>
    </row>
    <row r="883" spans="1:94" x14ac:dyDescent="0.25">
      <c r="A883" t="s">
        <v>2815</v>
      </c>
      <c r="B883" t="str">
        <f xml:space="preserve"> "" &amp; 747396005409</f>
        <v>747396005409</v>
      </c>
      <c r="C883" t="s">
        <v>758</v>
      </c>
      <c r="D883" t="s">
        <v>6785</v>
      </c>
      <c r="E883" t="s">
        <v>2816</v>
      </c>
      <c r="F883" t="s">
        <v>323</v>
      </c>
      <c r="G883">
        <v>1</v>
      </c>
      <c r="H883">
        <v>1</v>
      </c>
      <c r="I883" t="s">
        <v>97</v>
      </c>
      <c r="J883" s="10">
        <v>69</v>
      </c>
      <c r="K883" s="10">
        <v>207</v>
      </c>
      <c r="L883" s="10">
        <v>0</v>
      </c>
      <c r="N883" s="10">
        <v>0</v>
      </c>
      <c r="O883" t="s">
        <v>99</v>
      </c>
      <c r="P883" s="10">
        <v>139.94999999999999</v>
      </c>
      <c r="S883">
        <v>7.75</v>
      </c>
      <c r="U883">
        <v>19.5</v>
      </c>
      <c r="V883">
        <v>8.5</v>
      </c>
      <c r="W883">
        <v>5.07</v>
      </c>
      <c r="X883">
        <v>1</v>
      </c>
      <c r="Y883">
        <v>10.25</v>
      </c>
      <c r="Z883">
        <v>22</v>
      </c>
      <c r="AA883">
        <v>9</v>
      </c>
      <c r="AB883">
        <v>1.1739999999999999</v>
      </c>
      <c r="AC883">
        <v>7.67</v>
      </c>
      <c r="AE883">
        <v>2</v>
      </c>
      <c r="AF883" t="s">
        <v>233</v>
      </c>
      <c r="AG883">
        <v>100</v>
      </c>
      <c r="AK883" t="s">
        <v>98</v>
      </c>
      <c r="AM883" t="s">
        <v>98</v>
      </c>
      <c r="AN883" t="s">
        <v>98</v>
      </c>
      <c r="AO883" t="s">
        <v>99</v>
      </c>
      <c r="AP883" t="s">
        <v>100</v>
      </c>
      <c r="AQ883" t="s">
        <v>101</v>
      </c>
      <c r="AV883" t="s">
        <v>98</v>
      </c>
      <c r="AX883" t="s">
        <v>279</v>
      </c>
      <c r="AZ883" t="s">
        <v>124</v>
      </c>
      <c r="BB883" t="s">
        <v>235</v>
      </c>
      <c r="BC883" t="s">
        <v>941</v>
      </c>
      <c r="BD883" t="s">
        <v>7528</v>
      </c>
      <c r="BF883" t="s">
        <v>2817</v>
      </c>
      <c r="BG883" t="s">
        <v>98</v>
      </c>
      <c r="BH883" t="s">
        <v>98</v>
      </c>
      <c r="BI883" t="s">
        <v>98</v>
      </c>
      <c r="BK883" t="s">
        <v>127</v>
      </c>
      <c r="BL883" t="s">
        <v>756</v>
      </c>
      <c r="BR883">
        <v>4.63</v>
      </c>
      <c r="BT883">
        <v>8</v>
      </c>
      <c r="CA883">
        <v>5582</v>
      </c>
      <c r="CB883" t="s">
        <v>279</v>
      </c>
      <c r="CL883" t="s">
        <v>98</v>
      </c>
      <c r="CM883" t="s">
        <v>98</v>
      </c>
      <c r="CN883" t="s">
        <v>237</v>
      </c>
      <c r="CO883" s="1">
        <v>39497</v>
      </c>
      <c r="CP883" s="1">
        <v>43633</v>
      </c>
    </row>
    <row r="884" spans="1:94" x14ac:dyDescent="0.25">
      <c r="A884" t="s">
        <v>2818</v>
      </c>
      <c r="B884" t="str">
        <f xml:space="preserve"> "" &amp; 747396005416</f>
        <v>747396005416</v>
      </c>
      <c r="C884" t="s">
        <v>762</v>
      </c>
      <c r="D884" t="s">
        <v>6786</v>
      </c>
      <c r="E884" t="s">
        <v>2816</v>
      </c>
      <c r="F884" t="s">
        <v>323</v>
      </c>
      <c r="G884">
        <v>1</v>
      </c>
      <c r="H884">
        <v>1</v>
      </c>
      <c r="I884" t="s">
        <v>97</v>
      </c>
      <c r="J884" s="10">
        <v>89</v>
      </c>
      <c r="K884" s="10">
        <v>267</v>
      </c>
      <c r="L884" s="10">
        <v>0</v>
      </c>
      <c r="N884" s="10">
        <v>0</v>
      </c>
      <c r="O884" t="s">
        <v>99</v>
      </c>
      <c r="P884" s="10">
        <v>179.95</v>
      </c>
      <c r="S884">
        <v>7.75</v>
      </c>
      <c r="U884">
        <v>25.5</v>
      </c>
      <c r="V884">
        <v>8.5</v>
      </c>
      <c r="W884">
        <v>6.94</v>
      </c>
      <c r="X884">
        <v>1</v>
      </c>
      <c r="Y884">
        <v>10.25</v>
      </c>
      <c r="Z884">
        <v>29.5</v>
      </c>
      <c r="AA884">
        <v>9</v>
      </c>
      <c r="AB884">
        <v>1.575</v>
      </c>
      <c r="AC884">
        <v>10.25</v>
      </c>
      <c r="AE884">
        <v>3</v>
      </c>
      <c r="AF884" t="s">
        <v>282</v>
      </c>
      <c r="AG884">
        <v>100</v>
      </c>
      <c r="AK884" t="s">
        <v>98</v>
      </c>
      <c r="AM884" t="s">
        <v>98</v>
      </c>
      <c r="AN884" t="s">
        <v>98</v>
      </c>
      <c r="AO884" t="s">
        <v>99</v>
      </c>
      <c r="AP884" t="s">
        <v>100</v>
      </c>
      <c r="AQ884" t="s">
        <v>101</v>
      </c>
      <c r="AV884" t="s">
        <v>98</v>
      </c>
      <c r="AX884" t="s">
        <v>279</v>
      </c>
      <c r="AZ884" t="s">
        <v>124</v>
      </c>
      <c r="BB884" t="s">
        <v>235</v>
      </c>
      <c r="BC884" t="s">
        <v>941</v>
      </c>
      <c r="BD884" t="s">
        <v>7528</v>
      </c>
      <c r="BF884" t="s">
        <v>2819</v>
      </c>
      <c r="BG884" t="s">
        <v>98</v>
      </c>
      <c r="BH884" t="s">
        <v>98</v>
      </c>
      <c r="BI884" t="s">
        <v>98</v>
      </c>
      <c r="BK884" t="s">
        <v>127</v>
      </c>
      <c r="BL884" t="s">
        <v>756</v>
      </c>
      <c r="BR884">
        <v>4.63</v>
      </c>
      <c r="BT884">
        <v>8</v>
      </c>
      <c r="CA884">
        <v>5583</v>
      </c>
      <c r="CB884" t="s">
        <v>279</v>
      </c>
      <c r="CL884" t="s">
        <v>98</v>
      </c>
      <c r="CM884" t="s">
        <v>98</v>
      </c>
      <c r="CN884" t="s">
        <v>442</v>
      </c>
      <c r="CO884" s="1">
        <v>39497</v>
      </c>
      <c r="CP884" s="1">
        <v>43633</v>
      </c>
    </row>
    <row r="885" spans="1:94" x14ac:dyDescent="0.25">
      <c r="A885" t="s">
        <v>2820</v>
      </c>
      <c r="B885" t="str">
        <f xml:space="preserve"> "" &amp; 747396005423</f>
        <v>747396005423</v>
      </c>
      <c r="C885" t="s">
        <v>766</v>
      </c>
      <c r="D885" t="s">
        <v>6787</v>
      </c>
      <c r="E885" t="s">
        <v>2816</v>
      </c>
      <c r="F885" t="s">
        <v>323</v>
      </c>
      <c r="G885">
        <v>1</v>
      </c>
      <c r="H885">
        <v>1</v>
      </c>
      <c r="I885" t="s">
        <v>97</v>
      </c>
      <c r="J885" s="10">
        <v>109</v>
      </c>
      <c r="K885" s="10">
        <v>327</v>
      </c>
      <c r="L885" s="10">
        <v>0</v>
      </c>
      <c r="N885" s="10">
        <v>0</v>
      </c>
      <c r="O885" t="s">
        <v>99</v>
      </c>
      <c r="P885" s="10">
        <v>219.95</v>
      </c>
      <c r="S885">
        <v>7.75</v>
      </c>
      <c r="U885">
        <v>33.5</v>
      </c>
      <c r="V885">
        <v>8.5</v>
      </c>
      <c r="W885">
        <v>8.6199999999999992</v>
      </c>
      <c r="X885">
        <v>1</v>
      </c>
      <c r="Y885">
        <v>10.25</v>
      </c>
      <c r="Z885">
        <v>36</v>
      </c>
      <c r="AA885">
        <v>9</v>
      </c>
      <c r="AB885">
        <v>1.9219999999999999</v>
      </c>
      <c r="AC885">
        <v>12.08</v>
      </c>
      <c r="AE885">
        <v>4</v>
      </c>
      <c r="AF885" t="s">
        <v>233</v>
      </c>
      <c r="AG885">
        <v>100</v>
      </c>
      <c r="AK885" t="s">
        <v>98</v>
      </c>
      <c r="AM885" t="s">
        <v>98</v>
      </c>
      <c r="AN885" t="s">
        <v>98</v>
      </c>
      <c r="AO885" t="s">
        <v>99</v>
      </c>
      <c r="AP885" t="s">
        <v>100</v>
      </c>
      <c r="AQ885" t="s">
        <v>101</v>
      </c>
      <c r="AV885" t="s">
        <v>98</v>
      </c>
      <c r="AX885" t="s">
        <v>279</v>
      </c>
      <c r="AZ885" t="s">
        <v>124</v>
      </c>
      <c r="BB885" t="s">
        <v>235</v>
      </c>
      <c r="BC885" t="s">
        <v>941</v>
      </c>
      <c r="BD885" t="s">
        <v>7528</v>
      </c>
      <c r="BF885" t="s">
        <v>2821</v>
      </c>
      <c r="BG885" t="s">
        <v>98</v>
      </c>
      <c r="BH885" t="s">
        <v>98</v>
      </c>
      <c r="BI885" t="s">
        <v>98</v>
      </c>
      <c r="BK885" t="s">
        <v>127</v>
      </c>
      <c r="BL885" t="s">
        <v>756</v>
      </c>
      <c r="BR885">
        <v>4.63</v>
      </c>
      <c r="BT885">
        <v>8</v>
      </c>
      <c r="CA885">
        <v>5584</v>
      </c>
      <c r="CB885" t="s">
        <v>279</v>
      </c>
      <c r="CL885" t="s">
        <v>98</v>
      </c>
      <c r="CM885" t="s">
        <v>98</v>
      </c>
      <c r="CN885" t="s">
        <v>237</v>
      </c>
      <c r="CO885" s="1">
        <v>39497</v>
      </c>
      <c r="CP885" s="1">
        <v>43633</v>
      </c>
    </row>
    <row r="886" spans="1:94" x14ac:dyDescent="0.25">
      <c r="A886" t="s">
        <v>2822</v>
      </c>
      <c r="B886" t="str">
        <f xml:space="preserve"> "" &amp; 747396061689</f>
        <v>747396061689</v>
      </c>
      <c r="C886" t="s">
        <v>230</v>
      </c>
      <c r="D886" t="s">
        <v>230</v>
      </c>
      <c r="E886" t="s">
        <v>7528</v>
      </c>
      <c r="F886" t="s">
        <v>2823</v>
      </c>
      <c r="G886">
        <v>1</v>
      </c>
      <c r="H886">
        <v>1</v>
      </c>
      <c r="I886" t="s">
        <v>97</v>
      </c>
      <c r="J886" s="10">
        <v>26</v>
      </c>
      <c r="K886" s="10">
        <v>78</v>
      </c>
      <c r="L886" s="10">
        <v>0</v>
      </c>
      <c r="N886" s="10">
        <v>0</v>
      </c>
      <c r="O886" t="s">
        <v>99</v>
      </c>
      <c r="P886" s="10">
        <v>49.95</v>
      </c>
      <c r="S886">
        <v>10</v>
      </c>
      <c r="U886">
        <v>8.25</v>
      </c>
      <c r="V886">
        <v>5.25</v>
      </c>
      <c r="W886">
        <v>4.0599999999999996</v>
      </c>
      <c r="X886">
        <v>1</v>
      </c>
      <c r="Y886">
        <v>9.5</v>
      </c>
      <c r="Z886">
        <v>14</v>
      </c>
      <c r="AA886">
        <v>12</v>
      </c>
      <c r="AB886">
        <v>0.92400000000000004</v>
      </c>
      <c r="AC886">
        <v>5.69</v>
      </c>
      <c r="AE886">
        <v>1</v>
      </c>
      <c r="AF886" t="s">
        <v>282</v>
      </c>
      <c r="AG886">
        <v>100</v>
      </c>
      <c r="AK886" t="s">
        <v>98</v>
      </c>
      <c r="AM886" t="s">
        <v>98</v>
      </c>
      <c r="AN886" t="s">
        <v>99</v>
      </c>
      <c r="AO886" t="s">
        <v>98</v>
      </c>
      <c r="AP886" t="s">
        <v>100</v>
      </c>
      <c r="AQ886" t="s">
        <v>101</v>
      </c>
      <c r="AV886" t="s">
        <v>98</v>
      </c>
      <c r="AX886" t="s">
        <v>1579</v>
      </c>
      <c r="AZ886" t="s">
        <v>124</v>
      </c>
      <c r="BB886" t="s">
        <v>2824</v>
      </c>
      <c r="BC886" t="s">
        <v>1579</v>
      </c>
      <c r="BD886" t="s">
        <v>7528</v>
      </c>
      <c r="BF886" t="s">
        <v>2825</v>
      </c>
      <c r="BG886" t="s">
        <v>99</v>
      </c>
      <c r="BH886" t="s">
        <v>98</v>
      </c>
      <c r="BI886" t="s">
        <v>98</v>
      </c>
      <c r="BJ886" t="s">
        <v>99</v>
      </c>
      <c r="BK886" t="s">
        <v>453</v>
      </c>
      <c r="BL886" t="s">
        <v>645</v>
      </c>
      <c r="BM886">
        <v>4.75</v>
      </c>
      <c r="BN886">
        <v>7.5</v>
      </c>
      <c r="CA886" t="s">
        <v>2822</v>
      </c>
      <c r="CB886" t="s">
        <v>1579</v>
      </c>
      <c r="CL886" t="s">
        <v>99</v>
      </c>
      <c r="CM886" t="s">
        <v>98</v>
      </c>
      <c r="CN886" t="s">
        <v>2826</v>
      </c>
      <c r="CO886" s="1">
        <v>42636</v>
      </c>
      <c r="CP886" s="1">
        <v>43633</v>
      </c>
    </row>
    <row r="887" spans="1:94" x14ac:dyDescent="0.25">
      <c r="A887" t="s">
        <v>2827</v>
      </c>
      <c r="B887" t="str">
        <f xml:space="preserve"> "" &amp; 747396068831</f>
        <v>747396068831</v>
      </c>
      <c r="C887" t="s">
        <v>751</v>
      </c>
      <c r="D887" t="s">
        <v>751</v>
      </c>
      <c r="E887" t="s">
        <v>7528</v>
      </c>
      <c r="F887" t="s">
        <v>323</v>
      </c>
      <c r="G887">
        <v>1</v>
      </c>
      <c r="H887">
        <v>1</v>
      </c>
      <c r="I887" t="s">
        <v>97</v>
      </c>
      <c r="J887" s="10">
        <v>59</v>
      </c>
      <c r="K887" s="10">
        <v>177</v>
      </c>
      <c r="L887" s="10">
        <v>0</v>
      </c>
      <c r="N887" s="10">
        <v>0</v>
      </c>
      <c r="O887" t="s">
        <v>99</v>
      </c>
      <c r="P887" s="10">
        <v>99.95</v>
      </c>
      <c r="S887">
        <v>9</v>
      </c>
      <c r="T887">
        <v>13.75</v>
      </c>
      <c r="U887">
        <v>6</v>
      </c>
      <c r="V887">
        <v>7</v>
      </c>
      <c r="W887">
        <v>2.34</v>
      </c>
      <c r="X887">
        <v>1</v>
      </c>
      <c r="Y887">
        <v>8</v>
      </c>
      <c r="Z887">
        <v>13.75</v>
      </c>
      <c r="AA887">
        <v>8.75</v>
      </c>
      <c r="AB887">
        <v>0.55700000000000005</v>
      </c>
      <c r="AC887">
        <v>3.28</v>
      </c>
      <c r="AE887">
        <v>1</v>
      </c>
      <c r="AF887" t="s">
        <v>282</v>
      </c>
      <c r="AG887">
        <v>100</v>
      </c>
      <c r="AK887" t="s">
        <v>98</v>
      </c>
      <c r="AM887" t="s">
        <v>98</v>
      </c>
      <c r="AN887" t="s">
        <v>99</v>
      </c>
      <c r="AO887" t="s">
        <v>98</v>
      </c>
      <c r="AP887" t="s">
        <v>100</v>
      </c>
      <c r="AQ887" t="s">
        <v>101</v>
      </c>
      <c r="AV887" t="s">
        <v>98</v>
      </c>
      <c r="AX887" t="s">
        <v>399</v>
      </c>
      <c r="AZ887" t="s">
        <v>102</v>
      </c>
      <c r="BB887" t="s">
        <v>235</v>
      </c>
      <c r="BC887" t="s">
        <v>1446</v>
      </c>
      <c r="BD887" t="s">
        <v>7528</v>
      </c>
      <c r="BF887" t="s">
        <v>2828</v>
      </c>
      <c r="BG887" t="s">
        <v>98</v>
      </c>
      <c r="BH887" t="s">
        <v>98</v>
      </c>
      <c r="BI887" t="s">
        <v>98</v>
      </c>
      <c r="BK887" t="s">
        <v>127</v>
      </c>
      <c r="BL887" t="s">
        <v>756</v>
      </c>
      <c r="BM887">
        <v>4.5</v>
      </c>
      <c r="BN887">
        <v>7.88</v>
      </c>
      <c r="CA887">
        <v>5721</v>
      </c>
      <c r="CB887" t="s">
        <v>399</v>
      </c>
      <c r="CL887" t="s">
        <v>99</v>
      </c>
      <c r="CM887" t="s">
        <v>98</v>
      </c>
      <c r="CN887" t="s">
        <v>442</v>
      </c>
      <c r="CO887" s="1">
        <v>41422</v>
      </c>
      <c r="CP887" s="1">
        <v>43633</v>
      </c>
    </row>
    <row r="888" spans="1:94" x14ac:dyDescent="0.25">
      <c r="A888" t="s">
        <v>2829</v>
      </c>
      <c r="B888" t="str">
        <f xml:space="preserve"> "" &amp; 747396068848</f>
        <v>747396068848</v>
      </c>
      <c r="C888" t="s">
        <v>758</v>
      </c>
      <c r="D888" t="s">
        <v>758</v>
      </c>
      <c r="E888" t="s">
        <v>7528</v>
      </c>
      <c r="F888" t="s">
        <v>323</v>
      </c>
      <c r="G888">
        <v>1</v>
      </c>
      <c r="H888">
        <v>1</v>
      </c>
      <c r="I888" t="s">
        <v>97</v>
      </c>
      <c r="J888" s="10">
        <v>85</v>
      </c>
      <c r="K888" s="10">
        <v>255</v>
      </c>
      <c r="L888" s="10">
        <v>0</v>
      </c>
      <c r="N888" s="10">
        <v>0</v>
      </c>
      <c r="S888">
        <v>8.25</v>
      </c>
      <c r="U888">
        <v>15.5</v>
      </c>
      <c r="V888">
        <v>7</v>
      </c>
      <c r="W888">
        <v>4.03</v>
      </c>
      <c r="X888">
        <v>1</v>
      </c>
      <c r="Y888">
        <v>13</v>
      </c>
      <c r="Z888">
        <v>15.5</v>
      </c>
      <c r="AA888">
        <v>10.5</v>
      </c>
      <c r="AB888">
        <v>1.224</v>
      </c>
      <c r="AC888">
        <v>6.72</v>
      </c>
      <c r="AE888">
        <v>2</v>
      </c>
      <c r="AF888" t="s">
        <v>282</v>
      </c>
      <c r="AG888">
        <v>100</v>
      </c>
      <c r="AK888" t="s">
        <v>98</v>
      </c>
      <c r="AM888" t="s">
        <v>98</v>
      </c>
      <c r="AN888" t="s">
        <v>99</v>
      </c>
      <c r="AO888" t="s">
        <v>98</v>
      </c>
      <c r="AP888" t="s">
        <v>100</v>
      </c>
      <c r="AQ888" t="s">
        <v>101</v>
      </c>
      <c r="AV888" t="s">
        <v>98</v>
      </c>
      <c r="AX888" t="s">
        <v>399</v>
      </c>
      <c r="AZ888" t="s">
        <v>102</v>
      </c>
      <c r="BB888" t="s">
        <v>235</v>
      </c>
      <c r="BC888" t="s">
        <v>1446</v>
      </c>
      <c r="BD888" t="s">
        <v>7528</v>
      </c>
      <c r="BF888" t="s">
        <v>2830</v>
      </c>
      <c r="BG888" t="s">
        <v>98</v>
      </c>
      <c r="BH888" t="s">
        <v>98</v>
      </c>
      <c r="BI888" t="s">
        <v>98</v>
      </c>
      <c r="BK888" t="s">
        <v>127</v>
      </c>
      <c r="BL888" t="s">
        <v>756</v>
      </c>
      <c r="BM888">
        <v>7.88</v>
      </c>
      <c r="BN888">
        <v>4.5</v>
      </c>
      <c r="CA888">
        <v>5722</v>
      </c>
      <c r="CB888" t="s">
        <v>399</v>
      </c>
      <c r="CL888" t="s">
        <v>99</v>
      </c>
      <c r="CM888" t="s">
        <v>98</v>
      </c>
      <c r="CN888" t="s">
        <v>442</v>
      </c>
      <c r="CO888" s="1">
        <v>41422</v>
      </c>
      <c r="CP888" s="1">
        <v>43633</v>
      </c>
    </row>
    <row r="889" spans="1:94" x14ac:dyDescent="0.25">
      <c r="A889" t="s">
        <v>2831</v>
      </c>
      <c r="B889" t="str">
        <f xml:space="preserve"> "" &amp; 747396068855</f>
        <v>747396068855</v>
      </c>
      <c r="C889" t="s">
        <v>762</v>
      </c>
      <c r="D889" t="s">
        <v>762</v>
      </c>
      <c r="E889" t="s">
        <v>7528</v>
      </c>
      <c r="F889" t="s">
        <v>323</v>
      </c>
      <c r="G889">
        <v>1</v>
      </c>
      <c r="H889">
        <v>1</v>
      </c>
      <c r="I889" t="s">
        <v>97</v>
      </c>
      <c r="J889" s="10">
        <v>105</v>
      </c>
      <c r="K889" s="10">
        <v>315</v>
      </c>
      <c r="L889" s="10">
        <v>0</v>
      </c>
      <c r="N889" s="10">
        <v>0</v>
      </c>
      <c r="O889" t="s">
        <v>99</v>
      </c>
      <c r="P889" s="10">
        <v>169.95</v>
      </c>
      <c r="S889">
        <v>8.25</v>
      </c>
      <c r="U889">
        <v>23</v>
      </c>
      <c r="V889">
        <v>7</v>
      </c>
      <c r="W889">
        <v>6.33</v>
      </c>
      <c r="X889">
        <v>1</v>
      </c>
      <c r="Y889">
        <v>13</v>
      </c>
      <c r="Z889">
        <v>22.25</v>
      </c>
      <c r="AA889">
        <v>10.5</v>
      </c>
      <c r="AB889">
        <v>1.758</v>
      </c>
      <c r="AC889">
        <v>9.08</v>
      </c>
      <c r="AE889">
        <v>3</v>
      </c>
      <c r="AF889" t="s">
        <v>282</v>
      </c>
      <c r="AG889">
        <v>100</v>
      </c>
      <c r="AK889" t="s">
        <v>98</v>
      </c>
      <c r="AM889" t="s">
        <v>98</v>
      </c>
      <c r="AN889" t="s">
        <v>99</v>
      </c>
      <c r="AO889" t="s">
        <v>98</v>
      </c>
      <c r="AP889" t="s">
        <v>100</v>
      </c>
      <c r="AQ889" t="s">
        <v>101</v>
      </c>
      <c r="AV889" t="s">
        <v>98</v>
      </c>
      <c r="AX889" t="s">
        <v>399</v>
      </c>
      <c r="AZ889" t="s">
        <v>102</v>
      </c>
      <c r="BB889" t="s">
        <v>235</v>
      </c>
      <c r="BC889" t="s">
        <v>1446</v>
      </c>
      <c r="BD889" t="s">
        <v>7528</v>
      </c>
      <c r="BF889" t="s">
        <v>2832</v>
      </c>
      <c r="BG889" t="s">
        <v>98</v>
      </c>
      <c r="BH889" t="s">
        <v>98</v>
      </c>
      <c r="BI889" t="s">
        <v>98</v>
      </c>
      <c r="BK889" t="s">
        <v>127</v>
      </c>
      <c r="BL889" t="s">
        <v>756</v>
      </c>
      <c r="BM889">
        <v>12</v>
      </c>
      <c r="BN889">
        <v>4.5</v>
      </c>
      <c r="CA889">
        <v>5723</v>
      </c>
      <c r="CB889" t="s">
        <v>399</v>
      </c>
      <c r="CL889" t="s">
        <v>99</v>
      </c>
      <c r="CM889" t="s">
        <v>98</v>
      </c>
      <c r="CN889" t="s">
        <v>442</v>
      </c>
      <c r="CO889" s="1">
        <v>41422</v>
      </c>
      <c r="CP889" s="1">
        <v>43633</v>
      </c>
    </row>
    <row r="890" spans="1:94" x14ac:dyDescent="0.25">
      <c r="A890" t="s">
        <v>2833</v>
      </c>
      <c r="B890" t="str">
        <f xml:space="preserve"> "" &amp; 747396068862</f>
        <v>747396068862</v>
      </c>
      <c r="C890" t="s">
        <v>766</v>
      </c>
      <c r="D890" t="s">
        <v>766</v>
      </c>
      <c r="E890" t="s">
        <v>7528</v>
      </c>
      <c r="F890" t="s">
        <v>323</v>
      </c>
      <c r="G890">
        <v>1</v>
      </c>
      <c r="H890">
        <v>1</v>
      </c>
      <c r="I890" t="s">
        <v>97</v>
      </c>
      <c r="J890" s="10">
        <v>149</v>
      </c>
      <c r="K890" s="10">
        <v>447</v>
      </c>
      <c r="L890" s="10">
        <v>0</v>
      </c>
      <c r="N890" s="10">
        <v>0</v>
      </c>
      <c r="O890" t="s">
        <v>99</v>
      </c>
      <c r="P890" s="10">
        <v>239.95</v>
      </c>
      <c r="S890">
        <v>8.25</v>
      </c>
      <c r="U890">
        <v>31.5</v>
      </c>
      <c r="V890">
        <v>7</v>
      </c>
      <c r="W890">
        <v>7.91</v>
      </c>
      <c r="X890">
        <v>1</v>
      </c>
      <c r="Y890">
        <v>13</v>
      </c>
      <c r="Z890">
        <v>30.5</v>
      </c>
      <c r="AA890">
        <v>10.5</v>
      </c>
      <c r="AB890">
        <v>2.4089999999999998</v>
      </c>
      <c r="AC890">
        <v>11.49</v>
      </c>
      <c r="AE890">
        <v>4</v>
      </c>
      <c r="AF890" t="s">
        <v>282</v>
      </c>
      <c r="AG890">
        <v>100</v>
      </c>
      <c r="AK890" t="s">
        <v>98</v>
      </c>
      <c r="AM890" t="s">
        <v>98</v>
      </c>
      <c r="AN890" t="s">
        <v>99</v>
      </c>
      <c r="AO890" t="s">
        <v>98</v>
      </c>
      <c r="AP890" t="s">
        <v>100</v>
      </c>
      <c r="AQ890" t="s">
        <v>101</v>
      </c>
      <c r="AV890" t="s">
        <v>98</v>
      </c>
      <c r="AX890" t="s">
        <v>399</v>
      </c>
      <c r="AZ890" t="s">
        <v>102</v>
      </c>
      <c r="BB890" t="s">
        <v>235</v>
      </c>
      <c r="BC890" t="s">
        <v>1446</v>
      </c>
      <c r="BD890" t="s">
        <v>7528</v>
      </c>
      <c r="BF890" t="s">
        <v>2834</v>
      </c>
      <c r="BG890" t="s">
        <v>98</v>
      </c>
      <c r="BH890" t="s">
        <v>98</v>
      </c>
      <c r="BI890" t="s">
        <v>98</v>
      </c>
      <c r="BK890" t="s">
        <v>127</v>
      </c>
      <c r="BL890" t="s">
        <v>7528</v>
      </c>
      <c r="BM890">
        <v>12</v>
      </c>
      <c r="BN890">
        <v>4.5</v>
      </c>
      <c r="CA890">
        <v>5724</v>
      </c>
      <c r="CB890" t="s">
        <v>399</v>
      </c>
      <c r="CL890" t="s">
        <v>99</v>
      </c>
      <c r="CM890" t="s">
        <v>98</v>
      </c>
      <c r="CN890" t="s">
        <v>442</v>
      </c>
      <c r="CO890" s="1">
        <v>41422</v>
      </c>
      <c r="CP890" s="1">
        <v>43633</v>
      </c>
    </row>
    <row r="891" spans="1:94" x14ac:dyDescent="0.25">
      <c r="A891" t="s">
        <v>2835</v>
      </c>
      <c r="B891" t="str">
        <f xml:space="preserve"> "" &amp; 747396068725</f>
        <v>747396068725</v>
      </c>
      <c r="C891" t="s">
        <v>751</v>
      </c>
      <c r="D891" t="s">
        <v>6788</v>
      </c>
      <c r="E891" t="s">
        <v>509</v>
      </c>
      <c r="F891" t="s">
        <v>323</v>
      </c>
      <c r="G891">
        <v>1</v>
      </c>
      <c r="H891">
        <v>1</v>
      </c>
      <c r="I891" t="s">
        <v>97</v>
      </c>
      <c r="J891" s="10">
        <v>49.95</v>
      </c>
      <c r="K891" s="10">
        <v>149.85</v>
      </c>
      <c r="L891" s="10">
        <v>0</v>
      </c>
      <c r="N891" s="10">
        <v>0</v>
      </c>
      <c r="O891" t="s">
        <v>99</v>
      </c>
      <c r="P891" s="10">
        <v>99.9</v>
      </c>
      <c r="S891">
        <v>10.25</v>
      </c>
      <c r="U891">
        <v>6</v>
      </c>
      <c r="V891">
        <v>8.25</v>
      </c>
      <c r="W891">
        <v>3.24</v>
      </c>
      <c r="Y891">
        <v>8.5</v>
      </c>
      <c r="Z891">
        <v>14</v>
      </c>
      <c r="AA891">
        <v>9.25</v>
      </c>
      <c r="AB891">
        <v>0.63700000000000001</v>
      </c>
      <c r="AC891">
        <v>4.7</v>
      </c>
      <c r="AE891">
        <v>1</v>
      </c>
      <c r="AF891" t="s">
        <v>225</v>
      </c>
      <c r="AG891">
        <v>100</v>
      </c>
      <c r="AH891">
        <v>0</v>
      </c>
      <c r="AJ891">
        <v>0</v>
      </c>
      <c r="AK891" t="s">
        <v>98</v>
      </c>
      <c r="AL891">
        <v>1</v>
      </c>
      <c r="AM891" t="s">
        <v>98</v>
      </c>
      <c r="AN891" t="s">
        <v>98</v>
      </c>
      <c r="AO891" t="s">
        <v>99</v>
      </c>
      <c r="AP891" t="s">
        <v>100</v>
      </c>
      <c r="AQ891" t="s">
        <v>101</v>
      </c>
      <c r="AV891" t="s">
        <v>98</v>
      </c>
      <c r="AX891" t="s">
        <v>510</v>
      </c>
      <c r="AZ891" t="s">
        <v>124</v>
      </c>
      <c r="BB891" t="s">
        <v>235</v>
      </c>
      <c r="BC891" t="s">
        <v>6232</v>
      </c>
      <c r="BD891" t="s">
        <v>7528</v>
      </c>
      <c r="BF891" t="s">
        <v>2836</v>
      </c>
      <c r="BG891" t="s">
        <v>98</v>
      </c>
      <c r="BH891" t="s">
        <v>98</v>
      </c>
      <c r="BI891" t="s">
        <v>98</v>
      </c>
      <c r="BK891" t="s">
        <v>127</v>
      </c>
      <c r="BL891" t="s">
        <v>756</v>
      </c>
      <c r="BR891">
        <v>7.13</v>
      </c>
      <c r="BT891">
        <v>5</v>
      </c>
      <c r="CA891">
        <v>5741</v>
      </c>
      <c r="CB891" t="s">
        <v>510</v>
      </c>
      <c r="CL891" t="s">
        <v>98</v>
      </c>
      <c r="CM891" t="s">
        <v>98</v>
      </c>
      <c r="CN891" t="s">
        <v>692</v>
      </c>
      <c r="CO891" s="1">
        <v>39884</v>
      </c>
      <c r="CP891" s="1">
        <v>43633</v>
      </c>
    </row>
    <row r="892" spans="1:94" x14ac:dyDescent="0.25">
      <c r="A892" t="s">
        <v>2837</v>
      </c>
      <c r="B892" t="str">
        <f xml:space="preserve"> "" &amp; 747396068732</f>
        <v>747396068732</v>
      </c>
      <c r="C892" t="s">
        <v>758</v>
      </c>
      <c r="D892" t="s">
        <v>6789</v>
      </c>
      <c r="E892" t="s">
        <v>509</v>
      </c>
      <c r="F892" t="s">
        <v>323</v>
      </c>
      <c r="G892">
        <v>1</v>
      </c>
      <c r="H892">
        <v>1</v>
      </c>
      <c r="I892" t="s">
        <v>97</v>
      </c>
      <c r="J892" s="10">
        <v>81.95</v>
      </c>
      <c r="K892" s="10">
        <v>245.85</v>
      </c>
      <c r="L892" s="10">
        <v>0</v>
      </c>
      <c r="N892" s="10">
        <v>0</v>
      </c>
      <c r="O892" t="s">
        <v>99</v>
      </c>
      <c r="P892" s="10">
        <v>163.9</v>
      </c>
      <c r="S892">
        <v>10.25</v>
      </c>
      <c r="U892">
        <v>14.5</v>
      </c>
      <c r="V892">
        <v>8.5</v>
      </c>
      <c r="W892">
        <v>5.49</v>
      </c>
      <c r="Y892">
        <v>11.5</v>
      </c>
      <c r="Z892">
        <v>14.5</v>
      </c>
      <c r="AA892">
        <v>11.75</v>
      </c>
      <c r="AB892">
        <v>1.1339999999999999</v>
      </c>
      <c r="AC892">
        <v>7.28</v>
      </c>
      <c r="AE892">
        <v>2</v>
      </c>
      <c r="AF892" t="s">
        <v>225</v>
      </c>
      <c r="AG892">
        <v>100</v>
      </c>
      <c r="AH892">
        <v>0</v>
      </c>
      <c r="AJ892">
        <v>0</v>
      </c>
      <c r="AK892" t="s">
        <v>98</v>
      </c>
      <c r="AM892" t="s">
        <v>98</v>
      </c>
      <c r="AN892" t="s">
        <v>98</v>
      </c>
      <c r="AO892" t="s">
        <v>99</v>
      </c>
      <c r="AP892" t="s">
        <v>100</v>
      </c>
      <c r="AQ892" t="s">
        <v>101</v>
      </c>
      <c r="AV892" t="s">
        <v>98</v>
      </c>
      <c r="AX892" t="s">
        <v>510</v>
      </c>
      <c r="AZ892" t="s">
        <v>124</v>
      </c>
      <c r="BB892" t="s">
        <v>235</v>
      </c>
      <c r="BC892" t="s">
        <v>6232</v>
      </c>
      <c r="BD892" t="s">
        <v>7528</v>
      </c>
      <c r="BF892" t="s">
        <v>2838</v>
      </c>
      <c r="BG892" t="s">
        <v>98</v>
      </c>
      <c r="BH892" t="s">
        <v>98</v>
      </c>
      <c r="BI892" t="s">
        <v>98</v>
      </c>
      <c r="BK892" t="s">
        <v>127</v>
      </c>
      <c r="BL892" t="s">
        <v>756</v>
      </c>
      <c r="BR892">
        <v>4</v>
      </c>
      <c r="BT892">
        <v>5.75</v>
      </c>
      <c r="CA892">
        <v>5742</v>
      </c>
      <c r="CB892" t="s">
        <v>510</v>
      </c>
      <c r="CL892" t="s">
        <v>98</v>
      </c>
      <c r="CM892" t="s">
        <v>98</v>
      </c>
      <c r="CN892" t="s">
        <v>692</v>
      </c>
      <c r="CO892" s="1">
        <v>39884</v>
      </c>
      <c r="CP892" s="1">
        <v>43633</v>
      </c>
    </row>
    <row r="893" spans="1:94" x14ac:dyDescent="0.25">
      <c r="A893" t="s">
        <v>2839</v>
      </c>
      <c r="B893" t="str">
        <f xml:space="preserve"> "" &amp; 747396006031</f>
        <v>747396006031</v>
      </c>
      <c r="C893" t="s">
        <v>751</v>
      </c>
      <c r="D893" t="s">
        <v>2840</v>
      </c>
      <c r="E893" t="s">
        <v>2841</v>
      </c>
      <c r="F893" t="s">
        <v>323</v>
      </c>
      <c r="G893">
        <v>1</v>
      </c>
      <c r="H893">
        <v>1</v>
      </c>
      <c r="I893" t="s">
        <v>97</v>
      </c>
      <c r="J893" s="10">
        <v>56</v>
      </c>
      <c r="K893" s="10">
        <v>168</v>
      </c>
      <c r="L893" s="10">
        <v>0</v>
      </c>
      <c r="N893" s="10">
        <v>0</v>
      </c>
      <c r="O893" t="s">
        <v>99</v>
      </c>
      <c r="P893" s="10">
        <v>109.95</v>
      </c>
      <c r="S893">
        <v>11.25</v>
      </c>
      <c r="U893">
        <v>5</v>
      </c>
      <c r="V893">
        <v>7.5</v>
      </c>
      <c r="W893">
        <v>2.87</v>
      </c>
      <c r="X893">
        <v>1</v>
      </c>
      <c r="Y893">
        <v>10</v>
      </c>
      <c r="Z893">
        <v>10</v>
      </c>
      <c r="AA893">
        <v>8</v>
      </c>
      <c r="AB893">
        <v>0.46300000000000002</v>
      </c>
      <c r="AC893">
        <v>3.97</v>
      </c>
      <c r="AE893">
        <v>1</v>
      </c>
      <c r="AF893" t="s">
        <v>233</v>
      </c>
      <c r="AG893">
        <v>100</v>
      </c>
      <c r="AK893" t="s">
        <v>98</v>
      </c>
      <c r="AL893">
        <v>1</v>
      </c>
      <c r="AM893" t="s">
        <v>98</v>
      </c>
      <c r="AN893" t="s">
        <v>98</v>
      </c>
      <c r="AO893" t="s">
        <v>99</v>
      </c>
      <c r="AP893" t="s">
        <v>100</v>
      </c>
      <c r="AQ893" t="s">
        <v>101</v>
      </c>
      <c r="AV893" t="s">
        <v>98</v>
      </c>
      <c r="AX893" t="s">
        <v>279</v>
      </c>
      <c r="AZ893" t="s">
        <v>124</v>
      </c>
      <c r="BB893" t="s">
        <v>235</v>
      </c>
      <c r="BC893" t="s">
        <v>7605</v>
      </c>
      <c r="BD893" t="s">
        <v>7528</v>
      </c>
      <c r="BF893" t="s">
        <v>2842</v>
      </c>
      <c r="BG893" t="s">
        <v>98</v>
      </c>
      <c r="BH893" t="s">
        <v>98</v>
      </c>
      <c r="BI893" t="s">
        <v>98</v>
      </c>
      <c r="BK893" t="s">
        <v>127</v>
      </c>
      <c r="BL893" t="s">
        <v>756</v>
      </c>
      <c r="BR893">
        <v>8</v>
      </c>
      <c r="BT893">
        <v>4.5</v>
      </c>
      <c r="CA893" t="s">
        <v>2843</v>
      </c>
      <c r="CB893" t="s">
        <v>279</v>
      </c>
      <c r="CL893" t="s">
        <v>98</v>
      </c>
      <c r="CM893" t="s">
        <v>98</v>
      </c>
      <c r="CN893" t="s">
        <v>2844</v>
      </c>
      <c r="CO893" s="1">
        <v>39261</v>
      </c>
      <c r="CP893" s="1">
        <v>43633</v>
      </c>
    </row>
    <row r="894" spans="1:94" x14ac:dyDescent="0.25">
      <c r="A894" t="s">
        <v>2845</v>
      </c>
      <c r="B894" t="str">
        <f xml:space="preserve"> "" &amp; 747396006055</f>
        <v>747396006055</v>
      </c>
      <c r="C894" t="s">
        <v>758</v>
      </c>
      <c r="D894" t="s">
        <v>2846</v>
      </c>
      <c r="E894" t="s">
        <v>2841</v>
      </c>
      <c r="F894" t="s">
        <v>323</v>
      </c>
      <c r="G894">
        <v>1</v>
      </c>
      <c r="H894">
        <v>1</v>
      </c>
      <c r="I894" t="s">
        <v>97</v>
      </c>
      <c r="J894" s="10">
        <v>89</v>
      </c>
      <c r="K894" s="10">
        <v>267</v>
      </c>
      <c r="L894" s="10">
        <v>0</v>
      </c>
      <c r="N894" s="10">
        <v>0</v>
      </c>
      <c r="O894" t="s">
        <v>99</v>
      </c>
      <c r="P894" s="10">
        <v>179.95</v>
      </c>
      <c r="S894">
        <v>9.25</v>
      </c>
      <c r="U894">
        <v>18.75</v>
      </c>
      <c r="V894">
        <v>9</v>
      </c>
      <c r="W894">
        <v>5.29</v>
      </c>
      <c r="X894">
        <v>1</v>
      </c>
      <c r="Y894">
        <v>7</v>
      </c>
      <c r="Z894">
        <v>20</v>
      </c>
      <c r="AA894">
        <v>10</v>
      </c>
      <c r="AB894">
        <v>0.81</v>
      </c>
      <c r="AC894">
        <v>8.6</v>
      </c>
      <c r="AE894">
        <v>2</v>
      </c>
      <c r="AF894" t="s">
        <v>319</v>
      </c>
      <c r="AG894">
        <v>100</v>
      </c>
      <c r="AK894" t="s">
        <v>98</v>
      </c>
      <c r="AM894" t="s">
        <v>98</v>
      </c>
      <c r="AN894" t="s">
        <v>98</v>
      </c>
      <c r="AO894" t="s">
        <v>99</v>
      </c>
      <c r="AP894" t="s">
        <v>100</v>
      </c>
      <c r="AQ894" t="s">
        <v>101</v>
      </c>
      <c r="AV894" t="s">
        <v>98</v>
      </c>
      <c r="AX894" t="s">
        <v>279</v>
      </c>
      <c r="AZ894" t="s">
        <v>124</v>
      </c>
      <c r="BB894" t="s">
        <v>235</v>
      </c>
      <c r="BC894" t="s">
        <v>7605</v>
      </c>
      <c r="BD894" t="s">
        <v>7528</v>
      </c>
      <c r="BF894" t="s">
        <v>2847</v>
      </c>
      <c r="BG894" t="s">
        <v>98</v>
      </c>
      <c r="BH894" t="s">
        <v>98</v>
      </c>
      <c r="BI894" t="s">
        <v>98</v>
      </c>
      <c r="BK894" t="s">
        <v>127</v>
      </c>
      <c r="BL894" t="s">
        <v>756</v>
      </c>
      <c r="BR894">
        <v>4.38</v>
      </c>
      <c r="BT894">
        <v>8</v>
      </c>
      <c r="CA894" t="s">
        <v>2848</v>
      </c>
      <c r="CB894" t="s">
        <v>279</v>
      </c>
      <c r="CL894" t="s">
        <v>98</v>
      </c>
      <c r="CM894" t="s">
        <v>98</v>
      </c>
      <c r="CN894" t="s">
        <v>2844</v>
      </c>
      <c r="CO894" s="1">
        <v>36549</v>
      </c>
      <c r="CP894" s="1">
        <v>43633</v>
      </c>
    </row>
    <row r="895" spans="1:94" x14ac:dyDescent="0.25">
      <c r="A895" t="s">
        <v>2849</v>
      </c>
      <c r="B895" t="str">
        <f xml:space="preserve"> "" &amp; 747396006079</f>
        <v>747396006079</v>
      </c>
      <c r="C895" t="s">
        <v>762</v>
      </c>
      <c r="D895" t="s">
        <v>2850</v>
      </c>
      <c r="E895" t="s">
        <v>2851</v>
      </c>
      <c r="F895" t="s">
        <v>323</v>
      </c>
      <c r="G895">
        <v>1</v>
      </c>
      <c r="H895">
        <v>1</v>
      </c>
      <c r="I895" t="s">
        <v>97</v>
      </c>
      <c r="J895" s="10">
        <v>119</v>
      </c>
      <c r="K895" s="10">
        <v>357</v>
      </c>
      <c r="L895" s="10">
        <v>0</v>
      </c>
      <c r="N895" s="10">
        <v>0</v>
      </c>
      <c r="O895" t="s">
        <v>99</v>
      </c>
      <c r="P895" s="10">
        <v>239.95</v>
      </c>
      <c r="S895">
        <v>9.25</v>
      </c>
      <c r="U895">
        <v>25.5</v>
      </c>
      <c r="V895">
        <v>9</v>
      </c>
      <c r="W895">
        <v>8.6</v>
      </c>
      <c r="X895">
        <v>1</v>
      </c>
      <c r="Y895">
        <v>7</v>
      </c>
      <c r="Z895">
        <v>27</v>
      </c>
      <c r="AA895">
        <v>10</v>
      </c>
      <c r="AB895">
        <v>1.0940000000000001</v>
      </c>
      <c r="AC895">
        <v>10.91</v>
      </c>
      <c r="AE895">
        <v>3</v>
      </c>
      <c r="AF895" t="s">
        <v>233</v>
      </c>
      <c r="AG895">
        <v>100</v>
      </c>
      <c r="AK895" t="s">
        <v>98</v>
      </c>
      <c r="AM895" t="s">
        <v>98</v>
      </c>
      <c r="AN895" t="s">
        <v>99</v>
      </c>
      <c r="AO895" t="s">
        <v>98</v>
      </c>
      <c r="AP895" t="s">
        <v>100</v>
      </c>
      <c r="AQ895" t="s">
        <v>101</v>
      </c>
      <c r="AV895" t="s">
        <v>98</v>
      </c>
      <c r="AX895" t="s">
        <v>279</v>
      </c>
      <c r="AZ895" t="s">
        <v>124</v>
      </c>
      <c r="BB895" t="s">
        <v>235</v>
      </c>
      <c r="BC895" t="s">
        <v>7605</v>
      </c>
      <c r="BD895" t="s">
        <v>7528</v>
      </c>
      <c r="BF895" t="s">
        <v>2852</v>
      </c>
      <c r="BG895" t="s">
        <v>98</v>
      </c>
      <c r="BH895" t="s">
        <v>98</v>
      </c>
      <c r="BI895" t="s">
        <v>98</v>
      </c>
      <c r="BK895" t="s">
        <v>127</v>
      </c>
      <c r="BL895" t="s">
        <v>756</v>
      </c>
      <c r="BR895">
        <v>4.5</v>
      </c>
      <c r="BT895">
        <v>8</v>
      </c>
      <c r="CA895" t="s">
        <v>2853</v>
      </c>
      <c r="CB895" t="s">
        <v>279</v>
      </c>
      <c r="CL895" t="s">
        <v>98</v>
      </c>
      <c r="CM895" t="s">
        <v>98</v>
      </c>
      <c r="CN895" t="s">
        <v>2844</v>
      </c>
      <c r="CO895" s="1">
        <v>39275</v>
      </c>
      <c r="CP895" s="1">
        <v>43633</v>
      </c>
    </row>
    <row r="896" spans="1:94" x14ac:dyDescent="0.25">
      <c r="A896" t="s">
        <v>2854</v>
      </c>
      <c r="B896" t="str">
        <f xml:space="preserve"> "" &amp; 747396006093</f>
        <v>747396006093</v>
      </c>
      <c r="C896" t="s">
        <v>766</v>
      </c>
      <c r="D896" t="s">
        <v>2855</v>
      </c>
      <c r="E896" t="s">
        <v>2851</v>
      </c>
      <c r="F896" t="s">
        <v>323</v>
      </c>
      <c r="G896">
        <v>1</v>
      </c>
      <c r="H896">
        <v>1</v>
      </c>
      <c r="I896" t="s">
        <v>97</v>
      </c>
      <c r="J896" s="10">
        <v>149</v>
      </c>
      <c r="K896" s="10">
        <v>447</v>
      </c>
      <c r="L896" s="10">
        <v>0</v>
      </c>
      <c r="N896" s="10">
        <v>0</v>
      </c>
      <c r="O896" t="s">
        <v>99</v>
      </c>
      <c r="P896" s="10">
        <v>299.95</v>
      </c>
      <c r="S896">
        <v>9.25</v>
      </c>
      <c r="U896">
        <v>33.25</v>
      </c>
      <c r="V896">
        <v>9</v>
      </c>
      <c r="W896">
        <v>10.87</v>
      </c>
      <c r="X896">
        <v>1</v>
      </c>
      <c r="Y896">
        <v>7</v>
      </c>
      <c r="Z896">
        <v>35</v>
      </c>
      <c r="AA896">
        <v>10</v>
      </c>
      <c r="AB896">
        <v>1.4179999999999999</v>
      </c>
      <c r="AC896">
        <v>13.27</v>
      </c>
      <c r="AE896">
        <v>4</v>
      </c>
      <c r="AF896" t="s">
        <v>319</v>
      </c>
      <c r="AG896">
        <v>100</v>
      </c>
      <c r="AK896" t="s">
        <v>98</v>
      </c>
      <c r="AL896">
        <v>4</v>
      </c>
      <c r="AM896" t="s">
        <v>98</v>
      </c>
      <c r="AN896" t="s">
        <v>99</v>
      </c>
      <c r="AO896" t="s">
        <v>98</v>
      </c>
      <c r="AP896" t="s">
        <v>100</v>
      </c>
      <c r="AQ896" t="s">
        <v>101</v>
      </c>
      <c r="AV896" t="s">
        <v>98</v>
      </c>
      <c r="AX896" t="s">
        <v>279</v>
      </c>
      <c r="AZ896" t="s">
        <v>124</v>
      </c>
      <c r="BB896" t="s">
        <v>235</v>
      </c>
      <c r="BC896" t="s">
        <v>7605</v>
      </c>
      <c r="BD896" t="s">
        <v>7528</v>
      </c>
      <c r="BF896" t="s">
        <v>2856</v>
      </c>
      <c r="BG896" t="s">
        <v>98</v>
      </c>
      <c r="BH896" t="s">
        <v>98</v>
      </c>
      <c r="BI896" t="s">
        <v>98</v>
      </c>
      <c r="BK896" t="s">
        <v>127</v>
      </c>
      <c r="BL896" t="s">
        <v>756</v>
      </c>
      <c r="BM896">
        <v>8</v>
      </c>
      <c r="BN896">
        <v>4.5</v>
      </c>
      <c r="CA896" t="s">
        <v>2857</v>
      </c>
      <c r="CB896" t="s">
        <v>279</v>
      </c>
      <c r="CL896" t="s">
        <v>99</v>
      </c>
      <c r="CM896" t="s">
        <v>98</v>
      </c>
      <c r="CN896" t="s">
        <v>237</v>
      </c>
      <c r="CO896" s="1">
        <v>36545</v>
      </c>
      <c r="CP896" s="1">
        <v>43633</v>
      </c>
    </row>
    <row r="897" spans="1:94" x14ac:dyDescent="0.25">
      <c r="A897" t="s">
        <v>2858</v>
      </c>
      <c r="B897" t="str">
        <f xml:space="preserve"> "" &amp; 747396068794</f>
        <v>747396068794</v>
      </c>
      <c r="C897" t="s">
        <v>751</v>
      </c>
      <c r="D897" t="s">
        <v>751</v>
      </c>
      <c r="E897" t="s">
        <v>7528</v>
      </c>
      <c r="F897" t="s">
        <v>323</v>
      </c>
      <c r="G897">
        <v>1</v>
      </c>
      <c r="H897">
        <v>1</v>
      </c>
      <c r="I897" t="s">
        <v>97</v>
      </c>
      <c r="J897" s="10">
        <v>66</v>
      </c>
      <c r="K897" s="10">
        <v>198</v>
      </c>
      <c r="L897" s="10">
        <v>0</v>
      </c>
      <c r="N897" s="10">
        <v>0</v>
      </c>
      <c r="O897" t="s">
        <v>99</v>
      </c>
      <c r="P897" s="10">
        <v>134.94999999999999</v>
      </c>
      <c r="S897">
        <v>9.25</v>
      </c>
      <c r="T897">
        <v>16.5</v>
      </c>
      <c r="U897">
        <v>5.5</v>
      </c>
      <c r="V897">
        <v>7.25</v>
      </c>
      <c r="W897">
        <v>2.4900000000000002</v>
      </c>
      <c r="X897">
        <v>1</v>
      </c>
      <c r="Y897">
        <v>7.13</v>
      </c>
      <c r="Z897">
        <v>16.5</v>
      </c>
      <c r="AA897">
        <v>9.5</v>
      </c>
      <c r="AB897">
        <v>0.64700000000000002</v>
      </c>
      <c r="AC897">
        <v>3.68</v>
      </c>
      <c r="AE897">
        <v>1</v>
      </c>
      <c r="AF897" t="s">
        <v>282</v>
      </c>
      <c r="AG897">
        <v>100</v>
      </c>
      <c r="AK897" t="s">
        <v>98</v>
      </c>
      <c r="AL897">
        <v>1</v>
      </c>
      <c r="AM897" t="s">
        <v>98</v>
      </c>
      <c r="AN897" t="s">
        <v>99</v>
      </c>
      <c r="AO897" t="s">
        <v>98</v>
      </c>
      <c r="AP897" t="s">
        <v>100</v>
      </c>
      <c r="AQ897" t="s">
        <v>101</v>
      </c>
      <c r="AV897" t="s">
        <v>98</v>
      </c>
      <c r="AX897" t="s">
        <v>399</v>
      </c>
      <c r="AZ897" t="s">
        <v>124</v>
      </c>
      <c r="BB897" t="s">
        <v>235</v>
      </c>
      <c r="BC897" t="s">
        <v>2859</v>
      </c>
      <c r="BD897" t="s">
        <v>7528</v>
      </c>
      <c r="BF897" t="s">
        <v>2860</v>
      </c>
      <c r="BG897" t="s">
        <v>98</v>
      </c>
      <c r="BH897" t="s">
        <v>98</v>
      </c>
      <c r="BI897" t="s">
        <v>98</v>
      </c>
      <c r="BK897" t="s">
        <v>127</v>
      </c>
      <c r="BL897" t="s">
        <v>7528</v>
      </c>
      <c r="BM897">
        <v>4.5</v>
      </c>
      <c r="BN897">
        <v>7.88</v>
      </c>
      <c r="CA897">
        <v>5791</v>
      </c>
      <c r="CB897" t="s">
        <v>399</v>
      </c>
      <c r="CL897" t="s">
        <v>99</v>
      </c>
      <c r="CM897" t="s">
        <v>98</v>
      </c>
      <c r="CN897" t="s">
        <v>394</v>
      </c>
      <c r="CO897" s="1">
        <v>41401</v>
      </c>
      <c r="CP897" s="1">
        <v>43633</v>
      </c>
    </row>
    <row r="898" spans="1:94" x14ac:dyDescent="0.25">
      <c r="A898" t="s">
        <v>2861</v>
      </c>
      <c r="B898" t="str">
        <f xml:space="preserve"> "" &amp; 747396068800</f>
        <v>747396068800</v>
      </c>
      <c r="C898" t="s">
        <v>758</v>
      </c>
      <c r="D898" t="s">
        <v>6790</v>
      </c>
      <c r="E898" t="s">
        <v>7528</v>
      </c>
      <c r="F898" t="s">
        <v>323</v>
      </c>
      <c r="G898">
        <v>1</v>
      </c>
      <c r="H898">
        <v>1</v>
      </c>
      <c r="I898" t="s">
        <v>97</v>
      </c>
      <c r="J898" s="10">
        <v>95</v>
      </c>
      <c r="K898" s="10">
        <v>285</v>
      </c>
      <c r="L898" s="10">
        <v>0</v>
      </c>
      <c r="N898" s="10">
        <v>0</v>
      </c>
      <c r="O898" t="s">
        <v>99</v>
      </c>
      <c r="P898" s="10">
        <v>194.95</v>
      </c>
      <c r="S898">
        <v>9.25</v>
      </c>
      <c r="U898">
        <v>14.5</v>
      </c>
      <c r="V898">
        <v>7.25</v>
      </c>
      <c r="W898">
        <v>3.55</v>
      </c>
      <c r="X898">
        <v>1</v>
      </c>
      <c r="Y898">
        <v>12.25</v>
      </c>
      <c r="Z898">
        <v>22.5</v>
      </c>
      <c r="AA898">
        <v>12</v>
      </c>
      <c r="AB898">
        <v>1.9139999999999999</v>
      </c>
      <c r="AC898">
        <v>6.31</v>
      </c>
      <c r="AE898">
        <v>2</v>
      </c>
      <c r="AF898" t="s">
        <v>282</v>
      </c>
      <c r="AG898">
        <v>100</v>
      </c>
      <c r="AK898" t="s">
        <v>98</v>
      </c>
      <c r="AM898" t="s">
        <v>98</v>
      </c>
      <c r="AN898" t="s">
        <v>99</v>
      </c>
      <c r="AO898" t="s">
        <v>98</v>
      </c>
      <c r="AP898" t="s">
        <v>100</v>
      </c>
      <c r="AQ898" t="s">
        <v>101</v>
      </c>
      <c r="AV898" t="s">
        <v>98</v>
      </c>
      <c r="AX898" t="s">
        <v>399</v>
      </c>
      <c r="AZ898" t="s">
        <v>124</v>
      </c>
      <c r="BB898" t="s">
        <v>235</v>
      </c>
      <c r="BC898" t="s">
        <v>7606</v>
      </c>
      <c r="BD898" t="s">
        <v>7528</v>
      </c>
      <c r="BF898" t="s">
        <v>2862</v>
      </c>
      <c r="BG898" t="s">
        <v>98</v>
      </c>
      <c r="BH898" t="s">
        <v>98</v>
      </c>
      <c r="BI898" t="s">
        <v>98</v>
      </c>
      <c r="BK898" t="s">
        <v>127</v>
      </c>
      <c r="BL898" t="s">
        <v>7528</v>
      </c>
      <c r="BR898">
        <v>4.5</v>
      </c>
      <c r="BT898">
        <v>7.88</v>
      </c>
      <c r="CA898">
        <v>5792</v>
      </c>
      <c r="CB898" t="s">
        <v>399</v>
      </c>
      <c r="CL898" t="s">
        <v>99</v>
      </c>
      <c r="CM898" t="s">
        <v>98</v>
      </c>
      <c r="CN898" t="s">
        <v>394</v>
      </c>
      <c r="CO898" s="1">
        <v>41401</v>
      </c>
      <c r="CP898" s="1">
        <v>43633</v>
      </c>
    </row>
    <row r="899" spans="1:94" x14ac:dyDescent="0.25">
      <c r="A899" t="s">
        <v>2863</v>
      </c>
      <c r="B899" t="str">
        <f xml:space="preserve"> "" &amp; 747396068817</f>
        <v>747396068817</v>
      </c>
      <c r="C899" t="s">
        <v>762</v>
      </c>
      <c r="D899" t="s">
        <v>762</v>
      </c>
      <c r="E899" t="s">
        <v>7528</v>
      </c>
      <c r="F899" t="s">
        <v>323</v>
      </c>
      <c r="G899">
        <v>1</v>
      </c>
      <c r="H899">
        <v>1</v>
      </c>
      <c r="I899" t="s">
        <v>97</v>
      </c>
      <c r="J899" s="10">
        <v>129</v>
      </c>
      <c r="K899" s="10">
        <v>387</v>
      </c>
      <c r="L899" s="10">
        <v>0</v>
      </c>
      <c r="N899" s="10">
        <v>0</v>
      </c>
      <c r="O899" t="s">
        <v>99</v>
      </c>
      <c r="P899" s="10">
        <v>259.95</v>
      </c>
      <c r="S899">
        <v>9.25</v>
      </c>
      <c r="U899">
        <v>23.5</v>
      </c>
      <c r="V899">
        <v>7.25</v>
      </c>
      <c r="W899">
        <v>5.64</v>
      </c>
      <c r="X899">
        <v>1</v>
      </c>
      <c r="Y899">
        <v>12.25</v>
      </c>
      <c r="Z899">
        <v>27</v>
      </c>
      <c r="AA899">
        <v>14.5</v>
      </c>
      <c r="AB899">
        <v>2.7749999999999999</v>
      </c>
      <c r="AC899">
        <v>9.7899999999999991</v>
      </c>
      <c r="AE899">
        <v>3</v>
      </c>
      <c r="AF899" t="s">
        <v>282</v>
      </c>
      <c r="AG899">
        <v>100</v>
      </c>
      <c r="AK899" t="s">
        <v>98</v>
      </c>
      <c r="AM899" t="s">
        <v>98</v>
      </c>
      <c r="AN899" t="s">
        <v>99</v>
      </c>
      <c r="AO899" t="s">
        <v>98</v>
      </c>
      <c r="AP899" t="s">
        <v>100</v>
      </c>
      <c r="AQ899" t="s">
        <v>101</v>
      </c>
      <c r="AV899" t="s">
        <v>98</v>
      </c>
      <c r="AX899" t="s">
        <v>399</v>
      </c>
      <c r="AZ899" t="s">
        <v>124</v>
      </c>
      <c r="BB899" t="s">
        <v>235</v>
      </c>
      <c r="BC899" t="s">
        <v>7607</v>
      </c>
      <c r="BD899" t="s">
        <v>7528</v>
      </c>
      <c r="BF899" t="s">
        <v>2864</v>
      </c>
      <c r="BG899" t="s">
        <v>98</v>
      </c>
      <c r="BH899" t="s">
        <v>98</v>
      </c>
      <c r="BI899" t="s">
        <v>98</v>
      </c>
      <c r="BK899" t="s">
        <v>127</v>
      </c>
      <c r="BL899" t="s">
        <v>7528</v>
      </c>
      <c r="BR899">
        <v>4.5</v>
      </c>
      <c r="BT899">
        <v>12</v>
      </c>
      <c r="CA899">
        <v>5793</v>
      </c>
      <c r="CB899" t="s">
        <v>399</v>
      </c>
      <c r="CL899" t="s">
        <v>99</v>
      </c>
      <c r="CM899" t="s">
        <v>98</v>
      </c>
      <c r="CN899" t="s">
        <v>394</v>
      </c>
      <c r="CO899" s="1">
        <v>41401</v>
      </c>
      <c r="CP899" s="1">
        <v>43633</v>
      </c>
    </row>
    <row r="900" spans="1:94" x14ac:dyDescent="0.25">
      <c r="A900" t="s">
        <v>2865</v>
      </c>
      <c r="B900" t="str">
        <f xml:space="preserve"> "" &amp; 747396068824</f>
        <v>747396068824</v>
      </c>
      <c r="C900" t="s">
        <v>766</v>
      </c>
      <c r="D900" t="s">
        <v>766</v>
      </c>
      <c r="E900" t="s">
        <v>7528</v>
      </c>
      <c r="F900" t="s">
        <v>323</v>
      </c>
      <c r="G900">
        <v>1</v>
      </c>
      <c r="H900">
        <v>1</v>
      </c>
      <c r="I900" t="s">
        <v>97</v>
      </c>
      <c r="J900" s="10">
        <v>159</v>
      </c>
      <c r="K900" s="10">
        <v>477</v>
      </c>
      <c r="L900" s="10">
        <v>0</v>
      </c>
      <c r="N900" s="10">
        <v>0</v>
      </c>
      <c r="O900" t="s">
        <v>99</v>
      </c>
      <c r="P900" s="10">
        <v>324.95</v>
      </c>
      <c r="S900">
        <v>9.25</v>
      </c>
      <c r="U900">
        <v>32.5</v>
      </c>
      <c r="V900">
        <v>7.25</v>
      </c>
      <c r="W900">
        <v>7.5</v>
      </c>
      <c r="X900">
        <v>1</v>
      </c>
      <c r="Y900">
        <v>12.25</v>
      </c>
      <c r="Z900">
        <v>37</v>
      </c>
      <c r="AA900">
        <v>12</v>
      </c>
      <c r="AB900">
        <v>3.1480000000000001</v>
      </c>
      <c r="AC900">
        <v>11.49</v>
      </c>
      <c r="AE900">
        <v>4</v>
      </c>
      <c r="AF900" t="s">
        <v>7544</v>
      </c>
      <c r="AG900">
        <v>100</v>
      </c>
      <c r="AK900" t="s">
        <v>98</v>
      </c>
      <c r="AM900" t="s">
        <v>98</v>
      </c>
      <c r="AN900" t="s">
        <v>99</v>
      </c>
      <c r="AO900" t="s">
        <v>98</v>
      </c>
      <c r="AP900" t="s">
        <v>100</v>
      </c>
      <c r="AQ900" t="s">
        <v>101</v>
      </c>
      <c r="AV900" t="s">
        <v>98</v>
      </c>
      <c r="AX900" t="s">
        <v>399</v>
      </c>
      <c r="AZ900" t="s">
        <v>124</v>
      </c>
      <c r="BB900" t="s">
        <v>235</v>
      </c>
      <c r="BC900" t="s">
        <v>7607</v>
      </c>
      <c r="BD900" t="s">
        <v>7528</v>
      </c>
      <c r="BF900" t="s">
        <v>2866</v>
      </c>
      <c r="BG900" t="s">
        <v>98</v>
      </c>
      <c r="BH900" t="s">
        <v>98</v>
      </c>
      <c r="BI900" t="s">
        <v>98</v>
      </c>
      <c r="BK900" t="s">
        <v>127</v>
      </c>
      <c r="BL900" t="s">
        <v>7528</v>
      </c>
      <c r="BR900">
        <v>4.5</v>
      </c>
      <c r="BT900">
        <v>12</v>
      </c>
      <c r="CA900">
        <v>5794</v>
      </c>
      <c r="CB900" t="s">
        <v>399</v>
      </c>
      <c r="CL900" t="s">
        <v>99</v>
      </c>
      <c r="CM900" t="s">
        <v>98</v>
      </c>
      <c r="CN900" t="s">
        <v>394</v>
      </c>
      <c r="CO900" s="1">
        <v>41401</v>
      </c>
      <c r="CP900" s="1">
        <v>43633</v>
      </c>
    </row>
    <row r="901" spans="1:94" x14ac:dyDescent="0.25">
      <c r="A901" t="s">
        <v>2867</v>
      </c>
      <c r="B901" t="str">
        <f xml:space="preserve"> "" &amp; 747396091778</f>
        <v>747396091778</v>
      </c>
      <c r="C901" t="s">
        <v>758</v>
      </c>
      <c r="D901" t="s">
        <v>2868</v>
      </c>
      <c r="E901" t="s">
        <v>7530</v>
      </c>
      <c r="F901" t="s">
        <v>7537</v>
      </c>
      <c r="G901">
        <v>1</v>
      </c>
      <c r="H901">
        <v>1</v>
      </c>
      <c r="I901" t="s">
        <v>97</v>
      </c>
      <c r="J901" s="10">
        <v>30</v>
      </c>
      <c r="K901" s="10">
        <v>90</v>
      </c>
      <c r="L901" s="10">
        <v>0</v>
      </c>
      <c r="N901" s="10">
        <v>0</v>
      </c>
      <c r="S901">
        <v>9.5</v>
      </c>
      <c r="U901">
        <v>15</v>
      </c>
      <c r="V901">
        <v>6.75</v>
      </c>
      <c r="W901">
        <v>3.97</v>
      </c>
      <c r="Y901">
        <v>12</v>
      </c>
      <c r="Z901">
        <v>14.75</v>
      </c>
      <c r="AA901">
        <v>8</v>
      </c>
      <c r="AB901">
        <v>0.81899999999999995</v>
      </c>
      <c r="AC901">
        <v>4.96</v>
      </c>
      <c r="AE901">
        <v>2</v>
      </c>
      <c r="AF901" t="s">
        <v>2629</v>
      </c>
      <c r="AG901">
        <v>100</v>
      </c>
      <c r="AK901" t="s">
        <v>98</v>
      </c>
      <c r="AM901" t="s">
        <v>98</v>
      </c>
      <c r="AN901" t="s">
        <v>99</v>
      </c>
      <c r="AO901" t="s">
        <v>98</v>
      </c>
      <c r="AP901" t="s">
        <v>100</v>
      </c>
      <c r="AQ901" t="s">
        <v>101</v>
      </c>
      <c r="AV901" t="s">
        <v>98</v>
      </c>
      <c r="AX901" t="s">
        <v>2585</v>
      </c>
      <c r="AZ901" t="s">
        <v>7528</v>
      </c>
      <c r="BB901" t="s">
        <v>235</v>
      </c>
      <c r="BC901" t="s">
        <v>808</v>
      </c>
      <c r="BD901" t="s">
        <v>7528</v>
      </c>
      <c r="BF901" t="s">
        <v>2869</v>
      </c>
      <c r="BG901" t="s">
        <v>98</v>
      </c>
      <c r="BH901" t="s">
        <v>98</v>
      </c>
      <c r="BI901" t="s">
        <v>98</v>
      </c>
      <c r="BK901" t="s">
        <v>127</v>
      </c>
      <c r="BL901" t="s">
        <v>7528</v>
      </c>
      <c r="BR901">
        <v>4.75</v>
      </c>
      <c r="BT901">
        <v>6.5</v>
      </c>
      <c r="CA901">
        <v>5862</v>
      </c>
      <c r="CB901" t="s">
        <v>2585</v>
      </c>
      <c r="CL901" t="s">
        <v>98</v>
      </c>
      <c r="CM901" t="s">
        <v>98</v>
      </c>
      <c r="CN901" t="s">
        <v>592</v>
      </c>
      <c r="CO901" s="1">
        <v>41605</v>
      </c>
      <c r="CP901" s="1">
        <v>43633</v>
      </c>
    </row>
    <row r="902" spans="1:94" x14ac:dyDescent="0.25">
      <c r="A902" t="s">
        <v>2870</v>
      </c>
      <c r="B902" t="str">
        <f xml:space="preserve"> "" &amp; 747396091792</f>
        <v>747396091792</v>
      </c>
      <c r="C902" t="s">
        <v>766</v>
      </c>
      <c r="D902" t="s">
        <v>2871</v>
      </c>
      <c r="E902" t="s">
        <v>7530</v>
      </c>
      <c r="F902" t="s">
        <v>7537</v>
      </c>
      <c r="G902">
        <v>1</v>
      </c>
      <c r="H902">
        <v>1</v>
      </c>
      <c r="I902" t="s">
        <v>97</v>
      </c>
      <c r="J902" s="10">
        <v>50</v>
      </c>
      <c r="K902" s="10">
        <v>150</v>
      </c>
      <c r="L902" s="10">
        <v>0</v>
      </c>
      <c r="N902" s="10">
        <v>0</v>
      </c>
      <c r="S902">
        <v>9</v>
      </c>
      <c r="U902">
        <v>31.5</v>
      </c>
      <c r="V902">
        <v>6.75</v>
      </c>
      <c r="W902">
        <v>7.28</v>
      </c>
      <c r="Y902">
        <v>12</v>
      </c>
      <c r="Z902">
        <v>29.75</v>
      </c>
      <c r="AA902">
        <v>8</v>
      </c>
      <c r="AB902">
        <v>1.653</v>
      </c>
      <c r="AC902">
        <v>9.92</v>
      </c>
      <c r="AE902">
        <v>4</v>
      </c>
      <c r="AF902" t="s">
        <v>2629</v>
      </c>
      <c r="AG902">
        <v>100</v>
      </c>
      <c r="AK902" t="s">
        <v>98</v>
      </c>
      <c r="AM902" t="s">
        <v>98</v>
      </c>
      <c r="AN902" t="s">
        <v>99</v>
      </c>
      <c r="AO902" t="s">
        <v>98</v>
      </c>
      <c r="AP902" t="s">
        <v>100</v>
      </c>
      <c r="AQ902" t="s">
        <v>101</v>
      </c>
      <c r="AV902" t="s">
        <v>98</v>
      </c>
      <c r="AX902" t="s">
        <v>2585</v>
      </c>
      <c r="AZ902" t="s">
        <v>7528</v>
      </c>
      <c r="BB902" t="s">
        <v>235</v>
      </c>
      <c r="BC902" t="s">
        <v>808</v>
      </c>
      <c r="BD902" t="s">
        <v>7528</v>
      </c>
      <c r="BF902" t="s">
        <v>2872</v>
      </c>
      <c r="BG902" t="s">
        <v>98</v>
      </c>
      <c r="BH902" t="s">
        <v>98</v>
      </c>
      <c r="BI902" t="s">
        <v>98</v>
      </c>
      <c r="BK902" t="s">
        <v>127</v>
      </c>
      <c r="BL902" t="s">
        <v>7528</v>
      </c>
      <c r="BR902">
        <v>4.75</v>
      </c>
      <c r="BT902">
        <v>6.5</v>
      </c>
      <c r="CA902">
        <v>5864</v>
      </c>
      <c r="CB902" t="s">
        <v>2585</v>
      </c>
      <c r="CL902" t="s">
        <v>98</v>
      </c>
      <c r="CM902" t="s">
        <v>98</v>
      </c>
      <c r="CN902" t="s">
        <v>592</v>
      </c>
      <c r="CO902" s="1">
        <v>41605</v>
      </c>
      <c r="CP902" s="1">
        <v>43633</v>
      </c>
    </row>
    <row r="903" spans="1:94" x14ac:dyDescent="0.25">
      <c r="A903" t="s">
        <v>2873</v>
      </c>
      <c r="B903" t="str">
        <f xml:space="preserve"> "" &amp; 747396068633</f>
        <v>747396068633</v>
      </c>
      <c r="C903" t="s">
        <v>758</v>
      </c>
      <c r="D903" t="s">
        <v>2874</v>
      </c>
      <c r="E903" t="s">
        <v>2621</v>
      </c>
      <c r="F903" t="s">
        <v>323</v>
      </c>
      <c r="G903">
        <v>1</v>
      </c>
      <c r="H903">
        <v>1</v>
      </c>
      <c r="I903" t="s">
        <v>97</v>
      </c>
      <c r="J903" s="10">
        <v>47.95</v>
      </c>
      <c r="K903" s="10">
        <v>143.85</v>
      </c>
      <c r="L903" s="10">
        <v>0</v>
      </c>
      <c r="N903" s="10">
        <v>0</v>
      </c>
      <c r="S903">
        <v>8.5</v>
      </c>
      <c r="U903">
        <v>15</v>
      </c>
      <c r="V903">
        <v>7.25</v>
      </c>
      <c r="W903">
        <v>4.4800000000000004</v>
      </c>
      <c r="Y903">
        <v>9.5</v>
      </c>
      <c r="Z903">
        <v>16.5</v>
      </c>
      <c r="AA903">
        <v>9.5</v>
      </c>
      <c r="AB903">
        <v>0.86199999999999999</v>
      </c>
      <c r="AC903">
        <v>5.6</v>
      </c>
      <c r="AE903">
        <v>2</v>
      </c>
      <c r="AF903" t="s">
        <v>282</v>
      </c>
      <c r="AG903">
        <v>100</v>
      </c>
      <c r="AK903" t="s">
        <v>98</v>
      </c>
      <c r="AM903" t="s">
        <v>98</v>
      </c>
      <c r="AN903" t="s">
        <v>99</v>
      </c>
      <c r="AO903" t="s">
        <v>98</v>
      </c>
      <c r="AP903" t="s">
        <v>100</v>
      </c>
      <c r="AQ903" t="s">
        <v>101</v>
      </c>
      <c r="AV903" t="s">
        <v>98</v>
      </c>
      <c r="AX903" t="s">
        <v>367</v>
      </c>
      <c r="AZ903" t="s">
        <v>7528</v>
      </c>
      <c r="BB903" t="s">
        <v>235</v>
      </c>
      <c r="BC903" t="s">
        <v>808</v>
      </c>
      <c r="BD903" t="s">
        <v>7528</v>
      </c>
      <c r="BF903" t="s">
        <v>2875</v>
      </c>
      <c r="BG903" t="s">
        <v>98</v>
      </c>
      <c r="BH903" t="s">
        <v>98</v>
      </c>
      <c r="BI903" t="s">
        <v>98</v>
      </c>
      <c r="BK903" t="s">
        <v>127</v>
      </c>
      <c r="BL903" t="s">
        <v>756</v>
      </c>
      <c r="BR903">
        <v>4.5</v>
      </c>
      <c r="BT903">
        <v>8</v>
      </c>
      <c r="CA903">
        <v>5932</v>
      </c>
      <c r="CB903" t="s">
        <v>367</v>
      </c>
      <c r="CL903" t="s">
        <v>99</v>
      </c>
      <c r="CM903" t="s">
        <v>98</v>
      </c>
      <c r="CN903" t="s">
        <v>442</v>
      </c>
      <c r="CO903" s="1">
        <v>41425</v>
      </c>
      <c r="CP903" s="1">
        <v>43633</v>
      </c>
    </row>
    <row r="904" spans="1:94" x14ac:dyDescent="0.25">
      <c r="A904" t="s">
        <v>2876</v>
      </c>
      <c r="B904" t="str">
        <f xml:space="preserve"> "" &amp; 747396091617</f>
        <v>747396091617</v>
      </c>
      <c r="C904" t="s">
        <v>758</v>
      </c>
      <c r="D904" t="s">
        <v>2874</v>
      </c>
      <c r="E904" t="s">
        <v>2621</v>
      </c>
      <c r="F904" t="s">
        <v>323</v>
      </c>
      <c r="G904">
        <v>1</v>
      </c>
      <c r="H904">
        <v>1</v>
      </c>
      <c r="I904" t="s">
        <v>97</v>
      </c>
      <c r="J904" s="10">
        <v>27.5</v>
      </c>
      <c r="K904" s="10">
        <v>82.5</v>
      </c>
      <c r="L904" s="10">
        <v>0</v>
      </c>
      <c r="N904" s="10">
        <v>0</v>
      </c>
      <c r="S904">
        <v>8.5</v>
      </c>
      <c r="U904">
        <v>15</v>
      </c>
      <c r="V904">
        <v>7.25</v>
      </c>
      <c r="W904">
        <v>4.4800000000000004</v>
      </c>
      <c r="Y904">
        <v>9.5</v>
      </c>
      <c r="Z904">
        <v>16.5</v>
      </c>
      <c r="AA904">
        <v>9.5</v>
      </c>
      <c r="AB904">
        <v>0.86199999999999999</v>
      </c>
      <c r="AC904">
        <v>5.6</v>
      </c>
      <c r="AE904">
        <v>2</v>
      </c>
      <c r="AF904" t="s">
        <v>282</v>
      </c>
      <c r="AG904">
        <v>100</v>
      </c>
      <c r="AK904" t="s">
        <v>98</v>
      </c>
      <c r="AM904" t="s">
        <v>98</v>
      </c>
      <c r="AN904" t="s">
        <v>99</v>
      </c>
      <c r="AO904" t="s">
        <v>98</v>
      </c>
      <c r="AP904" t="s">
        <v>100</v>
      </c>
      <c r="AQ904" t="s">
        <v>101</v>
      </c>
      <c r="AV904" t="s">
        <v>98</v>
      </c>
      <c r="AX904" t="s">
        <v>1257</v>
      </c>
      <c r="AZ904" t="s">
        <v>102</v>
      </c>
      <c r="BB904" t="s">
        <v>235</v>
      </c>
      <c r="BC904" t="s">
        <v>561</v>
      </c>
      <c r="BD904" t="s">
        <v>7528</v>
      </c>
      <c r="BF904" t="s">
        <v>2877</v>
      </c>
      <c r="BG904" t="s">
        <v>98</v>
      </c>
      <c r="BH904" t="s">
        <v>98</v>
      </c>
      <c r="BI904" t="s">
        <v>98</v>
      </c>
      <c r="BK904" t="s">
        <v>127</v>
      </c>
      <c r="BL904" t="s">
        <v>756</v>
      </c>
      <c r="BR904">
        <v>4.5</v>
      </c>
      <c r="BT904">
        <v>8</v>
      </c>
      <c r="CA904">
        <v>5932</v>
      </c>
      <c r="CB904" t="s">
        <v>1257</v>
      </c>
      <c r="CL904" t="s">
        <v>98</v>
      </c>
      <c r="CM904" t="s">
        <v>98</v>
      </c>
      <c r="CN904" t="s">
        <v>442</v>
      </c>
      <c r="CO904" s="1">
        <v>41509</v>
      </c>
      <c r="CP904" s="1">
        <v>43633</v>
      </c>
    </row>
    <row r="905" spans="1:94" x14ac:dyDescent="0.25">
      <c r="A905" t="s">
        <v>2878</v>
      </c>
      <c r="B905" t="str">
        <f xml:space="preserve"> "" &amp; 747396091631</f>
        <v>747396091631</v>
      </c>
      <c r="C905" t="s">
        <v>766</v>
      </c>
      <c r="D905" t="s">
        <v>2879</v>
      </c>
      <c r="E905" t="s">
        <v>2621</v>
      </c>
      <c r="F905" t="s">
        <v>323</v>
      </c>
      <c r="G905">
        <v>1</v>
      </c>
      <c r="H905">
        <v>1</v>
      </c>
      <c r="I905" t="s">
        <v>97</v>
      </c>
      <c r="J905" s="10">
        <v>50</v>
      </c>
      <c r="K905" s="10">
        <v>150</v>
      </c>
      <c r="L905" s="10">
        <v>0</v>
      </c>
      <c r="N905" s="10">
        <v>0</v>
      </c>
      <c r="S905">
        <v>8.5</v>
      </c>
      <c r="T905">
        <v>31.75</v>
      </c>
      <c r="U905">
        <v>31.75</v>
      </c>
      <c r="W905">
        <v>8.2899999999999991</v>
      </c>
      <c r="Y905">
        <v>9.5</v>
      </c>
      <c r="Z905">
        <v>34.5</v>
      </c>
      <c r="AA905">
        <v>9.5</v>
      </c>
      <c r="AB905">
        <v>1.802</v>
      </c>
      <c r="AC905">
        <v>10.3</v>
      </c>
      <c r="AE905">
        <v>4</v>
      </c>
      <c r="AF905" t="s">
        <v>282</v>
      </c>
      <c r="AG905">
        <v>100</v>
      </c>
      <c r="AK905" t="s">
        <v>98</v>
      </c>
      <c r="AM905" t="s">
        <v>98</v>
      </c>
      <c r="AN905" t="s">
        <v>99</v>
      </c>
      <c r="AO905" t="s">
        <v>98</v>
      </c>
      <c r="AP905" t="s">
        <v>100</v>
      </c>
      <c r="AQ905" t="s">
        <v>101</v>
      </c>
      <c r="AV905" t="s">
        <v>98</v>
      </c>
      <c r="AX905" t="s">
        <v>1257</v>
      </c>
      <c r="AZ905" t="s">
        <v>102</v>
      </c>
      <c r="BB905" t="s">
        <v>235</v>
      </c>
      <c r="BC905" t="s">
        <v>561</v>
      </c>
      <c r="BD905" t="s">
        <v>7528</v>
      </c>
      <c r="BF905" t="s">
        <v>2880</v>
      </c>
      <c r="BG905" t="s">
        <v>98</v>
      </c>
      <c r="BH905" t="s">
        <v>98</v>
      </c>
      <c r="BI905" t="s">
        <v>98</v>
      </c>
      <c r="BK905" t="s">
        <v>127</v>
      </c>
      <c r="BL905" t="s">
        <v>756</v>
      </c>
      <c r="BR905">
        <v>4.5</v>
      </c>
      <c r="BT905">
        <v>8</v>
      </c>
      <c r="CA905">
        <v>5934</v>
      </c>
      <c r="CB905" t="s">
        <v>1257</v>
      </c>
      <c r="CL905" t="s">
        <v>98</v>
      </c>
      <c r="CM905" t="s">
        <v>98</v>
      </c>
      <c r="CN905" t="s">
        <v>442</v>
      </c>
      <c r="CO905" s="1">
        <v>41425</v>
      </c>
      <c r="CP905" s="1">
        <v>43633</v>
      </c>
    </row>
    <row r="906" spans="1:94" x14ac:dyDescent="0.25">
      <c r="A906" t="s">
        <v>2881</v>
      </c>
      <c r="B906" t="str">
        <f xml:space="preserve"> "" &amp; 747396091167</f>
        <v>747396091167</v>
      </c>
      <c r="C906" t="s">
        <v>751</v>
      </c>
      <c r="D906" t="s">
        <v>2882</v>
      </c>
      <c r="E906" t="s">
        <v>1829</v>
      </c>
      <c r="F906" t="s">
        <v>323</v>
      </c>
      <c r="G906">
        <v>1</v>
      </c>
      <c r="H906">
        <v>1</v>
      </c>
      <c r="I906" t="s">
        <v>97</v>
      </c>
      <c r="J906" s="10">
        <v>44</v>
      </c>
      <c r="K906" s="10">
        <v>132</v>
      </c>
      <c r="L906" s="10">
        <v>0</v>
      </c>
      <c r="N906" s="10">
        <v>0</v>
      </c>
      <c r="O906" t="s">
        <v>99</v>
      </c>
      <c r="P906" s="10">
        <v>89.95</v>
      </c>
      <c r="S906">
        <v>8.75</v>
      </c>
      <c r="T906">
        <v>13</v>
      </c>
      <c r="U906">
        <v>4.5</v>
      </c>
      <c r="V906">
        <v>6</v>
      </c>
      <c r="W906">
        <v>2.2000000000000002</v>
      </c>
      <c r="X906">
        <v>1</v>
      </c>
      <c r="Y906">
        <v>6.5</v>
      </c>
      <c r="Z906">
        <v>13</v>
      </c>
      <c r="AA906">
        <v>8</v>
      </c>
      <c r="AB906">
        <v>0.39100000000000001</v>
      </c>
      <c r="AC906">
        <v>2.95</v>
      </c>
      <c r="AE906">
        <v>1</v>
      </c>
      <c r="AF906" t="s">
        <v>282</v>
      </c>
      <c r="AG906">
        <v>100</v>
      </c>
      <c r="AK906" t="s">
        <v>98</v>
      </c>
      <c r="AL906">
        <v>1</v>
      </c>
      <c r="AM906" t="s">
        <v>98</v>
      </c>
      <c r="AN906" t="s">
        <v>99</v>
      </c>
      <c r="AO906" t="s">
        <v>98</v>
      </c>
      <c r="AP906" t="s">
        <v>100</v>
      </c>
      <c r="AQ906" t="s">
        <v>101</v>
      </c>
      <c r="AV906" t="s">
        <v>98</v>
      </c>
      <c r="AX906" t="s">
        <v>276</v>
      </c>
      <c r="AZ906" t="s">
        <v>102</v>
      </c>
      <c r="BB906" t="s">
        <v>235</v>
      </c>
      <c r="BC906" t="s">
        <v>561</v>
      </c>
      <c r="BD906" t="s">
        <v>7528</v>
      </c>
      <c r="BF906" t="s">
        <v>2883</v>
      </c>
      <c r="BG906" t="s">
        <v>98</v>
      </c>
      <c r="BH906" t="s">
        <v>98</v>
      </c>
      <c r="BI906" t="s">
        <v>98</v>
      </c>
      <c r="BK906" t="s">
        <v>127</v>
      </c>
      <c r="BL906" t="s">
        <v>756</v>
      </c>
      <c r="BM906">
        <v>4.5</v>
      </c>
      <c r="BN906">
        <v>8</v>
      </c>
      <c r="CA906">
        <v>6101</v>
      </c>
      <c r="CB906" t="s">
        <v>276</v>
      </c>
      <c r="CL906" t="s">
        <v>99</v>
      </c>
      <c r="CM906" t="s">
        <v>98</v>
      </c>
      <c r="CN906" t="s">
        <v>442</v>
      </c>
      <c r="CO906" s="1">
        <v>41605</v>
      </c>
      <c r="CP906" s="1">
        <v>43633</v>
      </c>
    </row>
    <row r="907" spans="1:94" x14ac:dyDescent="0.25">
      <c r="A907" t="s">
        <v>2884</v>
      </c>
      <c r="B907" t="str">
        <f xml:space="preserve"> "" &amp; 747396802343</f>
        <v>747396802343</v>
      </c>
      <c r="C907" t="s">
        <v>2885</v>
      </c>
      <c r="D907" t="s">
        <v>2882</v>
      </c>
      <c r="E907" t="s">
        <v>1829</v>
      </c>
      <c r="F907" t="s">
        <v>323</v>
      </c>
      <c r="G907">
        <v>1</v>
      </c>
      <c r="H907">
        <v>1</v>
      </c>
      <c r="I907" t="s">
        <v>97</v>
      </c>
      <c r="J907" s="10">
        <v>44</v>
      </c>
      <c r="K907" s="10">
        <v>132</v>
      </c>
      <c r="L907" s="10">
        <v>0</v>
      </c>
      <c r="N907" s="10">
        <v>0</v>
      </c>
      <c r="O907" t="s">
        <v>99</v>
      </c>
      <c r="P907" s="10">
        <v>89.95</v>
      </c>
      <c r="S907">
        <v>8.75</v>
      </c>
      <c r="T907">
        <v>13</v>
      </c>
      <c r="U907">
        <v>4.5</v>
      </c>
      <c r="V907">
        <v>6</v>
      </c>
      <c r="W907">
        <v>2.2000000000000002</v>
      </c>
      <c r="Y907">
        <v>6.5</v>
      </c>
      <c r="Z907">
        <v>13</v>
      </c>
      <c r="AA907">
        <v>8</v>
      </c>
      <c r="AB907">
        <v>0.39100000000000001</v>
      </c>
      <c r="AC907">
        <v>2.95</v>
      </c>
      <c r="AE907">
        <v>1</v>
      </c>
      <c r="AF907" t="s">
        <v>282</v>
      </c>
      <c r="AG907">
        <v>100</v>
      </c>
      <c r="AK907" t="s">
        <v>98</v>
      </c>
      <c r="AM907" t="s">
        <v>98</v>
      </c>
      <c r="AN907" t="s">
        <v>99</v>
      </c>
      <c r="AO907" t="s">
        <v>98</v>
      </c>
      <c r="AP907" t="s">
        <v>100</v>
      </c>
      <c r="AQ907" t="s">
        <v>101</v>
      </c>
      <c r="AV907" t="s">
        <v>98</v>
      </c>
      <c r="AX907" t="s">
        <v>279</v>
      </c>
      <c r="AZ907" t="s">
        <v>124</v>
      </c>
      <c r="BB907" t="s">
        <v>235</v>
      </c>
      <c r="BC907" t="s">
        <v>808</v>
      </c>
      <c r="BD907" t="s">
        <v>7528</v>
      </c>
      <c r="BF907" t="s">
        <v>2886</v>
      </c>
      <c r="BG907" t="s">
        <v>98</v>
      </c>
      <c r="BH907" t="s">
        <v>98</v>
      </c>
      <c r="BI907" t="s">
        <v>98</v>
      </c>
      <c r="BK907" t="s">
        <v>127</v>
      </c>
      <c r="BL907" t="s">
        <v>756</v>
      </c>
      <c r="BM907">
        <v>4.5</v>
      </c>
      <c r="BN907">
        <v>8</v>
      </c>
      <c r="CA907">
        <v>6101</v>
      </c>
      <c r="CB907" t="s">
        <v>279</v>
      </c>
      <c r="CL907" t="s">
        <v>99</v>
      </c>
      <c r="CM907" t="s">
        <v>98</v>
      </c>
      <c r="CN907" t="s">
        <v>442</v>
      </c>
      <c r="CO907" s="1">
        <v>42552</v>
      </c>
      <c r="CP907" s="1">
        <v>43633</v>
      </c>
    </row>
    <row r="908" spans="1:94" x14ac:dyDescent="0.25">
      <c r="A908" t="s">
        <v>2887</v>
      </c>
      <c r="B908" t="str">
        <f xml:space="preserve"> "" &amp; 747396091174</f>
        <v>747396091174</v>
      </c>
      <c r="C908" t="s">
        <v>758</v>
      </c>
      <c r="D908" t="s">
        <v>2888</v>
      </c>
      <c r="E908" t="s">
        <v>1829</v>
      </c>
      <c r="F908" t="s">
        <v>323</v>
      </c>
      <c r="G908">
        <v>1</v>
      </c>
      <c r="H908">
        <v>1</v>
      </c>
      <c r="I908" t="s">
        <v>97</v>
      </c>
      <c r="J908" s="10">
        <v>69</v>
      </c>
      <c r="K908" s="10">
        <v>207</v>
      </c>
      <c r="L908" s="10">
        <v>0</v>
      </c>
      <c r="N908" s="10">
        <v>0</v>
      </c>
      <c r="O908" t="s">
        <v>99</v>
      </c>
      <c r="P908" s="10">
        <v>134.94999999999999</v>
      </c>
      <c r="S908">
        <v>8.75</v>
      </c>
      <c r="T908">
        <v>16</v>
      </c>
      <c r="U908">
        <v>15</v>
      </c>
      <c r="V908">
        <v>5.75</v>
      </c>
      <c r="W908">
        <v>4.12</v>
      </c>
      <c r="Y908">
        <v>12</v>
      </c>
      <c r="Z908">
        <v>16</v>
      </c>
      <c r="AA908">
        <v>7</v>
      </c>
      <c r="AB908">
        <v>0.77800000000000002</v>
      </c>
      <c r="AC908">
        <v>5.29</v>
      </c>
      <c r="AE908">
        <v>2</v>
      </c>
      <c r="AF908" t="s">
        <v>282</v>
      </c>
      <c r="AG908">
        <v>100</v>
      </c>
      <c r="AK908" t="s">
        <v>98</v>
      </c>
      <c r="AL908">
        <v>2</v>
      </c>
      <c r="AM908" t="s">
        <v>98</v>
      </c>
      <c r="AN908" t="s">
        <v>99</v>
      </c>
      <c r="AO908" t="s">
        <v>98</v>
      </c>
      <c r="AP908" t="s">
        <v>100</v>
      </c>
      <c r="AQ908" t="s">
        <v>101</v>
      </c>
      <c r="AV908" t="s">
        <v>98</v>
      </c>
      <c r="AX908" t="s">
        <v>276</v>
      </c>
      <c r="AZ908" t="s">
        <v>102</v>
      </c>
      <c r="BB908" t="s">
        <v>235</v>
      </c>
      <c r="BC908" t="s">
        <v>561</v>
      </c>
      <c r="BD908" t="s">
        <v>7528</v>
      </c>
      <c r="BF908" t="s">
        <v>2889</v>
      </c>
      <c r="BG908" t="s">
        <v>98</v>
      </c>
      <c r="BH908" t="s">
        <v>98</v>
      </c>
      <c r="BI908" t="s">
        <v>98</v>
      </c>
      <c r="BK908" t="s">
        <v>127</v>
      </c>
      <c r="BL908" t="s">
        <v>756</v>
      </c>
      <c r="BM908">
        <v>8</v>
      </c>
      <c r="BN908">
        <v>4.5</v>
      </c>
      <c r="CA908">
        <v>6102</v>
      </c>
      <c r="CB908" t="s">
        <v>276</v>
      </c>
      <c r="CL908" t="s">
        <v>99</v>
      </c>
      <c r="CM908" t="s">
        <v>98</v>
      </c>
      <c r="CN908" t="s">
        <v>442</v>
      </c>
      <c r="CO908" s="1">
        <v>41605</v>
      </c>
      <c r="CP908" s="1">
        <v>43633</v>
      </c>
    </row>
    <row r="909" spans="1:94" x14ac:dyDescent="0.25">
      <c r="A909" t="s">
        <v>2890</v>
      </c>
      <c r="B909" t="str">
        <f xml:space="preserve"> "" &amp; 747396802350</f>
        <v>747396802350</v>
      </c>
      <c r="C909" t="s">
        <v>2891</v>
      </c>
      <c r="D909" t="s">
        <v>2888</v>
      </c>
      <c r="E909" t="s">
        <v>1829</v>
      </c>
      <c r="F909" t="s">
        <v>323</v>
      </c>
      <c r="G909">
        <v>1</v>
      </c>
      <c r="H909">
        <v>1</v>
      </c>
      <c r="I909" t="s">
        <v>97</v>
      </c>
      <c r="J909" s="10">
        <v>69</v>
      </c>
      <c r="K909" s="10">
        <v>207</v>
      </c>
      <c r="L909" s="10">
        <v>0</v>
      </c>
      <c r="N909" s="10">
        <v>0</v>
      </c>
      <c r="O909" t="s">
        <v>99</v>
      </c>
      <c r="P909" s="10">
        <v>134.94999999999999</v>
      </c>
      <c r="S909">
        <v>8.75</v>
      </c>
      <c r="T909">
        <v>16</v>
      </c>
      <c r="U909">
        <v>15</v>
      </c>
      <c r="V909">
        <v>5.75</v>
      </c>
      <c r="W909">
        <v>4.12</v>
      </c>
      <c r="Y909">
        <v>12</v>
      </c>
      <c r="Z909">
        <v>16</v>
      </c>
      <c r="AA909">
        <v>7</v>
      </c>
      <c r="AB909">
        <v>0.77800000000000002</v>
      </c>
      <c r="AC909">
        <v>5.29</v>
      </c>
      <c r="AE909">
        <v>2</v>
      </c>
      <c r="AF909" t="s">
        <v>282</v>
      </c>
      <c r="AG909">
        <v>100</v>
      </c>
      <c r="AK909" t="s">
        <v>98</v>
      </c>
      <c r="AM909" t="s">
        <v>98</v>
      </c>
      <c r="AN909" t="s">
        <v>99</v>
      </c>
      <c r="AO909" t="s">
        <v>98</v>
      </c>
      <c r="AP909" t="s">
        <v>100</v>
      </c>
      <c r="AQ909" t="s">
        <v>101</v>
      </c>
      <c r="AV909" t="s">
        <v>98</v>
      </c>
      <c r="AX909" t="s">
        <v>279</v>
      </c>
      <c r="AZ909" t="s">
        <v>124</v>
      </c>
      <c r="BB909" t="s">
        <v>235</v>
      </c>
      <c r="BC909" t="s">
        <v>561</v>
      </c>
      <c r="BD909" t="s">
        <v>7528</v>
      </c>
      <c r="BF909" t="s">
        <v>2892</v>
      </c>
      <c r="BG909" t="s">
        <v>98</v>
      </c>
      <c r="BH909" t="s">
        <v>98</v>
      </c>
      <c r="BI909" t="s">
        <v>98</v>
      </c>
      <c r="BK909" t="s">
        <v>127</v>
      </c>
      <c r="BL909" t="s">
        <v>756</v>
      </c>
      <c r="BM909">
        <v>8</v>
      </c>
      <c r="BN909">
        <v>4.5</v>
      </c>
      <c r="CA909">
        <v>6102</v>
      </c>
      <c r="CB909" t="s">
        <v>279</v>
      </c>
      <c r="CL909" t="s">
        <v>99</v>
      </c>
      <c r="CM909" t="s">
        <v>98</v>
      </c>
      <c r="CN909" t="s">
        <v>442</v>
      </c>
      <c r="CO909" s="1">
        <v>42033</v>
      </c>
      <c r="CP909" s="1">
        <v>43633</v>
      </c>
    </row>
    <row r="910" spans="1:94" x14ac:dyDescent="0.25">
      <c r="A910" t="s">
        <v>2893</v>
      </c>
      <c r="B910" t="str">
        <f xml:space="preserve"> "" &amp; 747396091181</f>
        <v>747396091181</v>
      </c>
      <c r="C910" t="s">
        <v>762</v>
      </c>
      <c r="D910" t="s">
        <v>2894</v>
      </c>
      <c r="E910" t="s">
        <v>1829</v>
      </c>
      <c r="F910" t="s">
        <v>323</v>
      </c>
      <c r="G910">
        <v>1</v>
      </c>
      <c r="H910">
        <v>1</v>
      </c>
      <c r="I910" t="s">
        <v>97</v>
      </c>
      <c r="J910" s="10">
        <v>79</v>
      </c>
      <c r="K910" s="10">
        <v>237</v>
      </c>
      <c r="L910" s="10">
        <v>0</v>
      </c>
      <c r="N910" s="10">
        <v>0</v>
      </c>
      <c r="O910" t="s">
        <v>99</v>
      </c>
      <c r="P910" s="10">
        <v>159.94999999999999</v>
      </c>
      <c r="S910">
        <v>8.75</v>
      </c>
      <c r="U910">
        <v>24</v>
      </c>
      <c r="V910">
        <v>5.75</v>
      </c>
      <c r="W910">
        <v>5.84</v>
      </c>
      <c r="Y910">
        <v>12</v>
      </c>
      <c r="Z910">
        <v>25.5</v>
      </c>
      <c r="AA910">
        <v>7</v>
      </c>
      <c r="AB910">
        <v>1.24</v>
      </c>
      <c r="AC910">
        <v>7.41</v>
      </c>
      <c r="AE910">
        <v>3</v>
      </c>
      <c r="AF910" t="s">
        <v>282</v>
      </c>
      <c r="AG910">
        <v>100</v>
      </c>
      <c r="AK910" t="s">
        <v>98</v>
      </c>
      <c r="AL910">
        <v>3</v>
      </c>
      <c r="AM910" t="s">
        <v>98</v>
      </c>
      <c r="AN910" t="s">
        <v>99</v>
      </c>
      <c r="AO910" t="s">
        <v>98</v>
      </c>
      <c r="AP910" t="s">
        <v>100</v>
      </c>
      <c r="AQ910" t="s">
        <v>101</v>
      </c>
      <c r="AV910" t="s">
        <v>98</v>
      </c>
      <c r="AX910" t="s">
        <v>276</v>
      </c>
      <c r="AZ910" t="s">
        <v>102</v>
      </c>
      <c r="BB910" t="s">
        <v>235</v>
      </c>
      <c r="BC910" t="s">
        <v>561</v>
      </c>
      <c r="BD910" t="s">
        <v>7528</v>
      </c>
      <c r="BF910" t="s">
        <v>2895</v>
      </c>
      <c r="BG910" t="s">
        <v>98</v>
      </c>
      <c r="BH910" t="s">
        <v>98</v>
      </c>
      <c r="BI910" t="s">
        <v>98</v>
      </c>
      <c r="BK910" t="s">
        <v>127</v>
      </c>
      <c r="BL910" t="s">
        <v>756</v>
      </c>
      <c r="BM910">
        <v>8</v>
      </c>
      <c r="BN910">
        <v>4.5</v>
      </c>
      <c r="CA910">
        <v>6103</v>
      </c>
      <c r="CB910" t="s">
        <v>276</v>
      </c>
      <c r="CL910" t="s">
        <v>99</v>
      </c>
      <c r="CM910" t="s">
        <v>98</v>
      </c>
      <c r="CN910" t="s">
        <v>442</v>
      </c>
      <c r="CO910" s="1">
        <v>41605</v>
      </c>
      <c r="CP910" s="1">
        <v>43633</v>
      </c>
    </row>
    <row r="911" spans="1:94" x14ac:dyDescent="0.25">
      <c r="A911" t="s">
        <v>2896</v>
      </c>
      <c r="B911" t="str">
        <f xml:space="preserve"> "" &amp; 747396802367</f>
        <v>747396802367</v>
      </c>
      <c r="C911" t="s">
        <v>2897</v>
      </c>
      <c r="D911" t="s">
        <v>2894</v>
      </c>
      <c r="E911" t="s">
        <v>1829</v>
      </c>
      <c r="F911" t="s">
        <v>323</v>
      </c>
      <c r="G911">
        <v>1</v>
      </c>
      <c r="H911">
        <v>1</v>
      </c>
      <c r="I911" t="s">
        <v>97</v>
      </c>
      <c r="J911" s="10">
        <v>79</v>
      </c>
      <c r="K911" s="10">
        <v>237</v>
      </c>
      <c r="L911" s="10">
        <v>0</v>
      </c>
      <c r="N911" s="10">
        <v>0</v>
      </c>
      <c r="O911" t="s">
        <v>99</v>
      </c>
      <c r="P911" s="10">
        <v>159.94999999999999</v>
      </c>
      <c r="S911">
        <v>8.75</v>
      </c>
      <c r="U911">
        <v>24</v>
      </c>
      <c r="V911">
        <v>5.75</v>
      </c>
      <c r="W911">
        <v>5.84</v>
      </c>
      <c r="Y911">
        <v>12</v>
      </c>
      <c r="Z911">
        <v>25</v>
      </c>
      <c r="AA911">
        <v>7</v>
      </c>
      <c r="AB911">
        <v>1.2150000000000001</v>
      </c>
      <c r="AC911">
        <v>7.41</v>
      </c>
      <c r="AE911">
        <v>3</v>
      </c>
      <c r="AF911" t="s">
        <v>282</v>
      </c>
      <c r="AG911">
        <v>100</v>
      </c>
      <c r="AK911" t="s">
        <v>98</v>
      </c>
      <c r="AM911" t="s">
        <v>98</v>
      </c>
      <c r="AN911" t="s">
        <v>99</v>
      </c>
      <c r="AO911" t="s">
        <v>98</v>
      </c>
      <c r="AP911" t="s">
        <v>100</v>
      </c>
      <c r="AQ911" t="s">
        <v>101</v>
      </c>
      <c r="AV911" t="s">
        <v>98</v>
      </c>
      <c r="AX911" t="s">
        <v>279</v>
      </c>
      <c r="AZ911" t="s">
        <v>7528</v>
      </c>
      <c r="BB911" t="s">
        <v>235</v>
      </c>
      <c r="BC911" t="s">
        <v>808</v>
      </c>
      <c r="BD911" t="s">
        <v>7528</v>
      </c>
      <c r="BF911" t="s">
        <v>2898</v>
      </c>
      <c r="BG911" t="s">
        <v>98</v>
      </c>
      <c r="BH911" t="s">
        <v>98</v>
      </c>
      <c r="BI911" t="s">
        <v>98</v>
      </c>
      <c r="BK911" t="s">
        <v>127</v>
      </c>
      <c r="BL911" t="s">
        <v>756</v>
      </c>
      <c r="BM911">
        <v>8</v>
      </c>
      <c r="BN911">
        <v>4.5</v>
      </c>
      <c r="CA911">
        <v>6103</v>
      </c>
      <c r="CB911" t="s">
        <v>279</v>
      </c>
      <c r="CL911" t="s">
        <v>99</v>
      </c>
      <c r="CM911" t="s">
        <v>98</v>
      </c>
      <c r="CN911" t="s">
        <v>442</v>
      </c>
      <c r="CO911" s="1">
        <v>42552</v>
      </c>
      <c r="CP911" s="1">
        <v>43633</v>
      </c>
    </row>
    <row r="912" spans="1:94" x14ac:dyDescent="0.25">
      <c r="A912" t="s">
        <v>2899</v>
      </c>
      <c r="B912" t="str">
        <f xml:space="preserve"> "" &amp; 747396091198</f>
        <v>747396091198</v>
      </c>
      <c r="C912" t="s">
        <v>766</v>
      </c>
      <c r="D912" t="s">
        <v>2900</v>
      </c>
      <c r="E912" t="s">
        <v>1829</v>
      </c>
      <c r="F912" t="s">
        <v>323</v>
      </c>
      <c r="G912">
        <v>1</v>
      </c>
      <c r="H912">
        <v>1</v>
      </c>
      <c r="I912" t="s">
        <v>97</v>
      </c>
      <c r="J912" s="10">
        <v>92</v>
      </c>
      <c r="K912" s="10">
        <v>276</v>
      </c>
      <c r="L912" s="10">
        <v>0</v>
      </c>
      <c r="N912" s="10">
        <v>0</v>
      </c>
      <c r="O912" t="s">
        <v>99</v>
      </c>
      <c r="P912" s="10">
        <v>184.95</v>
      </c>
      <c r="S912">
        <v>8.75</v>
      </c>
      <c r="U912">
        <v>32.5</v>
      </c>
      <c r="V912">
        <v>5.75</v>
      </c>
      <c r="W912">
        <v>7.52</v>
      </c>
      <c r="Y912">
        <v>12</v>
      </c>
      <c r="Z912">
        <v>33.5</v>
      </c>
      <c r="AA912">
        <v>7</v>
      </c>
      <c r="AB912">
        <v>1.6279999999999999</v>
      </c>
      <c r="AC912">
        <v>9.68</v>
      </c>
      <c r="AE912">
        <v>4</v>
      </c>
      <c r="AF912" t="s">
        <v>598</v>
      </c>
      <c r="AG912">
        <v>100</v>
      </c>
      <c r="AK912" t="s">
        <v>98</v>
      </c>
      <c r="AL912">
        <v>4</v>
      </c>
      <c r="AM912" t="s">
        <v>98</v>
      </c>
      <c r="AN912" t="s">
        <v>99</v>
      </c>
      <c r="AO912" t="s">
        <v>98</v>
      </c>
      <c r="AP912" t="s">
        <v>100</v>
      </c>
      <c r="AQ912" t="s">
        <v>101</v>
      </c>
      <c r="AV912" t="s">
        <v>98</v>
      </c>
      <c r="AX912" t="s">
        <v>276</v>
      </c>
      <c r="AZ912" t="s">
        <v>7528</v>
      </c>
      <c r="BB912" t="s">
        <v>235</v>
      </c>
      <c r="BC912" t="s">
        <v>561</v>
      </c>
      <c r="BD912" t="s">
        <v>7528</v>
      </c>
      <c r="BF912" t="s">
        <v>2901</v>
      </c>
      <c r="BG912" t="s">
        <v>98</v>
      </c>
      <c r="BH912" t="s">
        <v>98</v>
      </c>
      <c r="BI912" t="s">
        <v>98</v>
      </c>
      <c r="BK912" t="s">
        <v>127</v>
      </c>
      <c r="BL912" t="s">
        <v>756</v>
      </c>
      <c r="BM912">
        <v>8</v>
      </c>
      <c r="BN912">
        <v>4.5</v>
      </c>
      <c r="CA912">
        <v>6104</v>
      </c>
      <c r="CB912" t="s">
        <v>276</v>
      </c>
      <c r="CL912" t="s">
        <v>99</v>
      </c>
      <c r="CM912" t="s">
        <v>98</v>
      </c>
      <c r="CN912" t="s">
        <v>442</v>
      </c>
      <c r="CO912" s="1">
        <v>41605</v>
      </c>
      <c r="CP912" s="1">
        <v>43633</v>
      </c>
    </row>
    <row r="913" spans="1:94" x14ac:dyDescent="0.25">
      <c r="A913" t="s">
        <v>2902</v>
      </c>
      <c r="B913" t="str">
        <f xml:space="preserve"> "" &amp; 747396802374</f>
        <v>747396802374</v>
      </c>
      <c r="C913" t="s">
        <v>2903</v>
      </c>
      <c r="D913" t="s">
        <v>2900</v>
      </c>
      <c r="E913" t="s">
        <v>1829</v>
      </c>
      <c r="F913" t="s">
        <v>323</v>
      </c>
      <c r="G913">
        <v>1</v>
      </c>
      <c r="H913">
        <v>1</v>
      </c>
      <c r="I913" t="s">
        <v>97</v>
      </c>
      <c r="J913" s="10">
        <v>92</v>
      </c>
      <c r="K913" s="10">
        <v>276</v>
      </c>
      <c r="L913" s="10">
        <v>0</v>
      </c>
      <c r="N913" s="10">
        <v>0</v>
      </c>
      <c r="O913" t="s">
        <v>99</v>
      </c>
      <c r="P913" s="10">
        <v>184.95</v>
      </c>
      <c r="S913">
        <v>8.75</v>
      </c>
      <c r="U913">
        <v>32.5</v>
      </c>
      <c r="V913">
        <v>5.75</v>
      </c>
      <c r="W913">
        <v>6.75</v>
      </c>
      <c r="Y913">
        <v>12</v>
      </c>
      <c r="Z913">
        <v>33.5</v>
      </c>
      <c r="AA913">
        <v>7</v>
      </c>
      <c r="AB913">
        <v>1.6279999999999999</v>
      </c>
      <c r="AC913">
        <v>9.17</v>
      </c>
      <c r="AE913">
        <v>4</v>
      </c>
      <c r="AF913" t="s">
        <v>282</v>
      </c>
      <c r="AG913">
        <v>100</v>
      </c>
      <c r="AK913" t="s">
        <v>98</v>
      </c>
      <c r="AM913" t="s">
        <v>98</v>
      </c>
      <c r="AN913" t="s">
        <v>99</v>
      </c>
      <c r="AO913" t="s">
        <v>98</v>
      </c>
      <c r="AP913" t="s">
        <v>100</v>
      </c>
      <c r="AQ913" t="s">
        <v>101</v>
      </c>
      <c r="AV913" t="s">
        <v>98</v>
      </c>
      <c r="AX913" t="s">
        <v>279</v>
      </c>
      <c r="AZ913" t="s">
        <v>124</v>
      </c>
      <c r="BB913" t="s">
        <v>235</v>
      </c>
      <c r="BC913" t="s">
        <v>561</v>
      </c>
      <c r="BD913" t="s">
        <v>7528</v>
      </c>
      <c r="BF913" t="s">
        <v>2904</v>
      </c>
      <c r="BG913" t="s">
        <v>98</v>
      </c>
      <c r="BH913" t="s">
        <v>98</v>
      </c>
      <c r="BI913" t="s">
        <v>98</v>
      </c>
      <c r="BK913" t="s">
        <v>127</v>
      </c>
      <c r="BL913" t="s">
        <v>756</v>
      </c>
      <c r="BR913">
        <v>4.5</v>
      </c>
      <c r="BT913">
        <v>8</v>
      </c>
      <c r="CA913">
        <v>6104</v>
      </c>
      <c r="CB913" t="s">
        <v>279</v>
      </c>
      <c r="CL913" t="s">
        <v>99</v>
      </c>
      <c r="CM913" t="s">
        <v>98</v>
      </c>
      <c r="CN913" t="s">
        <v>442</v>
      </c>
      <c r="CO913" s="1">
        <v>42552</v>
      </c>
      <c r="CP913" s="1">
        <v>43633</v>
      </c>
    </row>
    <row r="914" spans="1:94" x14ac:dyDescent="0.25">
      <c r="A914" t="s">
        <v>2905</v>
      </c>
      <c r="B914" t="str">
        <f xml:space="preserve"> "" &amp; 747396058283</f>
        <v>747396058283</v>
      </c>
      <c r="C914" t="s">
        <v>758</v>
      </c>
      <c r="D914" t="s">
        <v>6791</v>
      </c>
      <c r="E914" t="s">
        <v>231</v>
      </c>
      <c r="F914" t="s">
        <v>323</v>
      </c>
      <c r="G914">
        <v>1</v>
      </c>
      <c r="H914">
        <v>1</v>
      </c>
      <c r="I914" t="s">
        <v>97</v>
      </c>
      <c r="J914" s="10">
        <v>84.95</v>
      </c>
      <c r="K914" s="10">
        <v>254.85</v>
      </c>
      <c r="L914" s="10">
        <v>0</v>
      </c>
      <c r="N914" s="10">
        <v>0</v>
      </c>
      <c r="O914" t="s">
        <v>99</v>
      </c>
      <c r="P914" s="10">
        <v>169.95</v>
      </c>
      <c r="S914">
        <v>9.5</v>
      </c>
      <c r="U914">
        <v>16.5</v>
      </c>
      <c r="V914">
        <v>7.25</v>
      </c>
      <c r="W914">
        <v>5.29</v>
      </c>
      <c r="X914">
        <v>1</v>
      </c>
      <c r="Y914">
        <v>10</v>
      </c>
      <c r="Z914">
        <v>19.25</v>
      </c>
      <c r="AA914">
        <v>9.5</v>
      </c>
      <c r="AB914">
        <v>1.0580000000000001</v>
      </c>
      <c r="AC914">
        <v>7.72</v>
      </c>
      <c r="AE914">
        <v>2</v>
      </c>
      <c r="AF914" t="s">
        <v>233</v>
      </c>
      <c r="AG914">
        <v>100</v>
      </c>
      <c r="AK914" t="s">
        <v>98</v>
      </c>
      <c r="AM914" t="s">
        <v>98</v>
      </c>
      <c r="AN914" t="s">
        <v>98</v>
      </c>
      <c r="AO914" t="s">
        <v>99</v>
      </c>
      <c r="AP914" t="s">
        <v>100</v>
      </c>
      <c r="AQ914" t="s">
        <v>101</v>
      </c>
      <c r="AV914" t="s">
        <v>98</v>
      </c>
      <c r="AX914" t="s">
        <v>279</v>
      </c>
      <c r="AZ914" t="s">
        <v>102</v>
      </c>
      <c r="BB914" t="s">
        <v>235</v>
      </c>
      <c r="BC914" t="s">
        <v>3378</v>
      </c>
      <c r="BD914" t="s">
        <v>7528</v>
      </c>
      <c r="BF914" t="s">
        <v>2906</v>
      </c>
      <c r="BG914" t="s">
        <v>98</v>
      </c>
      <c r="BH914" t="s">
        <v>98</v>
      </c>
      <c r="BI914" t="s">
        <v>98</v>
      </c>
      <c r="BK914" t="s">
        <v>127</v>
      </c>
      <c r="BL914" t="s">
        <v>756</v>
      </c>
      <c r="BR914">
        <v>4.25</v>
      </c>
      <c r="BT914">
        <v>7.5</v>
      </c>
      <c r="CA914">
        <v>6182</v>
      </c>
      <c r="CB914" t="s">
        <v>279</v>
      </c>
      <c r="CL914" t="s">
        <v>98</v>
      </c>
      <c r="CM914" t="s">
        <v>98</v>
      </c>
      <c r="CN914" t="s">
        <v>237</v>
      </c>
      <c r="CO914" s="1">
        <v>39057</v>
      </c>
      <c r="CP914" s="1">
        <v>43633</v>
      </c>
    </row>
    <row r="915" spans="1:94" x14ac:dyDescent="0.25">
      <c r="A915" t="s">
        <v>2907</v>
      </c>
      <c r="B915" t="str">
        <f xml:space="preserve"> "" &amp; 747396058290</f>
        <v>747396058290</v>
      </c>
      <c r="C915" t="s">
        <v>762</v>
      </c>
      <c r="D915" t="s">
        <v>6792</v>
      </c>
      <c r="E915" t="s">
        <v>231</v>
      </c>
      <c r="F915" t="s">
        <v>323</v>
      </c>
      <c r="G915">
        <v>1</v>
      </c>
      <c r="H915">
        <v>1</v>
      </c>
      <c r="I915" t="s">
        <v>97</v>
      </c>
      <c r="J915" s="10">
        <v>115.95</v>
      </c>
      <c r="K915" s="10">
        <v>347.85</v>
      </c>
      <c r="L915" s="10">
        <v>0</v>
      </c>
      <c r="N915" s="10">
        <v>0</v>
      </c>
      <c r="O915" t="s">
        <v>99</v>
      </c>
      <c r="P915" s="10">
        <v>229.95</v>
      </c>
      <c r="S915">
        <v>9.75</v>
      </c>
      <c r="U915">
        <v>24.75</v>
      </c>
      <c r="V915">
        <v>7.25</v>
      </c>
      <c r="W915">
        <v>7.28</v>
      </c>
      <c r="X915">
        <v>1</v>
      </c>
      <c r="Y915">
        <v>10</v>
      </c>
      <c r="Z915">
        <v>28</v>
      </c>
      <c r="AA915">
        <v>10.5</v>
      </c>
      <c r="AB915">
        <v>1.7010000000000001</v>
      </c>
      <c r="AC915">
        <v>11.46</v>
      </c>
      <c r="AE915">
        <v>3</v>
      </c>
      <c r="AF915" t="s">
        <v>233</v>
      </c>
      <c r="AG915">
        <v>100</v>
      </c>
      <c r="AK915" t="s">
        <v>98</v>
      </c>
      <c r="AM915" t="s">
        <v>98</v>
      </c>
      <c r="AN915" t="s">
        <v>98</v>
      </c>
      <c r="AO915" t="s">
        <v>99</v>
      </c>
      <c r="AP915" t="s">
        <v>100</v>
      </c>
      <c r="AQ915" t="s">
        <v>101</v>
      </c>
      <c r="AV915" t="s">
        <v>98</v>
      </c>
      <c r="AX915" t="s">
        <v>279</v>
      </c>
      <c r="AZ915" t="s">
        <v>102</v>
      </c>
      <c r="BB915" t="s">
        <v>235</v>
      </c>
      <c r="BC915" t="s">
        <v>3378</v>
      </c>
      <c r="BD915" t="s">
        <v>7528</v>
      </c>
      <c r="BF915" t="s">
        <v>2908</v>
      </c>
      <c r="BG915" t="s">
        <v>98</v>
      </c>
      <c r="BH915" t="s">
        <v>98</v>
      </c>
      <c r="BI915" t="s">
        <v>98</v>
      </c>
      <c r="BK915" t="s">
        <v>127</v>
      </c>
      <c r="BL915" t="s">
        <v>756</v>
      </c>
      <c r="BR915">
        <v>4.25</v>
      </c>
      <c r="BT915">
        <v>7.5</v>
      </c>
      <c r="CA915">
        <v>6183</v>
      </c>
      <c r="CB915" t="s">
        <v>279</v>
      </c>
      <c r="CL915" t="s">
        <v>98</v>
      </c>
      <c r="CM915" t="s">
        <v>98</v>
      </c>
      <c r="CN915" t="s">
        <v>237</v>
      </c>
      <c r="CO915" s="1">
        <v>39056</v>
      </c>
      <c r="CP915" s="1">
        <v>43633</v>
      </c>
    </row>
    <row r="916" spans="1:94" x14ac:dyDescent="0.25">
      <c r="A916" t="s">
        <v>2909</v>
      </c>
      <c r="B916" t="str">
        <f xml:space="preserve"> "" &amp; 747396058306</f>
        <v>747396058306</v>
      </c>
      <c r="C916" t="s">
        <v>766</v>
      </c>
      <c r="D916" t="s">
        <v>6793</v>
      </c>
      <c r="E916" t="s">
        <v>231</v>
      </c>
      <c r="F916" t="s">
        <v>323</v>
      </c>
      <c r="G916">
        <v>1</v>
      </c>
      <c r="H916">
        <v>1</v>
      </c>
      <c r="I916" t="s">
        <v>97</v>
      </c>
      <c r="J916" s="10">
        <v>144.94999999999999</v>
      </c>
      <c r="K916" s="10">
        <v>434.85</v>
      </c>
      <c r="L916" s="10">
        <v>0</v>
      </c>
      <c r="N916" s="10">
        <v>0</v>
      </c>
      <c r="O916" t="s">
        <v>99</v>
      </c>
      <c r="P916" s="10">
        <v>289.95</v>
      </c>
      <c r="U916">
        <v>32.5</v>
      </c>
      <c r="V916">
        <v>7.25</v>
      </c>
      <c r="W916">
        <v>9.26</v>
      </c>
      <c r="X916">
        <v>1</v>
      </c>
      <c r="Y916">
        <v>10</v>
      </c>
      <c r="Z916">
        <v>35</v>
      </c>
      <c r="AA916">
        <v>10.5</v>
      </c>
      <c r="AB916">
        <v>2.1269999999999998</v>
      </c>
      <c r="AC916">
        <v>14.11</v>
      </c>
      <c r="AE916">
        <v>4</v>
      </c>
      <c r="AF916" t="s">
        <v>233</v>
      </c>
      <c r="AG916">
        <v>100</v>
      </c>
      <c r="AK916" t="s">
        <v>98</v>
      </c>
      <c r="AM916" t="s">
        <v>98</v>
      </c>
      <c r="AN916" t="s">
        <v>98</v>
      </c>
      <c r="AO916" t="s">
        <v>99</v>
      </c>
      <c r="AP916" t="s">
        <v>100</v>
      </c>
      <c r="AQ916" t="s">
        <v>101</v>
      </c>
      <c r="AV916" t="s">
        <v>98</v>
      </c>
      <c r="AX916" t="s">
        <v>279</v>
      </c>
      <c r="AZ916" t="s">
        <v>102</v>
      </c>
      <c r="BB916" t="s">
        <v>235</v>
      </c>
      <c r="BC916" t="s">
        <v>3378</v>
      </c>
      <c r="BD916" t="s">
        <v>7528</v>
      </c>
      <c r="BF916" t="s">
        <v>2910</v>
      </c>
      <c r="BG916" t="s">
        <v>98</v>
      </c>
      <c r="BH916" t="s">
        <v>98</v>
      </c>
      <c r="BI916" t="s">
        <v>98</v>
      </c>
      <c r="BK916" t="s">
        <v>127</v>
      </c>
      <c r="BL916" t="s">
        <v>756</v>
      </c>
      <c r="BR916">
        <v>4.25</v>
      </c>
      <c r="BT916">
        <v>7.5</v>
      </c>
      <c r="CA916">
        <v>6184</v>
      </c>
      <c r="CB916" t="s">
        <v>279</v>
      </c>
      <c r="CL916" t="s">
        <v>98</v>
      </c>
      <c r="CM916" t="s">
        <v>98</v>
      </c>
      <c r="CN916" t="s">
        <v>237</v>
      </c>
      <c r="CO916" s="1">
        <v>39057</v>
      </c>
      <c r="CP916" s="1">
        <v>43633</v>
      </c>
    </row>
    <row r="917" spans="1:94" x14ac:dyDescent="0.25">
      <c r="A917" t="s">
        <v>2915</v>
      </c>
      <c r="B917" t="str">
        <f xml:space="preserve"> "" &amp; 747396069555</f>
        <v>747396069555</v>
      </c>
      <c r="C917" t="s">
        <v>230</v>
      </c>
      <c r="D917" t="s">
        <v>230</v>
      </c>
      <c r="E917" t="s">
        <v>7528</v>
      </c>
      <c r="F917" t="s">
        <v>232</v>
      </c>
      <c r="G917">
        <v>1</v>
      </c>
      <c r="H917">
        <v>1</v>
      </c>
      <c r="I917" t="s">
        <v>97</v>
      </c>
      <c r="J917" s="10">
        <v>30</v>
      </c>
      <c r="K917" s="10">
        <v>90</v>
      </c>
      <c r="L917" s="10">
        <v>0</v>
      </c>
      <c r="N917" s="10">
        <v>0</v>
      </c>
      <c r="O917" t="s">
        <v>99</v>
      </c>
      <c r="P917" s="10">
        <v>59.95</v>
      </c>
      <c r="S917">
        <v>7.75</v>
      </c>
      <c r="T917">
        <v>8.125</v>
      </c>
      <c r="U917">
        <v>4.5</v>
      </c>
      <c r="V917">
        <v>5</v>
      </c>
      <c r="W917">
        <v>1.65</v>
      </c>
      <c r="Y917">
        <v>7</v>
      </c>
      <c r="Z917">
        <v>8.125</v>
      </c>
      <c r="AA917">
        <v>7.5</v>
      </c>
      <c r="AB917">
        <v>0.247</v>
      </c>
      <c r="AC917">
        <v>2.1800000000000002</v>
      </c>
      <c r="AE917">
        <v>1</v>
      </c>
      <c r="AF917" t="s">
        <v>1998</v>
      </c>
      <c r="AG917">
        <v>60</v>
      </c>
      <c r="AK917" t="s">
        <v>98</v>
      </c>
      <c r="AL917">
        <v>1</v>
      </c>
      <c r="AM917" t="s">
        <v>98</v>
      </c>
      <c r="AN917" t="s">
        <v>99</v>
      </c>
      <c r="AO917" t="s">
        <v>98</v>
      </c>
      <c r="AP917" t="s">
        <v>100</v>
      </c>
      <c r="AQ917" t="s">
        <v>101</v>
      </c>
      <c r="AV917" t="s">
        <v>98</v>
      </c>
      <c r="AX917" t="s">
        <v>399</v>
      </c>
      <c r="AZ917" t="s">
        <v>392</v>
      </c>
      <c r="BB917" t="s">
        <v>235</v>
      </c>
      <c r="BC917" t="s">
        <v>1501</v>
      </c>
      <c r="BD917" t="s">
        <v>7528</v>
      </c>
      <c r="BF917" t="s">
        <v>2916</v>
      </c>
      <c r="BG917" t="s">
        <v>98</v>
      </c>
      <c r="BH917" t="s">
        <v>98</v>
      </c>
      <c r="BI917" t="s">
        <v>98</v>
      </c>
      <c r="BK917" t="s">
        <v>127</v>
      </c>
      <c r="BL917" t="s">
        <v>236</v>
      </c>
      <c r="BM917">
        <v>4.5</v>
      </c>
      <c r="BN917">
        <v>0.75</v>
      </c>
      <c r="CA917">
        <v>6211</v>
      </c>
      <c r="CB917" t="s">
        <v>399</v>
      </c>
      <c r="CL917" t="s">
        <v>99</v>
      </c>
      <c r="CM917" t="s">
        <v>98</v>
      </c>
      <c r="CN917" t="s">
        <v>237</v>
      </c>
      <c r="CO917" s="1">
        <v>42558</v>
      </c>
      <c r="CP917" s="1">
        <v>43633</v>
      </c>
    </row>
    <row r="918" spans="1:94" x14ac:dyDescent="0.25">
      <c r="A918" t="s">
        <v>2917</v>
      </c>
      <c r="B918" t="str">
        <f xml:space="preserve"> "" &amp; 747396083513</f>
        <v>747396083513</v>
      </c>
      <c r="C918" t="s">
        <v>322</v>
      </c>
      <c r="D918" t="s">
        <v>322</v>
      </c>
      <c r="E918" t="s">
        <v>7528</v>
      </c>
      <c r="F918" t="s">
        <v>323</v>
      </c>
      <c r="G918">
        <v>1</v>
      </c>
      <c r="H918">
        <v>1</v>
      </c>
      <c r="I918" t="s">
        <v>97</v>
      </c>
      <c r="J918" s="10">
        <v>49</v>
      </c>
      <c r="K918" s="10">
        <v>147</v>
      </c>
      <c r="L918" s="10">
        <v>0</v>
      </c>
      <c r="N918" s="10">
        <v>0</v>
      </c>
      <c r="O918" t="s">
        <v>99</v>
      </c>
      <c r="P918" s="10">
        <v>99.95</v>
      </c>
      <c r="S918">
        <v>13.5</v>
      </c>
      <c r="T918">
        <v>12.25</v>
      </c>
      <c r="U918">
        <v>4.5</v>
      </c>
      <c r="V918">
        <v>5</v>
      </c>
      <c r="W918">
        <v>2.38</v>
      </c>
      <c r="Y918">
        <v>7</v>
      </c>
      <c r="Z918">
        <v>12.25</v>
      </c>
      <c r="AA918">
        <v>8</v>
      </c>
      <c r="AB918">
        <v>0.39700000000000002</v>
      </c>
      <c r="AC918">
        <v>3.17</v>
      </c>
      <c r="AE918">
        <v>2</v>
      </c>
      <c r="AF918" t="s">
        <v>804</v>
      </c>
      <c r="AG918">
        <v>60</v>
      </c>
      <c r="AK918" t="s">
        <v>98</v>
      </c>
      <c r="AL918">
        <v>1</v>
      </c>
      <c r="AM918" t="s">
        <v>98</v>
      </c>
      <c r="AN918" t="s">
        <v>99</v>
      </c>
      <c r="AO918" t="s">
        <v>98</v>
      </c>
      <c r="AP918" t="s">
        <v>100</v>
      </c>
      <c r="AQ918" t="s">
        <v>101</v>
      </c>
      <c r="AV918" t="s">
        <v>98</v>
      </c>
      <c r="AX918" t="s">
        <v>697</v>
      </c>
      <c r="AZ918" t="s">
        <v>392</v>
      </c>
      <c r="BB918" t="s">
        <v>235</v>
      </c>
      <c r="BC918" t="s">
        <v>1501</v>
      </c>
      <c r="BD918" t="s">
        <v>7528</v>
      </c>
      <c r="BF918" t="s">
        <v>2918</v>
      </c>
      <c r="BG918" t="s">
        <v>98</v>
      </c>
      <c r="BH918" t="s">
        <v>98</v>
      </c>
      <c r="BI918" t="s">
        <v>98</v>
      </c>
      <c r="BK918" t="s">
        <v>127</v>
      </c>
      <c r="BL918" t="s">
        <v>979</v>
      </c>
      <c r="BM918">
        <v>4.5</v>
      </c>
      <c r="BN918">
        <v>0.75</v>
      </c>
      <c r="CA918">
        <v>6212</v>
      </c>
      <c r="CB918" t="s">
        <v>697</v>
      </c>
      <c r="CL918" t="s">
        <v>99</v>
      </c>
      <c r="CM918" t="s">
        <v>98</v>
      </c>
      <c r="CN918" t="s">
        <v>442</v>
      </c>
      <c r="CO918" s="1">
        <v>42558</v>
      </c>
      <c r="CP918" s="1">
        <v>43633</v>
      </c>
    </row>
    <row r="919" spans="1:94" x14ac:dyDescent="0.25">
      <c r="A919" t="s">
        <v>2919</v>
      </c>
      <c r="B919" t="str">
        <f xml:space="preserve"> "" &amp; 747396069562</f>
        <v>747396069562</v>
      </c>
      <c r="C919" t="s">
        <v>322</v>
      </c>
      <c r="D919" t="s">
        <v>322</v>
      </c>
      <c r="E919" t="s">
        <v>7528</v>
      </c>
      <c r="F919" t="s">
        <v>232</v>
      </c>
      <c r="G919">
        <v>1</v>
      </c>
      <c r="H919">
        <v>1</v>
      </c>
      <c r="I919" t="s">
        <v>97</v>
      </c>
      <c r="J919" s="10">
        <v>49</v>
      </c>
      <c r="K919" s="10">
        <v>147</v>
      </c>
      <c r="L919" s="10">
        <v>0</v>
      </c>
      <c r="N919" s="10">
        <v>0</v>
      </c>
      <c r="O919" t="s">
        <v>99</v>
      </c>
      <c r="P919" s="10">
        <v>99.95</v>
      </c>
      <c r="S919">
        <v>13.5</v>
      </c>
      <c r="T919">
        <v>12.25</v>
      </c>
      <c r="U919">
        <v>4.5</v>
      </c>
      <c r="V919">
        <v>5</v>
      </c>
      <c r="W919">
        <v>2.38</v>
      </c>
      <c r="Y919">
        <v>7</v>
      </c>
      <c r="Z919">
        <v>12.25</v>
      </c>
      <c r="AA919">
        <v>8</v>
      </c>
      <c r="AB919">
        <v>0.39700000000000002</v>
      </c>
      <c r="AC919">
        <v>3.17</v>
      </c>
      <c r="AE919">
        <v>2</v>
      </c>
      <c r="AF919" t="s">
        <v>1998</v>
      </c>
      <c r="AG919">
        <v>60</v>
      </c>
      <c r="AK919" t="s">
        <v>98</v>
      </c>
      <c r="AL919">
        <v>1</v>
      </c>
      <c r="AM919" t="s">
        <v>98</v>
      </c>
      <c r="AN919" t="s">
        <v>99</v>
      </c>
      <c r="AO919" t="s">
        <v>98</v>
      </c>
      <c r="AP919" t="s">
        <v>100</v>
      </c>
      <c r="AQ919" t="s">
        <v>101</v>
      </c>
      <c r="AV919" t="s">
        <v>98</v>
      </c>
      <c r="AX919" t="s">
        <v>399</v>
      </c>
      <c r="AZ919" t="s">
        <v>392</v>
      </c>
      <c r="BB919" t="s">
        <v>235</v>
      </c>
      <c r="BC919" t="s">
        <v>1501</v>
      </c>
      <c r="BD919" t="s">
        <v>7528</v>
      </c>
      <c r="BF919" t="s">
        <v>2920</v>
      </c>
      <c r="BG919" t="s">
        <v>98</v>
      </c>
      <c r="BH919" t="s">
        <v>98</v>
      </c>
      <c r="BI919" t="s">
        <v>98</v>
      </c>
      <c r="BK919" t="s">
        <v>127</v>
      </c>
      <c r="BL919" t="s">
        <v>979</v>
      </c>
      <c r="BM919">
        <v>4.5</v>
      </c>
      <c r="BN919">
        <v>0.75</v>
      </c>
      <c r="CA919">
        <v>6212</v>
      </c>
      <c r="CB919" t="s">
        <v>399</v>
      </c>
      <c r="CL919" t="s">
        <v>99</v>
      </c>
      <c r="CM919" t="s">
        <v>98</v>
      </c>
      <c r="CN919" t="s">
        <v>442</v>
      </c>
      <c r="CO919" s="1">
        <v>42558</v>
      </c>
      <c r="CP919" s="1">
        <v>43633</v>
      </c>
    </row>
    <row r="920" spans="1:94" x14ac:dyDescent="0.25">
      <c r="A920" t="s">
        <v>2921</v>
      </c>
      <c r="B920" t="str">
        <f xml:space="preserve"> "" &amp; 747396108186</f>
        <v>747396108186</v>
      </c>
      <c r="C920" t="s">
        <v>835</v>
      </c>
      <c r="D920" t="s">
        <v>6794</v>
      </c>
      <c r="E920" t="s">
        <v>7528</v>
      </c>
      <c r="F920" t="s">
        <v>323</v>
      </c>
      <c r="G920">
        <v>1</v>
      </c>
      <c r="H920">
        <v>1</v>
      </c>
      <c r="I920" t="s">
        <v>97</v>
      </c>
      <c r="J920" s="10">
        <v>49</v>
      </c>
      <c r="K920" s="10">
        <v>147</v>
      </c>
      <c r="L920" s="10">
        <v>0</v>
      </c>
      <c r="N920" s="10">
        <v>0</v>
      </c>
      <c r="O920" t="s">
        <v>99</v>
      </c>
      <c r="P920" s="10">
        <v>99.95</v>
      </c>
      <c r="S920">
        <v>13.5</v>
      </c>
      <c r="U920">
        <v>4.5</v>
      </c>
      <c r="V920">
        <v>5</v>
      </c>
      <c r="W920">
        <v>2.38</v>
      </c>
      <c r="X920">
        <v>1</v>
      </c>
      <c r="Y920">
        <v>15</v>
      </c>
      <c r="Z920">
        <v>16.75</v>
      </c>
      <c r="AA920">
        <v>12.75</v>
      </c>
      <c r="AB920">
        <v>1.8540000000000001</v>
      </c>
      <c r="AC920">
        <v>3.17</v>
      </c>
      <c r="AE920">
        <v>2</v>
      </c>
      <c r="AF920" t="s">
        <v>794</v>
      </c>
      <c r="AG920">
        <v>60</v>
      </c>
      <c r="AK920" t="s">
        <v>98</v>
      </c>
      <c r="AM920" t="s">
        <v>98</v>
      </c>
      <c r="AN920" t="s">
        <v>99</v>
      </c>
      <c r="AO920" t="s">
        <v>98</v>
      </c>
      <c r="AP920" t="s">
        <v>100</v>
      </c>
      <c r="AQ920" t="s">
        <v>101</v>
      </c>
      <c r="AV920" t="s">
        <v>98</v>
      </c>
      <c r="AX920" t="s">
        <v>279</v>
      </c>
      <c r="AZ920" t="s">
        <v>102</v>
      </c>
      <c r="BB920" t="s">
        <v>235</v>
      </c>
      <c r="BC920" t="s">
        <v>460</v>
      </c>
      <c r="BD920" t="s">
        <v>7528</v>
      </c>
      <c r="BF920" t="s">
        <v>2922</v>
      </c>
      <c r="BG920" t="s">
        <v>98</v>
      </c>
      <c r="BH920" t="s">
        <v>98</v>
      </c>
      <c r="BI920" t="s">
        <v>98</v>
      </c>
      <c r="BK920" t="s">
        <v>127</v>
      </c>
      <c r="BL920" t="s">
        <v>7528</v>
      </c>
      <c r="BM920">
        <v>4.5</v>
      </c>
      <c r="BN920">
        <v>0.75</v>
      </c>
      <c r="CA920">
        <v>6212</v>
      </c>
      <c r="CB920" t="s">
        <v>279</v>
      </c>
      <c r="CL920" t="s">
        <v>99</v>
      </c>
      <c r="CM920" t="s">
        <v>98</v>
      </c>
      <c r="CN920" t="s">
        <v>442</v>
      </c>
      <c r="CO920" s="1">
        <v>43165</v>
      </c>
      <c r="CP920" s="1">
        <v>43633</v>
      </c>
    </row>
    <row r="921" spans="1:94" x14ac:dyDescent="0.25">
      <c r="A921" t="s">
        <v>2923</v>
      </c>
      <c r="B921" t="str">
        <f xml:space="preserve"> "" &amp; 747396072364</f>
        <v>747396072364</v>
      </c>
      <c r="C921" t="s">
        <v>322</v>
      </c>
      <c r="D921" t="s">
        <v>2924</v>
      </c>
      <c r="E921" t="s">
        <v>1941</v>
      </c>
      <c r="F921" t="s">
        <v>232</v>
      </c>
      <c r="G921">
        <v>1</v>
      </c>
      <c r="H921">
        <v>1</v>
      </c>
      <c r="I921" t="s">
        <v>97</v>
      </c>
      <c r="J921" s="10">
        <v>69</v>
      </c>
      <c r="K921" s="10">
        <v>207</v>
      </c>
      <c r="L921" s="10">
        <v>0</v>
      </c>
      <c r="N921" s="10">
        <v>0</v>
      </c>
      <c r="O921" t="s">
        <v>99</v>
      </c>
      <c r="P921" s="10">
        <v>139.9</v>
      </c>
      <c r="S921">
        <v>11.75</v>
      </c>
      <c r="U921">
        <v>7.25</v>
      </c>
      <c r="V921">
        <v>4</v>
      </c>
      <c r="W921">
        <v>3.13</v>
      </c>
      <c r="Y921">
        <v>11.25</v>
      </c>
      <c r="Z921">
        <v>14.5</v>
      </c>
      <c r="AA921">
        <v>9.25</v>
      </c>
      <c r="AB921">
        <v>0.873</v>
      </c>
      <c r="AC921">
        <v>4.5599999999999996</v>
      </c>
      <c r="AE921">
        <v>2</v>
      </c>
      <c r="AF921" t="s">
        <v>233</v>
      </c>
      <c r="AG921">
        <v>60</v>
      </c>
      <c r="AK921" t="s">
        <v>98</v>
      </c>
      <c r="AM921" t="s">
        <v>98</v>
      </c>
      <c r="AN921" t="s">
        <v>98</v>
      </c>
      <c r="AO921" t="s">
        <v>99</v>
      </c>
      <c r="AP921" t="s">
        <v>100</v>
      </c>
      <c r="AQ921" t="s">
        <v>101</v>
      </c>
      <c r="AV921" t="s">
        <v>98</v>
      </c>
      <c r="AX921" t="s">
        <v>1942</v>
      </c>
      <c r="AZ921" t="s">
        <v>124</v>
      </c>
      <c r="BB921" t="s">
        <v>235</v>
      </c>
      <c r="BC921" t="s">
        <v>5363</v>
      </c>
      <c r="BD921" t="s">
        <v>7528</v>
      </c>
      <c r="BF921" t="s">
        <v>2925</v>
      </c>
      <c r="BG921" t="s">
        <v>98</v>
      </c>
      <c r="BH921" t="s">
        <v>99</v>
      </c>
      <c r="BI921" t="s">
        <v>98</v>
      </c>
      <c r="BK921" t="s">
        <v>127</v>
      </c>
      <c r="BL921" t="s">
        <v>645</v>
      </c>
      <c r="BR921">
        <v>10.5</v>
      </c>
      <c r="BT921">
        <v>6.5</v>
      </c>
      <c r="CA921">
        <v>6231</v>
      </c>
      <c r="CB921" t="s">
        <v>1942</v>
      </c>
      <c r="CL921" t="s">
        <v>98</v>
      </c>
      <c r="CM921" t="s">
        <v>98</v>
      </c>
      <c r="CN921" t="s">
        <v>237</v>
      </c>
      <c r="CO921" s="1">
        <v>40163</v>
      </c>
      <c r="CP921" s="1">
        <v>43633</v>
      </c>
    </row>
    <row r="922" spans="1:94" x14ac:dyDescent="0.25">
      <c r="A922" t="s">
        <v>2911</v>
      </c>
      <c r="B922" t="str">
        <f xml:space="preserve"> "" &amp; 747396053240</f>
        <v>747396053240</v>
      </c>
      <c r="C922" t="s">
        <v>239</v>
      </c>
      <c r="D922" t="s">
        <v>239</v>
      </c>
      <c r="E922" t="s">
        <v>7528</v>
      </c>
      <c r="F922" t="s">
        <v>2912</v>
      </c>
      <c r="G922">
        <v>1</v>
      </c>
      <c r="H922">
        <v>1</v>
      </c>
      <c r="I922" t="s">
        <v>97</v>
      </c>
      <c r="J922" s="10">
        <v>46</v>
      </c>
      <c r="K922" s="10">
        <v>138</v>
      </c>
      <c r="L922" s="10">
        <v>0</v>
      </c>
      <c r="N922" s="10">
        <v>0</v>
      </c>
      <c r="O922" t="s">
        <v>99</v>
      </c>
      <c r="P922" s="10">
        <v>89.95</v>
      </c>
      <c r="S922">
        <v>13.75</v>
      </c>
      <c r="T922">
        <v>4.5</v>
      </c>
      <c r="U922">
        <v>4.5</v>
      </c>
      <c r="W922">
        <v>2.8</v>
      </c>
      <c r="X922">
        <v>1</v>
      </c>
      <c r="Y922">
        <v>9</v>
      </c>
      <c r="Z922">
        <v>16</v>
      </c>
      <c r="AA922">
        <v>6.25</v>
      </c>
      <c r="AB922">
        <v>0.52100000000000002</v>
      </c>
      <c r="AC922">
        <v>2.91</v>
      </c>
      <c r="AE922">
        <v>1</v>
      </c>
      <c r="AF922" t="s">
        <v>1530</v>
      </c>
      <c r="AG922">
        <v>13</v>
      </c>
      <c r="AK922" t="s">
        <v>99</v>
      </c>
      <c r="AM922" t="s">
        <v>98</v>
      </c>
      <c r="AN922" t="s">
        <v>98</v>
      </c>
      <c r="AO922" t="s">
        <v>99</v>
      </c>
      <c r="AP922" t="s">
        <v>100</v>
      </c>
      <c r="AQ922" t="s">
        <v>101</v>
      </c>
      <c r="AV922" t="s">
        <v>99</v>
      </c>
      <c r="AX922" t="s">
        <v>279</v>
      </c>
      <c r="AZ922" t="s">
        <v>392</v>
      </c>
      <c r="BB922" t="s">
        <v>235</v>
      </c>
      <c r="BC922" t="s">
        <v>460</v>
      </c>
      <c r="BD922" t="s">
        <v>7528</v>
      </c>
      <c r="BF922" t="s">
        <v>2913</v>
      </c>
      <c r="BG922" t="s">
        <v>98</v>
      </c>
      <c r="BH922" t="s">
        <v>98</v>
      </c>
      <c r="BI922" t="s">
        <v>98</v>
      </c>
      <c r="BK922" t="s">
        <v>110</v>
      </c>
      <c r="BL922" t="s">
        <v>7528</v>
      </c>
      <c r="BQ922">
        <v>4.75</v>
      </c>
      <c r="BR922">
        <v>1.38</v>
      </c>
      <c r="BS922">
        <v>4.75</v>
      </c>
      <c r="BT922">
        <v>4.75</v>
      </c>
      <c r="CA922" t="s">
        <v>2914</v>
      </c>
      <c r="CB922" t="s">
        <v>279</v>
      </c>
      <c r="CL922" t="s">
        <v>98</v>
      </c>
      <c r="CM922" t="s">
        <v>98</v>
      </c>
      <c r="CN922" t="s">
        <v>394</v>
      </c>
      <c r="CO922" s="1">
        <v>38485</v>
      </c>
      <c r="CP922" s="1">
        <v>43633</v>
      </c>
    </row>
    <row r="923" spans="1:94" x14ac:dyDescent="0.25">
      <c r="A923" t="s">
        <v>2929</v>
      </c>
      <c r="B923" t="str">
        <f xml:space="preserve"> "" &amp; 747396058931</f>
        <v>747396058931</v>
      </c>
      <c r="C923" t="s">
        <v>230</v>
      </c>
      <c r="D923" t="s">
        <v>6795</v>
      </c>
      <c r="E923" t="s">
        <v>333</v>
      </c>
      <c r="F923" t="s">
        <v>232</v>
      </c>
      <c r="G923">
        <v>1</v>
      </c>
      <c r="H923">
        <v>1</v>
      </c>
      <c r="I923" t="s">
        <v>97</v>
      </c>
      <c r="J923" s="10">
        <v>79</v>
      </c>
      <c r="K923" s="10">
        <v>237</v>
      </c>
      <c r="L923" s="10">
        <v>0</v>
      </c>
      <c r="N923" s="10">
        <v>0</v>
      </c>
      <c r="O923" t="s">
        <v>99</v>
      </c>
      <c r="P923" s="10">
        <v>159.94999999999999</v>
      </c>
      <c r="S923">
        <v>23.25</v>
      </c>
      <c r="T923">
        <v>21.5</v>
      </c>
      <c r="U923">
        <v>8</v>
      </c>
      <c r="V923">
        <v>9.25</v>
      </c>
      <c r="W923">
        <v>5.95</v>
      </c>
      <c r="X923">
        <v>1</v>
      </c>
      <c r="Y923">
        <v>10.75</v>
      </c>
      <c r="Z923">
        <v>21.5</v>
      </c>
      <c r="AA923">
        <v>9.25</v>
      </c>
      <c r="AB923">
        <v>1.2370000000000001</v>
      </c>
      <c r="AC923">
        <v>8.91</v>
      </c>
      <c r="AE923">
        <v>1</v>
      </c>
      <c r="AF923" t="s">
        <v>225</v>
      </c>
      <c r="AG923">
        <v>100</v>
      </c>
      <c r="AH923">
        <v>0</v>
      </c>
      <c r="AK923" t="s">
        <v>98</v>
      </c>
      <c r="AL923">
        <v>1</v>
      </c>
      <c r="AM923" t="s">
        <v>98</v>
      </c>
      <c r="AN923" t="s">
        <v>98</v>
      </c>
      <c r="AO923" t="s">
        <v>99</v>
      </c>
      <c r="AP923" t="s">
        <v>100</v>
      </c>
      <c r="AQ923" t="s">
        <v>101</v>
      </c>
      <c r="AV923" t="s">
        <v>98</v>
      </c>
      <c r="AX923" t="s">
        <v>334</v>
      </c>
      <c r="AZ923" t="s">
        <v>124</v>
      </c>
      <c r="BB923" t="s">
        <v>235</v>
      </c>
      <c r="BC923" t="s">
        <v>5142</v>
      </c>
      <c r="BD923" t="s">
        <v>7528</v>
      </c>
      <c r="BF923" t="s">
        <v>2930</v>
      </c>
      <c r="BG923" t="s">
        <v>98</v>
      </c>
      <c r="BH923" t="s">
        <v>98</v>
      </c>
      <c r="BI923" t="s">
        <v>98</v>
      </c>
      <c r="BK923" t="s">
        <v>127</v>
      </c>
      <c r="BL923" t="s">
        <v>236</v>
      </c>
      <c r="BR923">
        <v>9.1300000000000008</v>
      </c>
      <c r="BT923">
        <v>6</v>
      </c>
      <c r="CA923">
        <v>6350</v>
      </c>
      <c r="CB923" t="s">
        <v>334</v>
      </c>
      <c r="CL923" t="s">
        <v>98</v>
      </c>
      <c r="CM923" t="s">
        <v>98</v>
      </c>
      <c r="CN923" t="s">
        <v>7528</v>
      </c>
      <c r="CO923" s="1">
        <v>38926</v>
      </c>
      <c r="CP923" s="1">
        <v>43633</v>
      </c>
    </row>
    <row r="924" spans="1:94" x14ac:dyDescent="0.25">
      <c r="A924" t="s">
        <v>2931</v>
      </c>
      <c r="B924" t="str">
        <f xml:space="preserve"> "" &amp; 747396058887</f>
        <v>747396058887</v>
      </c>
      <c r="C924" t="s">
        <v>758</v>
      </c>
      <c r="D924" t="s">
        <v>6796</v>
      </c>
      <c r="E924" t="s">
        <v>333</v>
      </c>
      <c r="F924" t="s">
        <v>323</v>
      </c>
      <c r="G924">
        <v>1</v>
      </c>
      <c r="H924">
        <v>1</v>
      </c>
      <c r="I924" t="s">
        <v>97</v>
      </c>
      <c r="J924" s="10">
        <v>105</v>
      </c>
      <c r="K924" s="10">
        <v>315</v>
      </c>
      <c r="L924" s="10">
        <v>0</v>
      </c>
      <c r="N924" s="10">
        <v>0</v>
      </c>
      <c r="O924" t="s">
        <v>99</v>
      </c>
      <c r="P924" s="10">
        <v>209.95</v>
      </c>
      <c r="S924">
        <v>9.75</v>
      </c>
      <c r="U924">
        <v>18.75</v>
      </c>
      <c r="V924">
        <v>9</v>
      </c>
      <c r="W924">
        <v>9.2200000000000006</v>
      </c>
      <c r="X924">
        <v>1</v>
      </c>
      <c r="Y924">
        <v>15.25</v>
      </c>
      <c r="Z924">
        <v>19</v>
      </c>
      <c r="AA924">
        <v>9.5</v>
      </c>
      <c r="AB924">
        <v>1.593</v>
      </c>
      <c r="AC924">
        <v>12.94</v>
      </c>
      <c r="AE924">
        <v>2</v>
      </c>
      <c r="AF924" t="s">
        <v>225</v>
      </c>
      <c r="AG924">
        <v>100</v>
      </c>
      <c r="AH924">
        <v>0</v>
      </c>
      <c r="AK924" t="s">
        <v>98</v>
      </c>
      <c r="AM924" t="s">
        <v>98</v>
      </c>
      <c r="AN924" t="s">
        <v>98</v>
      </c>
      <c r="AO924" t="s">
        <v>99</v>
      </c>
      <c r="AP924" t="s">
        <v>100</v>
      </c>
      <c r="AQ924" t="s">
        <v>101</v>
      </c>
      <c r="AV924" t="s">
        <v>98</v>
      </c>
      <c r="AX924" t="s">
        <v>334</v>
      </c>
      <c r="AZ924" t="s">
        <v>124</v>
      </c>
      <c r="BB924" t="s">
        <v>235</v>
      </c>
      <c r="BC924" t="s">
        <v>5142</v>
      </c>
      <c r="BD924" t="s">
        <v>7528</v>
      </c>
      <c r="BF924" t="s">
        <v>2932</v>
      </c>
      <c r="BG924" t="s">
        <v>98</v>
      </c>
      <c r="BH924" t="s">
        <v>98</v>
      </c>
      <c r="BI924" t="s">
        <v>98</v>
      </c>
      <c r="BK924" t="s">
        <v>127</v>
      </c>
      <c r="BL924" t="s">
        <v>756</v>
      </c>
      <c r="BR924">
        <v>6</v>
      </c>
      <c r="BT924">
        <v>9.1300000000000008</v>
      </c>
      <c r="CA924">
        <v>6352</v>
      </c>
      <c r="CB924" t="s">
        <v>334</v>
      </c>
      <c r="CL924" t="s">
        <v>98</v>
      </c>
      <c r="CM924" t="s">
        <v>98</v>
      </c>
      <c r="CN924" t="s">
        <v>7528</v>
      </c>
      <c r="CO924" s="1">
        <v>38926</v>
      </c>
      <c r="CP924" s="1">
        <v>43633</v>
      </c>
    </row>
    <row r="925" spans="1:94" x14ac:dyDescent="0.25">
      <c r="A925" t="s">
        <v>2933</v>
      </c>
      <c r="B925" t="str">
        <f xml:space="preserve"> "" &amp; 747396058894</f>
        <v>747396058894</v>
      </c>
      <c r="C925" t="s">
        <v>762</v>
      </c>
      <c r="D925" t="s">
        <v>6797</v>
      </c>
      <c r="E925" t="s">
        <v>333</v>
      </c>
      <c r="F925" t="s">
        <v>323</v>
      </c>
      <c r="G925">
        <v>1</v>
      </c>
      <c r="H925">
        <v>1</v>
      </c>
      <c r="I925" t="s">
        <v>97</v>
      </c>
      <c r="J925" s="10">
        <v>135</v>
      </c>
      <c r="K925" s="10">
        <v>405</v>
      </c>
      <c r="L925" s="10">
        <v>0</v>
      </c>
      <c r="N925" s="10">
        <v>0</v>
      </c>
      <c r="O925" t="s">
        <v>99</v>
      </c>
      <c r="P925" s="10">
        <v>269.95</v>
      </c>
      <c r="S925">
        <v>9.75</v>
      </c>
      <c r="U925">
        <v>28.75</v>
      </c>
      <c r="V925">
        <v>8.75</v>
      </c>
      <c r="W925">
        <v>11.53</v>
      </c>
      <c r="X925">
        <v>1</v>
      </c>
      <c r="Y925">
        <v>15.25</v>
      </c>
      <c r="Z925">
        <v>29.75</v>
      </c>
      <c r="AA925">
        <v>9.5</v>
      </c>
      <c r="AB925">
        <v>2.4940000000000002</v>
      </c>
      <c r="AC925">
        <v>15.43</v>
      </c>
      <c r="AE925">
        <v>3</v>
      </c>
      <c r="AF925" t="s">
        <v>340</v>
      </c>
      <c r="AG925">
        <v>100</v>
      </c>
      <c r="AH925">
        <v>0</v>
      </c>
      <c r="AK925" t="s">
        <v>98</v>
      </c>
      <c r="AL925">
        <v>3</v>
      </c>
      <c r="AM925" t="s">
        <v>98</v>
      </c>
      <c r="AN925" t="s">
        <v>99</v>
      </c>
      <c r="AO925" t="s">
        <v>98</v>
      </c>
      <c r="AP925" t="s">
        <v>100</v>
      </c>
      <c r="AQ925" t="s">
        <v>101</v>
      </c>
      <c r="AV925" t="s">
        <v>98</v>
      </c>
      <c r="AX925" t="s">
        <v>334</v>
      </c>
      <c r="AZ925" t="s">
        <v>124</v>
      </c>
      <c r="BB925" t="s">
        <v>235</v>
      </c>
      <c r="BC925" t="s">
        <v>335</v>
      </c>
      <c r="BD925" t="s">
        <v>7528</v>
      </c>
      <c r="BF925" t="s">
        <v>2934</v>
      </c>
      <c r="BG925" t="s">
        <v>98</v>
      </c>
      <c r="BH925" t="s">
        <v>98</v>
      </c>
      <c r="BI925" t="s">
        <v>98</v>
      </c>
      <c r="BK925" t="s">
        <v>127</v>
      </c>
      <c r="BL925" t="s">
        <v>756</v>
      </c>
      <c r="BM925">
        <v>6</v>
      </c>
      <c r="BN925">
        <v>9.1300000000000008</v>
      </c>
      <c r="CA925">
        <v>6353</v>
      </c>
      <c r="CB925" t="s">
        <v>334</v>
      </c>
      <c r="CL925" t="s">
        <v>99</v>
      </c>
      <c r="CM925" t="s">
        <v>98</v>
      </c>
      <c r="CN925" t="s">
        <v>345</v>
      </c>
      <c r="CO925" s="1">
        <v>38926</v>
      </c>
      <c r="CP925" s="1">
        <v>43633</v>
      </c>
    </row>
    <row r="926" spans="1:94" x14ac:dyDescent="0.25">
      <c r="A926" t="s">
        <v>2935</v>
      </c>
      <c r="B926" t="str">
        <f xml:space="preserve"> "" &amp; 747396058900</f>
        <v>747396058900</v>
      </c>
      <c r="C926" t="s">
        <v>766</v>
      </c>
      <c r="D926" t="s">
        <v>6798</v>
      </c>
      <c r="E926" t="s">
        <v>333</v>
      </c>
      <c r="F926" t="s">
        <v>323</v>
      </c>
      <c r="G926">
        <v>1</v>
      </c>
      <c r="H926">
        <v>1</v>
      </c>
      <c r="I926" t="s">
        <v>97</v>
      </c>
      <c r="J926" s="10">
        <v>169</v>
      </c>
      <c r="K926" s="10">
        <v>507</v>
      </c>
      <c r="L926" s="10">
        <v>0</v>
      </c>
      <c r="N926" s="10">
        <v>0</v>
      </c>
      <c r="O926" t="s">
        <v>99</v>
      </c>
      <c r="P926" s="10">
        <v>339.95</v>
      </c>
      <c r="S926">
        <v>9.5</v>
      </c>
      <c r="U926">
        <v>40.25</v>
      </c>
      <c r="V926">
        <v>9</v>
      </c>
      <c r="W926">
        <v>16.09</v>
      </c>
      <c r="X926">
        <v>1</v>
      </c>
      <c r="Y926">
        <v>15.25</v>
      </c>
      <c r="Z926">
        <v>40.5</v>
      </c>
      <c r="AA926">
        <v>9.5</v>
      </c>
      <c r="AB926">
        <v>3.3959999999999999</v>
      </c>
      <c r="AC926">
        <v>23.28</v>
      </c>
      <c r="AE926">
        <v>4</v>
      </c>
      <c r="AF926" t="s">
        <v>225</v>
      </c>
      <c r="AG926">
        <v>100</v>
      </c>
      <c r="AH926">
        <v>0</v>
      </c>
      <c r="AK926" t="s">
        <v>98</v>
      </c>
      <c r="AM926" t="s">
        <v>98</v>
      </c>
      <c r="AN926" t="s">
        <v>98</v>
      </c>
      <c r="AO926" t="s">
        <v>99</v>
      </c>
      <c r="AP926" t="s">
        <v>100</v>
      </c>
      <c r="AQ926" t="s">
        <v>101</v>
      </c>
      <c r="AV926" t="s">
        <v>98</v>
      </c>
      <c r="AX926" t="s">
        <v>334</v>
      </c>
      <c r="AZ926" t="s">
        <v>124</v>
      </c>
      <c r="BB926" t="s">
        <v>235</v>
      </c>
      <c r="BC926" t="s">
        <v>5142</v>
      </c>
      <c r="BD926" t="s">
        <v>7528</v>
      </c>
      <c r="BF926" t="s">
        <v>2936</v>
      </c>
      <c r="BG926" t="s">
        <v>98</v>
      </c>
      <c r="BH926" t="s">
        <v>98</v>
      </c>
      <c r="BI926" t="s">
        <v>98</v>
      </c>
      <c r="BK926" t="s">
        <v>127</v>
      </c>
      <c r="BL926" t="s">
        <v>756</v>
      </c>
      <c r="BR926">
        <v>9.1300000000000008</v>
      </c>
      <c r="BT926">
        <v>9.1300000000000008</v>
      </c>
      <c r="CA926">
        <v>6354</v>
      </c>
      <c r="CB926" t="s">
        <v>334</v>
      </c>
      <c r="CL926" t="s">
        <v>98</v>
      </c>
      <c r="CM926" t="s">
        <v>98</v>
      </c>
      <c r="CN926" t="s">
        <v>7528</v>
      </c>
      <c r="CO926" s="1">
        <v>38926</v>
      </c>
      <c r="CP926" s="1">
        <v>43633</v>
      </c>
    </row>
    <row r="927" spans="1:94" x14ac:dyDescent="0.25">
      <c r="A927" t="s">
        <v>2937</v>
      </c>
      <c r="B927" t="str">
        <f xml:space="preserve"> "" &amp; 747396058962</f>
        <v>747396058962</v>
      </c>
      <c r="C927" t="s">
        <v>376</v>
      </c>
      <c r="D927" t="s">
        <v>6799</v>
      </c>
      <c r="E927" t="s">
        <v>333</v>
      </c>
      <c r="F927" t="s">
        <v>316</v>
      </c>
      <c r="G927">
        <v>1</v>
      </c>
      <c r="H927">
        <v>1</v>
      </c>
      <c r="I927" t="s">
        <v>97</v>
      </c>
      <c r="J927" s="10">
        <v>115</v>
      </c>
      <c r="K927" s="10">
        <v>345</v>
      </c>
      <c r="L927" s="10">
        <v>0</v>
      </c>
      <c r="N927" s="10">
        <v>0</v>
      </c>
      <c r="O927" t="s">
        <v>99</v>
      </c>
      <c r="P927" s="10">
        <v>229.95</v>
      </c>
      <c r="S927">
        <v>15</v>
      </c>
      <c r="T927">
        <v>17</v>
      </c>
      <c r="U927">
        <v>16.5</v>
      </c>
      <c r="W927">
        <v>11.57</v>
      </c>
      <c r="X927">
        <v>1</v>
      </c>
      <c r="Y927">
        <v>13.5</v>
      </c>
      <c r="Z927">
        <v>17</v>
      </c>
      <c r="AA927">
        <v>17</v>
      </c>
      <c r="AB927">
        <v>2.258</v>
      </c>
      <c r="AC927">
        <v>14.77</v>
      </c>
      <c r="AE927">
        <v>2</v>
      </c>
      <c r="AF927" t="s">
        <v>225</v>
      </c>
      <c r="AG927">
        <v>100</v>
      </c>
      <c r="AH927">
        <v>0</v>
      </c>
      <c r="AK927" t="s">
        <v>98</v>
      </c>
      <c r="AM927" t="s">
        <v>98</v>
      </c>
      <c r="AN927" t="s">
        <v>98</v>
      </c>
      <c r="AO927" t="s">
        <v>99</v>
      </c>
      <c r="AP927" t="s">
        <v>100</v>
      </c>
      <c r="AQ927" t="s">
        <v>101</v>
      </c>
      <c r="AV927" t="s">
        <v>98</v>
      </c>
      <c r="AX927" t="s">
        <v>334</v>
      </c>
      <c r="AZ927" t="s">
        <v>124</v>
      </c>
      <c r="BB927" t="s">
        <v>235</v>
      </c>
      <c r="BC927" t="s">
        <v>5142</v>
      </c>
      <c r="BD927" t="s">
        <v>7528</v>
      </c>
      <c r="BF927" t="s">
        <v>2938</v>
      </c>
      <c r="BG927" t="s">
        <v>98</v>
      </c>
      <c r="BH927" t="s">
        <v>98</v>
      </c>
      <c r="BI927" t="s">
        <v>98</v>
      </c>
      <c r="BK927" t="s">
        <v>127</v>
      </c>
      <c r="BL927" t="s">
        <v>7528</v>
      </c>
      <c r="BR927">
        <v>1.88</v>
      </c>
      <c r="BT927">
        <v>5.5</v>
      </c>
      <c r="CA927">
        <v>6357</v>
      </c>
      <c r="CB927" t="s">
        <v>334</v>
      </c>
      <c r="CL927" t="s">
        <v>98</v>
      </c>
      <c r="CM927" t="s">
        <v>98</v>
      </c>
      <c r="CN927" t="s">
        <v>7528</v>
      </c>
      <c r="CO927" s="1">
        <v>38926</v>
      </c>
      <c r="CP927" s="1">
        <v>43633</v>
      </c>
    </row>
    <row r="928" spans="1:94" x14ac:dyDescent="0.25">
      <c r="A928" t="s">
        <v>2939</v>
      </c>
      <c r="B928" t="str">
        <f xml:space="preserve"> "" &amp; 747396103822</f>
        <v>747396103822</v>
      </c>
      <c r="C928" t="s">
        <v>569</v>
      </c>
      <c r="D928" t="s">
        <v>6800</v>
      </c>
      <c r="E928" t="s">
        <v>7528</v>
      </c>
      <c r="F928" t="s">
        <v>478</v>
      </c>
      <c r="G928">
        <v>1</v>
      </c>
      <c r="H928">
        <v>1</v>
      </c>
      <c r="I928" t="s">
        <v>97</v>
      </c>
      <c r="J928" s="10">
        <v>105</v>
      </c>
      <c r="K928" s="10">
        <v>315</v>
      </c>
      <c r="L928" s="10">
        <v>0</v>
      </c>
      <c r="N928" s="10">
        <v>0</v>
      </c>
      <c r="O928" t="s">
        <v>99</v>
      </c>
      <c r="P928" s="10">
        <v>189.95</v>
      </c>
      <c r="S928">
        <v>7</v>
      </c>
      <c r="T928">
        <v>16</v>
      </c>
      <c r="U928">
        <v>16</v>
      </c>
      <c r="W928">
        <v>8.3800000000000008</v>
      </c>
      <c r="X928">
        <v>1</v>
      </c>
      <c r="Y928">
        <v>12.5</v>
      </c>
      <c r="Z928">
        <v>18.5</v>
      </c>
      <c r="AA928">
        <v>18.5</v>
      </c>
      <c r="AB928">
        <v>2.476</v>
      </c>
      <c r="AC928">
        <v>11.53</v>
      </c>
      <c r="AE928">
        <v>3</v>
      </c>
      <c r="AF928" t="s">
        <v>282</v>
      </c>
      <c r="AG928">
        <v>60</v>
      </c>
      <c r="AK928" t="s">
        <v>98</v>
      </c>
      <c r="AM928" t="s">
        <v>98</v>
      </c>
      <c r="AN928" t="s">
        <v>99</v>
      </c>
      <c r="AO928" t="s">
        <v>98</v>
      </c>
      <c r="AP928" t="s">
        <v>100</v>
      </c>
      <c r="AQ928" t="s">
        <v>101</v>
      </c>
      <c r="AV928" t="s">
        <v>98</v>
      </c>
      <c r="AX928" t="s">
        <v>560</v>
      </c>
      <c r="AZ928" t="s">
        <v>124</v>
      </c>
      <c r="BB928" t="s">
        <v>235</v>
      </c>
      <c r="BC928" t="s">
        <v>561</v>
      </c>
      <c r="BD928" t="s">
        <v>7528</v>
      </c>
      <c r="BF928" t="s">
        <v>2940</v>
      </c>
      <c r="BG928" t="s">
        <v>98</v>
      </c>
      <c r="BH928" t="s">
        <v>98</v>
      </c>
      <c r="BI928" t="s">
        <v>98</v>
      </c>
      <c r="BK928" t="s">
        <v>127</v>
      </c>
      <c r="BL928" t="s">
        <v>7528</v>
      </c>
      <c r="BR928">
        <v>1.25</v>
      </c>
      <c r="BS928">
        <v>16</v>
      </c>
      <c r="BT928">
        <v>16</v>
      </c>
      <c r="CA928">
        <v>6368</v>
      </c>
      <c r="CB928" t="s">
        <v>560</v>
      </c>
      <c r="CL928" t="s">
        <v>99</v>
      </c>
      <c r="CM928" t="s">
        <v>98</v>
      </c>
      <c r="CN928" t="s">
        <v>442</v>
      </c>
      <c r="CO928" s="1">
        <v>43069</v>
      </c>
      <c r="CP928" s="1">
        <v>43633</v>
      </c>
    </row>
    <row r="929" spans="1:94" x14ac:dyDescent="0.25">
      <c r="A929" t="s">
        <v>2941</v>
      </c>
      <c r="B929" t="str">
        <f xml:space="preserve"> "" &amp; 747396103792</f>
        <v>747396103792</v>
      </c>
      <c r="C929" t="s">
        <v>569</v>
      </c>
      <c r="D929" t="s">
        <v>1346</v>
      </c>
      <c r="E929" t="s">
        <v>7528</v>
      </c>
      <c r="F929" t="s">
        <v>478</v>
      </c>
      <c r="G929">
        <v>1</v>
      </c>
      <c r="H929">
        <v>1</v>
      </c>
      <c r="I929" t="s">
        <v>97</v>
      </c>
      <c r="J929" s="10">
        <v>105</v>
      </c>
      <c r="K929" s="10">
        <v>315</v>
      </c>
      <c r="L929" s="10">
        <v>0</v>
      </c>
      <c r="N929" s="10">
        <v>0</v>
      </c>
      <c r="O929" t="s">
        <v>99</v>
      </c>
      <c r="P929" s="10">
        <v>189.95</v>
      </c>
      <c r="S929">
        <v>7</v>
      </c>
      <c r="T929">
        <v>16</v>
      </c>
      <c r="U929">
        <v>16</v>
      </c>
      <c r="W929">
        <v>8.3800000000000008</v>
      </c>
      <c r="X929">
        <v>1</v>
      </c>
      <c r="Y929">
        <v>12.5</v>
      </c>
      <c r="Z929">
        <v>18.5</v>
      </c>
      <c r="AA929">
        <v>18.5</v>
      </c>
      <c r="AB929">
        <v>2.476</v>
      </c>
      <c r="AC929">
        <v>11.53</v>
      </c>
      <c r="AE929">
        <v>3</v>
      </c>
      <c r="AF929" t="s">
        <v>282</v>
      </c>
      <c r="AG929">
        <v>60</v>
      </c>
      <c r="AK929" t="s">
        <v>98</v>
      </c>
      <c r="AM929" t="s">
        <v>98</v>
      </c>
      <c r="AN929" t="s">
        <v>99</v>
      </c>
      <c r="AO929" t="s">
        <v>98</v>
      </c>
      <c r="AP929" t="s">
        <v>100</v>
      </c>
      <c r="AQ929" t="s">
        <v>101</v>
      </c>
      <c r="AV929" t="s">
        <v>98</v>
      </c>
      <c r="AX929" t="s">
        <v>367</v>
      </c>
      <c r="AZ929" t="s">
        <v>124</v>
      </c>
      <c r="BB929" t="s">
        <v>235</v>
      </c>
      <c r="BC929" t="s">
        <v>561</v>
      </c>
      <c r="BD929" t="s">
        <v>7528</v>
      </c>
      <c r="BF929" t="s">
        <v>2942</v>
      </c>
      <c r="BG929" t="s">
        <v>98</v>
      </c>
      <c r="BH929" t="s">
        <v>98</v>
      </c>
      <c r="BI929" t="s">
        <v>98</v>
      </c>
      <c r="BK929" t="s">
        <v>127</v>
      </c>
      <c r="BL929" t="s">
        <v>7528</v>
      </c>
      <c r="BR929">
        <v>1.25</v>
      </c>
      <c r="BS929">
        <v>16</v>
      </c>
      <c r="BT929">
        <v>16</v>
      </c>
      <c r="CA929">
        <v>6368</v>
      </c>
      <c r="CB929" t="s">
        <v>367</v>
      </c>
      <c r="CL929" t="s">
        <v>99</v>
      </c>
      <c r="CM929" t="s">
        <v>98</v>
      </c>
      <c r="CN929" t="s">
        <v>442</v>
      </c>
      <c r="CO929" s="1">
        <v>43069</v>
      </c>
      <c r="CP929" s="1">
        <v>43633</v>
      </c>
    </row>
    <row r="930" spans="1:94" x14ac:dyDescent="0.25">
      <c r="A930" t="s">
        <v>2943</v>
      </c>
      <c r="B930" t="str">
        <f xml:space="preserve"> "" &amp; 747396103808</f>
        <v>747396103808</v>
      </c>
      <c r="C930" t="s">
        <v>569</v>
      </c>
      <c r="D930" t="s">
        <v>1346</v>
      </c>
      <c r="E930" t="s">
        <v>7528</v>
      </c>
      <c r="F930" t="s">
        <v>478</v>
      </c>
      <c r="G930">
        <v>1</v>
      </c>
      <c r="H930">
        <v>1</v>
      </c>
      <c r="I930" t="s">
        <v>97</v>
      </c>
      <c r="J930" s="10">
        <v>105</v>
      </c>
      <c r="K930" s="10">
        <v>315</v>
      </c>
      <c r="L930" s="10">
        <v>0</v>
      </c>
      <c r="N930" s="10">
        <v>0</v>
      </c>
      <c r="O930" t="s">
        <v>99</v>
      </c>
      <c r="P930" s="10">
        <v>189.95</v>
      </c>
      <c r="S930">
        <v>7</v>
      </c>
      <c r="T930">
        <v>16</v>
      </c>
      <c r="U930">
        <v>16</v>
      </c>
      <c r="W930">
        <v>8.3800000000000008</v>
      </c>
      <c r="X930">
        <v>1</v>
      </c>
      <c r="Y930">
        <v>12.5</v>
      </c>
      <c r="Z930">
        <v>18.5</v>
      </c>
      <c r="AA930">
        <v>18.5</v>
      </c>
      <c r="AB930">
        <v>2.476</v>
      </c>
      <c r="AC930">
        <v>11.53</v>
      </c>
      <c r="AE930">
        <v>3</v>
      </c>
      <c r="AF930" t="s">
        <v>282</v>
      </c>
      <c r="AG930">
        <v>60</v>
      </c>
      <c r="AK930" t="s">
        <v>98</v>
      </c>
      <c r="AM930" t="s">
        <v>98</v>
      </c>
      <c r="AN930" t="s">
        <v>99</v>
      </c>
      <c r="AO930" t="s">
        <v>98</v>
      </c>
      <c r="AP930" t="s">
        <v>100</v>
      </c>
      <c r="AQ930" t="s">
        <v>101</v>
      </c>
      <c r="AV930" t="s">
        <v>98</v>
      </c>
      <c r="AX930" t="s">
        <v>484</v>
      </c>
      <c r="AZ930" t="s">
        <v>124</v>
      </c>
      <c r="BB930" t="s">
        <v>235</v>
      </c>
      <c r="BC930" t="s">
        <v>561</v>
      </c>
      <c r="BD930" t="s">
        <v>7528</v>
      </c>
      <c r="BF930" t="s">
        <v>2944</v>
      </c>
      <c r="BG930" t="s">
        <v>98</v>
      </c>
      <c r="BH930" t="s">
        <v>98</v>
      </c>
      <c r="BI930" t="s">
        <v>98</v>
      </c>
      <c r="BK930" t="s">
        <v>127</v>
      </c>
      <c r="BL930" t="s">
        <v>7528</v>
      </c>
      <c r="BR930">
        <v>1.25</v>
      </c>
      <c r="BS930">
        <v>16</v>
      </c>
      <c r="BT930">
        <v>16</v>
      </c>
      <c r="CA930">
        <v>6368</v>
      </c>
      <c r="CB930" t="s">
        <v>484</v>
      </c>
      <c r="CL930" t="s">
        <v>99</v>
      </c>
      <c r="CM930" t="s">
        <v>98</v>
      </c>
      <c r="CN930" t="s">
        <v>592</v>
      </c>
      <c r="CO930" s="1">
        <v>43069</v>
      </c>
      <c r="CP930" s="1">
        <v>43633</v>
      </c>
    </row>
    <row r="931" spans="1:94" x14ac:dyDescent="0.25">
      <c r="A931" t="s">
        <v>2945</v>
      </c>
      <c r="B931" t="str">
        <f xml:space="preserve"> "" &amp; 747396103815</f>
        <v>747396103815</v>
      </c>
      <c r="C931" t="s">
        <v>569</v>
      </c>
      <c r="D931" t="s">
        <v>6800</v>
      </c>
      <c r="E931" t="s">
        <v>7528</v>
      </c>
      <c r="F931" t="s">
        <v>478</v>
      </c>
      <c r="G931">
        <v>1</v>
      </c>
      <c r="H931">
        <v>1</v>
      </c>
      <c r="I931" t="s">
        <v>97</v>
      </c>
      <c r="J931" s="10">
        <v>105</v>
      </c>
      <c r="K931" s="10">
        <v>315</v>
      </c>
      <c r="L931" s="10">
        <v>0</v>
      </c>
      <c r="N931" s="10">
        <v>0</v>
      </c>
      <c r="O931" t="s">
        <v>99</v>
      </c>
      <c r="P931" s="10">
        <v>189.95</v>
      </c>
      <c r="S931">
        <v>7</v>
      </c>
      <c r="T931">
        <v>16</v>
      </c>
      <c r="U931">
        <v>16</v>
      </c>
      <c r="W931">
        <v>8.3800000000000008</v>
      </c>
      <c r="X931">
        <v>1</v>
      </c>
      <c r="Y931">
        <v>12.5</v>
      </c>
      <c r="Z931">
        <v>18.5</v>
      </c>
      <c r="AA931">
        <v>18.5</v>
      </c>
      <c r="AB931">
        <v>2.476</v>
      </c>
      <c r="AC931">
        <v>11.53</v>
      </c>
      <c r="AE931">
        <v>3</v>
      </c>
      <c r="AF931" t="s">
        <v>282</v>
      </c>
      <c r="AG931">
        <v>60</v>
      </c>
      <c r="AK931" t="s">
        <v>98</v>
      </c>
      <c r="AM931" t="s">
        <v>98</v>
      </c>
      <c r="AN931" t="s">
        <v>99</v>
      </c>
      <c r="AO931" t="s">
        <v>98</v>
      </c>
      <c r="AP931" t="s">
        <v>100</v>
      </c>
      <c r="AQ931" t="s">
        <v>101</v>
      </c>
      <c r="AV931" t="s">
        <v>98</v>
      </c>
      <c r="AX931" t="s">
        <v>279</v>
      </c>
      <c r="AZ931" t="s">
        <v>124</v>
      </c>
      <c r="BB931" t="s">
        <v>235</v>
      </c>
      <c r="BC931" t="s">
        <v>561</v>
      </c>
      <c r="BD931" t="s">
        <v>7528</v>
      </c>
      <c r="BF931" t="s">
        <v>2946</v>
      </c>
      <c r="BG931" t="s">
        <v>98</v>
      </c>
      <c r="BH931" t="s">
        <v>98</v>
      </c>
      <c r="BI931" t="s">
        <v>98</v>
      </c>
      <c r="BK931" t="s">
        <v>127</v>
      </c>
      <c r="BL931" t="s">
        <v>7528</v>
      </c>
      <c r="BR931">
        <v>1.25</v>
      </c>
      <c r="BS931">
        <v>16</v>
      </c>
      <c r="BT931">
        <v>16</v>
      </c>
      <c r="CA931">
        <v>6368</v>
      </c>
      <c r="CB931" t="s">
        <v>279</v>
      </c>
      <c r="CL931" t="s">
        <v>99</v>
      </c>
      <c r="CM931" t="s">
        <v>98</v>
      </c>
      <c r="CN931" t="s">
        <v>442</v>
      </c>
      <c r="CO931" s="1">
        <v>43069</v>
      </c>
      <c r="CP931" s="1">
        <v>43633</v>
      </c>
    </row>
    <row r="932" spans="1:94" x14ac:dyDescent="0.25">
      <c r="A932" t="s">
        <v>2947</v>
      </c>
      <c r="B932" t="str">
        <f xml:space="preserve"> "" &amp; 747396103785</f>
        <v>747396103785</v>
      </c>
      <c r="C932" t="s">
        <v>569</v>
      </c>
      <c r="D932" t="s">
        <v>6801</v>
      </c>
      <c r="E932" t="s">
        <v>7528</v>
      </c>
      <c r="F932" t="s">
        <v>478</v>
      </c>
      <c r="G932">
        <v>1</v>
      </c>
      <c r="H932">
        <v>1</v>
      </c>
      <c r="I932" t="s">
        <v>97</v>
      </c>
      <c r="J932" s="10">
        <v>145</v>
      </c>
      <c r="K932" s="10">
        <v>435</v>
      </c>
      <c r="L932" s="10">
        <v>0</v>
      </c>
      <c r="N932" s="10">
        <v>0</v>
      </c>
      <c r="O932" t="s">
        <v>99</v>
      </c>
      <c r="P932" s="10">
        <v>259.95</v>
      </c>
      <c r="S932">
        <v>7</v>
      </c>
      <c r="T932">
        <v>20</v>
      </c>
      <c r="U932">
        <v>20</v>
      </c>
      <c r="W932">
        <v>12.04</v>
      </c>
      <c r="X932">
        <v>1</v>
      </c>
      <c r="Y932">
        <v>12.5</v>
      </c>
      <c r="Z932">
        <v>22.25</v>
      </c>
      <c r="AA932">
        <v>22.25</v>
      </c>
      <c r="AB932">
        <v>3.581</v>
      </c>
      <c r="AC932">
        <v>16.420000000000002</v>
      </c>
      <c r="AE932">
        <v>5</v>
      </c>
      <c r="AF932" t="s">
        <v>282</v>
      </c>
      <c r="AG932">
        <v>60</v>
      </c>
      <c r="AK932" t="s">
        <v>98</v>
      </c>
      <c r="AM932" t="s">
        <v>98</v>
      </c>
      <c r="AN932" t="s">
        <v>99</v>
      </c>
      <c r="AO932" t="s">
        <v>98</v>
      </c>
      <c r="AP932" t="s">
        <v>100</v>
      </c>
      <c r="AQ932" t="s">
        <v>101</v>
      </c>
      <c r="AV932" t="s">
        <v>98</v>
      </c>
      <c r="AX932" t="s">
        <v>560</v>
      </c>
      <c r="AZ932" t="s">
        <v>124</v>
      </c>
      <c r="BB932" t="s">
        <v>235</v>
      </c>
      <c r="BC932" t="s">
        <v>460</v>
      </c>
      <c r="BD932" t="s">
        <v>7528</v>
      </c>
      <c r="BF932" t="s">
        <v>2948</v>
      </c>
      <c r="BG932" t="s">
        <v>98</v>
      </c>
      <c r="BH932" t="s">
        <v>98</v>
      </c>
      <c r="BI932" t="s">
        <v>98</v>
      </c>
      <c r="BK932" t="s">
        <v>127</v>
      </c>
      <c r="BL932" t="s">
        <v>7528</v>
      </c>
      <c r="BR932">
        <v>1.25</v>
      </c>
      <c r="BS932">
        <v>20</v>
      </c>
      <c r="BT932">
        <v>20</v>
      </c>
      <c r="CA932">
        <v>6369</v>
      </c>
      <c r="CB932" t="s">
        <v>560</v>
      </c>
      <c r="CL932" t="s">
        <v>99</v>
      </c>
      <c r="CM932" t="s">
        <v>98</v>
      </c>
      <c r="CN932" t="s">
        <v>442</v>
      </c>
      <c r="CO932" s="1">
        <v>43069</v>
      </c>
      <c r="CP932" s="1">
        <v>43633</v>
      </c>
    </row>
    <row r="933" spans="1:94" x14ac:dyDescent="0.25">
      <c r="A933" t="s">
        <v>2949</v>
      </c>
      <c r="B933" t="str">
        <f xml:space="preserve"> "" &amp; 747396103754</f>
        <v>747396103754</v>
      </c>
      <c r="C933" t="s">
        <v>569</v>
      </c>
      <c r="D933" t="s">
        <v>6801</v>
      </c>
      <c r="E933" t="s">
        <v>7528</v>
      </c>
      <c r="F933" t="s">
        <v>478</v>
      </c>
      <c r="G933">
        <v>1</v>
      </c>
      <c r="H933">
        <v>1</v>
      </c>
      <c r="I933" t="s">
        <v>97</v>
      </c>
      <c r="J933" s="10">
        <v>145</v>
      </c>
      <c r="K933" s="10">
        <v>435</v>
      </c>
      <c r="L933" s="10">
        <v>0</v>
      </c>
      <c r="N933" s="10">
        <v>0</v>
      </c>
      <c r="O933" t="s">
        <v>99</v>
      </c>
      <c r="P933" s="10">
        <v>259.95</v>
      </c>
      <c r="S933">
        <v>7</v>
      </c>
      <c r="T933">
        <v>20</v>
      </c>
      <c r="U933">
        <v>20</v>
      </c>
      <c r="W933">
        <v>12.04</v>
      </c>
      <c r="X933">
        <v>1</v>
      </c>
      <c r="Y933">
        <v>12.5</v>
      </c>
      <c r="Z933">
        <v>22.25</v>
      </c>
      <c r="AA933">
        <v>22.25</v>
      </c>
      <c r="AB933">
        <v>3.581</v>
      </c>
      <c r="AC933">
        <v>16.420000000000002</v>
      </c>
      <c r="AE933">
        <v>5</v>
      </c>
      <c r="AF933" t="s">
        <v>282</v>
      </c>
      <c r="AG933">
        <v>60</v>
      </c>
      <c r="AK933" t="s">
        <v>98</v>
      </c>
      <c r="AM933" t="s">
        <v>98</v>
      </c>
      <c r="AN933" t="s">
        <v>99</v>
      </c>
      <c r="AO933" t="s">
        <v>98</v>
      </c>
      <c r="AP933" t="s">
        <v>100</v>
      </c>
      <c r="AQ933" t="s">
        <v>101</v>
      </c>
      <c r="AV933" t="s">
        <v>98</v>
      </c>
      <c r="AX933" t="s">
        <v>367</v>
      </c>
      <c r="AZ933" t="s">
        <v>124</v>
      </c>
      <c r="BB933" t="s">
        <v>235</v>
      </c>
      <c r="BC933" t="s">
        <v>460</v>
      </c>
      <c r="BD933" t="s">
        <v>7528</v>
      </c>
      <c r="BF933" t="s">
        <v>2950</v>
      </c>
      <c r="BG933" t="s">
        <v>98</v>
      </c>
      <c r="BH933" t="s">
        <v>98</v>
      </c>
      <c r="BI933" t="s">
        <v>98</v>
      </c>
      <c r="BK933" t="s">
        <v>127</v>
      </c>
      <c r="BL933" t="s">
        <v>7528</v>
      </c>
      <c r="BR933">
        <v>1.25</v>
      </c>
      <c r="BS933">
        <v>20</v>
      </c>
      <c r="BT933">
        <v>20</v>
      </c>
      <c r="CA933">
        <v>6369</v>
      </c>
      <c r="CB933" t="s">
        <v>367</v>
      </c>
      <c r="CL933" t="s">
        <v>99</v>
      </c>
      <c r="CM933" t="s">
        <v>98</v>
      </c>
      <c r="CN933" t="s">
        <v>442</v>
      </c>
      <c r="CO933" s="1">
        <v>43069</v>
      </c>
      <c r="CP933" s="1">
        <v>43633</v>
      </c>
    </row>
    <row r="934" spans="1:94" x14ac:dyDescent="0.25">
      <c r="A934" t="s">
        <v>2951</v>
      </c>
      <c r="B934" t="str">
        <f xml:space="preserve"> "" &amp; 747396103761</f>
        <v>747396103761</v>
      </c>
      <c r="C934" t="s">
        <v>569</v>
      </c>
      <c r="D934" t="s">
        <v>6801</v>
      </c>
      <c r="E934" t="s">
        <v>7528</v>
      </c>
      <c r="F934" t="s">
        <v>478</v>
      </c>
      <c r="G934">
        <v>1</v>
      </c>
      <c r="H934">
        <v>1</v>
      </c>
      <c r="I934" t="s">
        <v>97</v>
      </c>
      <c r="J934" s="10">
        <v>145</v>
      </c>
      <c r="K934" s="10">
        <v>435</v>
      </c>
      <c r="L934" s="10">
        <v>0</v>
      </c>
      <c r="N934" s="10">
        <v>0</v>
      </c>
      <c r="O934" t="s">
        <v>99</v>
      </c>
      <c r="P934" s="10">
        <v>259.95</v>
      </c>
      <c r="S934">
        <v>7</v>
      </c>
      <c r="T934">
        <v>20</v>
      </c>
      <c r="U934">
        <v>20</v>
      </c>
      <c r="W934">
        <v>12.04</v>
      </c>
      <c r="X934">
        <v>1</v>
      </c>
      <c r="Y934">
        <v>12.5</v>
      </c>
      <c r="Z934">
        <v>22.25</v>
      </c>
      <c r="AA934">
        <v>22.25</v>
      </c>
      <c r="AB934">
        <v>3.581</v>
      </c>
      <c r="AC934">
        <v>16.420000000000002</v>
      </c>
      <c r="AE934">
        <v>5</v>
      </c>
      <c r="AF934" t="s">
        <v>282</v>
      </c>
      <c r="AG934">
        <v>60</v>
      </c>
      <c r="AK934" t="s">
        <v>98</v>
      </c>
      <c r="AM934" t="s">
        <v>98</v>
      </c>
      <c r="AN934" t="s">
        <v>99</v>
      </c>
      <c r="AO934" t="s">
        <v>98</v>
      </c>
      <c r="AP934" t="s">
        <v>100</v>
      </c>
      <c r="AQ934" t="s">
        <v>101</v>
      </c>
      <c r="AV934" t="s">
        <v>98</v>
      </c>
      <c r="AX934" t="s">
        <v>484</v>
      </c>
      <c r="AZ934" t="s">
        <v>124</v>
      </c>
      <c r="BB934" t="s">
        <v>235</v>
      </c>
      <c r="BC934" t="s">
        <v>460</v>
      </c>
      <c r="BD934" t="s">
        <v>7528</v>
      </c>
      <c r="BF934" t="s">
        <v>2952</v>
      </c>
      <c r="BG934" t="s">
        <v>98</v>
      </c>
      <c r="BH934" t="s">
        <v>98</v>
      </c>
      <c r="BI934" t="s">
        <v>98</v>
      </c>
      <c r="BK934" t="s">
        <v>127</v>
      </c>
      <c r="BL934" t="s">
        <v>7528</v>
      </c>
      <c r="BR934">
        <v>1.25</v>
      </c>
      <c r="BS934">
        <v>20</v>
      </c>
      <c r="BT934">
        <v>20</v>
      </c>
      <c r="CA934">
        <v>6369</v>
      </c>
      <c r="CB934" t="s">
        <v>484</v>
      </c>
      <c r="CL934" t="s">
        <v>99</v>
      </c>
      <c r="CM934" t="s">
        <v>98</v>
      </c>
      <c r="CN934" t="s">
        <v>442</v>
      </c>
      <c r="CO934" s="1">
        <v>43069</v>
      </c>
      <c r="CP934" s="1">
        <v>43633</v>
      </c>
    </row>
    <row r="935" spans="1:94" x14ac:dyDescent="0.25">
      <c r="A935" t="s">
        <v>2953</v>
      </c>
      <c r="B935" t="str">
        <f xml:space="preserve"> "" &amp; 747396103778</f>
        <v>747396103778</v>
      </c>
      <c r="C935" t="s">
        <v>569</v>
      </c>
      <c r="D935" t="s">
        <v>570</v>
      </c>
      <c r="E935" t="s">
        <v>7528</v>
      </c>
      <c r="F935" t="s">
        <v>478</v>
      </c>
      <c r="G935">
        <v>1</v>
      </c>
      <c r="H935">
        <v>1</v>
      </c>
      <c r="I935" t="s">
        <v>97</v>
      </c>
      <c r="J935" s="10">
        <v>145</v>
      </c>
      <c r="K935" s="10">
        <v>435</v>
      </c>
      <c r="L935" s="10">
        <v>0</v>
      </c>
      <c r="N935" s="10">
        <v>0</v>
      </c>
      <c r="O935" t="s">
        <v>99</v>
      </c>
      <c r="P935" s="10">
        <v>259.95</v>
      </c>
      <c r="S935">
        <v>7</v>
      </c>
      <c r="T935">
        <v>20</v>
      </c>
      <c r="U935">
        <v>20</v>
      </c>
      <c r="W935">
        <v>12.04</v>
      </c>
      <c r="X935">
        <v>1</v>
      </c>
      <c r="Y935">
        <v>12.5</v>
      </c>
      <c r="Z935">
        <v>22.25</v>
      </c>
      <c r="AA935">
        <v>22.25</v>
      </c>
      <c r="AB935">
        <v>3.581</v>
      </c>
      <c r="AC935">
        <v>16.420000000000002</v>
      </c>
      <c r="AE935">
        <v>5</v>
      </c>
      <c r="AF935" t="s">
        <v>282</v>
      </c>
      <c r="AG935">
        <v>60</v>
      </c>
      <c r="AK935" t="s">
        <v>98</v>
      </c>
      <c r="AM935" t="s">
        <v>98</v>
      </c>
      <c r="AN935" t="s">
        <v>99</v>
      </c>
      <c r="AO935" t="s">
        <v>98</v>
      </c>
      <c r="AP935" t="s">
        <v>100</v>
      </c>
      <c r="AQ935" t="s">
        <v>101</v>
      </c>
      <c r="AV935" t="s">
        <v>98</v>
      </c>
      <c r="AX935" t="s">
        <v>279</v>
      </c>
      <c r="AZ935" t="s">
        <v>124</v>
      </c>
      <c r="BB935" t="s">
        <v>235</v>
      </c>
      <c r="BC935" t="s">
        <v>460</v>
      </c>
      <c r="BD935" t="s">
        <v>7528</v>
      </c>
      <c r="BF935" t="s">
        <v>2954</v>
      </c>
      <c r="BG935" t="s">
        <v>98</v>
      </c>
      <c r="BH935" t="s">
        <v>98</v>
      </c>
      <c r="BI935" t="s">
        <v>98</v>
      </c>
      <c r="BK935" t="s">
        <v>127</v>
      </c>
      <c r="BL935" t="s">
        <v>7528</v>
      </c>
      <c r="BR935">
        <v>1.25</v>
      </c>
      <c r="BS935">
        <v>20</v>
      </c>
      <c r="BT935">
        <v>20</v>
      </c>
      <c r="CA935">
        <v>6369</v>
      </c>
      <c r="CB935" t="s">
        <v>279</v>
      </c>
      <c r="CL935" t="s">
        <v>99</v>
      </c>
      <c r="CM935" t="s">
        <v>98</v>
      </c>
      <c r="CN935" t="s">
        <v>442</v>
      </c>
      <c r="CO935" s="1">
        <v>43069</v>
      </c>
      <c r="CP935" s="1">
        <v>43633</v>
      </c>
    </row>
    <row r="936" spans="1:94" x14ac:dyDescent="0.25">
      <c r="A936" t="s">
        <v>2926</v>
      </c>
      <c r="B936" t="str">
        <f xml:space="preserve"> "" &amp; 747396053264</f>
        <v>747396053264</v>
      </c>
      <c r="C936" t="s">
        <v>239</v>
      </c>
      <c r="D936" t="s">
        <v>239</v>
      </c>
      <c r="E936" t="s">
        <v>7528</v>
      </c>
      <c r="F936" t="s">
        <v>2912</v>
      </c>
      <c r="G936">
        <v>1</v>
      </c>
      <c r="H936">
        <v>1</v>
      </c>
      <c r="I936" t="s">
        <v>97</v>
      </c>
      <c r="J936" s="10">
        <v>39</v>
      </c>
      <c r="K936" s="10">
        <v>117</v>
      </c>
      <c r="L936" s="10">
        <v>0</v>
      </c>
      <c r="N936" s="10">
        <v>0</v>
      </c>
      <c r="O936" t="s">
        <v>99</v>
      </c>
      <c r="P936" s="10">
        <v>78</v>
      </c>
      <c r="S936">
        <v>11</v>
      </c>
      <c r="T936">
        <v>4.5</v>
      </c>
      <c r="U936">
        <v>4.5</v>
      </c>
      <c r="W936">
        <v>2.71</v>
      </c>
      <c r="X936">
        <v>1</v>
      </c>
      <c r="Y936">
        <v>10.25</v>
      </c>
      <c r="Z936">
        <v>13.75</v>
      </c>
      <c r="AA936">
        <v>7.25</v>
      </c>
      <c r="AB936">
        <v>0.59099999999999997</v>
      </c>
      <c r="AC936">
        <v>3.86</v>
      </c>
      <c r="AE936">
        <v>1</v>
      </c>
      <c r="AF936" t="s">
        <v>1530</v>
      </c>
      <c r="AG936">
        <v>13</v>
      </c>
      <c r="AK936" t="s">
        <v>99</v>
      </c>
      <c r="AM936" t="s">
        <v>98</v>
      </c>
      <c r="AN936" t="s">
        <v>98</v>
      </c>
      <c r="AO936" t="s">
        <v>99</v>
      </c>
      <c r="AP936" t="s">
        <v>100</v>
      </c>
      <c r="AQ936" t="s">
        <v>101</v>
      </c>
      <c r="AV936" t="s">
        <v>99</v>
      </c>
      <c r="AX936" t="s">
        <v>279</v>
      </c>
      <c r="AZ936" t="s">
        <v>392</v>
      </c>
      <c r="BB936" t="s">
        <v>235</v>
      </c>
      <c r="BC936" t="s">
        <v>460</v>
      </c>
      <c r="BD936" t="s">
        <v>7528</v>
      </c>
      <c r="BF936" t="s">
        <v>2927</v>
      </c>
      <c r="BG936" t="s">
        <v>98</v>
      </c>
      <c r="BH936" t="s">
        <v>98</v>
      </c>
      <c r="BI936" t="s">
        <v>98</v>
      </c>
      <c r="BK936" t="s">
        <v>110</v>
      </c>
      <c r="BL936" t="s">
        <v>7528</v>
      </c>
      <c r="BR936">
        <v>1.5</v>
      </c>
      <c r="BT936">
        <v>4.63</v>
      </c>
      <c r="CA936" t="s">
        <v>2928</v>
      </c>
      <c r="CB936" t="s">
        <v>279</v>
      </c>
      <c r="CL936" t="s">
        <v>98</v>
      </c>
      <c r="CM936" t="s">
        <v>99</v>
      </c>
      <c r="CN936" t="s">
        <v>394</v>
      </c>
      <c r="CO936" s="1">
        <v>38485</v>
      </c>
      <c r="CP936" s="1">
        <v>43633</v>
      </c>
    </row>
    <row r="937" spans="1:94" x14ac:dyDescent="0.25">
      <c r="A937" t="s">
        <v>2955</v>
      </c>
      <c r="B937" t="str">
        <f xml:space="preserve"> "" &amp; 747396073354</f>
        <v>747396073354</v>
      </c>
      <c r="C937" t="s">
        <v>322</v>
      </c>
      <c r="D937" t="s">
        <v>6802</v>
      </c>
      <c r="E937" t="s">
        <v>2022</v>
      </c>
      <c r="F937" t="s">
        <v>232</v>
      </c>
      <c r="G937">
        <v>1</v>
      </c>
      <c r="H937">
        <v>1</v>
      </c>
      <c r="I937" t="s">
        <v>97</v>
      </c>
      <c r="J937" s="10">
        <v>74.95</v>
      </c>
      <c r="K937" s="10">
        <v>224.85</v>
      </c>
      <c r="L937" s="10">
        <v>0</v>
      </c>
      <c r="N937" s="10">
        <v>0</v>
      </c>
      <c r="O937" t="s">
        <v>99</v>
      </c>
      <c r="P937" s="10">
        <v>149.94999999999999</v>
      </c>
      <c r="S937">
        <v>14.5</v>
      </c>
      <c r="U937">
        <v>9.25</v>
      </c>
      <c r="V937">
        <v>4</v>
      </c>
      <c r="W937">
        <v>5.4</v>
      </c>
      <c r="Y937">
        <v>11.5</v>
      </c>
      <c r="Z937">
        <v>16.25</v>
      </c>
      <c r="AA937">
        <v>7.5</v>
      </c>
      <c r="AB937">
        <v>0.81100000000000005</v>
      </c>
      <c r="AC937">
        <v>7.03</v>
      </c>
      <c r="AE937">
        <v>2</v>
      </c>
      <c r="AF937" t="s">
        <v>308</v>
      </c>
      <c r="AG937">
        <v>60</v>
      </c>
      <c r="AK937" t="s">
        <v>98</v>
      </c>
      <c r="AM937" t="s">
        <v>98</v>
      </c>
      <c r="AN937" t="s">
        <v>98</v>
      </c>
      <c r="AO937" t="s">
        <v>99</v>
      </c>
      <c r="AP937" t="s">
        <v>100</v>
      </c>
      <c r="AQ937" t="s">
        <v>101</v>
      </c>
      <c r="AV937" t="s">
        <v>98</v>
      </c>
      <c r="AX937" t="s">
        <v>2023</v>
      </c>
      <c r="AZ937" t="s">
        <v>392</v>
      </c>
      <c r="BB937" t="s">
        <v>235</v>
      </c>
      <c r="BC937" t="s">
        <v>7608</v>
      </c>
      <c r="BD937" t="s">
        <v>7528</v>
      </c>
      <c r="BF937" t="s">
        <v>2956</v>
      </c>
      <c r="BG937" t="s">
        <v>98</v>
      </c>
      <c r="BH937" t="s">
        <v>99</v>
      </c>
      <c r="BI937" t="s">
        <v>98</v>
      </c>
      <c r="BK937" t="s">
        <v>127</v>
      </c>
      <c r="BL937" t="s">
        <v>645</v>
      </c>
      <c r="BR937">
        <v>12.13</v>
      </c>
      <c r="BT937">
        <v>8.1300000000000008</v>
      </c>
      <c r="CA937">
        <v>6390</v>
      </c>
      <c r="CB937" t="s">
        <v>2023</v>
      </c>
      <c r="CL937" t="s">
        <v>98</v>
      </c>
      <c r="CM937" t="s">
        <v>98</v>
      </c>
      <c r="CN937" t="s">
        <v>237</v>
      </c>
      <c r="CO937" s="1">
        <v>40108</v>
      </c>
      <c r="CP937" s="1">
        <v>43633</v>
      </c>
    </row>
    <row r="938" spans="1:94" x14ac:dyDescent="0.25">
      <c r="A938" t="s">
        <v>2957</v>
      </c>
      <c r="B938" t="str">
        <f xml:space="preserve"> "" &amp; 747396077376</f>
        <v>747396077376</v>
      </c>
      <c r="C938" t="s">
        <v>322</v>
      </c>
      <c r="D938" t="s">
        <v>6802</v>
      </c>
      <c r="E938" t="s">
        <v>2022</v>
      </c>
      <c r="F938" t="s">
        <v>232</v>
      </c>
      <c r="G938">
        <v>1</v>
      </c>
      <c r="H938">
        <v>1</v>
      </c>
      <c r="I938" t="s">
        <v>97</v>
      </c>
      <c r="J938" s="10">
        <v>74.95</v>
      </c>
      <c r="K938" s="10">
        <v>224.85</v>
      </c>
      <c r="L938" s="10">
        <v>0</v>
      </c>
      <c r="N938" s="10">
        <v>0</v>
      </c>
      <c r="O938" t="s">
        <v>99</v>
      </c>
      <c r="P938" s="10">
        <v>149.94999999999999</v>
      </c>
      <c r="S938">
        <v>14.5</v>
      </c>
      <c r="U938">
        <v>9.25</v>
      </c>
      <c r="V938">
        <v>4</v>
      </c>
      <c r="W938">
        <v>4.72</v>
      </c>
      <c r="Y938">
        <v>11.5</v>
      </c>
      <c r="Z938">
        <v>16.25</v>
      </c>
      <c r="AA938">
        <v>7.5</v>
      </c>
      <c r="AB938">
        <v>0.81100000000000005</v>
      </c>
      <c r="AC938">
        <v>5.93</v>
      </c>
      <c r="AE938">
        <v>2</v>
      </c>
      <c r="AF938" t="s">
        <v>519</v>
      </c>
      <c r="AG938">
        <v>60</v>
      </c>
      <c r="AK938" t="s">
        <v>98</v>
      </c>
      <c r="AM938" t="s">
        <v>98</v>
      </c>
      <c r="AN938" t="s">
        <v>99</v>
      </c>
      <c r="AO938" t="s">
        <v>98</v>
      </c>
      <c r="AP938" t="s">
        <v>100</v>
      </c>
      <c r="AQ938" t="s">
        <v>101</v>
      </c>
      <c r="AV938" t="s">
        <v>98</v>
      </c>
      <c r="AX938" t="s">
        <v>399</v>
      </c>
      <c r="AZ938" t="s">
        <v>392</v>
      </c>
      <c r="BB938" t="s">
        <v>235</v>
      </c>
      <c r="BC938" t="s">
        <v>7609</v>
      </c>
      <c r="BD938" t="s">
        <v>7528</v>
      </c>
      <c r="BF938" t="s">
        <v>2958</v>
      </c>
      <c r="BG938" t="s">
        <v>98</v>
      </c>
      <c r="BH938" t="s">
        <v>99</v>
      </c>
      <c r="BI938" t="s">
        <v>98</v>
      </c>
      <c r="BK938" t="s">
        <v>127</v>
      </c>
      <c r="BL938" t="s">
        <v>645</v>
      </c>
      <c r="BR938">
        <v>12.13</v>
      </c>
      <c r="BT938">
        <v>8.1300000000000008</v>
      </c>
      <c r="CA938">
        <v>6390</v>
      </c>
      <c r="CB938" t="s">
        <v>399</v>
      </c>
      <c r="CL938" t="s">
        <v>98</v>
      </c>
      <c r="CM938" t="s">
        <v>98</v>
      </c>
      <c r="CN938" t="s">
        <v>442</v>
      </c>
      <c r="CO938" s="1">
        <v>40519</v>
      </c>
      <c r="CP938" s="1">
        <v>43633</v>
      </c>
    </row>
    <row r="939" spans="1:94" x14ac:dyDescent="0.25">
      <c r="A939" t="s">
        <v>2959</v>
      </c>
      <c r="B939" t="str">
        <f xml:space="preserve"> "" &amp; 747396077338</f>
        <v>747396077338</v>
      </c>
      <c r="C939" t="s">
        <v>751</v>
      </c>
      <c r="D939" t="s">
        <v>6803</v>
      </c>
      <c r="E939" t="s">
        <v>2022</v>
      </c>
      <c r="F939" t="s">
        <v>323</v>
      </c>
      <c r="G939">
        <v>1</v>
      </c>
      <c r="H939">
        <v>1</v>
      </c>
      <c r="I939" t="s">
        <v>97</v>
      </c>
      <c r="J939" s="10">
        <v>46.5</v>
      </c>
      <c r="K939" s="10">
        <v>139.5</v>
      </c>
      <c r="L939" s="10">
        <v>0</v>
      </c>
      <c r="N939" s="10">
        <v>0</v>
      </c>
      <c r="O939" t="s">
        <v>99</v>
      </c>
      <c r="P939" s="10">
        <v>94.95</v>
      </c>
      <c r="S939">
        <v>5.5</v>
      </c>
      <c r="U939">
        <v>8.25</v>
      </c>
      <c r="V939">
        <v>5</v>
      </c>
      <c r="W939">
        <v>2.4900000000000002</v>
      </c>
      <c r="Y939">
        <v>8.5</v>
      </c>
      <c r="Z939">
        <v>10.75</v>
      </c>
      <c r="AA939">
        <v>8.25</v>
      </c>
      <c r="AB939">
        <v>0.436</v>
      </c>
      <c r="AC939">
        <v>3.22</v>
      </c>
      <c r="AE939">
        <v>1</v>
      </c>
      <c r="AF939" t="s">
        <v>1925</v>
      </c>
      <c r="AG939">
        <v>75</v>
      </c>
      <c r="AK939" t="s">
        <v>99</v>
      </c>
      <c r="AL939">
        <v>1</v>
      </c>
      <c r="AM939" t="s">
        <v>98</v>
      </c>
      <c r="AN939" t="s">
        <v>99</v>
      </c>
      <c r="AO939" t="s">
        <v>98</v>
      </c>
      <c r="AP939" t="s">
        <v>100</v>
      </c>
      <c r="AQ939" t="s">
        <v>101</v>
      </c>
      <c r="AV939" t="s">
        <v>98</v>
      </c>
      <c r="AX939" t="s">
        <v>399</v>
      </c>
      <c r="AZ939" t="s">
        <v>392</v>
      </c>
      <c r="BB939" t="s">
        <v>235</v>
      </c>
      <c r="BC939" t="s">
        <v>7609</v>
      </c>
      <c r="BD939" t="s">
        <v>7528</v>
      </c>
      <c r="BF939" t="s">
        <v>2960</v>
      </c>
      <c r="BG939" t="s">
        <v>98</v>
      </c>
      <c r="BH939" t="s">
        <v>98</v>
      </c>
      <c r="BI939" t="s">
        <v>98</v>
      </c>
      <c r="BK939" t="s">
        <v>127</v>
      </c>
      <c r="BL939" t="s">
        <v>236</v>
      </c>
      <c r="BR939">
        <v>5</v>
      </c>
      <c r="BT939">
        <v>5</v>
      </c>
      <c r="CA939">
        <v>6391</v>
      </c>
      <c r="CB939" t="s">
        <v>399</v>
      </c>
      <c r="CL939" t="s">
        <v>98</v>
      </c>
      <c r="CM939" t="s">
        <v>98</v>
      </c>
      <c r="CN939" t="s">
        <v>442</v>
      </c>
      <c r="CO939" s="1">
        <v>40500</v>
      </c>
      <c r="CP939" s="1">
        <v>43633</v>
      </c>
    </row>
    <row r="940" spans="1:94" x14ac:dyDescent="0.25">
      <c r="A940" t="s">
        <v>2961</v>
      </c>
      <c r="B940" t="str">
        <f xml:space="preserve"> "" &amp; 747396077345</f>
        <v>747396077345</v>
      </c>
      <c r="C940" t="s">
        <v>758</v>
      </c>
      <c r="D940" t="s">
        <v>6804</v>
      </c>
      <c r="E940" t="s">
        <v>2022</v>
      </c>
      <c r="F940" t="s">
        <v>323</v>
      </c>
      <c r="G940">
        <v>1</v>
      </c>
      <c r="H940">
        <v>1</v>
      </c>
      <c r="I940" t="s">
        <v>97</v>
      </c>
      <c r="J940" s="10">
        <v>85</v>
      </c>
      <c r="K940" s="10">
        <v>255</v>
      </c>
      <c r="L940" s="10">
        <v>0</v>
      </c>
      <c r="N940" s="10">
        <v>0</v>
      </c>
      <c r="O940" t="s">
        <v>99</v>
      </c>
      <c r="P940" s="10">
        <v>169.95</v>
      </c>
      <c r="S940">
        <v>5.5</v>
      </c>
      <c r="U940">
        <v>17.5</v>
      </c>
      <c r="V940">
        <v>5</v>
      </c>
      <c r="W940">
        <v>4.5599999999999996</v>
      </c>
      <c r="Y940">
        <v>8.5</v>
      </c>
      <c r="Z940">
        <v>21</v>
      </c>
      <c r="AA940">
        <v>8.25</v>
      </c>
      <c r="AB940">
        <v>0.85199999999999998</v>
      </c>
      <c r="AC940">
        <v>5.95</v>
      </c>
      <c r="AE940">
        <v>2</v>
      </c>
      <c r="AF940" t="s">
        <v>2962</v>
      </c>
      <c r="AG940">
        <v>75</v>
      </c>
      <c r="AK940" t="s">
        <v>99</v>
      </c>
      <c r="AM940" t="s">
        <v>98</v>
      </c>
      <c r="AN940" t="s">
        <v>99</v>
      </c>
      <c r="AO940" t="s">
        <v>98</v>
      </c>
      <c r="AP940" t="s">
        <v>100</v>
      </c>
      <c r="AQ940" t="s">
        <v>101</v>
      </c>
      <c r="AV940" t="s">
        <v>98</v>
      </c>
      <c r="AX940" t="s">
        <v>399</v>
      </c>
      <c r="AZ940" t="s">
        <v>392</v>
      </c>
      <c r="BB940" t="s">
        <v>235</v>
      </c>
      <c r="BC940" t="s">
        <v>7609</v>
      </c>
      <c r="BD940" t="s">
        <v>7528</v>
      </c>
      <c r="BF940" t="s">
        <v>2963</v>
      </c>
      <c r="BG940" t="s">
        <v>98</v>
      </c>
      <c r="BH940" t="s">
        <v>98</v>
      </c>
      <c r="BI940" t="s">
        <v>98</v>
      </c>
      <c r="BK940" t="s">
        <v>127</v>
      </c>
      <c r="BL940" t="s">
        <v>236</v>
      </c>
      <c r="BR940">
        <v>4.25</v>
      </c>
      <c r="BT940">
        <v>5</v>
      </c>
      <c r="CA940">
        <v>6392</v>
      </c>
      <c r="CB940" t="s">
        <v>399</v>
      </c>
      <c r="CL940" t="s">
        <v>98</v>
      </c>
      <c r="CM940" t="s">
        <v>98</v>
      </c>
      <c r="CN940" t="s">
        <v>442</v>
      </c>
      <c r="CO940" s="1">
        <v>40500</v>
      </c>
      <c r="CP940" s="1">
        <v>43633</v>
      </c>
    </row>
    <row r="941" spans="1:94" x14ac:dyDescent="0.25">
      <c r="A941" t="s">
        <v>2964</v>
      </c>
      <c r="B941" t="str">
        <f xml:space="preserve"> "" &amp; 747396077352</f>
        <v>747396077352</v>
      </c>
      <c r="C941" t="s">
        <v>762</v>
      </c>
      <c r="D941" t="s">
        <v>6805</v>
      </c>
      <c r="E941" t="s">
        <v>2022</v>
      </c>
      <c r="F941" t="s">
        <v>323</v>
      </c>
      <c r="G941">
        <v>1</v>
      </c>
      <c r="H941">
        <v>1</v>
      </c>
      <c r="I941" t="s">
        <v>97</v>
      </c>
      <c r="J941" s="10">
        <v>110</v>
      </c>
      <c r="K941" s="10">
        <v>330</v>
      </c>
      <c r="L941" s="10">
        <v>0</v>
      </c>
      <c r="N941" s="10">
        <v>0</v>
      </c>
      <c r="O941" t="s">
        <v>99</v>
      </c>
      <c r="P941" s="10">
        <v>219.95</v>
      </c>
      <c r="S941">
        <v>5.5</v>
      </c>
      <c r="U941">
        <v>26.75</v>
      </c>
      <c r="V941">
        <v>5</v>
      </c>
      <c r="W941">
        <v>6.46</v>
      </c>
      <c r="X941">
        <v>1</v>
      </c>
      <c r="Y941">
        <v>8.5</v>
      </c>
      <c r="Z941">
        <v>30</v>
      </c>
      <c r="AA941">
        <v>8.25</v>
      </c>
      <c r="AB941">
        <v>1.2170000000000001</v>
      </c>
      <c r="AC941">
        <v>8.09</v>
      </c>
      <c r="AE941">
        <v>3</v>
      </c>
      <c r="AF941" t="s">
        <v>1925</v>
      </c>
      <c r="AG941">
        <v>75</v>
      </c>
      <c r="AK941" t="s">
        <v>99</v>
      </c>
      <c r="AM941" t="s">
        <v>98</v>
      </c>
      <c r="AN941" t="s">
        <v>99</v>
      </c>
      <c r="AO941" t="s">
        <v>98</v>
      </c>
      <c r="AP941" t="s">
        <v>100</v>
      </c>
      <c r="AQ941" t="s">
        <v>101</v>
      </c>
      <c r="AV941" t="s">
        <v>98</v>
      </c>
      <c r="AX941" t="s">
        <v>399</v>
      </c>
      <c r="AZ941" t="s">
        <v>392</v>
      </c>
      <c r="BB941" t="s">
        <v>235</v>
      </c>
      <c r="BC941" t="s">
        <v>7609</v>
      </c>
      <c r="BD941" t="s">
        <v>7528</v>
      </c>
      <c r="BF941" t="s">
        <v>2965</v>
      </c>
      <c r="BG941" t="s">
        <v>98</v>
      </c>
      <c r="BH941" t="s">
        <v>98</v>
      </c>
      <c r="BI941" t="s">
        <v>98</v>
      </c>
      <c r="BK941" t="s">
        <v>127</v>
      </c>
      <c r="BL941" t="s">
        <v>236</v>
      </c>
      <c r="BR941">
        <v>4.75</v>
      </c>
      <c r="BT941">
        <v>6</v>
      </c>
      <c r="CA941">
        <v>6393</v>
      </c>
      <c r="CB941" t="s">
        <v>399</v>
      </c>
      <c r="CL941" t="s">
        <v>98</v>
      </c>
      <c r="CM941" t="s">
        <v>98</v>
      </c>
      <c r="CN941" t="s">
        <v>442</v>
      </c>
      <c r="CO941" s="1">
        <v>40519</v>
      </c>
      <c r="CP941" s="1">
        <v>43633</v>
      </c>
    </row>
    <row r="942" spans="1:94" x14ac:dyDescent="0.25">
      <c r="A942" t="s">
        <v>2966</v>
      </c>
      <c r="B942" t="str">
        <f xml:space="preserve"> "" &amp; 747396077369</f>
        <v>747396077369</v>
      </c>
      <c r="C942" t="s">
        <v>766</v>
      </c>
      <c r="D942" t="s">
        <v>6806</v>
      </c>
      <c r="E942" t="s">
        <v>2022</v>
      </c>
      <c r="F942" t="s">
        <v>323</v>
      </c>
      <c r="G942">
        <v>1</v>
      </c>
      <c r="H942">
        <v>1</v>
      </c>
      <c r="I942" t="s">
        <v>97</v>
      </c>
      <c r="J942" s="10">
        <v>149</v>
      </c>
      <c r="K942" s="10">
        <v>447</v>
      </c>
      <c r="L942" s="10">
        <v>0</v>
      </c>
      <c r="N942" s="10">
        <v>0</v>
      </c>
      <c r="O942" t="s">
        <v>99</v>
      </c>
      <c r="P942" s="10">
        <v>299.95</v>
      </c>
      <c r="S942">
        <v>5.5</v>
      </c>
      <c r="U942">
        <v>36.5</v>
      </c>
      <c r="V942">
        <v>5</v>
      </c>
      <c r="W942">
        <v>8.42</v>
      </c>
      <c r="Y942">
        <v>8.5</v>
      </c>
      <c r="Z942">
        <v>39.5</v>
      </c>
      <c r="AA942">
        <v>8.25</v>
      </c>
      <c r="AB942">
        <v>1.603</v>
      </c>
      <c r="AC942">
        <v>10.65</v>
      </c>
      <c r="AE942">
        <v>4</v>
      </c>
      <c r="AF942" t="s">
        <v>1925</v>
      </c>
      <c r="AG942">
        <v>75</v>
      </c>
      <c r="AK942" t="s">
        <v>99</v>
      </c>
      <c r="AM942" t="s">
        <v>98</v>
      </c>
      <c r="AN942" t="s">
        <v>99</v>
      </c>
      <c r="AO942" t="s">
        <v>98</v>
      </c>
      <c r="AP942" t="s">
        <v>100</v>
      </c>
      <c r="AQ942" t="s">
        <v>101</v>
      </c>
      <c r="AV942" t="s">
        <v>98</v>
      </c>
      <c r="AX942" t="s">
        <v>399</v>
      </c>
      <c r="AZ942" t="s">
        <v>392</v>
      </c>
      <c r="BB942" t="s">
        <v>235</v>
      </c>
      <c r="BC942" t="s">
        <v>7609</v>
      </c>
      <c r="BD942" t="s">
        <v>7528</v>
      </c>
      <c r="BF942" t="s">
        <v>2967</v>
      </c>
      <c r="BG942" t="s">
        <v>98</v>
      </c>
      <c r="BH942" t="s">
        <v>98</v>
      </c>
      <c r="BI942" t="s">
        <v>98</v>
      </c>
      <c r="BK942" t="s">
        <v>127</v>
      </c>
      <c r="BL942" t="s">
        <v>236</v>
      </c>
      <c r="BR942">
        <v>4.75</v>
      </c>
      <c r="BT942">
        <v>6</v>
      </c>
      <c r="CA942">
        <v>6394</v>
      </c>
      <c r="CB942" t="s">
        <v>399</v>
      </c>
      <c r="CL942" t="s">
        <v>98</v>
      </c>
      <c r="CM942" t="s">
        <v>98</v>
      </c>
      <c r="CN942" t="s">
        <v>442</v>
      </c>
      <c r="CO942" s="1">
        <v>40519</v>
      </c>
      <c r="CP942" s="1">
        <v>43633</v>
      </c>
    </row>
    <row r="943" spans="1:94" x14ac:dyDescent="0.25">
      <c r="A943" t="s">
        <v>2968</v>
      </c>
      <c r="B943" t="str">
        <f xml:space="preserve"> "" &amp; 747396053660</f>
        <v>747396053660</v>
      </c>
      <c r="C943" t="s">
        <v>758</v>
      </c>
      <c r="D943" t="s">
        <v>758</v>
      </c>
      <c r="E943" t="s">
        <v>7528</v>
      </c>
      <c r="F943" t="s">
        <v>1633</v>
      </c>
      <c r="G943">
        <v>1</v>
      </c>
      <c r="H943">
        <v>1</v>
      </c>
      <c r="I943" t="s">
        <v>97</v>
      </c>
      <c r="J943" s="10">
        <v>20</v>
      </c>
      <c r="K943" s="10">
        <v>60</v>
      </c>
      <c r="L943" s="10">
        <v>0</v>
      </c>
      <c r="N943" s="10">
        <v>0</v>
      </c>
      <c r="S943">
        <v>6</v>
      </c>
      <c r="T943">
        <v>36.5</v>
      </c>
      <c r="U943">
        <v>25.25</v>
      </c>
      <c r="V943">
        <v>4.25</v>
      </c>
      <c r="W943">
        <v>6.68</v>
      </c>
      <c r="X943">
        <v>1</v>
      </c>
      <c r="Y943">
        <v>6.5</v>
      </c>
      <c r="Z943">
        <v>36.5</v>
      </c>
      <c r="AA943">
        <v>8</v>
      </c>
      <c r="AB943">
        <v>1.0980000000000001</v>
      </c>
      <c r="AC943">
        <v>7.89</v>
      </c>
      <c r="AE943">
        <v>2</v>
      </c>
      <c r="AF943" t="s">
        <v>145</v>
      </c>
      <c r="AG943">
        <v>17</v>
      </c>
      <c r="AH943">
        <v>0</v>
      </c>
      <c r="AJ943">
        <v>0</v>
      </c>
      <c r="AK943" t="s">
        <v>98</v>
      </c>
      <c r="AM943" t="s">
        <v>98</v>
      </c>
      <c r="AN943" t="s">
        <v>98</v>
      </c>
      <c r="AO943" t="s">
        <v>99</v>
      </c>
      <c r="AP943" t="s">
        <v>100</v>
      </c>
      <c r="AQ943" t="s">
        <v>101</v>
      </c>
      <c r="AV943" t="s">
        <v>99</v>
      </c>
      <c r="AX943" t="s">
        <v>279</v>
      </c>
      <c r="AZ943" t="s">
        <v>102</v>
      </c>
      <c r="BB943" t="s">
        <v>125</v>
      </c>
      <c r="BC943" t="s">
        <v>2969</v>
      </c>
      <c r="BD943" t="s">
        <v>7528</v>
      </c>
      <c r="BF943" t="s">
        <v>2970</v>
      </c>
      <c r="BG943" t="s">
        <v>98</v>
      </c>
      <c r="BH943" t="s">
        <v>98</v>
      </c>
      <c r="BI943" t="s">
        <v>98</v>
      </c>
      <c r="BK943" t="s">
        <v>127</v>
      </c>
      <c r="BL943" t="s">
        <v>979</v>
      </c>
      <c r="BR943">
        <v>3.5</v>
      </c>
      <c r="BT943">
        <v>24.38</v>
      </c>
      <c r="CA943" t="s">
        <v>2968</v>
      </c>
      <c r="CB943" t="s">
        <v>279</v>
      </c>
      <c r="CL943" t="s">
        <v>98</v>
      </c>
      <c r="CM943" t="s">
        <v>98</v>
      </c>
      <c r="CN943" t="s">
        <v>129</v>
      </c>
      <c r="CO943" s="1">
        <v>38484</v>
      </c>
      <c r="CP943" s="1">
        <v>43633</v>
      </c>
    </row>
    <row r="944" spans="1:94" x14ac:dyDescent="0.25">
      <c r="A944" t="s">
        <v>2971</v>
      </c>
      <c r="B944" t="str">
        <f xml:space="preserve"> "" &amp; 747396073743</f>
        <v>747396073743</v>
      </c>
      <c r="C944" t="s">
        <v>2972</v>
      </c>
      <c r="D944" t="s">
        <v>6807</v>
      </c>
      <c r="E944" t="s">
        <v>2973</v>
      </c>
      <c r="F944" t="s">
        <v>232</v>
      </c>
      <c r="G944">
        <v>1</v>
      </c>
      <c r="H944">
        <v>1</v>
      </c>
      <c r="I944" t="s">
        <v>97</v>
      </c>
      <c r="J944" s="10">
        <v>47.5</v>
      </c>
      <c r="K944" s="10">
        <v>142.5</v>
      </c>
      <c r="L944" s="10">
        <v>0</v>
      </c>
      <c r="N944" s="10">
        <v>0</v>
      </c>
      <c r="S944">
        <v>12.25</v>
      </c>
      <c r="T944">
        <v>14.25</v>
      </c>
      <c r="U944">
        <v>7</v>
      </c>
      <c r="V944">
        <v>4</v>
      </c>
      <c r="W944">
        <v>3.09</v>
      </c>
      <c r="Y944">
        <v>6.5</v>
      </c>
      <c r="Z944">
        <v>14.25</v>
      </c>
      <c r="AA944">
        <v>9</v>
      </c>
      <c r="AB944">
        <v>0.48199999999999998</v>
      </c>
      <c r="AC944">
        <v>5.53</v>
      </c>
      <c r="AE944">
        <v>1</v>
      </c>
      <c r="AF944" t="s">
        <v>2974</v>
      </c>
      <c r="AG944">
        <v>13</v>
      </c>
      <c r="AK944" t="s">
        <v>99</v>
      </c>
      <c r="AM944" t="s">
        <v>98</v>
      </c>
      <c r="AN944" t="s">
        <v>98</v>
      </c>
      <c r="AO944" t="s">
        <v>98</v>
      </c>
      <c r="AP944" t="s">
        <v>100</v>
      </c>
      <c r="AQ944" t="s">
        <v>101</v>
      </c>
      <c r="AV944" t="s">
        <v>98</v>
      </c>
      <c r="AX944" t="s">
        <v>2975</v>
      </c>
      <c r="AZ944" t="s">
        <v>392</v>
      </c>
      <c r="BB944" t="s">
        <v>235</v>
      </c>
      <c r="BC944" t="s">
        <v>808</v>
      </c>
      <c r="BD944" t="s">
        <v>7528</v>
      </c>
      <c r="BF944" t="s">
        <v>2976</v>
      </c>
      <c r="BG944" t="s">
        <v>98</v>
      </c>
      <c r="BH944" t="s">
        <v>99</v>
      </c>
      <c r="BI944" t="s">
        <v>99</v>
      </c>
      <c r="BK944" t="s">
        <v>127</v>
      </c>
      <c r="BL944" t="s">
        <v>645</v>
      </c>
      <c r="BR944">
        <v>12.25</v>
      </c>
      <c r="BT944">
        <v>7</v>
      </c>
      <c r="CA944" t="s">
        <v>2977</v>
      </c>
      <c r="CB944" t="s">
        <v>2975</v>
      </c>
      <c r="CL944" t="s">
        <v>98</v>
      </c>
      <c r="CM944" t="s">
        <v>98</v>
      </c>
      <c r="CN944" t="s">
        <v>237</v>
      </c>
      <c r="CO944" s="1">
        <v>40165</v>
      </c>
      <c r="CP944" s="1">
        <v>43633</v>
      </c>
    </row>
    <row r="945" spans="1:94" x14ac:dyDescent="0.25">
      <c r="A945" t="s">
        <v>2980</v>
      </c>
      <c r="B945" t="str">
        <f xml:space="preserve"> "" &amp; 747396072074</f>
        <v>747396072074</v>
      </c>
      <c r="C945" t="s">
        <v>230</v>
      </c>
      <c r="D945" t="s">
        <v>2981</v>
      </c>
      <c r="E945" t="s">
        <v>2119</v>
      </c>
      <c r="F945" t="s">
        <v>232</v>
      </c>
      <c r="G945">
        <v>1</v>
      </c>
      <c r="H945">
        <v>1</v>
      </c>
      <c r="I945" t="s">
        <v>97</v>
      </c>
      <c r="J945" s="10">
        <v>59</v>
      </c>
      <c r="K945" s="10">
        <v>177</v>
      </c>
      <c r="L945" s="10">
        <v>0</v>
      </c>
      <c r="N945" s="10">
        <v>0</v>
      </c>
      <c r="O945" t="s">
        <v>99</v>
      </c>
      <c r="P945" s="10">
        <v>119.95</v>
      </c>
      <c r="S945">
        <v>12.25</v>
      </c>
      <c r="U945">
        <v>7.75</v>
      </c>
      <c r="V945">
        <v>4</v>
      </c>
      <c r="W945">
        <v>3.88</v>
      </c>
      <c r="Y945">
        <v>10.5</v>
      </c>
      <c r="Z945">
        <v>14.63</v>
      </c>
      <c r="AA945">
        <v>10</v>
      </c>
      <c r="AB945">
        <v>0.88900000000000001</v>
      </c>
      <c r="AC945">
        <v>5.16</v>
      </c>
      <c r="AE945">
        <v>1</v>
      </c>
      <c r="AF945" t="s">
        <v>466</v>
      </c>
      <c r="AG945">
        <v>100</v>
      </c>
      <c r="AK945" t="s">
        <v>98</v>
      </c>
      <c r="AM945" t="s">
        <v>98</v>
      </c>
      <c r="AN945" t="s">
        <v>98</v>
      </c>
      <c r="AO945" t="s">
        <v>99</v>
      </c>
      <c r="AP945" t="s">
        <v>100</v>
      </c>
      <c r="AQ945" t="s">
        <v>101</v>
      </c>
      <c r="AV945" t="s">
        <v>98</v>
      </c>
      <c r="AX945" t="s">
        <v>2120</v>
      </c>
      <c r="AZ945" t="s">
        <v>102</v>
      </c>
      <c r="BB945" t="s">
        <v>235</v>
      </c>
      <c r="BC945" t="s">
        <v>561</v>
      </c>
      <c r="BD945" t="s">
        <v>7528</v>
      </c>
      <c r="BF945" t="s">
        <v>2982</v>
      </c>
      <c r="BG945" t="s">
        <v>98</v>
      </c>
      <c r="BH945" t="s">
        <v>99</v>
      </c>
      <c r="BI945" t="s">
        <v>98</v>
      </c>
      <c r="BK945" t="s">
        <v>127</v>
      </c>
      <c r="BL945" t="s">
        <v>645</v>
      </c>
      <c r="BM945">
        <v>6.63</v>
      </c>
      <c r="BN945">
        <v>12.25</v>
      </c>
      <c r="CA945">
        <v>6460</v>
      </c>
      <c r="CB945" t="s">
        <v>2120</v>
      </c>
      <c r="CL945" t="s">
        <v>99</v>
      </c>
      <c r="CM945" t="s">
        <v>98</v>
      </c>
      <c r="CN945" t="s">
        <v>237</v>
      </c>
      <c r="CO945" s="1">
        <v>40108</v>
      </c>
      <c r="CP945" s="1">
        <v>43633</v>
      </c>
    </row>
    <row r="946" spans="1:94" x14ac:dyDescent="0.25">
      <c r="A946" t="s">
        <v>2983</v>
      </c>
      <c r="B946" t="str">
        <f xml:space="preserve"> "" &amp; 747396082431</f>
        <v>747396082431</v>
      </c>
      <c r="C946" t="s">
        <v>230</v>
      </c>
      <c r="D946" t="s">
        <v>230</v>
      </c>
      <c r="E946" t="s">
        <v>7528</v>
      </c>
      <c r="F946" t="s">
        <v>232</v>
      </c>
      <c r="G946">
        <v>1</v>
      </c>
      <c r="H946">
        <v>1</v>
      </c>
      <c r="I946" t="s">
        <v>97</v>
      </c>
      <c r="J946" s="10">
        <v>59</v>
      </c>
      <c r="K946" s="10">
        <v>177</v>
      </c>
      <c r="L946" s="10">
        <v>0</v>
      </c>
      <c r="N946" s="10">
        <v>0</v>
      </c>
      <c r="O946" t="s">
        <v>99</v>
      </c>
      <c r="P946" s="10">
        <v>119.95</v>
      </c>
      <c r="S946">
        <v>12.25</v>
      </c>
      <c r="U946">
        <v>7.75</v>
      </c>
      <c r="V946">
        <v>4</v>
      </c>
      <c r="W946">
        <v>3.81</v>
      </c>
      <c r="Y946">
        <v>10.5</v>
      </c>
      <c r="Z946">
        <v>14.63</v>
      </c>
      <c r="AA946">
        <v>10</v>
      </c>
      <c r="AB946">
        <v>0.88900000000000001</v>
      </c>
      <c r="AC946">
        <v>5.09</v>
      </c>
      <c r="AE946">
        <v>1</v>
      </c>
      <c r="AF946" t="s">
        <v>282</v>
      </c>
      <c r="AG946">
        <v>100</v>
      </c>
      <c r="AK946" t="s">
        <v>98</v>
      </c>
      <c r="AM946" t="s">
        <v>98</v>
      </c>
      <c r="AN946" t="s">
        <v>99</v>
      </c>
      <c r="AO946" t="s">
        <v>98</v>
      </c>
      <c r="AP946" t="s">
        <v>100</v>
      </c>
      <c r="AQ946" t="s">
        <v>101</v>
      </c>
      <c r="AV946" t="s">
        <v>98</v>
      </c>
      <c r="AX946" t="s">
        <v>697</v>
      </c>
      <c r="AZ946" t="s">
        <v>392</v>
      </c>
      <c r="BB946" t="s">
        <v>235</v>
      </c>
      <c r="BC946" t="s">
        <v>941</v>
      </c>
      <c r="BD946" t="s">
        <v>7528</v>
      </c>
      <c r="BF946" t="s">
        <v>2984</v>
      </c>
      <c r="BG946" t="s">
        <v>98</v>
      </c>
      <c r="BH946" t="s">
        <v>99</v>
      </c>
      <c r="BI946" t="s">
        <v>98</v>
      </c>
      <c r="BK946" t="s">
        <v>127</v>
      </c>
      <c r="BL946" t="s">
        <v>645</v>
      </c>
      <c r="BM946">
        <v>6.5</v>
      </c>
      <c r="BN946">
        <v>12.25</v>
      </c>
      <c r="CA946">
        <v>6460</v>
      </c>
      <c r="CB946" t="s">
        <v>697</v>
      </c>
      <c r="CL946" t="s">
        <v>99</v>
      </c>
      <c r="CM946" t="s">
        <v>98</v>
      </c>
      <c r="CN946" t="s">
        <v>442</v>
      </c>
      <c r="CO946" s="1">
        <v>40800</v>
      </c>
      <c r="CP946" s="1">
        <v>43633</v>
      </c>
    </row>
    <row r="947" spans="1:94" x14ac:dyDescent="0.25">
      <c r="A947" t="s">
        <v>2985</v>
      </c>
      <c r="B947" t="str">
        <f xml:space="preserve"> "" &amp; 747396082424</f>
        <v>747396082424</v>
      </c>
      <c r="C947" t="s">
        <v>230</v>
      </c>
      <c r="D947" t="s">
        <v>230</v>
      </c>
      <c r="E947" t="s">
        <v>7528</v>
      </c>
      <c r="F947" t="s">
        <v>232</v>
      </c>
      <c r="G947">
        <v>1</v>
      </c>
      <c r="H947">
        <v>1</v>
      </c>
      <c r="I947" t="s">
        <v>97</v>
      </c>
      <c r="J947" s="10">
        <v>59</v>
      </c>
      <c r="K947" s="10">
        <v>177</v>
      </c>
      <c r="L947" s="10">
        <v>0</v>
      </c>
      <c r="N947" s="10">
        <v>0</v>
      </c>
      <c r="O947" t="s">
        <v>99</v>
      </c>
      <c r="P947" s="10">
        <v>119.95</v>
      </c>
      <c r="S947">
        <v>12.25</v>
      </c>
      <c r="U947">
        <v>7.75</v>
      </c>
      <c r="V947">
        <v>4</v>
      </c>
      <c r="W947">
        <v>3.81</v>
      </c>
      <c r="Y947">
        <v>10.5</v>
      </c>
      <c r="Z947">
        <v>14.63</v>
      </c>
      <c r="AA947">
        <v>10</v>
      </c>
      <c r="AB947">
        <v>0.88900000000000001</v>
      </c>
      <c r="AC947">
        <v>5.09</v>
      </c>
      <c r="AE947">
        <v>1</v>
      </c>
      <c r="AF947" t="s">
        <v>282</v>
      </c>
      <c r="AG947">
        <v>100</v>
      </c>
      <c r="AK947" t="s">
        <v>98</v>
      </c>
      <c r="AM947" t="s">
        <v>98</v>
      </c>
      <c r="AN947" t="s">
        <v>99</v>
      </c>
      <c r="AO947" t="s">
        <v>98</v>
      </c>
      <c r="AP947" t="s">
        <v>100</v>
      </c>
      <c r="AQ947" t="s">
        <v>101</v>
      </c>
      <c r="AV947" t="s">
        <v>98</v>
      </c>
      <c r="AX947" t="s">
        <v>279</v>
      </c>
      <c r="AZ947" t="s">
        <v>392</v>
      </c>
      <c r="BB947" t="s">
        <v>235</v>
      </c>
      <c r="BC947" t="s">
        <v>561</v>
      </c>
      <c r="BD947" t="s">
        <v>7528</v>
      </c>
      <c r="BF947" t="s">
        <v>2986</v>
      </c>
      <c r="BG947" t="s">
        <v>98</v>
      </c>
      <c r="BH947" t="s">
        <v>99</v>
      </c>
      <c r="BI947" t="s">
        <v>98</v>
      </c>
      <c r="BK947" t="s">
        <v>127</v>
      </c>
      <c r="BL947" t="s">
        <v>645</v>
      </c>
      <c r="BM947">
        <v>6.63</v>
      </c>
      <c r="BN947">
        <v>12.25</v>
      </c>
      <c r="CA947">
        <v>6460</v>
      </c>
      <c r="CB947" t="s">
        <v>279</v>
      </c>
      <c r="CL947" t="s">
        <v>99</v>
      </c>
      <c r="CM947" t="s">
        <v>98</v>
      </c>
      <c r="CN947" t="s">
        <v>442</v>
      </c>
      <c r="CO947" s="1">
        <v>40800</v>
      </c>
      <c r="CP947" s="1">
        <v>43633</v>
      </c>
    </row>
    <row r="948" spans="1:94" x14ac:dyDescent="0.25">
      <c r="A948" t="s">
        <v>2987</v>
      </c>
      <c r="B948" t="str">
        <f xml:space="preserve"> "" &amp; 747396072081</f>
        <v>747396072081</v>
      </c>
      <c r="C948" t="s">
        <v>751</v>
      </c>
      <c r="D948" t="s">
        <v>2988</v>
      </c>
      <c r="E948" t="s">
        <v>2119</v>
      </c>
      <c r="F948" t="s">
        <v>323</v>
      </c>
      <c r="G948">
        <v>1</v>
      </c>
      <c r="H948">
        <v>1</v>
      </c>
      <c r="I948" t="s">
        <v>97</v>
      </c>
      <c r="J948" s="10">
        <v>48</v>
      </c>
      <c r="K948" s="10">
        <v>144</v>
      </c>
      <c r="L948" s="10">
        <v>0</v>
      </c>
      <c r="N948" s="10">
        <v>0</v>
      </c>
      <c r="O948" t="s">
        <v>99</v>
      </c>
      <c r="P948" s="10">
        <v>94.95</v>
      </c>
      <c r="S948">
        <v>6.25</v>
      </c>
      <c r="T948">
        <v>8</v>
      </c>
      <c r="U948">
        <v>6.25</v>
      </c>
      <c r="V948">
        <v>5.5</v>
      </c>
      <c r="W948">
        <v>2.4900000000000002</v>
      </c>
      <c r="Y948">
        <v>10</v>
      </c>
      <c r="Z948">
        <v>8</v>
      </c>
      <c r="AA948">
        <v>8</v>
      </c>
      <c r="AB948">
        <v>0.37</v>
      </c>
      <c r="AC948">
        <v>3.57</v>
      </c>
      <c r="AE948">
        <v>1</v>
      </c>
      <c r="AF948" t="s">
        <v>2989</v>
      </c>
      <c r="AG948">
        <v>75</v>
      </c>
      <c r="AK948" t="s">
        <v>99</v>
      </c>
      <c r="AL948">
        <v>1</v>
      </c>
      <c r="AM948" t="s">
        <v>98</v>
      </c>
      <c r="AN948" t="s">
        <v>98</v>
      </c>
      <c r="AO948" t="s">
        <v>99</v>
      </c>
      <c r="AP948" t="s">
        <v>100</v>
      </c>
      <c r="AQ948" t="s">
        <v>101</v>
      </c>
      <c r="AV948" t="s">
        <v>98</v>
      </c>
      <c r="AX948" t="s">
        <v>2120</v>
      </c>
      <c r="AZ948" t="s">
        <v>102</v>
      </c>
      <c r="BB948" t="s">
        <v>235</v>
      </c>
      <c r="BC948" t="s">
        <v>1501</v>
      </c>
      <c r="BD948" t="s">
        <v>7528</v>
      </c>
      <c r="BF948" t="s">
        <v>2990</v>
      </c>
      <c r="BG948" t="s">
        <v>98</v>
      </c>
      <c r="BH948" t="s">
        <v>98</v>
      </c>
      <c r="BI948" t="s">
        <v>98</v>
      </c>
      <c r="BK948" t="s">
        <v>127</v>
      </c>
      <c r="BL948" t="s">
        <v>236</v>
      </c>
      <c r="BR948">
        <v>4</v>
      </c>
      <c r="BT948">
        <v>5</v>
      </c>
      <c r="CA948">
        <v>6461</v>
      </c>
      <c r="CB948" t="s">
        <v>2120</v>
      </c>
      <c r="CL948" t="s">
        <v>98</v>
      </c>
      <c r="CM948" t="s">
        <v>98</v>
      </c>
      <c r="CN948" t="s">
        <v>2122</v>
      </c>
      <c r="CO948" s="1">
        <v>40108</v>
      </c>
      <c r="CP948" s="1">
        <v>43633</v>
      </c>
    </row>
    <row r="949" spans="1:94" x14ac:dyDescent="0.25">
      <c r="A949" t="s">
        <v>2991</v>
      </c>
      <c r="B949" t="str">
        <f xml:space="preserve"> "" &amp; 747396072098</f>
        <v>747396072098</v>
      </c>
      <c r="C949" t="s">
        <v>758</v>
      </c>
      <c r="D949" t="s">
        <v>2992</v>
      </c>
      <c r="E949" t="s">
        <v>2119</v>
      </c>
      <c r="F949" t="s">
        <v>323</v>
      </c>
      <c r="G949">
        <v>1</v>
      </c>
      <c r="H949">
        <v>1</v>
      </c>
      <c r="I949" t="s">
        <v>97</v>
      </c>
      <c r="J949" s="10">
        <v>64</v>
      </c>
      <c r="K949" s="10">
        <v>192</v>
      </c>
      <c r="L949" s="10">
        <v>0</v>
      </c>
      <c r="N949" s="10">
        <v>0</v>
      </c>
      <c r="O949" t="s">
        <v>99</v>
      </c>
      <c r="P949" s="10">
        <v>129.94999999999999</v>
      </c>
      <c r="S949">
        <v>5.5</v>
      </c>
      <c r="U949">
        <v>12.5</v>
      </c>
      <c r="V949">
        <v>5.5</v>
      </c>
      <c r="W949">
        <v>3.84</v>
      </c>
      <c r="Y949">
        <v>10</v>
      </c>
      <c r="Z949">
        <v>15.5</v>
      </c>
      <c r="AA949">
        <v>8</v>
      </c>
      <c r="AB949">
        <v>0.71799999999999997</v>
      </c>
      <c r="AC949">
        <v>5.69</v>
      </c>
      <c r="AE949">
        <v>2</v>
      </c>
      <c r="AF949" t="s">
        <v>2989</v>
      </c>
      <c r="AG949">
        <v>75</v>
      </c>
      <c r="AK949" t="s">
        <v>99</v>
      </c>
      <c r="AM949" t="s">
        <v>98</v>
      </c>
      <c r="AN949" t="s">
        <v>98</v>
      </c>
      <c r="AO949" t="s">
        <v>99</v>
      </c>
      <c r="AP949" t="s">
        <v>100</v>
      </c>
      <c r="AQ949" t="s">
        <v>101</v>
      </c>
      <c r="AV949" t="s">
        <v>98</v>
      </c>
      <c r="AX949" t="s">
        <v>2120</v>
      </c>
      <c r="AZ949" t="s">
        <v>102</v>
      </c>
      <c r="BB949" t="s">
        <v>235</v>
      </c>
      <c r="BC949" t="s">
        <v>1501</v>
      </c>
      <c r="BD949" t="s">
        <v>7528</v>
      </c>
      <c r="BF949" t="s">
        <v>2993</v>
      </c>
      <c r="BG949" t="s">
        <v>98</v>
      </c>
      <c r="BH949" t="s">
        <v>98</v>
      </c>
      <c r="BI949" t="s">
        <v>98</v>
      </c>
      <c r="BK949" t="s">
        <v>127</v>
      </c>
      <c r="BL949" t="s">
        <v>236</v>
      </c>
      <c r="BR949">
        <v>4</v>
      </c>
      <c r="BT949">
        <v>5</v>
      </c>
      <c r="CA949">
        <v>6462</v>
      </c>
      <c r="CB949" t="s">
        <v>2120</v>
      </c>
      <c r="CL949" t="s">
        <v>98</v>
      </c>
      <c r="CM949" t="s">
        <v>98</v>
      </c>
      <c r="CN949" t="s">
        <v>2122</v>
      </c>
      <c r="CO949" s="1">
        <v>40108</v>
      </c>
      <c r="CP949" s="1">
        <v>43633</v>
      </c>
    </row>
    <row r="950" spans="1:94" x14ac:dyDescent="0.25">
      <c r="A950" t="s">
        <v>2994</v>
      </c>
      <c r="B950" t="str">
        <f xml:space="preserve"> "" &amp; 747396072104</f>
        <v>747396072104</v>
      </c>
      <c r="C950" t="s">
        <v>762</v>
      </c>
      <c r="D950" t="s">
        <v>2995</v>
      </c>
      <c r="E950" t="s">
        <v>2119</v>
      </c>
      <c r="F950" t="s">
        <v>323</v>
      </c>
      <c r="G950">
        <v>1</v>
      </c>
      <c r="H950">
        <v>1</v>
      </c>
      <c r="I950" t="s">
        <v>97</v>
      </c>
      <c r="J950" s="10">
        <v>88</v>
      </c>
      <c r="K950" s="10">
        <v>264</v>
      </c>
      <c r="L950" s="10">
        <v>0</v>
      </c>
      <c r="N950" s="10">
        <v>0</v>
      </c>
      <c r="O950" t="s">
        <v>99</v>
      </c>
      <c r="P950" s="10">
        <v>174.95</v>
      </c>
      <c r="S950">
        <v>5.5</v>
      </c>
      <c r="U950">
        <v>20</v>
      </c>
      <c r="V950">
        <v>5.5</v>
      </c>
      <c r="W950">
        <v>5.2</v>
      </c>
      <c r="Y950">
        <v>10</v>
      </c>
      <c r="Z950">
        <v>23</v>
      </c>
      <c r="AA950">
        <v>8</v>
      </c>
      <c r="AB950">
        <v>1.0649999999999999</v>
      </c>
      <c r="AC950">
        <v>7.39</v>
      </c>
      <c r="AE950">
        <v>3</v>
      </c>
      <c r="AF950" t="s">
        <v>2989</v>
      </c>
      <c r="AG950">
        <v>75</v>
      </c>
      <c r="AK950" t="s">
        <v>99</v>
      </c>
      <c r="AM950" t="s">
        <v>98</v>
      </c>
      <c r="AN950" t="s">
        <v>98</v>
      </c>
      <c r="AO950" t="s">
        <v>99</v>
      </c>
      <c r="AP950" t="s">
        <v>100</v>
      </c>
      <c r="AQ950" t="s">
        <v>101</v>
      </c>
      <c r="AV950" t="s">
        <v>98</v>
      </c>
      <c r="AX950" t="s">
        <v>2120</v>
      </c>
      <c r="AZ950" t="s">
        <v>102</v>
      </c>
      <c r="BB950" t="s">
        <v>235</v>
      </c>
      <c r="BC950" t="s">
        <v>1501</v>
      </c>
      <c r="BD950" t="s">
        <v>7528</v>
      </c>
      <c r="BF950" t="s">
        <v>2996</v>
      </c>
      <c r="BG950" t="s">
        <v>98</v>
      </c>
      <c r="BH950" t="s">
        <v>98</v>
      </c>
      <c r="BI950" t="s">
        <v>98</v>
      </c>
      <c r="BK950" t="s">
        <v>127</v>
      </c>
      <c r="BL950" t="s">
        <v>236</v>
      </c>
      <c r="BR950">
        <v>4</v>
      </c>
      <c r="BT950">
        <v>5</v>
      </c>
      <c r="CA950">
        <v>6463</v>
      </c>
      <c r="CB950" t="s">
        <v>2120</v>
      </c>
      <c r="CL950" t="s">
        <v>98</v>
      </c>
      <c r="CM950" t="s">
        <v>98</v>
      </c>
      <c r="CN950" t="s">
        <v>2122</v>
      </c>
      <c r="CO950" s="1">
        <v>40108</v>
      </c>
      <c r="CP950" s="1">
        <v>43633</v>
      </c>
    </row>
    <row r="951" spans="1:94" x14ac:dyDescent="0.25">
      <c r="A951" t="s">
        <v>2997</v>
      </c>
      <c r="B951" t="str">
        <f xml:space="preserve"> "" &amp; 747396072111</f>
        <v>747396072111</v>
      </c>
      <c r="C951" t="s">
        <v>766</v>
      </c>
      <c r="D951" t="s">
        <v>2998</v>
      </c>
      <c r="E951" t="s">
        <v>2119</v>
      </c>
      <c r="F951" t="s">
        <v>323</v>
      </c>
      <c r="G951">
        <v>1</v>
      </c>
      <c r="H951">
        <v>1</v>
      </c>
      <c r="I951" t="s">
        <v>97</v>
      </c>
      <c r="J951" s="10">
        <v>98</v>
      </c>
      <c r="K951" s="10">
        <v>294</v>
      </c>
      <c r="L951" s="10">
        <v>0</v>
      </c>
      <c r="N951" s="10">
        <v>0</v>
      </c>
      <c r="O951" t="s">
        <v>99</v>
      </c>
      <c r="P951" s="10">
        <v>194.95</v>
      </c>
      <c r="S951">
        <v>5.5</v>
      </c>
      <c r="U951">
        <v>27</v>
      </c>
      <c r="V951">
        <v>5.5</v>
      </c>
      <c r="W951">
        <v>6.64</v>
      </c>
      <c r="Y951">
        <v>10</v>
      </c>
      <c r="Z951">
        <v>30.25</v>
      </c>
      <c r="AA951">
        <v>8</v>
      </c>
      <c r="AB951">
        <v>1.4</v>
      </c>
      <c r="AC951">
        <v>9.59</v>
      </c>
      <c r="AE951">
        <v>4</v>
      </c>
      <c r="AF951" t="s">
        <v>2989</v>
      </c>
      <c r="AG951">
        <v>75</v>
      </c>
      <c r="AK951" t="s">
        <v>99</v>
      </c>
      <c r="AM951" t="s">
        <v>98</v>
      </c>
      <c r="AN951" t="s">
        <v>98</v>
      </c>
      <c r="AO951" t="s">
        <v>99</v>
      </c>
      <c r="AP951" t="s">
        <v>100</v>
      </c>
      <c r="AQ951" t="s">
        <v>101</v>
      </c>
      <c r="AV951" t="s">
        <v>98</v>
      </c>
      <c r="AX951" t="s">
        <v>2120</v>
      </c>
      <c r="AZ951" t="s">
        <v>102</v>
      </c>
      <c r="BB951" t="s">
        <v>235</v>
      </c>
      <c r="BC951" t="s">
        <v>1501</v>
      </c>
      <c r="BD951" t="s">
        <v>7528</v>
      </c>
      <c r="BF951" t="s">
        <v>2999</v>
      </c>
      <c r="BG951" t="s">
        <v>98</v>
      </c>
      <c r="BH951" t="s">
        <v>98</v>
      </c>
      <c r="BI951" t="s">
        <v>98</v>
      </c>
      <c r="BK951" t="s">
        <v>127</v>
      </c>
      <c r="BL951" t="s">
        <v>236</v>
      </c>
      <c r="BR951">
        <v>4</v>
      </c>
      <c r="BT951">
        <v>5</v>
      </c>
      <c r="CA951">
        <v>6464</v>
      </c>
      <c r="CB951" t="s">
        <v>2120</v>
      </c>
      <c r="CL951" t="s">
        <v>98</v>
      </c>
      <c r="CM951" t="s">
        <v>98</v>
      </c>
      <c r="CN951" t="s">
        <v>2122</v>
      </c>
      <c r="CO951" s="1">
        <v>40108</v>
      </c>
      <c r="CP951" s="1">
        <v>43633</v>
      </c>
    </row>
    <row r="952" spans="1:94" x14ac:dyDescent="0.25">
      <c r="A952" t="s">
        <v>2978</v>
      </c>
      <c r="B952" t="str">
        <f xml:space="preserve"> "" &amp; 747396053677</f>
        <v>747396053677</v>
      </c>
      <c r="C952" t="s">
        <v>758</v>
      </c>
      <c r="D952" t="s">
        <v>758</v>
      </c>
      <c r="E952" t="s">
        <v>7528</v>
      </c>
      <c r="F952" t="s">
        <v>1633</v>
      </c>
      <c r="G952">
        <v>1</v>
      </c>
      <c r="H952">
        <v>1</v>
      </c>
      <c r="I952" t="s">
        <v>97</v>
      </c>
      <c r="J952" s="10">
        <v>20</v>
      </c>
      <c r="K952" s="10">
        <v>60</v>
      </c>
      <c r="L952" s="10">
        <v>0</v>
      </c>
      <c r="N952" s="10">
        <v>0</v>
      </c>
      <c r="S952">
        <v>5.75</v>
      </c>
      <c r="U952">
        <v>37.25</v>
      </c>
      <c r="V952">
        <v>4.25</v>
      </c>
      <c r="W952">
        <v>8.5299999999999994</v>
      </c>
      <c r="X952">
        <v>1</v>
      </c>
      <c r="Y952">
        <v>6.5</v>
      </c>
      <c r="Z952">
        <v>48.75</v>
      </c>
      <c r="AA952">
        <v>8</v>
      </c>
      <c r="AB952">
        <v>1.4670000000000001</v>
      </c>
      <c r="AC952">
        <v>10.23</v>
      </c>
      <c r="AE952">
        <v>2</v>
      </c>
      <c r="AF952" t="s">
        <v>1205</v>
      </c>
      <c r="AG952">
        <v>25</v>
      </c>
      <c r="AK952" t="s">
        <v>98</v>
      </c>
      <c r="AM952" t="s">
        <v>98</v>
      </c>
      <c r="AN952" t="s">
        <v>98</v>
      </c>
      <c r="AO952" t="s">
        <v>99</v>
      </c>
      <c r="AP952" t="s">
        <v>100</v>
      </c>
      <c r="AQ952" t="s">
        <v>101</v>
      </c>
      <c r="AV952" t="s">
        <v>99</v>
      </c>
      <c r="AX952" t="s">
        <v>279</v>
      </c>
      <c r="AZ952" t="s">
        <v>102</v>
      </c>
      <c r="BB952" t="s">
        <v>125</v>
      </c>
      <c r="BC952" t="s">
        <v>117</v>
      </c>
      <c r="BD952" t="s">
        <v>7528</v>
      </c>
      <c r="BF952" t="s">
        <v>2979</v>
      </c>
      <c r="BG952" t="s">
        <v>98</v>
      </c>
      <c r="BH952" t="s">
        <v>98</v>
      </c>
      <c r="BI952" t="s">
        <v>98</v>
      </c>
      <c r="BK952" t="s">
        <v>127</v>
      </c>
      <c r="BL952" t="s">
        <v>979</v>
      </c>
      <c r="BR952">
        <v>3.5</v>
      </c>
      <c r="BT952">
        <v>36</v>
      </c>
      <c r="CA952" t="s">
        <v>2978</v>
      </c>
      <c r="CB952" t="s">
        <v>279</v>
      </c>
      <c r="CL952" t="s">
        <v>98</v>
      </c>
      <c r="CM952" t="s">
        <v>98</v>
      </c>
      <c r="CN952" t="s">
        <v>129</v>
      </c>
      <c r="CO952" s="1">
        <v>38484</v>
      </c>
      <c r="CP952" s="1">
        <v>43633</v>
      </c>
    </row>
    <row r="953" spans="1:94" x14ac:dyDescent="0.25">
      <c r="A953" t="s">
        <v>3000</v>
      </c>
      <c r="B953" t="str">
        <f xml:space="preserve"> "" &amp; 747396053684</f>
        <v>747396053684</v>
      </c>
      <c r="C953" t="s">
        <v>758</v>
      </c>
      <c r="D953" t="s">
        <v>758</v>
      </c>
      <c r="E953" t="s">
        <v>7528</v>
      </c>
      <c r="F953" t="s">
        <v>1633</v>
      </c>
      <c r="G953">
        <v>1</v>
      </c>
      <c r="H953">
        <v>1</v>
      </c>
      <c r="I953" t="s">
        <v>97</v>
      </c>
      <c r="J953" s="10">
        <v>25</v>
      </c>
      <c r="K953" s="10">
        <v>75</v>
      </c>
      <c r="L953" s="10">
        <v>0</v>
      </c>
      <c r="N953" s="10">
        <v>0</v>
      </c>
      <c r="S953">
        <v>6</v>
      </c>
      <c r="U953">
        <v>49.25</v>
      </c>
      <c r="V953">
        <v>4.25</v>
      </c>
      <c r="W953">
        <v>9.11</v>
      </c>
      <c r="X953">
        <v>1</v>
      </c>
      <c r="Y953">
        <v>6.5</v>
      </c>
      <c r="Z953">
        <v>60.5</v>
      </c>
      <c r="AA953">
        <v>8</v>
      </c>
      <c r="AB953">
        <v>1.821</v>
      </c>
      <c r="AC953">
        <v>10.87</v>
      </c>
      <c r="AE953">
        <v>2</v>
      </c>
      <c r="AF953" t="s">
        <v>7545</v>
      </c>
      <c r="AG953">
        <v>32</v>
      </c>
      <c r="AH953">
        <v>0</v>
      </c>
      <c r="AJ953">
        <v>0</v>
      </c>
      <c r="AK953" t="s">
        <v>98</v>
      </c>
      <c r="AM953" t="s">
        <v>98</v>
      </c>
      <c r="AN953" t="s">
        <v>98</v>
      </c>
      <c r="AO953" t="s">
        <v>99</v>
      </c>
      <c r="AP953" t="s">
        <v>100</v>
      </c>
      <c r="AQ953" t="s">
        <v>101</v>
      </c>
      <c r="AV953" t="s">
        <v>99</v>
      </c>
      <c r="AX953" t="s">
        <v>279</v>
      </c>
      <c r="AZ953" t="s">
        <v>102</v>
      </c>
      <c r="BB953" t="s">
        <v>125</v>
      </c>
      <c r="BC953" t="s">
        <v>117</v>
      </c>
      <c r="BD953" t="s">
        <v>7528</v>
      </c>
      <c r="BF953" t="s">
        <v>3001</v>
      </c>
      <c r="BG953" t="s">
        <v>98</v>
      </c>
      <c r="BH953" t="s">
        <v>98</v>
      </c>
      <c r="BI953" t="s">
        <v>98</v>
      </c>
      <c r="BK953" t="s">
        <v>127</v>
      </c>
      <c r="BL953" t="s">
        <v>979</v>
      </c>
      <c r="BR953">
        <v>3.38</v>
      </c>
      <c r="BT953">
        <v>47.63</v>
      </c>
      <c r="CA953" t="s">
        <v>3000</v>
      </c>
      <c r="CB953" t="s">
        <v>279</v>
      </c>
      <c r="CL953" t="s">
        <v>98</v>
      </c>
      <c r="CM953" t="s">
        <v>98</v>
      </c>
      <c r="CN953" t="s">
        <v>3002</v>
      </c>
      <c r="CO953" s="1">
        <v>38484</v>
      </c>
      <c r="CP953" s="1">
        <v>43633</v>
      </c>
    </row>
    <row r="954" spans="1:94" x14ac:dyDescent="0.25">
      <c r="A954" t="s">
        <v>3003</v>
      </c>
      <c r="B954" t="str">
        <f xml:space="preserve"> "" &amp; 747396072647</f>
        <v>747396072647</v>
      </c>
      <c r="C954" t="s">
        <v>758</v>
      </c>
      <c r="D954" t="s">
        <v>6808</v>
      </c>
      <c r="E954" t="s">
        <v>3004</v>
      </c>
      <c r="F954" t="s">
        <v>232</v>
      </c>
      <c r="G954">
        <v>1</v>
      </c>
      <c r="H954">
        <v>1</v>
      </c>
      <c r="I954" t="s">
        <v>97</v>
      </c>
      <c r="J954" s="10">
        <v>83</v>
      </c>
      <c r="K954" s="10">
        <v>249</v>
      </c>
      <c r="L954" s="10">
        <v>0</v>
      </c>
      <c r="N954" s="10">
        <v>0</v>
      </c>
      <c r="S954">
        <v>5.25</v>
      </c>
      <c r="T954">
        <v>20</v>
      </c>
      <c r="U954">
        <v>18</v>
      </c>
      <c r="V954">
        <v>3.5</v>
      </c>
      <c r="W954">
        <v>5.45</v>
      </c>
      <c r="Y954">
        <v>6</v>
      </c>
      <c r="Z954">
        <v>20</v>
      </c>
      <c r="AA954">
        <v>7.25</v>
      </c>
      <c r="AB954">
        <v>0.503</v>
      </c>
      <c r="AC954">
        <v>6.57</v>
      </c>
      <c r="AE954">
        <v>2</v>
      </c>
      <c r="AF954" t="s">
        <v>1998</v>
      </c>
      <c r="AG954">
        <v>60</v>
      </c>
      <c r="AK954" t="s">
        <v>98</v>
      </c>
      <c r="AM954" t="s">
        <v>98</v>
      </c>
      <c r="AN954" t="s">
        <v>99</v>
      </c>
      <c r="AO954" t="s">
        <v>98</v>
      </c>
      <c r="AP954" t="s">
        <v>100</v>
      </c>
      <c r="AQ954" t="s">
        <v>101</v>
      </c>
      <c r="AV954" t="s">
        <v>98</v>
      </c>
      <c r="AX954" t="s">
        <v>399</v>
      </c>
      <c r="AZ954" t="s">
        <v>392</v>
      </c>
      <c r="BB954" t="s">
        <v>235</v>
      </c>
      <c r="BC954" t="s">
        <v>7610</v>
      </c>
      <c r="BD954" t="s">
        <v>7528</v>
      </c>
      <c r="BF954" t="s">
        <v>3005</v>
      </c>
      <c r="BG954" t="s">
        <v>98</v>
      </c>
      <c r="BH954" t="s">
        <v>99</v>
      </c>
      <c r="BI954" t="s">
        <v>98</v>
      </c>
      <c r="BK954" t="s">
        <v>127</v>
      </c>
      <c r="BL954" t="s">
        <v>979</v>
      </c>
      <c r="BR954">
        <v>5</v>
      </c>
      <c r="BT954">
        <v>17</v>
      </c>
      <c r="CA954">
        <v>6522</v>
      </c>
      <c r="CB954" t="s">
        <v>399</v>
      </c>
      <c r="CL954" t="s">
        <v>98</v>
      </c>
      <c r="CM954" t="s">
        <v>98</v>
      </c>
      <c r="CN954" t="s">
        <v>237</v>
      </c>
      <c r="CO954" s="1">
        <v>40176</v>
      </c>
      <c r="CP954" s="1">
        <v>43633</v>
      </c>
    </row>
    <row r="955" spans="1:94" x14ac:dyDescent="0.25">
      <c r="A955" t="s">
        <v>3006</v>
      </c>
      <c r="B955" t="str">
        <f xml:space="preserve"> "" &amp; 747396072661</f>
        <v>747396072661</v>
      </c>
      <c r="C955" t="s">
        <v>762</v>
      </c>
      <c r="D955" t="s">
        <v>3007</v>
      </c>
      <c r="E955" t="s">
        <v>3004</v>
      </c>
      <c r="F955" t="s">
        <v>232</v>
      </c>
      <c r="G955">
        <v>1</v>
      </c>
      <c r="H955">
        <v>1</v>
      </c>
      <c r="I955" t="s">
        <v>97</v>
      </c>
      <c r="J955" s="10">
        <v>110</v>
      </c>
      <c r="K955" s="10">
        <v>330</v>
      </c>
      <c r="L955" s="10">
        <v>0</v>
      </c>
      <c r="N955" s="10">
        <v>0</v>
      </c>
      <c r="S955">
        <v>5.25</v>
      </c>
      <c r="T955">
        <v>26</v>
      </c>
      <c r="U955">
        <v>24</v>
      </c>
      <c r="V955">
        <v>3.5</v>
      </c>
      <c r="W955">
        <v>7.19</v>
      </c>
      <c r="Y955">
        <v>6</v>
      </c>
      <c r="Z955">
        <v>26</v>
      </c>
      <c r="AA955">
        <v>7.25</v>
      </c>
      <c r="AB955">
        <v>0.65500000000000003</v>
      </c>
      <c r="AC955">
        <v>8.42</v>
      </c>
      <c r="AE955">
        <v>3</v>
      </c>
      <c r="AF955" t="s">
        <v>1998</v>
      </c>
      <c r="AG955">
        <v>60</v>
      </c>
      <c r="AK955" t="s">
        <v>98</v>
      </c>
      <c r="AM955" t="s">
        <v>98</v>
      </c>
      <c r="AN955" t="s">
        <v>99</v>
      </c>
      <c r="AO955" t="s">
        <v>98</v>
      </c>
      <c r="AP955" t="s">
        <v>100</v>
      </c>
      <c r="AQ955" t="s">
        <v>101</v>
      </c>
      <c r="AV955" t="s">
        <v>98</v>
      </c>
      <c r="AX955" t="s">
        <v>399</v>
      </c>
      <c r="AZ955" t="s">
        <v>392</v>
      </c>
      <c r="BB955" t="s">
        <v>235</v>
      </c>
      <c r="BC955" t="s">
        <v>7610</v>
      </c>
      <c r="BD955" t="s">
        <v>7528</v>
      </c>
      <c r="BF955" t="s">
        <v>3008</v>
      </c>
      <c r="BG955" t="s">
        <v>98</v>
      </c>
      <c r="BH955" t="s">
        <v>99</v>
      </c>
      <c r="BI955" t="s">
        <v>98</v>
      </c>
      <c r="BK955" t="s">
        <v>127</v>
      </c>
      <c r="BL955" t="s">
        <v>979</v>
      </c>
      <c r="BR955">
        <v>5</v>
      </c>
      <c r="BT955">
        <v>23</v>
      </c>
      <c r="CA955">
        <v>6523</v>
      </c>
      <c r="CB955" t="s">
        <v>399</v>
      </c>
      <c r="CL955" t="s">
        <v>98</v>
      </c>
      <c r="CM955" t="s">
        <v>98</v>
      </c>
      <c r="CN955" t="s">
        <v>237</v>
      </c>
      <c r="CO955" s="1">
        <v>40176</v>
      </c>
      <c r="CP955" s="1">
        <v>43633</v>
      </c>
    </row>
    <row r="956" spans="1:94" x14ac:dyDescent="0.25">
      <c r="A956" t="s">
        <v>3009</v>
      </c>
      <c r="B956" t="str">
        <f xml:space="preserve"> "" &amp; 747396076898</f>
        <v>747396076898</v>
      </c>
      <c r="C956" t="s">
        <v>230</v>
      </c>
      <c r="D956" t="s">
        <v>3010</v>
      </c>
      <c r="E956" t="s">
        <v>459</v>
      </c>
      <c r="F956" t="s">
        <v>232</v>
      </c>
      <c r="G956">
        <v>1</v>
      </c>
      <c r="H956">
        <v>1</v>
      </c>
      <c r="I956" t="s">
        <v>97</v>
      </c>
      <c r="J956" s="10">
        <v>56</v>
      </c>
      <c r="K956" s="10">
        <v>168</v>
      </c>
      <c r="L956" s="10">
        <v>0</v>
      </c>
      <c r="N956" s="10">
        <v>0</v>
      </c>
      <c r="O956" t="s">
        <v>99</v>
      </c>
      <c r="P956" s="10">
        <v>109.95</v>
      </c>
      <c r="S956">
        <v>13.5</v>
      </c>
      <c r="T956">
        <v>12.5</v>
      </c>
      <c r="U956">
        <v>4.75</v>
      </c>
      <c r="V956">
        <v>4.5</v>
      </c>
      <c r="W956">
        <v>12.04</v>
      </c>
      <c r="Y956">
        <v>8.75</v>
      </c>
      <c r="Z956">
        <v>12.5</v>
      </c>
      <c r="AA956">
        <v>6.5</v>
      </c>
      <c r="AB956">
        <v>0.41099999999999998</v>
      </c>
      <c r="AC956">
        <v>20.41</v>
      </c>
      <c r="AE956">
        <v>1</v>
      </c>
      <c r="AF956" t="s">
        <v>282</v>
      </c>
      <c r="AG956">
        <v>100</v>
      </c>
      <c r="AK956" t="s">
        <v>98</v>
      </c>
      <c r="AL956">
        <v>1</v>
      </c>
      <c r="AM956" t="s">
        <v>98</v>
      </c>
      <c r="AN956" t="s">
        <v>99</v>
      </c>
      <c r="AO956" t="s">
        <v>98</v>
      </c>
      <c r="AP956" t="s">
        <v>100</v>
      </c>
      <c r="AQ956" t="s">
        <v>101</v>
      </c>
      <c r="AV956" t="s">
        <v>98</v>
      </c>
      <c r="AX956" t="s">
        <v>399</v>
      </c>
      <c r="AZ956" t="s">
        <v>102</v>
      </c>
      <c r="BB956" t="s">
        <v>235</v>
      </c>
      <c r="BC956" t="s">
        <v>941</v>
      </c>
      <c r="BD956" t="s">
        <v>7528</v>
      </c>
      <c r="BF956" t="s">
        <v>3011</v>
      </c>
      <c r="BG956" t="s">
        <v>98</v>
      </c>
      <c r="BH956" t="s">
        <v>98</v>
      </c>
      <c r="BI956" t="s">
        <v>98</v>
      </c>
      <c r="BK956" t="s">
        <v>127</v>
      </c>
      <c r="BL956" t="s">
        <v>236</v>
      </c>
      <c r="BR956">
        <v>7</v>
      </c>
      <c r="BT956">
        <v>4</v>
      </c>
      <c r="CA956">
        <v>6540</v>
      </c>
      <c r="CB956" t="s">
        <v>399</v>
      </c>
      <c r="CL956" t="s">
        <v>98</v>
      </c>
      <c r="CM956" t="s">
        <v>98</v>
      </c>
      <c r="CN956" t="s">
        <v>442</v>
      </c>
      <c r="CO956" s="1">
        <v>40485</v>
      </c>
      <c r="CP956" s="1">
        <v>43633</v>
      </c>
    </row>
    <row r="957" spans="1:94" x14ac:dyDescent="0.25">
      <c r="A957" t="s">
        <v>3012</v>
      </c>
      <c r="B957" t="str">
        <f xml:space="preserve"> "" &amp; 747396076904</f>
        <v>747396076904</v>
      </c>
      <c r="C957" t="s">
        <v>751</v>
      </c>
      <c r="D957" t="s">
        <v>3013</v>
      </c>
      <c r="E957" t="s">
        <v>459</v>
      </c>
      <c r="F957" t="s">
        <v>323</v>
      </c>
      <c r="G957">
        <v>1</v>
      </c>
      <c r="H957">
        <v>1</v>
      </c>
      <c r="I957" t="s">
        <v>97</v>
      </c>
      <c r="J957" s="10">
        <v>46</v>
      </c>
      <c r="K957" s="10">
        <v>138</v>
      </c>
      <c r="L957" s="10">
        <v>0</v>
      </c>
      <c r="N957" s="10">
        <v>0</v>
      </c>
      <c r="O957" t="s">
        <v>99</v>
      </c>
      <c r="P957" s="10">
        <v>89.95</v>
      </c>
      <c r="S957">
        <v>7</v>
      </c>
      <c r="T957">
        <v>9.25</v>
      </c>
      <c r="U957">
        <v>4.75</v>
      </c>
      <c r="V957">
        <v>5</v>
      </c>
      <c r="W957">
        <v>8.6</v>
      </c>
      <c r="Y957">
        <v>8.25</v>
      </c>
      <c r="Z957">
        <v>9.25</v>
      </c>
      <c r="AA957">
        <v>6</v>
      </c>
      <c r="AB957">
        <v>0.26500000000000001</v>
      </c>
      <c r="AC957">
        <v>15.83</v>
      </c>
      <c r="AE957">
        <v>1</v>
      </c>
      <c r="AF957" t="s">
        <v>282</v>
      </c>
      <c r="AG957">
        <v>100</v>
      </c>
      <c r="AK957" t="s">
        <v>98</v>
      </c>
      <c r="AL957">
        <v>1</v>
      </c>
      <c r="AM957" t="s">
        <v>98</v>
      </c>
      <c r="AN957" t="s">
        <v>99</v>
      </c>
      <c r="AO957" t="s">
        <v>98</v>
      </c>
      <c r="AP957" t="s">
        <v>100</v>
      </c>
      <c r="AQ957" t="s">
        <v>101</v>
      </c>
      <c r="AV957" t="s">
        <v>98</v>
      </c>
      <c r="AX957" t="s">
        <v>399</v>
      </c>
      <c r="AZ957" t="s">
        <v>102</v>
      </c>
      <c r="BB957" t="s">
        <v>235</v>
      </c>
      <c r="BC957" t="s">
        <v>1501</v>
      </c>
      <c r="BD957" t="s">
        <v>7528</v>
      </c>
      <c r="BF957" t="s">
        <v>3014</v>
      </c>
      <c r="BG957" t="s">
        <v>98</v>
      </c>
      <c r="BH957" t="s">
        <v>98</v>
      </c>
      <c r="BI957" t="s">
        <v>98</v>
      </c>
      <c r="BK957" t="s">
        <v>127</v>
      </c>
      <c r="BL957" t="s">
        <v>756</v>
      </c>
      <c r="BR957">
        <v>4.5</v>
      </c>
      <c r="BT957">
        <v>4</v>
      </c>
      <c r="CA957">
        <v>6541</v>
      </c>
      <c r="CB957" t="s">
        <v>399</v>
      </c>
      <c r="CL957" t="s">
        <v>98</v>
      </c>
      <c r="CM957" t="s">
        <v>98</v>
      </c>
      <c r="CN957" t="s">
        <v>442</v>
      </c>
      <c r="CO957" s="1">
        <v>40485</v>
      </c>
      <c r="CP957" s="1">
        <v>43633</v>
      </c>
    </row>
    <row r="958" spans="1:94" x14ac:dyDescent="0.25">
      <c r="A958" t="s">
        <v>3015</v>
      </c>
      <c r="B958" t="str">
        <f xml:space="preserve"> "" &amp; 747396076911</f>
        <v>747396076911</v>
      </c>
      <c r="C958" t="s">
        <v>758</v>
      </c>
      <c r="D958" t="s">
        <v>3016</v>
      </c>
      <c r="E958" t="s">
        <v>459</v>
      </c>
      <c r="F958" t="s">
        <v>323</v>
      </c>
      <c r="G958">
        <v>1</v>
      </c>
      <c r="H958">
        <v>1</v>
      </c>
      <c r="I958" t="s">
        <v>97</v>
      </c>
      <c r="J958" s="10">
        <v>66</v>
      </c>
      <c r="K958" s="10">
        <v>198</v>
      </c>
      <c r="L958" s="10">
        <v>0</v>
      </c>
      <c r="N958" s="10">
        <v>0</v>
      </c>
      <c r="O958" t="s">
        <v>99</v>
      </c>
      <c r="P958" s="10">
        <v>129.94999999999999</v>
      </c>
      <c r="S958">
        <v>7</v>
      </c>
      <c r="T958">
        <v>13.5</v>
      </c>
      <c r="U958">
        <v>12.25</v>
      </c>
      <c r="V958">
        <v>5</v>
      </c>
      <c r="W958">
        <v>3.53</v>
      </c>
      <c r="Y958">
        <v>9.5</v>
      </c>
      <c r="Z958">
        <v>13.5</v>
      </c>
      <c r="AA958">
        <v>6.5</v>
      </c>
      <c r="AB958">
        <v>0.48199999999999998</v>
      </c>
      <c r="AC958">
        <v>4.96</v>
      </c>
      <c r="AE958">
        <v>2</v>
      </c>
      <c r="AF958" t="s">
        <v>282</v>
      </c>
      <c r="AG958">
        <v>100</v>
      </c>
      <c r="AK958" t="s">
        <v>98</v>
      </c>
      <c r="AM958" t="s">
        <v>98</v>
      </c>
      <c r="AN958" t="s">
        <v>99</v>
      </c>
      <c r="AO958" t="s">
        <v>98</v>
      </c>
      <c r="AP958" t="s">
        <v>100</v>
      </c>
      <c r="AQ958" t="s">
        <v>101</v>
      </c>
      <c r="AV958" t="s">
        <v>98</v>
      </c>
      <c r="AX958" t="s">
        <v>399</v>
      </c>
      <c r="AZ958" t="s">
        <v>102</v>
      </c>
      <c r="BB958" t="s">
        <v>235</v>
      </c>
      <c r="BC958" t="s">
        <v>1501</v>
      </c>
      <c r="BD958" t="s">
        <v>7528</v>
      </c>
      <c r="BF958" t="s">
        <v>3017</v>
      </c>
      <c r="BG958" t="s">
        <v>98</v>
      </c>
      <c r="BH958" t="s">
        <v>98</v>
      </c>
      <c r="BI958" t="s">
        <v>98</v>
      </c>
      <c r="BK958" t="s">
        <v>127</v>
      </c>
      <c r="BL958" t="s">
        <v>756</v>
      </c>
      <c r="BM958">
        <v>0.63</v>
      </c>
      <c r="BN958">
        <v>4.5</v>
      </c>
      <c r="BP958">
        <v>6</v>
      </c>
      <c r="BR958">
        <v>4.5</v>
      </c>
      <c r="BS958">
        <v>6</v>
      </c>
      <c r="BT958">
        <v>0.63</v>
      </c>
      <c r="CA958">
        <v>6542</v>
      </c>
      <c r="CB958" t="s">
        <v>399</v>
      </c>
      <c r="CL958" t="s">
        <v>99</v>
      </c>
      <c r="CM958" t="s">
        <v>98</v>
      </c>
      <c r="CN958" t="s">
        <v>442</v>
      </c>
      <c r="CO958" s="1">
        <v>40485</v>
      </c>
      <c r="CP958" s="1">
        <v>43633</v>
      </c>
    </row>
    <row r="959" spans="1:94" x14ac:dyDescent="0.25">
      <c r="A959" t="s">
        <v>3018</v>
      </c>
      <c r="B959" t="str">
        <f xml:space="preserve"> "" &amp; 747396076928</f>
        <v>747396076928</v>
      </c>
      <c r="C959" t="s">
        <v>762</v>
      </c>
      <c r="D959" t="s">
        <v>3019</v>
      </c>
      <c r="E959" t="s">
        <v>459</v>
      </c>
      <c r="F959" t="s">
        <v>323</v>
      </c>
      <c r="G959">
        <v>1</v>
      </c>
      <c r="H959">
        <v>1</v>
      </c>
      <c r="I959" t="s">
        <v>97</v>
      </c>
      <c r="J959" s="10">
        <v>96</v>
      </c>
      <c r="K959" s="10">
        <v>288</v>
      </c>
      <c r="L959" s="10">
        <v>0</v>
      </c>
      <c r="N959" s="10">
        <v>0</v>
      </c>
      <c r="O959" t="s">
        <v>99</v>
      </c>
      <c r="P959" s="10">
        <v>189.95</v>
      </c>
      <c r="S959">
        <v>7</v>
      </c>
      <c r="U959">
        <v>20.75</v>
      </c>
      <c r="V959">
        <v>5</v>
      </c>
      <c r="W959">
        <v>5.14</v>
      </c>
      <c r="Y959">
        <v>9.5</v>
      </c>
      <c r="Z959">
        <v>22</v>
      </c>
      <c r="AA959">
        <v>6.5</v>
      </c>
      <c r="AB959">
        <v>0.78600000000000003</v>
      </c>
      <c r="AC959">
        <v>7.05</v>
      </c>
      <c r="AE959">
        <v>3</v>
      </c>
      <c r="AF959" t="s">
        <v>282</v>
      </c>
      <c r="AG959">
        <v>100</v>
      </c>
      <c r="AK959" t="s">
        <v>98</v>
      </c>
      <c r="AM959" t="s">
        <v>98</v>
      </c>
      <c r="AN959" t="s">
        <v>99</v>
      </c>
      <c r="AO959" t="s">
        <v>98</v>
      </c>
      <c r="AP959" t="s">
        <v>100</v>
      </c>
      <c r="AQ959" t="s">
        <v>101</v>
      </c>
      <c r="AV959" t="s">
        <v>98</v>
      </c>
      <c r="AX959" t="s">
        <v>399</v>
      </c>
      <c r="AZ959" t="s">
        <v>102</v>
      </c>
      <c r="BB959" t="s">
        <v>235</v>
      </c>
      <c r="BC959" t="s">
        <v>1501</v>
      </c>
      <c r="BD959" t="s">
        <v>7528</v>
      </c>
      <c r="BF959" t="s">
        <v>3020</v>
      </c>
      <c r="BG959" t="s">
        <v>98</v>
      </c>
      <c r="BH959" t="s">
        <v>98</v>
      </c>
      <c r="BI959" t="s">
        <v>98</v>
      </c>
      <c r="BK959" t="s">
        <v>127</v>
      </c>
      <c r="BL959" t="s">
        <v>756</v>
      </c>
      <c r="BM959">
        <v>6</v>
      </c>
      <c r="BN959">
        <v>4.5</v>
      </c>
      <c r="CA959">
        <v>6543</v>
      </c>
      <c r="CB959" t="s">
        <v>399</v>
      </c>
      <c r="CL959" t="s">
        <v>99</v>
      </c>
      <c r="CM959" t="s">
        <v>98</v>
      </c>
      <c r="CN959" t="s">
        <v>442</v>
      </c>
      <c r="CO959" s="1">
        <v>40485</v>
      </c>
      <c r="CP959" s="1">
        <v>43633</v>
      </c>
    </row>
    <row r="960" spans="1:94" x14ac:dyDescent="0.25">
      <c r="A960" t="s">
        <v>3021</v>
      </c>
      <c r="B960" t="str">
        <f xml:space="preserve"> "" &amp; 747396076935</f>
        <v>747396076935</v>
      </c>
      <c r="C960" t="s">
        <v>766</v>
      </c>
      <c r="D960" t="s">
        <v>3022</v>
      </c>
      <c r="E960" t="s">
        <v>459</v>
      </c>
      <c r="F960" t="s">
        <v>323</v>
      </c>
      <c r="G960">
        <v>1</v>
      </c>
      <c r="H960">
        <v>1</v>
      </c>
      <c r="I960" t="s">
        <v>97</v>
      </c>
      <c r="J960" s="10">
        <v>106</v>
      </c>
      <c r="K960" s="10">
        <v>318</v>
      </c>
      <c r="L960" s="10">
        <v>0</v>
      </c>
      <c r="N960" s="10">
        <v>0</v>
      </c>
      <c r="O960" t="s">
        <v>99</v>
      </c>
      <c r="P960" s="10">
        <v>209.95</v>
      </c>
      <c r="S960">
        <v>7</v>
      </c>
      <c r="U960">
        <v>29.25</v>
      </c>
      <c r="V960">
        <v>5</v>
      </c>
      <c r="W960">
        <v>6.79</v>
      </c>
      <c r="Y960">
        <v>9.5</v>
      </c>
      <c r="Z960">
        <v>31.5</v>
      </c>
      <c r="AA960">
        <v>6.5</v>
      </c>
      <c r="AB960">
        <v>1.1259999999999999</v>
      </c>
      <c r="AC960">
        <v>9.74</v>
      </c>
      <c r="AE960">
        <v>4</v>
      </c>
      <c r="AF960" t="s">
        <v>282</v>
      </c>
      <c r="AG960">
        <v>100</v>
      </c>
      <c r="AK960" t="s">
        <v>98</v>
      </c>
      <c r="AM960" t="s">
        <v>98</v>
      </c>
      <c r="AN960" t="s">
        <v>99</v>
      </c>
      <c r="AO960" t="s">
        <v>98</v>
      </c>
      <c r="AP960" t="s">
        <v>100</v>
      </c>
      <c r="AQ960" t="s">
        <v>101</v>
      </c>
      <c r="AV960" t="s">
        <v>98</v>
      </c>
      <c r="AX960" t="s">
        <v>399</v>
      </c>
      <c r="AZ960" t="s">
        <v>102</v>
      </c>
      <c r="BB960" t="s">
        <v>235</v>
      </c>
      <c r="BC960" t="s">
        <v>1501</v>
      </c>
      <c r="BD960" t="s">
        <v>7528</v>
      </c>
      <c r="BF960" t="s">
        <v>3023</v>
      </c>
      <c r="BG960" t="s">
        <v>98</v>
      </c>
      <c r="BH960" t="s">
        <v>98</v>
      </c>
      <c r="BI960" t="s">
        <v>98</v>
      </c>
      <c r="BK960" t="s">
        <v>127</v>
      </c>
      <c r="BL960" t="s">
        <v>756</v>
      </c>
      <c r="BM960">
        <v>0.63</v>
      </c>
      <c r="BN960">
        <v>4.5</v>
      </c>
      <c r="BP960">
        <v>6</v>
      </c>
      <c r="CA960">
        <v>6544</v>
      </c>
      <c r="CB960" t="s">
        <v>399</v>
      </c>
      <c r="CL960" t="s">
        <v>99</v>
      </c>
      <c r="CM960" t="s">
        <v>98</v>
      </c>
      <c r="CN960" t="s">
        <v>442</v>
      </c>
      <c r="CO960" s="1">
        <v>40485</v>
      </c>
      <c r="CP960" s="1">
        <v>43633</v>
      </c>
    </row>
    <row r="961" spans="1:94" x14ac:dyDescent="0.25">
      <c r="A961" t="s">
        <v>3024</v>
      </c>
      <c r="B961" t="str">
        <f xml:space="preserve"> "" &amp; 747396077871</f>
        <v>747396077871</v>
      </c>
      <c r="C961" t="s">
        <v>230</v>
      </c>
      <c r="D961" t="s">
        <v>3025</v>
      </c>
      <c r="E961" t="s">
        <v>3026</v>
      </c>
      <c r="F961" t="s">
        <v>232</v>
      </c>
      <c r="G961">
        <v>1</v>
      </c>
      <c r="H961">
        <v>1</v>
      </c>
      <c r="I961" t="s">
        <v>97</v>
      </c>
      <c r="J961" s="10">
        <v>50</v>
      </c>
      <c r="K961" s="10">
        <v>150</v>
      </c>
      <c r="L961" s="10">
        <v>0</v>
      </c>
      <c r="N961" s="10">
        <v>0</v>
      </c>
      <c r="O961" t="s">
        <v>99</v>
      </c>
      <c r="P961" s="10">
        <v>99.95</v>
      </c>
      <c r="S961">
        <v>14.25</v>
      </c>
      <c r="T961">
        <v>12.75</v>
      </c>
      <c r="U961">
        <v>4.25</v>
      </c>
      <c r="V961">
        <v>5.75</v>
      </c>
      <c r="W961">
        <v>3.2</v>
      </c>
      <c r="Y961">
        <v>7</v>
      </c>
      <c r="Z961">
        <v>12.75</v>
      </c>
      <c r="AA961">
        <v>9</v>
      </c>
      <c r="AB961">
        <v>0.46500000000000002</v>
      </c>
      <c r="AC961">
        <v>3.95</v>
      </c>
      <c r="AE961">
        <v>1</v>
      </c>
      <c r="AF961" t="s">
        <v>282</v>
      </c>
      <c r="AG961">
        <v>100</v>
      </c>
      <c r="AK961" t="s">
        <v>98</v>
      </c>
      <c r="AL961">
        <v>1</v>
      </c>
      <c r="AM961" t="s">
        <v>98</v>
      </c>
      <c r="AN961" t="s">
        <v>99</v>
      </c>
      <c r="AO961" t="s">
        <v>98</v>
      </c>
      <c r="AP961" t="s">
        <v>100</v>
      </c>
      <c r="AQ961" t="s">
        <v>101</v>
      </c>
      <c r="AV961" t="s">
        <v>98</v>
      </c>
      <c r="AX961" t="s">
        <v>484</v>
      </c>
      <c r="AZ961" t="s">
        <v>102</v>
      </c>
      <c r="BB961" t="s">
        <v>235</v>
      </c>
      <c r="BC961" t="s">
        <v>1501</v>
      </c>
      <c r="BD961" t="s">
        <v>7528</v>
      </c>
      <c r="BF961" t="s">
        <v>3027</v>
      </c>
      <c r="BG961" t="s">
        <v>98</v>
      </c>
      <c r="BH961" t="s">
        <v>98</v>
      </c>
      <c r="BI961" t="s">
        <v>98</v>
      </c>
      <c r="BK961" t="s">
        <v>127</v>
      </c>
      <c r="BL961" t="s">
        <v>236</v>
      </c>
      <c r="BR961">
        <v>7.63</v>
      </c>
      <c r="BT961">
        <v>4.13</v>
      </c>
      <c r="CA961">
        <v>6621</v>
      </c>
      <c r="CB961" t="s">
        <v>484</v>
      </c>
      <c r="CL961" t="s">
        <v>98</v>
      </c>
      <c r="CM961" t="s">
        <v>98</v>
      </c>
      <c r="CN961" t="s">
        <v>442</v>
      </c>
      <c r="CO961" s="1">
        <v>40385</v>
      </c>
      <c r="CP961" s="1">
        <v>43633</v>
      </c>
    </row>
    <row r="962" spans="1:94" x14ac:dyDescent="0.25">
      <c r="A962" t="s">
        <v>3031</v>
      </c>
      <c r="B962" t="str">
        <f xml:space="preserve"> "" &amp; 747396052946</f>
        <v>747396052946</v>
      </c>
      <c r="C962" t="s">
        <v>751</v>
      </c>
      <c r="D962" t="s">
        <v>6809</v>
      </c>
      <c r="E962" t="s">
        <v>3032</v>
      </c>
      <c r="F962" t="s">
        <v>1633</v>
      </c>
      <c r="G962">
        <v>1</v>
      </c>
      <c r="H962">
        <v>1</v>
      </c>
      <c r="I962" t="s">
        <v>97</v>
      </c>
      <c r="J962" s="10">
        <v>31.95</v>
      </c>
      <c r="K962" s="10">
        <v>95.85</v>
      </c>
      <c r="L962" s="10">
        <v>0</v>
      </c>
      <c r="N962" s="10">
        <v>0</v>
      </c>
      <c r="U962">
        <v>5.75</v>
      </c>
      <c r="V962">
        <v>6.75</v>
      </c>
      <c r="W962">
        <v>2.76</v>
      </c>
      <c r="X962">
        <v>1</v>
      </c>
      <c r="Y962">
        <v>10.5</v>
      </c>
      <c r="Z962">
        <v>16</v>
      </c>
      <c r="AA962">
        <v>8</v>
      </c>
      <c r="AB962">
        <v>0.77800000000000002</v>
      </c>
      <c r="AC962">
        <v>4.3</v>
      </c>
      <c r="AE962">
        <v>1</v>
      </c>
      <c r="AF962" t="s">
        <v>3033</v>
      </c>
      <c r="AG962">
        <v>13</v>
      </c>
      <c r="AK962" t="s">
        <v>99</v>
      </c>
      <c r="AM962" t="s">
        <v>98</v>
      </c>
      <c r="AN962" t="s">
        <v>98</v>
      </c>
      <c r="AO962" t="s">
        <v>99</v>
      </c>
      <c r="AP962" t="s">
        <v>100</v>
      </c>
      <c r="AQ962" t="s">
        <v>101</v>
      </c>
      <c r="AV962" t="s">
        <v>99</v>
      </c>
      <c r="AX962" t="s">
        <v>3034</v>
      </c>
      <c r="AZ962" t="s">
        <v>7528</v>
      </c>
      <c r="BB962" t="s">
        <v>7528</v>
      </c>
      <c r="BC962" t="s">
        <v>7528</v>
      </c>
      <c r="BD962" t="s">
        <v>7528</v>
      </c>
      <c r="BF962" t="s">
        <v>3035</v>
      </c>
      <c r="BG962" t="s">
        <v>98</v>
      </c>
      <c r="BH962" t="s">
        <v>98</v>
      </c>
      <c r="BI962" t="s">
        <v>98</v>
      </c>
      <c r="BK962" t="s">
        <v>127</v>
      </c>
      <c r="BL962" t="s">
        <v>7528</v>
      </c>
      <c r="CA962" t="s">
        <v>3036</v>
      </c>
      <c r="CB962" t="s">
        <v>3034</v>
      </c>
      <c r="CL962" t="s">
        <v>98</v>
      </c>
      <c r="CM962" t="s">
        <v>98</v>
      </c>
      <c r="CN962" t="s">
        <v>394</v>
      </c>
      <c r="CO962" s="1">
        <v>38475</v>
      </c>
      <c r="CP962" s="1">
        <v>43633</v>
      </c>
    </row>
    <row r="963" spans="1:94" x14ac:dyDescent="0.25">
      <c r="A963" t="s">
        <v>3037</v>
      </c>
      <c r="B963" t="str">
        <f xml:space="preserve"> "" &amp; 747396053004</f>
        <v>747396053004</v>
      </c>
      <c r="C963" t="s">
        <v>3038</v>
      </c>
      <c r="D963" t="s">
        <v>6810</v>
      </c>
      <c r="E963" t="s">
        <v>3032</v>
      </c>
      <c r="F963" t="s">
        <v>1633</v>
      </c>
      <c r="G963">
        <v>1</v>
      </c>
      <c r="H963">
        <v>1</v>
      </c>
      <c r="I963" t="s">
        <v>97</v>
      </c>
      <c r="J963" s="10">
        <v>30</v>
      </c>
      <c r="K963" s="10">
        <v>90</v>
      </c>
      <c r="L963" s="10">
        <v>0</v>
      </c>
      <c r="N963" s="10">
        <v>0</v>
      </c>
      <c r="U963">
        <v>33.5</v>
      </c>
      <c r="V963">
        <v>6.75</v>
      </c>
      <c r="W963">
        <v>8.93</v>
      </c>
      <c r="X963">
        <v>1</v>
      </c>
      <c r="Y963">
        <v>9</v>
      </c>
      <c r="Z963">
        <v>36</v>
      </c>
      <c r="AA963">
        <v>11</v>
      </c>
      <c r="AB963">
        <v>2.0630000000000002</v>
      </c>
      <c r="AC963">
        <v>13.07</v>
      </c>
      <c r="AE963">
        <v>4</v>
      </c>
      <c r="AF963" t="s">
        <v>3033</v>
      </c>
      <c r="AG963">
        <v>13</v>
      </c>
      <c r="AK963" t="s">
        <v>99</v>
      </c>
      <c r="AM963" t="s">
        <v>98</v>
      </c>
      <c r="AN963" t="s">
        <v>98</v>
      </c>
      <c r="AO963" t="s">
        <v>99</v>
      </c>
      <c r="AP963" t="s">
        <v>100</v>
      </c>
      <c r="AQ963" t="s">
        <v>101</v>
      </c>
      <c r="AV963" t="s">
        <v>99</v>
      </c>
      <c r="AX963" t="s">
        <v>3034</v>
      </c>
      <c r="AZ963" t="s">
        <v>7528</v>
      </c>
      <c r="BB963" t="s">
        <v>7528</v>
      </c>
      <c r="BC963" t="s">
        <v>7528</v>
      </c>
      <c r="BD963" t="s">
        <v>7528</v>
      </c>
      <c r="BF963" t="s">
        <v>3039</v>
      </c>
      <c r="BG963" t="s">
        <v>98</v>
      </c>
      <c r="BH963" t="s">
        <v>98</v>
      </c>
      <c r="BI963" t="s">
        <v>98</v>
      </c>
      <c r="BK963" t="s">
        <v>127</v>
      </c>
      <c r="BL963" t="s">
        <v>7528</v>
      </c>
      <c r="CA963" t="s">
        <v>3040</v>
      </c>
      <c r="CB963" t="s">
        <v>3034</v>
      </c>
      <c r="CL963" t="s">
        <v>98</v>
      </c>
      <c r="CM963" t="s">
        <v>98</v>
      </c>
      <c r="CN963" t="s">
        <v>394</v>
      </c>
      <c r="CO963" s="1">
        <v>38475</v>
      </c>
      <c r="CP963" s="1">
        <v>43633</v>
      </c>
    </row>
    <row r="964" spans="1:94" x14ac:dyDescent="0.25">
      <c r="A964" t="s">
        <v>3028</v>
      </c>
      <c r="B964" t="str">
        <f xml:space="preserve"> "" &amp; 747396053691</f>
        <v>747396053691</v>
      </c>
      <c r="C964" t="s">
        <v>758</v>
      </c>
      <c r="D964" t="s">
        <v>758</v>
      </c>
      <c r="E964" t="s">
        <v>7528</v>
      </c>
      <c r="F964" t="s">
        <v>1633</v>
      </c>
      <c r="G964">
        <v>1</v>
      </c>
      <c r="H964">
        <v>1</v>
      </c>
      <c r="I964" t="s">
        <v>97</v>
      </c>
      <c r="J964" s="10">
        <v>20</v>
      </c>
      <c r="K964" s="10">
        <v>60</v>
      </c>
      <c r="L964" s="10">
        <v>0</v>
      </c>
      <c r="N964" s="10">
        <v>0</v>
      </c>
      <c r="S964">
        <v>5.75</v>
      </c>
      <c r="U964">
        <v>25.5</v>
      </c>
      <c r="V964">
        <v>4.25</v>
      </c>
      <c r="W964">
        <v>3.42</v>
      </c>
      <c r="X964">
        <v>1</v>
      </c>
      <c r="Y964">
        <v>6.63</v>
      </c>
      <c r="Z964">
        <v>28.25</v>
      </c>
      <c r="AA964">
        <v>7.5</v>
      </c>
      <c r="AB964">
        <v>0.81299999999999994</v>
      </c>
      <c r="AC964">
        <v>4.4800000000000004</v>
      </c>
      <c r="AE964">
        <v>2</v>
      </c>
      <c r="AF964" t="s">
        <v>1205</v>
      </c>
      <c r="AG964">
        <v>17</v>
      </c>
      <c r="AK964" t="s">
        <v>98</v>
      </c>
      <c r="AM964" t="s">
        <v>98</v>
      </c>
      <c r="AN964" t="s">
        <v>98</v>
      </c>
      <c r="AO964" t="s">
        <v>99</v>
      </c>
      <c r="AP964" t="s">
        <v>100</v>
      </c>
      <c r="AQ964" t="s">
        <v>101</v>
      </c>
      <c r="AV964" t="s">
        <v>99</v>
      </c>
      <c r="AX964" t="s">
        <v>3029</v>
      </c>
      <c r="AZ964" t="s">
        <v>392</v>
      </c>
      <c r="BB964" t="s">
        <v>125</v>
      </c>
      <c r="BC964" t="s">
        <v>133</v>
      </c>
      <c r="BD964" t="s">
        <v>7528</v>
      </c>
      <c r="BF964" t="s">
        <v>3030</v>
      </c>
      <c r="BG964" t="s">
        <v>98</v>
      </c>
      <c r="BH964" t="s">
        <v>98</v>
      </c>
      <c r="BI964" t="s">
        <v>98</v>
      </c>
      <c r="BK964" t="s">
        <v>127</v>
      </c>
      <c r="BL964" t="s">
        <v>979</v>
      </c>
      <c r="BR964">
        <v>3.5</v>
      </c>
      <c r="BT964">
        <v>24.38</v>
      </c>
      <c r="CA964" t="s">
        <v>3028</v>
      </c>
      <c r="CB964" t="s">
        <v>3029</v>
      </c>
      <c r="CL964" t="s">
        <v>98</v>
      </c>
      <c r="CM964" t="s">
        <v>98</v>
      </c>
      <c r="CN964" t="s">
        <v>178</v>
      </c>
      <c r="CO964" s="1">
        <v>38484</v>
      </c>
      <c r="CP964" s="1">
        <v>43633</v>
      </c>
    </row>
    <row r="965" spans="1:94" x14ac:dyDescent="0.25">
      <c r="A965" t="s">
        <v>3041</v>
      </c>
      <c r="B965" t="str">
        <f xml:space="preserve"> "" &amp; 747396053707</f>
        <v>747396053707</v>
      </c>
      <c r="C965" t="s">
        <v>758</v>
      </c>
      <c r="D965" t="s">
        <v>758</v>
      </c>
      <c r="E965" t="s">
        <v>7528</v>
      </c>
      <c r="F965" t="s">
        <v>1633</v>
      </c>
      <c r="G965">
        <v>1</v>
      </c>
      <c r="H965">
        <v>1</v>
      </c>
      <c r="I965" t="s">
        <v>97</v>
      </c>
      <c r="J965" s="10">
        <v>20</v>
      </c>
      <c r="K965" s="10">
        <v>60</v>
      </c>
      <c r="L965" s="10">
        <v>0</v>
      </c>
      <c r="N965" s="10">
        <v>0</v>
      </c>
      <c r="S965">
        <v>5.75</v>
      </c>
      <c r="U965">
        <v>37.5</v>
      </c>
      <c r="V965">
        <v>4.25</v>
      </c>
      <c r="W965">
        <v>4.63</v>
      </c>
      <c r="X965">
        <v>1</v>
      </c>
      <c r="Y965">
        <v>6.63</v>
      </c>
      <c r="Z965">
        <v>40.130000000000003</v>
      </c>
      <c r="AA965">
        <v>7.5</v>
      </c>
      <c r="AB965">
        <v>1.155</v>
      </c>
      <c r="AC965">
        <v>5.95</v>
      </c>
      <c r="AE965">
        <v>2</v>
      </c>
      <c r="AF965" t="s">
        <v>3042</v>
      </c>
      <c r="AG965">
        <v>25</v>
      </c>
      <c r="AH965">
        <v>0</v>
      </c>
      <c r="AJ965">
        <v>0</v>
      </c>
      <c r="AK965" t="s">
        <v>98</v>
      </c>
      <c r="AM965" t="s">
        <v>98</v>
      </c>
      <c r="AN965" t="s">
        <v>98</v>
      </c>
      <c r="AO965" t="s">
        <v>99</v>
      </c>
      <c r="AP965" t="s">
        <v>100</v>
      </c>
      <c r="AQ965" t="s">
        <v>101</v>
      </c>
      <c r="AV965" t="s">
        <v>99</v>
      </c>
      <c r="AX965" t="s">
        <v>3029</v>
      </c>
      <c r="AZ965" t="s">
        <v>102</v>
      </c>
      <c r="BB965" t="s">
        <v>125</v>
      </c>
      <c r="BC965" t="s">
        <v>7611</v>
      </c>
      <c r="BD965" t="s">
        <v>7528</v>
      </c>
      <c r="BF965" t="s">
        <v>3043</v>
      </c>
      <c r="BG965" t="s">
        <v>98</v>
      </c>
      <c r="BH965" t="s">
        <v>98</v>
      </c>
      <c r="BI965" t="s">
        <v>98</v>
      </c>
      <c r="BK965" t="s">
        <v>127</v>
      </c>
      <c r="BL965" t="s">
        <v>979</v>
      </c>
      <c r="BR965">
        <v>3.5</v>
      </c>
      <c r="BT965">
        <v>36</v>
      </c>
      <c r="CA965">
        <v>666</v>
      </c>
      <c r="CB965" t="s">
        <v>3029</v>
      </c>
      <c r="CL965" t="s">
        <v>98</v>
      </c>
      <c r="CM965" t="s">
        <v>98</v>
      </c>
      <c r="CN965" t="s">
        <v>129</v>
      </c>
      <c r="CO965" s="1">
        <v>38484</v>
      </c>
      <c r="CP965" s="1">
        <v>43633</v>
      </c>
    </row>
    <row r="966" spans="1:94" x14ac:dyDescent="0.25">
      <c r="A966" t="s">
        <v>3044</v>
      </c>
      <c r="B966" t="str">
        <f xml:space="preserve"> "" &amp; 747396078229</f>
        <v>747396078229</v>
      </c>
      <c r="C966" t="s">
        <v>751</v>
      </c>
      <c r="D966" t="s">
        <v>3045</v>
      </c>
      <c r="E966" t="s">
        <v>477</v>
      </c>
      <c r="F966" t="s">
        <v>323</v>
      </c>
      <c r="G966">
        <v>1</v>
      </c>
      <c r="H966">
        <v>1</v>
      </c>
      <c r="I966" t="s">
        <v>97</v>
      </c>
      <c r="J966" s="10">
        <v>37</v>
      </c>
      <c r="K966" s="10">
        <v>111</v>
      </c>
      <c r="L966" s="10">
        <v>0</v>
      </c>
      <c r="N966" s="10">
        <v>0</v>
      </c>
      <c r="S966">
        <v>7</v>
      </c>
      <c r="T966">
        <v>8.5</v>
      </c>
      <c r="U966">
        <v>5.5</v>
      </c>
      <c r="V966">
        <v>7.75</v>
      </c>
      <c r="W966">
        <v>3.86</v>
      </c>
      <c r="Y966">
        <v>10</v>
      </c>
      <c r="Z966">
        <v>8.5</v>
      </c>
      <c r="AA966">
        <v>7.5</v>
      </c>
      <c r="AB966">
        <v>0.36899999999999999</v>
      </c>
      <c r="AC966">
        <v>4.5</v>
      </c>
      <c r="AE966">
        <v>1</v>
      </c>
      <c r="AF966" t="s">
        <v>282</v>
      </c>
      <c r="AG966">
        <v>100</v>
      </c>
      <c r="AK966" t="s">
        <v>98</v>
      </c>
      <c r="AL966">
        <v>1</v>
      </c>
      <c r="AM966" t="s">
        <v>98</v>
      </c>
      <c r="AN966" t="s">
        <v>99</v>
      </c>
      <c r="AO966" t="s">
        <v>98</v>
      </c>
      <c r="AP966" t="s">
        <v>100</v>
      </c>
      <c r="AQ966" t="s">
        <v>101</v>
      </c>
      <c r="AV966" t="s">
        <v>98</v>
      </c>
      <c r="AX966" t="s">
        <v>484</v>
      </c>
      <c r="AZ966" t="s">
        <v>102</v>
      </c>
      <c r="BB966" t="s">
        <v>235</v>
      </c>
      <c r="BC966" t="s">
        <v>481</v>
      </c>
      <c r="BD966" t="s">
        <v>7528</v>
      </c>
      <c r="BF966" t="s">
        <v>3046</v>
      </c>
      <c r="BG966" t="s">
        <v>98</v>
      </c>
      <c r="BH966" t="s">
        <v>98</v>
      </c>
      <c r="BI966" t="s">
        <v>98</v>
      </c>
      <c r="BK966" t="s">
        <v>127</v>
      </c>
      <c r="BL966" t="s">
        <v>756</v>
      </c>
      <c r="BR966">
        <v>4.38</v>
      </c>
      <c r="BS966">
        <v>6.75</v>
      </c>
      <c r="BT966">
        <v>0.63</v>
      </c>
      <c r="CA966" t="s">
        <v>3047</v>
      </c>
      <c r="CB966" t="s">
        <v>484</v>
      </c>
      <c r="CL966" t="s">
        <v>99</v>
      </c>
      <c r="CM966" t="s">
        <v>98</v>
      </c>
      <c r="CN966" t="s">
        <v>442</v>
      </c>
      <c r="CO966" s="1">
        <v>40518</v>
      </c>
      <c r="CP966" s="1">
        <v>43633</v>
      </c>
    </row>
    <row r="967" spans="1:94" x14ac:dyDescent="0.25">
      <c r="A967" t="s">
        <v>3048</v>
      </c>
      <c r="B967" t="str">
        <f xml:space="preserve"> "" &amp; 747396052465</f>
        <v>747396052465</v>
      </c>
      <c r="C967" t="s">
        <v>751</v>
      </c>
      <c r="D967" t="s">
        <v>3045</v>
      </c>
      <c r="E967" t="s">
        <v>477</v>
      </c>
      <c r="F967" t="s">
        <v>323</v>
      </c>
      <c r="G967">
        <v>1</v>
      </c>
      <c r="H967">
        <v>1</v>
      </c>
      <c r="I967" t="s">
        <v>97</v>
      </c>
      <c r="J967" s="10">
        <v>37</v>
      </c>
      <c r="K967" s="10">
        <v>111</v>
      </c>
      <c r="L967" s="10">
        <v>0</v>
      </c>
      <c r="N967" s="10">
        <v>0</v>
      </c>
      <c r="S967">
        <v>7.5</v>
      </c>
      <c r="T967">
        <v>8.5</v>
      </c>
      <c r="U967">
        <v>5.5</v>
      </c>
      <c r="V967">
        <v>7.75</v>
      </c>
      <c r="W967">
        <v>3.09</v>
      </c>
      <c r="X967">
        <v>1</v>
      </c>
      <c r="Y967">
        <v>10</v>
      </c>
      <c r="Z967">
        <v>8.5</v>
      </c>
      <c r="AA967">
        <v>7.5</v>
      </c>
      <c r="AB967">
        <v>0.36899999999999999</v>
      </c>
      <c r="AC967">
        <v>30.42</v>
      </c>
      <c r="AE967">
        <v>1</v>
      </c>
      <c r="AF967" t="s">
        <v>225</v>
      </c>
      <c r="AG967">
        <v>100</v>
      </c>
      <c r="AK967" t="s">
        <v>98</v>
      </c>
      <c r="AL967">
        <v>1</v>
      </c>
      <c r="AM967" t="s">
        <v>98</v>
      </c>
      <c r="AN967" t="s">
        <v>99</v>
      </c>
      <c r="AO967" t="s">
        <v>98</v>
      </c>
      <c r="AP967" t="s">
        <v>100</v>
      </c>
      <c r="AQ967" t="s">
        <v>101</v>
      </c>
      <c r="AV967" t="s">
        <v>98</v>
      </c>
      <c r="AX967" t="s">
        <v>461</v>
      </c>
      <c r="AZ967" t="s">
        <v>102</v>
      </c>
      <c r="BB967" t="s">
        <v>235</v>
      </c>
      <c r="BC967" t="s">
        <v>7612</v>
      </c>
      <c r="BD967" t="s">
        <v>7528</v>
      </c>
      <c r="BF967" t="s">
        <v>3049</v>
      </c>
      <c r="BG967" t="s">
        <v>98</v>
      </c>
      <c r="BH967" t="s">
        <v>98</v>
      </c>
      <c r="BI967" t="s">
        <v>98</v>
      </c>
      <c r="BK967" t="s">
        <v>127</v>
      </c>
      <c r="BL967" t="s">
        <v>756</v>
      </c>
      <c r="BR967">
        <v>7.13</v>
      </c>
      <c r="BT967">
        <v>4.75</v>
      </c>
      <c r="CA967">
        <v>6731</v>
      </c>
      <c r="CB967" t="s">
        <v>461</v>
      </c>
      <c r="CL967" t="s">
        <v>98</v>
      </c>
      <c r="CM967" t="s">
        <v>98</v>
      </c>
      <c r="CN967" t="s">
        <v>692</v>
      </c>
      <c r="CO967" s="1">
        <v>38464</v>
      </c>
      <c r="CP967" s="1">
        <v>43633</v>
      </c>
    </row>
    <row r="968" spans="1:94" x14ac:dyDescent="0.25">
      <c r="A968" t="s">
        <v>3050</v>
      </c>
      <c r="B968" t="str">
        <f xml:space="preserve"> "" &amp; 747396078236</f>
        <v>747396078236</v>
      </c>
      <c r="C968" t="s">
        <v>758</v>
      </c>
      <c r="D968" t="s">
        <v>3051</v>
      </c>
      <c r="E968" t="s">
        <v>477</v>
      </c>
      <c r="F968" t="s">
        <v>323</v>
      </c>
      <c r="G968">
        <v>1</v>
      </c>
      <c r="H968">
        <v>1</v>
      </c>
      <c r="I968" t="s">
        <v>97</v>
      </c>
      <c r="J968" s="10">
        <v>58</v>
      </c>
      <c r="K968" s="10">
        <v>174</v>
      </c>
      <c r="L968" s="10">
        <v>0</v>
      </c>
      <c r="N968" s="10">
        <v>0</v>
      </c>
      <c r="S968">
        <v>7</v>
      </c>
      <c r="T968">
        <v>14.5</v>
      </c>
      <c r="U968">
        <v>14.75</v>
      </c>
      <c r="V968">
        <v>7.75</v>
      </c>
      <c r="W968">
        <v>7.19</v>
      </c>
      <c r="Y968">
        <v>10.5</v>
      </c>
      <c r="Z968">
        <v>14.5</v>
      </c>
      <c r="AA968">
        <v>8.5</v>
      </c>
      <c r="AB968">
        <v>0.749</v>
      </c>
      <c r="AC968">
        <v>8.16</v>
      </c>
      <c r="AE968">
        <v>2</v>
      </c>
      <c r="AF968" t="s">
        <v>282</v>
      </c>
      <c r="AG968">
        <v>100</v>
      </c>
      <c r="AK968" t="s">
        <v>98</v>
      </c>
      <c r="AM968" t="s">
        <v>98</v>
      </c>
      <c r="AN968" t="s">
        <v>99</v>
      </c>
      <c r="AO968" t="s">
        <v>98</v>
      </c>
      <c r="AP968" t="s">
        <v>100</v>
      </c>
      <c r="AQ968" t="s">
        <v>101</v>
      </c>
      <c r="AV968" t="s">
        <v>98</v>
      </c>
      <c r="AX968" t="s">
        <v>484</v>
      </c>
      <c r="AZ968" t="s">
        <v>102</v>
      </c>
      <c r="BB968" t="s">
        <v>235</v>
      </c>
      <c r="BC968" t="s">
        <v>941</v>
      </c>
      <c r="BD968" t="s">
        <v>7528</v>
      </c>
      <c r="BF968" t="s">
        <v>3052</v>
      </c>
      <c r="BG968" t="s">
        <v>98</v>
      </c>
      <c r="BH968" t="s">
        <v>98</v>
      </c>
      <c r="BI968" t="s">
        <v>98</v>
      </c>
      <c r="BK968" t="s">
        <v>127</v>
      </c>
      <c r="BL968" t="s">
        <v>756</v>
      </c>
      <c r="BM968">
        <v>0.63</v>
      </c>
      <c r="BN968">
        <v>4.38</v>
      </c>
      <c r="BO968">
        <v>0.63</v>
      </c>
      <c r="BP968">
        <v>6.75</v>
      </c>
      <c r="CA968" t="s">
        <v>3053</v>
      </c>
      <c r="CB968" t="s">
        <v>484</v>
      </c>
      <c r="CL968" t="s">
        <v>99</v>
      </c>
      <c r="CM968" t="s">
        <v>98</v>
      </c>
      <c r="CN968" t="s">
        <v>442</v>
      </c>
      <c r="CO968" s="1">
        <v>40518</v>
      </c>
      <c r="CP968" s="1">
        <v>43633</v>
      </c>
    </row>
    <row r="969" spans="1:94" x14ac:dyDescent="0.25">
      <c r="A969" t="s">
        <v>3054</v>
      </c>
      <c r="B969" t="str">
        <f xml:space="preserve"> "" &amp; 747396052472</f>
        <v>747396052472</v>
      </c>
      <c r="C969" t="s">
        <v>758</v>
      </c>
      <c r="D969" t="s">
        <v>3051</v>
      </c>
      <c r="E969" t="s">
        <v>477</v>
      </c>
      <c r="F969" t="s">
        <v>323</v>
      </c>
      <c r="G969">
        <v>1</v>
      </c>
      <c r="H969">
        <v>1</v>
      </c>
      <c r="I969" t="s">
        <v>97</v>
      </c>
      <c r="J969" s="10">
        <v>58</v>
      </c>
      <c r="K969" s="10">
        <v>174</v>
      </c>
      <c r="L969" s="10">
        <v>0</v>
      </c>
      <c r="N969" s="10">
        <v>0</v>
      </c>
      <c r="S969">
        <v>7.5</v>
      </c>
      <c r="T969">
        <v>14.5</v>
      </c>
      <c r="U969">
        <v>14.75</v>
      </c>
      <c r="V969">
        <v>7.75</v>
      </c>
      <c r="W969">
        <v>7.19</v>
      </c>
      <c r="X969">
        <v>1</v>
      </c>
      <c r="Y969">
        <v>10.5</v>
      </c>
      <c r="Z969">
        <v>14.5</v>
      </c>
      <c r="AA969">
        <v>8.5</v>
      </c>
      <c r="AB969">
        <v>0.749</v>
      </c>
      <c r="AC969">
        <v>8.16</v>
      </c>
      <c r="AE969">
        <v>2</v>
      </c>
      <c r="AF969" t="s">
        <v>340</v>
      </c>
      <c r="AG969">
        <v>100</v>
      </c>
      <c r="AK969" t="s">
        <v>98</v>
      </c>
      <c r="AL969">
        <v>2</v>
      </c>
      <c r="AM969" t="s">
        <v>98</v>
      </c>
      <c r="AN969" t="s">
        <v>99</v>
      </c>
      <c r="AO969" t="s">
        <v>98</v>
      </c>
      <c r="AP969" t="s">
        <v>100</v>
      </c>
      <c r="AQ969" t="s">
        <v>101</v>
      </c>
      <c r="AV969" t="s">
        <v>98</v>
      </c>
      <c r="AX969" t="s">
        <v>461</v>
      </c>
      <c r="AZ969" t="s">
        <v>102</v>
      </c>
      <c r="BB969" t="s">
        <v>235</v>
      </c>
      <c r="BC969" t="s">
        <v>3055</v>
      </c>
      <c r="BD969" t="s">
        <v>7528</v>
      </c>
      <c r="BF969" t="s">
        <v>3056</v>
      </c>
      <c r="BG969" t="s">
        <v>98</v>
      </c>
      <c r="BH969" t="s">
        <v>98</v>
      </c>
      <c r="BI969" t="s">
        <v>98</v>
      </c>
      <c r="BK969" t="s">
        <v>127</v>
      </c>
      <c r="BL969" t="s">
        <v>756</v>
      </c>
      <c r="BM969">
        <v>7.13</v>
      </c>
      <c r="BN969">
        <v>4.75</v>
      </c>
      <c r="CA969">
        <v>6732</v>
      </c>
      <c r="CB969" t="s">
        <v>461</v>
      </c>
      <c r="CL969" t="s">
        <v>99</v>
      </c>
      <c r="CM969" t="s">
        <v>98</v>
      </c>
      <c r="CN969" t="s">
        <v>442</v>
      </c>
      <c r="CO969" s="1">
        <v>38464</v>
      </c>
      <c r="CP969" s="1">
        <v>43633</v>
      </c>
    </row>
    <row r="970" spans="1:94" x14ac:dyDescent="0.25">
      <c r="A970" t="s">
        <v>3057</v>
      </c>
      <c r="B970" t="str">
        <f xml:space="preserve"> "" &amp; 747396078243</f>
        <v>747396078243</v>
      </c>
      <c r="C970" t="s">
        <v>762</v>
      </c>
      <c r="D970" t="s">
        <v>3058</v>
      </c>
      <c r="E970" t="s">
        <v>477</v>
      </c>
      <c r="F970" t="s">
        <v>323</v>
      </c>
      <c r="G970">
        <v>1</v>
      </c>
      <c r="H970">
        <v>1</v>
      </c>
      <c r="I970" t="s">
        <v>97</v>
      </c>
      <c r="J970" s="10">
        <v>68</v>
      </c>
      <c r="K970" s="10">
        <v>204</v>
      </c>
      <c r="L970" s="10">
        <v>0</v>
      </c>
      <c r="N970" s="10">
        <v>0</v>
      </c>
      <c r="S970">
        <v>7</v>
      </c>
      <c r="U970">
        <v>23.75</v>
      </c>
      <c r="V970">
        <v>7.75</v>
      </c>
      <c r="W970">
        <v>9.9600000000000009</v>
      </c>
      <c r="Y970">
        <v>10.5</v>
      </c>
      <c r="Z970">
        <v>23</v>
      </c>
      <c r="AA970">
        <v>8.5</v>
      </c>
      <c r="AB970">
        <v>1.1879999999999999</v>
      </c>
      <c r="AC970">
        <v>11.02</v>
      </c>
      <c r="AE970">
        <v>3</v>
      </c>
      <c r="AF970" t="s">
        <v>282</v>
      </c>
      <c r="AG970">
        <v>100</v>
      </c>
      <c r="AK970" t="s">
        <v>98</v>
      </c>
      <c r="AL970">
        <v>3</v>
      </c>
      <c r="AM970" t="s">
        <v>98</v>
      </c>
      <c r="AN970" t="s">
        <v>99</v>
      </c>
      <c r="AO970" t="s">
        <v>98</v>
      </c>
      <c r="AP970" t="s">
        <v>100</v>
      </c>
      <c r="AQ970" t="s">
        <v>101</v>
      </c>
      <c r="AV970" t="s">
        <v>98</v>
      </c>
      <c r="AX970" t="s">
        <v>484</v>
      </c>
      <c r="AZ970" t="s">
        <v>102</v>
      </c>
      <c r="BB970" t="s">
        <v>235</v>
      </c>
      <c r="BC970" t="s">
        <v>3055</v>
      </c>
      <c r="BD970" t="s">
        <v>7528</v>
      </c>
      <c r="BF970" t="s">
        <v>3059</v>
      </c>
      <c r="BG970" t="s">
        <v>98</v>
      </c>
      <c r="BH970" t="s">
        <v>98</v>
      </c>
      <c r="BI970" t="s">
        <v>98</v>
      </c>
      <c r="BK970" t="s">
        <v>127</v>
      </c>
      <c r="BL970" t="s">
        <v>756</v>
      </c>
      <c r="BM970">
        <v>0.63</v>
      </c>
      <c r="BN970">
        <v>4.38</v>
      </c>
      <c r="BP970">
        <v>6.75</v>
      </c>
      <c r="CA970" t="s">
        <v>3060</v>
      </c>
      <c r="CB970" t="s">
        <v>484</v>
      </c>
      <c r="CL970" t="s">
        <v>99</v>
      </c>
      <c r="CM970" t="s">
        <v>98</v>
      </c>
      <c r="CN970" t="s">
        <v>442</v>
      </c>
      <c r="CO970" s="1">
        <v>40518</v>
      </c>
      <c r="CP970" s="1">
        <v>43633</v>
      </c>
    </row>
    <row r="971" spans="1:94" x14ac:dyDescent="0.25">
      <c r="A971" t="s">
        <v>3061</v>
      </c>
      <c r="B971" t="str">
        <f xml:space="preserve"> "" &amp; 747396052489</f>
        <v>747396052489</v>
      </c>
      <c r="C971" t="s">
        <v>762</v>
      </c>
      <c r="D971" t="s">
        <v>3058</v>
      </c>
      <c r="E971" t="s">
        <v>477</v>
      </c>
      <c r="F971" t="s">
        <v>323</v>
      </c>
      <c r="G971">
        <v>1</v>
      </c>
      <c r="H971">
        <v>1</v>
      </c>
      <c r="I971" t="s">
        <v>97</v>
      </c>
      <c r="J971" s="10">
        <v>68</v>
      </c>
      <c r="K971" s="10">
        <v>204</v>
      </c>
      <c r="L971" s="10">
        <v>0</v>
      </c>
      <c r="N971" s="10">
        <v>0</v>
      </c>
      <c r="S971">
        <v>7.5</v>
      </c>
      <c r="T971">
        <v>23</v>
      </c>
      <c r="U971">
        <v>23.75</v>
      </c>
      <c r="V971">
        <v>7.75</v>
      </c>
      <c r="W971">
        <v>9.9600000000000009</v>
      </c>
      <c r="X971">
        <v>1</v>
      </c>
      <c r="Y971">
        <v>10.5</v>
      </c>
      <c r="Z971">
        <v>23</v>
      </c>
      <c r="AA971">
        <v>8.5</v>
      </c>
      <c r="AB971">
        <v>1.1879999999999999</v>
      </c>
      <c r="AC971">
        <v>11.02</v>
      </c>
      <c r="AE971">
        <v>3</v>
      </c>
      <c r="AF971" t="s">
        <v>340</v>
      </c>
      <c r="AG971">
        <v>100</v>
      </c>
      <c r="AK971" t="s">
        <v>98</v>
      </c>
      <c r="AL971">
        <v>3</v>
      </c>
      <c r="AM971" t="s">
        <v>98</v>
      </c>
      <c r="AN971" t="s">
        <v>99</v>
      </c>
      <c r="AO971" t="s">
        <v>98</v>
      </c>
      <c r="AP971" t="s">
        <v>100</v>
      </c>
      <c r="AQ971" t="s">
        <v>101</v>
      </c>
      <c r="AV971" t="s">
        <v>98</v>
      </c>
      <c r="AX971" t="s">
        <v>461</v>
      </c>
      <c r="AZ971" t="s">
        <v>102</v>
      </c>
      <c r="BB971" t="s">
        <v>235</v>
      </c>
      <c r="BC971" t="s">
        <v>3055</v>
      </c>
      <c r="BD971" t="s">
        <v>7528</v>
      </c>
      <c r="BF971" t="s">
        <v>3062</v>
      </c>
      <c r="BG971" t="s">
        <v>98</v>
      </c>
      <c r="BH971" t="s">
        <v>98</v>
      </c>
      <c r="BI971" t="s">
        <v>98</v>
      </c>
      <c r="BK971" t="s">
        <v>127</v>
      </c>
      <c r="BL971" t="s">
        <v>756</v>
      </c>
      <c r="BM971">
        <v>7.13</v>
      </c>
      <c r="BN971">
        <v>4.75</v>
      </c>
      <c r="CA971">
        <v>6733</v>
      </c>
      <c r="CB971" t="s">
        <v>461</v>
      </c>
      <c r="CL971" t="s">
        <v>99</v>
      </c>
      <c r="CM971" t="s">
        <v>98</v>
      </c>
      <c r="CN971" t="s">
        <v>442</v>
      </c>
      <c r="CO971" s="1">
        <v>38464</v>
      </c>
      <c r="CP971" s="1">
        <v>43633</v>
      </c>
    </row>
    <row r="972" spans="1:94" x14ac:dyDescent="0.25">
      <c r="A972" t="s">
        <v>3063</v>
      </c>
      <c r="B972" t="str">
        <f xml:space="preserve"> "" &amp; 747396078250</f>
        <v>747396078250</v>
      </c>
      <c r="C972" t="s">
        <v>766</v>
      </c>
      <c r="D972" t="s">
        <v>3064</v>
      </c>
      <c r="E972" t="s">
        <v>477</v>
      </c>
      <c r="F972" t="s">
        <v>323</v>
      </c>
      <c r="G972">
        <v>1</v>
      </c>
      <c r="H972">
        <v>1</v>
      </c>
      <c r="I972" t="s">
        <v>97</v>
      </c>
      <c r="J972" s="10">
        <v>88</v>
      </c>
      <c r="K972" s="10">
        <v>264</v>
      </c>
      <c r="L972" s="10">
        <v>0</v>
      </c>
      <c r="N972" s="10">
        <v>0</v>
      </c>
      <c r="S972">
        <v>7</v>
      </c>
      <c r="U972">
        <v>32.5</v>
      </c>
      <c r="V972">
        <v>7.75</v>
      </c>
      <c r="W972">
        <v>13.32</v>
      </c>
      <c r="Y972">
        <v>10.5</v>
      </c>
      <c r="Z972">
        <v>32</v>
      </c>
      <c r="AA972">
        <v>8.5</v>
      </c>
      <c r="AB972">
        <v>1.653</v>
      </c>
      <c r="AC972">
        <v>14.79</v>
      </c>
      <c r="AE972">
        <v>4</v>
      </c>
      <c r="AF972" t="s">
        <v>282</v>
      </c>
      <c r="AG972">
        <v>100</v>
      </c>
      <c r="AK972" t="s">
        <v>98</v>
      </c>
      <c r="AL972">
        <v>4</v>
      </c>
      <c r="AM972" t="s">
        <v>98</v>
      </c>
      <c r="AN972" t="s">
        <v>99</v>
      </c>
      <c r="AO972" t="s">
        <v>98</v>
      </c>
      <c r="AP972" t="s">
        <v>100</v>
      </c>
      <c r="AQ972" t="s">
        <v>101</v>
      </c>
      <c r="AV972" t="s">
        <v>98</v>
      </c>
      <c r="AX972" t="s">
        <v>484</v>
      </c>
      <c r="AZ972" t="s">
        <v>102</v>
      </c>
      <c r="BB972" t="s">
        <v>235</v>
      </c>
      <c r="BC972" t="s">
        <v>3055</v>
      </c>
      <c r="BD972" t="s">
        <v>7528</v>
      </c>
      <c r="BF972" t="s">
        <v>3065</v>
      </c>
      <c r="BG972" t="s">
        <v>98</v>
      </c>
      <c r="BH972" t="s">
        <v>98</v>
      </c>
      <c r="BI972" t="s">
        <v>98</v>
      </c>
      <c r="BK972" t="s">
        <v>127</v>
      </c>
      <c r="BL972" t="s">
        <v>756</v>
      </c>
      <c r="BM972">
        <v>6.75</v>
      </c>
      <c r="BN972">
        <v>4.38</v>
      </c>
      <c r="CA972" t="s">
        <v>3066</v>
      </c>
      <c r="CB972" t="s">
        <v>484</v>
      </c>
      <c r="CL972" t="s">
        <v>99</v>
      </c>
      <c r="CM972" t="s">
        <v>98</v>
      </c>
      <c r="CN972" t="s">
        <v>442</v>
      </c>
      <c r="CO972" s="1">
        <v>40518</v>
      </c>
      <c r="CP972" s="1">
        <v>43633</v>
      </c>
    </row>
    <row r="973" spans="1:94" x14ac:dyDescent="0.25">
      <c r="A973" t="s">
        <v>3067</v>
      </c>
      <c r="B973" t="str">
        <f xml:space="preserve"> "" &amp; 747396052496</f>
        <v>747396052496</v>
      </c>
      <c r="C973" t="s">
        <v>766</v>
      </c>
      <c r="D973" t="s">
        <v>3064</v>
      </c>
      <c r="E973" t="s">
        <v>477</v>
      </c>
      <c r="F973" t="s">
        <v>323</v>
      </c>
      <c r="G973">
        <v>1</v>
      </c>
      <c r="H973">
        <v>1</v>
      </c>
      <c r="I973" t="s">
        <v>97</v>
      </c>
      <c r="J973" s="10">
        <v>88</v>
      </c>
      <c r="K973" s="10">
        <v>264</v>
      </c>
      <c r="L973" s="10">
        <v>0</v>
      </c>
      <c r="N973" s="10">
        <v>0</v>
      </c>
      <c r="S973">
        <v>7</v>
      </c>
      <c r="U973">
        <v>32.5</v>
      </c>
      <c r="V973">
        <v>7.75</v>
      </c>
      <c r="W973">
        <v>13.32</v>
      </c>
      <c r="X973">
        <v>1</v>
      </c>
      <c r="Y973">
        <v>10.5</v>
      </c>
      <c r="Z973">
        <v>32</v>
      </c>
      <c r="AA973">
        <v>8.5</v>
      </c>
      <c r="AB973">
        <v>1.653</v>
      </c>
      <c r="AC973">
        <v>14.79</v>
      </c>
      <c r="AE973">
        <v>4</v>
      </c>
      <c r="AF973" t="s">
        <v>598</v>
      </c>
      <c r="AG973">
        <v>100</v>
      </c>
      <c r="AK973" t="s">
        <v>98</v>
      </c>
      <c r="AM973" t="s">
        <v>98</v>
      </c>
      <c r="AN973" t="s">
        <v>99</v>
      </c>
      <c r="AO973" t="s">
        <v>98</v>
      </c>
      <c r="AP973" t="s">
        <v>100</v>
      </c>
      <c r="AQ973" t="s">
        <v>101</v>
      </c>
      <c r="AV973" t="s">
        <v>98</v>
      </c>
      <c r="AX973" t="s">
        <v>461</v>
      </c>
      <c r="AZ973" t="s">
        <v>102</v>
      </c>
      <c r="BB973" t="s">
        <v>235</v>
      </c>
      <c r="BC973" t="s">
        <v>7612</v>
      </c>
      <c r="BD973" t="s">
        <v>7528</v>
      </c>
      <c r="BF973" t="s">
        <v>3068</v>
      </c>
      <c r="BG973" t="s">
        <v>98</v>
      </c>
      <c r="BH973" t="s">
        <v>98</v>
      </c>
      <c r="BI973" t="s">
        <v>98</v>
      </c>
      <c r="BK973" t="s">
        <v>127</v>
      </c>
      <c r="BL973" t="s">
        <v>756</v>
      </c>
      <c r="BM973">
        <v>7.13</v>
      </c>
      <c r="BN973">
        <v>4.75</v>
      </c>
      <c r="CA973">
        <v>6734</v>
      </c>
      <c r="CB973" t="s">
        <v>461</v>
      </c>
      <c r="CL973" t="s">
        <v>99</v>
      </c>
      <c r="CM973" t="s">
        <v>98</v>
      </c>
      <c r="CN973" t="s">
        <v>692</v>
      </c>
      <c r="CO973" s="1">
        <v>38464</v>
      </c>
      <c r="CP973" s="1">
        <v>43633</v>
      </c>
    </row>
    <row r="974" spans="1:94" x14ac:dyDescent="0.25">
      <c r="A974" t="s">
        <v>3069</v>
      </c>
      <c r="B974" t="str">
        <f xml:space="preserve"> "" &amp; 747396057521</f>
        <v>747396057521</v>
      </c>
      <c r="C974" t="s">
        <v>762</v>
      </c>
      <c r="D974" t="s">
        <v>6811</v>
      </c>
      <c r="E974" t="s">
        <v>509</v>
      </c>
      <c r="F974" t="s">
        <v>323</v>
      </c>
      <c r="G974">
        <v>1</v>
      </c>
      <c r="H974">
        <v>1</v>
      </c>
      <c r="I974" t="s">
        <v>97</v>
      </c>
      <c r="J974" s="10">
        <v>116.95</v>
      </c>
      <c r="K974" s="10">
        <v>350.85</v>
      </c>
      <c r="L974" s="10">
        <v>0</v>
      </c>
      <c r="N974" s="10">
        <v>0</v>
      </c>
      <c r="O974" t="s">
        <v>99</v>
      </c>
      <c r="P974" s="10">
        <v>233.9</v>
      </c>
      <c r="S974">
        <v>10.75</v>
      </c>
      <c r="U974">
        <v>25.75</v>
      </c>
      <c r="V974">
        <v>8.5</v>
      </c>
      <c r="W974">
        <v>13.23</v>
      </c>
      <c r="X974">
        <v>1</v>
      </c>
      <c r="Y974">
        <v>11.5</v>
      </c>
      <c r="Z974">
        <v>28.5</v>
      </c>
      <c r="AA974">
        <v>10.5</v>
      </c>
      <c r="AB974">
        <v>1.992</v>
      </c>
      <c r="AC974">
        <v>16.03</v>
      </c>
      <c r="AE974">
        <v>3</v>
      </c>
      <c r="AF974" t="s">
        <v>225</v>
      </c>
      <c r="AG974">
        <v>100</v>
      </c>
      <c r="AH974">
        <v>0</v>
      </c>
      <c r="AK974" t="s">
        <v>98</v>
      </c>
      <c r="AM974" t="s">
        <v>98</v>
      </c>
      <c r="AN974" t="s">
        <v>98</v>
      </c>
      <c r="AO974" t="s">
        <v>99</v>
      </c>
      <c r="AP974" t="s">
        <v>100</v>
      </c>
      <c r="AQ974" t="s">
        <v>101</v>
      </c>
      <c r="AV974" t="s">
        <v>98</v>
      </c>
      <c r="AX974" t="s">
        <v>510</v>
      </c>
      <c r="AZ974" t="s">
        <v>124</v>
      </c>
      <c r="BB974" t="s">
        <v>235</v>
      </c>
      <c r="BC974" t="s">
        <v>6232</v>
      </c>
      <c r="BD974" t="s">
        <v>7528</v>
      </c>
      <c r="BF974" t="s">
        <v>3070</v>
      </c>
      <c r="BG974" t="s">
        <v>98</v>
      </c>
      <c r="BH974" t="s">
        <v>98</v>
      </c>
      <c r="BI974" t="s">
        <v>98</v>
      </c>
      <c r="BK974" t="s">
        <v>127</v>
      </c>
      <c r="BL974" t="s">
        <v>756</v>
      </c>
      <c r="BR974">
        <v>4</v>
      </c>
      <c r="BT974">
        <v>22</v>
      </c>
      <c r="CA974">
        <v>6743</v>
      </c>
      <c r="CB974" t="s">
        <v>510</v>
      </c>
      <c r="CL974" t="s">
        <v>98</v>
      </c>
      <c r="CM974" t="s">
        <v>98</v>
      </c>
      <c r="CN974" t="s">
        <v>7528</v>
      </c>
      <c r="CO974" s="1">
        <v>38891</v>
      </c>
      <c r="CP974" s="1">
        <v>43633</v>
      </c>
    </row>
    <row r="975" spans="1:94" x14ac:dyDescent="0.25">
      <c r="A975" t="s">
        <v>3071</v>
      </c>
      <c r="B975" t="str">
        <f xml:space="preserve"> "" &amp; 747396057552</f>
        <v>747396057552</v>
      </c>
      <c r="C975" t="s">
        <v>766</v>
      </c>
      <c r="D975" t="s">
        <v>6812</v>
      </c>
      <c r="E975" t="s">
        <v>509</v>
      </c>
      <c r="F975" t="s">
        <v>323</v>
      </c>
      <c r="G975">
        <v>1</v>
      </c>
      <c r="H975">
        <v>1</v>
      </c>
      <c r="I975" t="s">
        <v>97</v>
      </c>
      <c r="J975" s="10">
        <v>139.94999999999999</v>
      </c>
      <c r="K975" s="10">
        <v>419.85</v>
      </c>
      <c r="L975" s="10">
        <v>0</v>
      </c>
      <c r="N975" s="10">
        <v>0</v>
      </c>
      <c r="O975" t="s">
        <v>99</v>
      </c>
      <c r="P975" s="10">
        <v>279.89999999999998</v>
      </c>
      <c r="S975">
        <v>10.75</v>
      </c>
      <c r="U975">
        <v>34.25</v>
      </c>
      <c r="V975">
        <v>8.5</v>
      </c>
      <c r="W975">
        <v>17.809999999999999</v>
      </c>
      <c r="X975">
        <v>1</v>
      </c>
      <c r="Y975">
        <v>11.75</v>
      </c>
      <c r="Z975">
        <v>37.5</v>
      </c>
      <c r="AA975">
        <v>10.5</v>
      </c>
      <c r="AB975">
        <v>2.677</v>
      </c>
      <c r="AC975">
        <v>21.1</v>
      </c>
      <c r="AE975">
        <v>4</v>
      </c>
      <c r="AF975" t="s">
        <v>225</v>
      </c>
      <c r="AG975">
        <v>100</v>
      </c>
      <c r="AH975">
        <v>0</v>
      </c>
      <c r="AK975" t="s">
        <v>98</v>
      </c>
      <c r="AM975" t="s">
        <v>98</v>
      </c>
      <c r="AN975" t="s">
        <v>98</v>
      </c>
      <c r="AO975" t="s">
        <v>99</v>
      </c>
      <c r="AP975" t="s">
        <v>100</v>
      </c>
      <c r="AQ975" t="s">
        <v>101</v>
      </c>
      <c r="AV975" t="s">
        <v>98</v>
      </c>
      <c r="AX975" t="s">
        <v>510</v>
      </c>
      <c r="AZ975" t="s">
        <v>124</v>
      </c>
      <c r="BB975" t="s">
        <v>235</v>
      </c>
      <c r="BC975" t="s">
        <v>6232</v>
      </c>
      <c r="BD975" t="s">
        <v>7528</v>
      </c>
      <c r="BF975" t="s">
        <v>3072</v>
      </c>
      <c r="BG975" t="s">
        <v>98</v>
      </c>
      <c r="BH975" t="s">
        <v>98</v>
      </c>
      <c r="BI975" t="s">
        <v>98</v>
      </c>
      <c r="BK975" t="s">
        <v>127</v>
      </c>
      <c r="BL975" t="s">
        <v>756</v>
      </c>
      <c r="BR975">
        <v>3.75</v>
      </c>
      <c r="BT975">
        <v>30.63</v>
      </c>
      <c r="CA975">
        <v>6744</v>
      </c>
      <c r="CB975" t="s">
        <v>510</v>
      </c>
      <c r="CL975" t="s">
        <v>98</v>
      </c>
      <c r="CM975" t="s">
        <v>98</v>
      </c>
      <c r="CN975" t="s">
        <v>7528</v>
      </c>
      <c r="CO975" s="1">
        <v>38891</v>
      </c>
      <c r="CP975" s="1">
        <v>43633</v>
      </c>
    </row>
    <row r="976" spans="1:94" x14ac:dyDescent="0.25">
      <c r="A976" t="s">
        <v>3073</v>
      </c>
      <c r="B976" t="str">
        <f xml:space="preserve"> "" &amp; 747396055886</f>
        <v>747396055886</v>
      </c>
      <c r="C976" t="s">
        <v>751</v>
      </c>
      <c r="D976" t="s">
        <v>6813</v>
      </c>
      <c r="E976" t="s">
        <v>3074</v>
      </c>
      <c r="F976" t="s">
        <v>323</v>
      </c>
      <c r="G976">
        <v>1</v>
      </c>
      <c r="H976">
        <v>1</v>
      </c>
      <c r="I976" t="s">
        <v>97</v>
      </c>
      <c r="J976" s="10">
        <v>52</v>
      </c>
      <c r="K976" s="10">
        <v>156</v>
      </c>
      <c r="L976" s="10">
        <v>0</v>
      </c>
      <c r="N976" s="10">
        <v>0</v>
      </c>
      <c r="O976" t="s">
        <v>99</v>
      </c>
      <c r="P976" s="10">
        <v>104.95</v>
      </c>
      <c r="S976">
        <v>12.5</v>
      </c>
      <c r="U976">
        <v>6</v>
      </c>
      <c r="V976">
        <v>8</v>
      </c>
      <c r="W976">
        <v>5.29</v>
      </c>
      <c r="X976">
        <v>1</v>
      </c>
      <c r="Y976">
        <v>9.5</v>
      </c>
      <c r="Z976">
        <v>19.5</v>
      </c>
      <c r="AA976">
        <v>7.5</v>
      </c>
      <c r="AB976">
        <v>0.80400000000000005</v>
      </c>
      <c r="AC976">
        <v>6.9</v>
      </c>
      <c r="AE976">
        <v>1</v>
      </c>
      <c r="AF976" t="s">
        <v>225</v>
      </c>
      <c r="AG976">
        <v>100</v>
      </c>
      <c r="AH976">
        <v>0</v>
      </c>
      <c r="AK976" t="s">
        <v>98</v>
      </c>
      <c r="AL976">
        <v>1</v>
      </c>
      <c r="AM976" t="s">
        <v>98</v>
      </c>
      <c r="AN976" t="s">
        <v>98</v>
      </c>
      <c r="AO976" t="s">
        <v>99</v>
      </c>
      <c r="AP976" t="s">
        <v>100</v>
      </c>
      <c r="AQ976" t="s">
        <v>101</v>
      </c>
      <c r="AV976" t="s">
        <v>98</v>
      </c>
      <c r="AX976" t="s">
        <v>530</v>
      </c>
      <c r="AZ976" t="s">
        <v>102</v>
      </c>
      <c r="BB976" t="s">
        <v>235</v>
      </c>
      <c r="BC976" t="s">
        <v>7613</v>
      </c>
      <c r="BD976" t="s">
        <v>7528</v>
      </c>
      <c r="BF976" t="s">
        <v>3075</v>
      </c>
      <c r="BG976" t="s">
        <v>98</v>
      </c>
      <c r="BH976" t="s">
        <v>98</v>
      </c>
      <c r="BI976" t="s">
        <v>98</v>
      </c>
      <c r="BK976" t="s">
        <v>127</v>
      </c>
      <c r="BL976" t="s">
        <v>756</v>
      </c>
      <c r="BT976">
        <v>4.63</v>
      </c>
      <c r="CA976">
        <v>6761</v>
      </c>
      <c r="CB976" t="s">
        <v>530</v>
      </c>
      <c r="CL976" t="s">
        <v>98</v>
      </c>
      <c r="CM976" t="s">
        <v>98</v>
      </c>
      <c r="CN976" t="s">
        <v>7528</v>
      </c>
      <c r="CO976" s="1">
        <v>38926</v>
      </c>
      <c r="CP976" s="1">
        <v>43633</v>
      </c>
    </row>
    <row r="977" spans="1:94" x14ac:dyDescent="0.25">
      <c r="A977" t="s">
        <v>3076</v>
      </c>
      <c r="B977" t="str">
        <f xml:space="preserve"> "" &amp; 747396055879</f>
        <v>747396055879</v>
      </c>
      <c r="C977" t="s">
        <v>758</v>
      </c>
      <c r="D977" t="s">
        <v>6814</v>
      </c>
      <c r="E977" t="s">
        <v>3074</v>
      </c>
      <c r="F977" t="s">
        <v>323</v>
      </c>
      <c r="G977">
        <v>1</v>
      </c>
      <c r="H977">
        <v>1</v>
      </c>
      <c r="I977" t="s">
        <v>97</v>
      </c>
      <c r="J977" s="10">
        <v>76</v>
      </c>
      <c r="K977" s="10">
        <v>228</v>
      </c>
      <c r="L977" s="10">
        <v>0</v>
      </c>
      <c r="N977" s="10">
        <v>0</v>
      </c>
      <c r="O977" t="s">
        <v>99</v>
      </c>
      <c r="P977" s="10">
        <v>149.94999999999999</v>
      </c>
      <c r="S977">
        <v>12.5</v>
      </c>
      <c r="U977">
        <v>14</v>
      </c>
      <c r="V977">
        <v>8</v>
      </c>
      <c r="W977">
        <v>8.82</v>
      </c>
      <c r="X977">
        <v>1</v>
      </c>
      <c r="Y977">
        <v>17.75</v>
      </c>
      <c r="Z977">
        <v>15.5</v>
      </c>
      <c r="AA977">
        <v>9.5</v>
      </c>
      <c r="AB977">
        <v>1.5129999999999999</v>
      </c>
      <c r="AC977">
        <v>11.46</v>
      </c>
      <c r="AE977">
        <v>2</v>
      </c>
      <c r="AF977" t="s">
        <v>225</v>
      </c>
      <c r="AG977">
        <v>100</v>
      </c>
      <c r="AH977">
        <v>0</v>
      </c>
      <c r="AK977" t="s">
        <v>98</v>
      </c>
      <c r="AM977" t="s">
        <v>98</v>
      </c>
      <c r="AN977" t="s">
        <v>98</v>
      </c>
      <c r="AO977" t="s">
        <v>99</v>
      </c>
      <c r="AP977" t="s">
        <v>100</v>
      </c>
      <c r="AQ977" t="s">
        <v>101</v>
      </c>
      <c r="AV977" t="s">
        <v>98</v>
      </c>
      <c r="AX977" t="s">
        <v>530</v>
      </c>
      <c r="AZ977" t="s">
        <v>102</v>
      </c>
      <c r="BB977" t="s">
        <v>235</v>
      </c>
      <c r="BC977" t="s">
        <v>7613</v>
      </c>
      <c r="BD977" t="s">
        <v>7528</v>
      </c>
      <c r="BF977" t="s">
        <v>3077</v>
      </c>
      <c r="BG977" t="s">
        <v>98</v>
      </c>
      <c r="BH977" t="s">
        <v>98</v>
      </c>
      <c r="BI977" t="s">
        <v>98</v>
      </c>
      <c r="BK977" t="s">
        <v>127</v>
      </c>
      <c r="BL977" t="s">
        <v>756</v>
      </c>
      <c r="BT977">
        <v>5.13</v>
      </c>
      <c r="CA977">
        <v>6762</v>
      </c>
      <c r="CB977" t="s">
        <v>530</v>
      </c>
      <c r="CL977" t="s">
        <v>98</v>
      </c>
      <c r="CM977" t="s">
        <v>98</v>
      </c>
      <c r="CN977" t="s">
        <v>7528</v>
      </c>
      <c r="CO977" s="1">
        <v>38926</v>
      </c>
      <c r="CP977" s="1">
        <v>43633</v>
      </c>
    </row>
    <row r="978" spans="1:94" x14ac:dyDescent="0.25">
      <c r="A978" t="s">
        <v>3078</v>
      </c>
      <c r="B978" t="str">
        <f xml:space="preserve"> "" &amp; 747396055862</f>
        <v>747396055862</v>
      </c>
      <c r="C978" t="s">
        <v>762</v>
      </c>
      <c r="D978" t="s">
        <v>6815</v>
      </c>
      <c r="E978" t="s">
        <v>3074</v>
      </c>
      <c r="F978" t="s">
        <v>323</v>
      </c>
      <c r="G978">
        <v>1</v>
      </c>
      <c r="H978">
        <v>1</v>
      </c>
      <c r="I978" t="s">
        <v>97</v>
      </c>
      <c r="J978" s="10">
        <v>106</v>
      </c>
      <c r="K978" s="10">
        <v>318</v>
      </c>
      <c r="L978" s="10">
        <v>0</v>
      </c>
      <c r="N978" s="10">
        <v>0</v>
      </c>
      <c r="O978" t="s">
        <v>99</v>
      </c>
      <c r="P978" s="10">
        <v>209.95</v>
      </c>
      <c r="S978">
        <v>12.5</v>
      </c>
      <c r="U978">
        <v>23.25</v>
      </c>
      <c r="V978">
        <v>8</v>
      </c>
      <c r="W978">
        <v>12.35</v>
      </c>
      <c r="X978">
        <v>1</v>
      </c>
      <c r="Y978">
        <v>17.75</v>
      </c>
      <c r="Z978">
        <v>25</v>
      </c>
      <c r="AA978">
        <v>9.5</v>
      </c>
      <c r="AB978">
        <v>2.44</v>
      </c>
      <c r="AC978">
        <v>16.760000000000002</v>
      </c>
      <c r="AE978">
        <v>3</v>
      </c>
      <c r="AF978" t="s">
        <v>225</v>
      </c>
      <c r="AG978">
        <v>100</v>
      </c>
      <c r="AH978">
        <v>0</v>
      </c>
      <c r="AK978" t="s">
        <v>98</v>
      </c>
      <c r="AM978" t="s">
        <v>98</v>
      </c>
      <c r="AN978" t="s">
        <v>98</v>
      </c>
      <c r="AO978" t="s">
        <v>99</v>
      </c>
      <c r="AP978" t="s">
        <v>100</v>
      </c>
      <c r="AQ978" t="s">
        <v>101</v>
      </c>
      <c r="AV978" t="s">
        <v>98</v>
      </c>
      <c r="AX978" t="s">
        <v>530</v>
      </c>
      <c r="AZ978" t="s">
        <v>102</v>
      </c>
      <c r="BB978" t="s">
        <v>235</v>
      </c>
      <c r="BC978" t="s">
        <v>7613</v>
      </c>
      <c r="BD978" t="s">
        <v>7528</v>
      </c>
      <c r="BF978" t="s">
        <v>3079</v>
      </c>
      <c r="BG978" t="s">
        <v>98</v>
      </c>
      <c r="BH978" t="s">
        <v>98</v>
      </c>
      <c r="BI978" t="s">
        <v>98</v>
      </c>
      <c r="BK978" t="s">
        <v>127</v>
      </c>
      <c r="BL978" t="s">
        <v>756</v>
      </c>
      <c r="BT978">
        <v>5.13</v>
      </c>
      <c r="CA978">
        <v>6763</v>
      </c>
      <c r="CB978" t="s">
        <v>530</v>
      </c>
      <c r="CL978" t="s">
        <v>98</v>
      </c>
      <c r="CM978" t="s">
        <v>98</v>
      </c>
      <c r="CN978" t="s">
        <v>7528</v>
      </c>
      <c r="CO978" s="1">
        <v>38926</v>
      </c>
      <c r="CP978" s="1">
        <v>43633</v>
      </c>
    </row>
    <row r="979" spans="1:94" x14ac:dyDescent="0.25">
      <c r="A979" t="s">
        <v>3080</v>
      </c>
      <c r="B979" t="str">
        <f xml:space="preserve"> "" &amp; 747396055831</f>
        <v>747396055831</v>
      </c>
      <c r="C979" t="s">
        <v>230</v>
      </c>
      <c r="D979" t="s">
        <v>6816</v>
      </c>
      <c r="E979" t="s">
        <v>3074</v>
      </c>
      <c r="F979" t="s">
        <v>232</v>
      </c>
      <c r="G979">
        <v>1</v>
      </c>
      <c r="H979">
        <v>1</v>
      </c>
      <c r="I979" t="s">
        <v>97</v>
      </c>
      <c r="J979" s="10">
        <v>66</v>
      </c>
      <c r="K979" s="10">
        <v>198</v>
      </c>
      <c r="L979" s="10">
        <v>0</v>
      </c>
      <c r="N979" s="10">
        <v>0</v>
      </c>
      <c r="O979" t="s">
        <v>99</v>
      </c>
      <c r="P979" s="10">
        <v>129.94999999999999</v>
      </c>
      <c r="S979">
        <v>28</v>
      </c>
      <c r="U979">
        <v>6</v>
      </c>
      <c r="V979">
        <v>7.5</v>
      </c>
      <c r="W979">
        <v>6.39</v>
      </c>
      <c r="X979">
        <v>1</v>
      </c>
      <c r="Y979">
        <v>7.5</v>
      </c>
      <c r="Z979">
        <v>28</v>
      </c>
      <c r="AA979">
        <v>10</v>
      </c>
      <c r="AB979">
        <v>1.2150000000000001</v>
      </c>
      <c r="AC979">
        <v>8.3800000000000008</v>
      </c>
      <c r="AE979">
        <v>1</v>
      </c>
      <c r="AF979" t="s">
        <v>225</v>
      </c>
      <c r="AG979">
        <v>100</v>
      </c>
      <c r="AH979">
        <v>0</v>
      </c>
      <c r="AK979" t="s">
        <v>98</v>
      </c>
      <c r="AL979">
        <v>1</v>
      </c>
      <c r="AM979" t="s">
        <v>98</v>
      </c>
      <c r="AN979" t="s">
        <v>98</v>
      </c>
      <c r="AO979" t="s">
        <v>99</v>
      </c>
      <c r="AP979" t="s">
        <v>100</v>
      </c>
      <c r="AQ979" t="s">
        <v>101</v>
      </c>
      <c r="AV979" t="s">
        <v>98</v>
      </c>
      <c r="AX979" t="s">
        <v>530</v>
      </c>
      <c r="AZ979" t="s">
        <v>102</v>
      </c>
      <c r="BB979" t="s">
        <v>235</v>
      </c>
      <c r="BC979" t="s">
        <v>7613</v>
      </c>
      <c r="BD979" t="s">
        <v>7528</v>
      </c>
      <c r="BF979" t="s">
        <v>3081</v>
      </c>
      <c r="BG979" t="s">
        <v>98</v>
      </c>
      <c r="BH979" t="s">
        <v>98</v>
      </c>
      <c r="BI979" t="s">
        <v>98</v>
      </c>
      <c r="BK979" t="s">
        <v>127</v>
      </c>
      <c r="BL979" t="s">
        <v>236</v>
      </c>
      <c r="BT979">
        <v>5.13</v>
      </c>
      <c r="CA979">
        <v>6765</v>
      </c>
      <c r="CB979" t="s">
        <v>530</v>
      </c>
      <c r="CL979" t="s">
        <v>98</v>
      </c>
      <c r="CM979" t="s">
        <v>98</v>
      </c>
      <c r="CN979" t="s">
        <v>7528</v>
      </c>
      <c r="CO979" s="1">
        <v>38915</v>
      </c>
      <c r="CP979" s="1">
        <v>43633</v>
      </c>
    </row>
    <row r="980" spans="1:94" x14ac:dyDescent="0.25">
      <c r="A980" t="s">
        <v>3082</v>
      </c>
      <c r="B980" t="str">
        <f xml:space="preserve"> "" &amp; 747396055848</f>
        <v>747396055848</v>
      </c>
      <c r="C980" t="s">
        <v>230</v>
      </c>
      <c r="D980" t="s">
        <v>6816</v>
      </c>
      <c r="E980" t="s">
        <v>3074</v>
      </c>
      <c r="F980" t="s">
        <v>232</v>
      </c>
      <c r="G980">
        <v>1</v>
      </c>
      <c r="H980">
        <v>1</v>
      </c>
      <c r="I980" t="s">
        <v>97</v>
      </c>
      <c r="J980" s="10">
        <v>56</v>
      </c>
      <c r="K980" s="10">
        <v>168</v>
      </c>
      <c r="L980" s="10">
        <v>0</v>
      </c>
      <c r="N980" s="10">
        <v>0</v>
      </c>
      <c r="O980" t="s">
        <v>99</v>
      </c>
      <c r="P980" s="10">
        <v>109.95</v>
      </c>
      <c r="S980">
        <v>15</v>
      </c>
      <c r="U980">
        <v>8.5</v>
      </c>
      <c r="V980">
        <v>4.75</v>
      </c>
      <c r="W980">
        <v>5.29</v>
      </c>
      <c r="X980">
        <v>1</v>
      </c>
      <c r="Y980">
        <v>7.5</v>
      </c>
      <c r="Z980">
        <v>20.5</v>
      </c>
      <c r="AA980">
        <v>11</v>
      </c>
      <c r="AB980">
        <v>0.97899999999999998</v>
      </c>
      <c r="AC980">
        <v>6.83</v>
      </c>
      <c r="AE980">
        <v>1</v>
      </c>
      <c r="AF980" t="s">
        <v>225</v>
      </c>
      <c r="AG980">
        <v>100</v>
      </c>
      <c r="AH980">
        <v>0</v>
      </c>
      <c r="AK980" t="s">
        <v>98</v>
      </c>
      <c r="AM980" t="s">
        <v>98</v>
      </c>
      <c r="AN980" t="s">
        <v>98</v>
      </c>
      <c r="AO980" t="s">
        <v>99</v>
      </c>
      <c r="AP980" t="s">
        <v>100</v>
      </c>
      <c r="AQ980" t="s">
        <v>101</v>
      </c>
      <c r="AV980" t="s">
        <v>98</v>
      </c>
      <c r="AX980" t="s">
        <v>530</v>
      </c>
      <c r="AZ980" t="s">
        <v>102</v>
      </c>
      <c r="BB980" t="s">
        <v>235</v>
      </c>
      <c r="BC980" t="s">
        <v>7613</v>
      </c>
      <c r="BD980" t="s">
        <v>7528</v>
      </c>
      <c r="BF980" t="s">
        <v>3083</v>
      </c>
      <c r="BG980" t="s">
        <v>98</v>
      </c>
      <c r="BH980" t="s">
        <v>98</v>
      </c>
      <c r="BI980" t="s">
        <v>98</v>
      </c>
      <c r="BK980" t="s">
        <v>127</v>
      </c>
      <c r="BL980" t="s">
        <v>236</v>
      </c>
      <c r="BR980">
        <v>10.38</v>
      </c>
      <c r="BT980">
        <v>8.5</v>
      </c>
      <c r="CA980">
        <v>6767</v>
      </c>
      <c r="CB980" t="s">
        <v>530</v>
      </c>
      <c r="CL980" t="s">
        <v>98</v>
      </c>
      <c r="CM980" t="s">
        <v>98</v>
      </c>
      <c r="CN980" t="s">
        <v>7528</v>
      </c>
      <c r="CO980" s="1">
        <v>38915</v>
      </c>
      <c r="CP980" s="1">
        <v>43633</v>
      </c>
    </row>
    <row r="981" spans="1:94" x14ac:dyDescent="0.25">
      <c r="A981" t="s">
        <v>3084</v>
      </c>
      <c r="B981" t="str">
        <f xml:space="preserve"> "" &amp; 747396018706</f>
        <v>747396018706</v>
      </c>
      <c r="C981" t="s">
        <v>230</v>
      </c>
      <c r="D981" t="s">
        <v>6817</v>
      </c>
      <c r="E981" t="s">
        <v>472</v>
      </c>
      <c r="F981" t="s">
        <v>473</v>
      </c>
      <c r="G981">
        <v>1</v>
      </c>
      <c r="H981">
        <v>1</v>
      </c>
      <c r="I981" t="s">
        <v>97</v>
      </c>
      <c r="J981" s="10">
        <v>63.95</v>
      </c>
      <c r="K981" s="10">
        <v>191.85</v>
      </c>
      <c r="L981" s="10">
        <v>0</v>
      </c>
      <c r="N981" s="10">
        <v>0</v>
      </c>
      <c r="O981" t="s">
        <v>99</v>
      </c>
      <c r="P981" s="10">
        <v>127.9</v>
      </c>
      <c r="S981">
        <v>6.5</v>
      </c>
      <c r="U981">
        <v>12.75</v>
      </c>
      <c r="V981">
        <v>6.5</v>
      </c>
      <c r="W981">
        <v>3.75</v>
      </c>
      <c r="X981">
        <v>1</v>
      </c>
      <c r="Y981">
        <v>11</v>
      </c>
      <c r="Z981">
        <v>14.5</v>
      </c>
      <c r="AA981">
        <v>10.5</v>
      </c>
      <c r="AB981">
        <v>0.96899999999999997</v>
      </c>
      <c r="AC981">
        <v>5.22</v>
      </c>
      <c r="AE981">
        <v>1</v>
      </c>
      <c r="AF981" t="s">
        <v>340</v>
      </c>
      <c r="AG981">
        <v>100</v>
      </c>
      <c r="AH981">
        <v>0</v>
      </c>
      <c r="AJ981">
        <v>0</v>
      </c>
      <c r="AK981" t="s">
        <v>98</v>
      </c>
      <c r="AM981" t="s">
        <v>98</v>
      </c>
      <c r="AN981" t="s">
        <v>98</v>
      </c>
      <c r="AO981" t="s">
        <v>99</v>
      </c>
      <c r="AP981" t="s">
        <v>100</v>
      </c>
      <c r="AQ981" t="s">
        <v>101</v>
      </c>
      <c r="AV981" t="s">
        <v>98</v>
      </c>
      <c r="AX981" t="s">
        <v>474</v>
      </c>
      <c r="AZ981" t="s">
        <v>102</v>
      </c>
      <c r="BB981" t="s">
        <v>200</v>
      </c>
      <c r="BC981" t="s">
        <v>1417</v>
      </c>
      <c r="BD981" t="s">
        <v>7528</v>
      </c>
      <c r="BF981" t="s">
        <v>3085</v>
      </c>
      <c r="BG981" t="s">
        <v>98</v>
      </c>
      <c r="BH981" t="s">
        <v>98</v>
      </c>
      <c r="BI981" t="s">
        <v>98</v>
      </c>
      <c r="BK981" t="s">
        <v>127</v>
      </c>
      <c r="BL981" t="s">
        <v>236</v>
      </c>
      <c r="BR981">
        <v>5.25</v>
      </c>
      <c r="BT981">
        <v>11</v>
      </c>
      <c r="CA981">
        <v>680</v>
      </c>
      <c r="CB981" t="s">
        <v>474</v>
      </c>
      <c r="CL981" t="s">
        <v>99</v>
      </c>
      <c r="CM981" t="s">
        <v>98</v>
      </c>
      <c r="CN981" t="s">
        <v>3086</v>
      </c>
      <c r="CO981" s="1">
        <v>39036</v>
      </c>
      <c r="CP981" s="1">
        <v>43633</v>
      </c>
    </row>
    <row r="982" spans="1:94" x14ac:dyDescent="0.25">
      <c r="A982" t="s">
        <v>3087</v>
      </c>
      <c r="B982" t="str">
        <f xml:space="preserve"> "" &amp; 747396057194</f>
        <v>747396057194</v>
      </c>
      <c r="C982" t="s">
        <v>230</v>
      </c>
      <c r="D982" t="s">
        <v>6818</v>
      </c>
      <c r="E982" t="s">
        <v>537</v>
      </c>
      <c r="F982" t="s">
        <v>232</v>
      </c>
      <c r="G982">
        <v>1</v>
      </c>
      <c r="H982">
        <v>1</v>
      </c>
      <c r="I982" t="s">
        <v>97</v>
      </c>
      <c r="J982" s="10">
        <v>43</v>
      </c>
      <c r="K982" s="10">
        <v>129</v>
      </c>
      <c r="L982" s="10">
        <v>0</v>
      </c>
      <c r="N982" s="10">
        <v>0</v>
      </c>
      <c r="O982" t="s">
        <v>99</v>
      </c>
      <c r="P982" s="10">
        <v>84.95</v>
      </c>
      <c r="S982">
        <v>19.75</v>
      </c>
      <c r="U982">
        <v>7.75</v>
      </c>
      <c r="V982">
        <v>7.25</v>
      </c>
      <c r="W982">
        <v>3.22</v>
      </c>
      <c r="X982">
        <v>1</v>
      </c>
      <c r="Y982">
        <v>10</v>
      </c>
      <c r="Z982">
        <v>19</v>
      </c>
      <c r="AA982">
        <v>8</v>
      </c>
      <c r="AB982">
        <v>0.88</v>
      </c>
      <c r="AC982">
        <v>5.03</v>
      </c>
      <c r="AE982">
        <v>1</v>
      </c>
      <c r="AF982" t="s">
        <v>233</v>
      </c>
      <c r="AG982">
        <v>100</v>
      </c>
      <c r="AK982" t="s">
        <v>98</v>
      </c>
      <c r="AL982">
        <v>1</v>
      </c>
      <c r="AM982" t="s">
        <v>98</v>
      </c>
      <c r="AN982" t="s">
        <v>98</v>
      </c>
      <c r="AO982" t="s">
        <v>99</v>
      </c>
      <c r="AP982" t="s">
        <v>100</v>
      </c>
      <c r="AQ982" t="s">
        <v>101</v>
      </c>
      <c r="AV982" t="s">
        <v>98</v>
      </c>
      <c r="AX982" t="s">
        <v>279</v>
      </c>
      <c r="AZ982" t="s">
        <v>392</v>
      </c>
      <c r="BB982" t="s">
        <v>235</v>
      </c>
      <c r="BC982" t="s">
        <v>5220</v>
      </c>
      <c r="BD982" t="s">
        <v>7528</v>
      </c>
      <c r="BF982" t="s">
        <v>3088</v>
      </c>
      <c r="BG982" t="s">
        <v>98</v>
      </c>
      <c r="BH982" t="s">
        <v>98</v>
      </c>
      <c r="BI982" t="s">
        <v>98</v>
      </c>
      <c r="BK982" t="s">
        <v>127</v>
      </c>
      <c r="BL982" t="s">
        <v>236</v>
      </c>
      <c r="BR982">
        <v>5.63</v>
      </c>
      <c r="BT982">
        <v>4.88</v>
      </c>
      <c r="CA982">
        <v>6810</v>
      </c>
      <c r="CB982" t="s">
        <v>279</v>
      </c>
      <c r="CL982" t="s">
        <v>99</v>
      </c>
      <c r="CM982" t="s">
        <v>98</v>
      </c>
      <c r="CN982" t="s">
        <v>365</v>
      </c>
      <c r="CO982" s="1">
        <v>38895</v>
      </c>
      <c r="CP982" s="1">
        <v>43633</v>
      </c>
    </row>
    <row r="983" spans="1:94" x14ac:dyDescent="0.25">
      <c r="A983" t="s">
        <v>3089</v>
      </c>
      <c r="B983" t="str">
        <f xml:space="preserve"> "" &amp; 747396057309</f>
        <v>747396057309</v>
      </c>
      <c r="C983" t="s">
        <v>751</v>
      </c>
      <c r="D983" t="s">
        <v>6819</v>
      </c>
      <c r="E983" t="s">
        <v>537</v>
      </c>
      <c r="F983" t="s">
        <v>323</v>
      </c>
      <c r="G983">
        <v>1</v>
      </c>
      <c r="H983">
        <v>1</v>
      </c>
      <c r="I983" t="s">
        <v>97</v>
      </c>
      <c r="J983" s="10">
        <v>38</v>
      </c>
      <c r="K983" s="10">
        <v>114</v>
      </c>
      <c r="L983" s="10">
        <v>0</v>
      </c>
      <c r="N983" s="10">
        <v>0</v>
      </c>
      <c r="O983" t="s">
        <v>99</v>
      </c>
      <c r="P983" s="10">
        <v>74.95</v>
      </c>
      <c r="S983">
        <v>8.5</v>
      </c>
      <c r="T983">
        <v>10.5</v>
      </c>
      <c r="U983">
        <v>7.75</v>
      </c>
      <c r="V983">
        <v>7.25</v>
      </c>
      <c r="W983">
        <v>3.04</v>
      </c>
      <c r="X983">
        <v>1</v>
      </c>
      <c r="Y983">
        <v>10.5</v>
      </c>
      <c r="Z983">
        <v>10.5</v>
      </c>
      <c r="AA983">
        <v>8.5</v>
      </c>
      <c r="AB983">
        <v>0.54200000000000004</v>
      </c>
      <c r="AC983">
        <v>4.37</v>
      </c>
      <c r="AE983">
        <v>1</v>
      </c>
      <c r="AF983" t="s">
        <v>233</v>
      </c>
      <c r="AG983">
        <v>100</v>
      </c>
      <c r="AK983" t="s">
        <v>98</v>
      </c>
      <c r="AL983">
        <v>1</v>
      </c>
      <c r="AM983" t="s">
        <v>98</v>
      </c>
      <c r="AN983" t="s">
        <v>98</v>
      </c>
      <c r="AO983" t="s">
        <v>99</v>
      </c>
      <c r="AP983" t="s">
        <v>100</v>
      </c>
      <c r="AQ983" t="s">
        <v>101</v>
      </c>
      <c r="AV983" t="s">
        <v>98</v>
      </c>
      <c r="AX983" t="s">
        <v>164</v>
      </c>
      <c r="AZ983" t="s">
        <v>392</v>
      </c>
      <c r="BB983" t="s">
        <v>235</v>
      </c>
      <c r="BC983" t="s">
        <v>3090</v>
      </c>
      <c r="BD983" t="s">
        <v>7528</v>
      </c>
      <c r="BF983" t="s">
        <v>3091</v>
      </c>
      <c r="BG983" t="s">
        <v>98</v>
      </c>
      <c r="BH983" t="s">
        <v>98</v>
      </c>
      <c r="BI983" t="s">
        <v>98</v>
      </c>
      <c r="BK983" t="s">
        <v>127</v>
      </c>
      <c r="BL983" t="s">
        <v>756</v>
      </c>
      <c r="BM983">
        <v>6.75</v>
      </c>
      <c r="BN983">
        <v>6</v>
      </c>
      <c r="CA983">
        <v>6811</v>
      </c>
      <c r="CB983" t="s">
        <v>164</v>
      </c>
      <c r="CL983" t="s">
        <v>99</v>
      </c>
      <c r="CM983" t="s">
        <v>98</v>
      </c>
      <c r="CN983" t="s">
        <v>365</v>
      </c>
      <c r="CO983" s="1">
        <v>38895</v>
      </c>
      <c r="CP983" s="1">
        <v>43633</v>
      </c>
    </row>
    <row r="984" spans="1:94" x14ac:dyDescent="0.25">
      <c r="A984" t="s">
        <v>3092</v>
      </c>
      <c r="B984" t="str">
        <f xml:space="preserve"> "" &amp; 747396057293</f>
        <v>747396057293</v>
      </c>
      <c r="C984" t="s">
        <v>751</v>
      </c>
      <c r="D984" t="s">
        <v>6819</v>
      </c>
      <c r="E984" t="s">
        <v>537</v>
      </c>
      <c r="F984" t="s">
        <v>323</v>
      </c>
      <c r="G984">
        <v>1</v>
      </c>
      <c r="H984">
        <v>1</v>
      </c>
      <c r="I984" t="s">
        <v>97</v>
      </c>
      <c r="J984" s="10">
        <v>38</v>
      </c>
      <c r="K984" s="10">
        <v>114</v>
      </c>
      <c r="L984" s="10">
        <v>0</v>
      </c>
      <c r="N984" s="10">
        <v>0</v>
      </c>
      <c r="O984" t="s">
        <v>99</v>
      </c>
      <c r="P984" s="10">
        <v>74.95</v>
      </c>
      <c r="S984">
        <v>8.5</v>
      </c>
      <c r="T984">
        <v>10.5</v>
      </c>
      <c r="U984">
        <v>7.75</v>
      </c>
      <c r="V984">
        <v>7.25</v>
      </c>
      <c r="W984">
        <v>3.04</v>
      </c>
      <c r="X984">
        <v>1</v>
      </c>
      <c r="Y984">
        <v>10.5</v>
      </c>
      <c r="Z984">
        <v>10.5</v>
      </c>
      <c r="AA984">
        <v>8.5</v>
      </c>
      <c r="AB984">
        <v>0.54200000000000004</v>
      </c>
      <c r="AC984">
        <v>4.37</v>
      </c>
      <c r="AE984">
        <v>1</v>
      </c>
      <c r="AF984" t="s">
        <v>233</v>
      </c>
      <c r="AG984">
        <v>100</v>
      </c>
      <c r="AK984" t="s">
        <v>98</v>
      </c>
      <c r="AL984">
        <v>1</v>
      </c>
      <c r="AM984" t="s">
        <v>98</v>
      </c>
      <c r="AN984" t="s">
        <v>98</v>
      </c>
      <c r="AO984" t="s">
        <v>99</v>
      </c>
      <c r="AP984" t="s">
        <v>100</v>
      </c>
      <c r="AQ984" t="s">
        <v>101</v>
      </c>
      <c r="AV984" t="s">
        <v>98</v>
      </c>
      <c r="AX984" t="s">
        <v>279</v>
      </c>
      <c r="AZ984" t="s">
        <v>392</v>
      </c>
      <c r="BB984" t="s">
        <v>235</v>
      </c>
      <c r="BC984" t="s">
        <v>5220</v>
      </c>
      <c r="BD984" t="s">
        <v>7528</v>
      </c>
      <c r="BF984" t="s">
        <v>3093</v>
      </c>
      <c r="BG984" t="s">
        <v>98</v>
      </c>
      <c r="BH984" t="s">
        <v>98</v>
      </c>
      <c r="BI984" t="s">
        <v>98</v>
      </c>
      <c r="BK984" t="s">
        <v>127</v>
      </c>
      <c r="BL984" t="s">
        <v>756</v>
      </c>
      <c r="BM984">
        <v>6.75</v>
      </c>
      <c r="BN984">
        <v>6</v>
      </c>
      <c r="CA984">
        <v>6811</v>
      </c>
      <c r="CB984" t="s">
        <v>279</v>
      </c>
      <c r="CL984" t="s">
        <v>99</v>
      </c>
      <c r="CM984" t="s">
        <v>98</v>
      </c>
      <c r="CN984" t="s">
        <v>365</v>
      </c>
      <c r="CO984" s="1">
        <v>38895</v>
      </c>
      <c r="CP984" s="1">
        <v>43633</v>
      </c>
    </row>
    <row r="985" spans="1:94" x14ac:dyDescent="0.25">
      <c r="A985" t="s">
        <v>3094</v>
      </c>
      <c r="B985" t="str">
        <f xml:space="preserve"> "" &amp; 747396057149</f>
        <v>747396057149</v>
      </c>
      <c r="C985" t="s">
        <v>758</v>
      </c>
      <c r="D985" t="s">
        <v>6820</v>
      </c>
      <c r="E985" t="s">
        <v>537</v>
      </c>
      <c r="F985" t="s">
        <v>323</v>
      </c>
      <c r="G985">
        <v>1</v>
      </c>
      <c r="H985">
        <v>1</v>
      </c>
      <c r="I985" t="s">
        <v>97</v>
      </c>
      <c r="J985" s="10">
        <v>69</v>
      </c>
      <c r="K985" s="10">
        <v>207</v>
      </c>
      <c r="L985" s="10">
        <v>0</v>
      </c>
      <c r="N985" s="10">
        <v>0</v>
      </c>
      <c r="O985" t="s">
        <v>99</v>
      </c>
      <c r="P985" s="10">
        <v>139.94999999999999</v>
      </c>
      <c r="S985">
        <v>8.25</v>
      </c>
      <c r="U985">
        <v>21</v>
      </c>
      <c r="V985">
        <v>8.75</v>
      </c>
      <c r="W985">
        <v>6.66</v>
      </c>
      <c r="X985">
        <v>1</v>
      </c>
      <c r="Y985">
        <v>10.5</v>
      </c>
      <c r="Z985">
        <v>26</v>
      </c>
      <c r="AA985">
        <v>10.5</v>
      </c>
      <c r="AB985">
        <v>1.659</v>
      </c>
      <c r="AC985">
        <v>9.81</v>
      </c>
      <c r="AE985">
        <v>2</v>
      </c>
      <c r="AF985" t="s">
        <v>233</v>
      </c>
      <c r="AG985">
        <v>100</v>
      </c>
      <c r="AK985" t="s">
        <v>98</v>
      </c>
      <c r="AM985" t="s">
        <v>98</v>
      </c>
      <c r="AN985" t="s">
        <v>98</v>
      </c>
      <c r="AO985" t="s">
        <v>99</v>
      </c>
      <c r="AP985" t="s">
        <v>100</v>
      </c>
      <c r="AQ985" t="s">
        <v>101</v>
      </c>
      <c r="AV985" t="s">
        <v>98</v>
      </c>
      <c r="AX985" t="s">
        <v>164</v>
      </c>
      <c r="AZ985" t="s">
        <v>392</v>
      </c>
      <c r="BB985" t="s">
        <v>235</v>
      </c>
      <c r="BC985" t="s">
        <v>5220</v>
      </c>
      <c r="BD985" t="s">
        <v>7528</v>
      </c>
      <c r="BF985" t="s">
        <v>3095</v>
      </c>
      <c r="BG985" t="s">
        <v>98</v>
      </c>
      <c r="BH985" t="s">
        <v>98</v>
      </c>
      <c r="BI985" t="s">
        <v>98</v>
      </c>
      <c r="BK985" t="s">
        <v>127</v>
      </c>
      <c r="BL985" t="s">
        <v>756</v>
      </c>
      <c r="BR985">
        <v>6</v>
      </c>
      <c r="BT985">
        <v>6.75</v>
      </c>
      <c r="CA985">
        <v>6812</v>
      </c>
      <c r="CB985" t="s">
        <v>164</v>
      </c>
      <c r="CL985" t="s">
        <v>99</v>
      </c>
      <c r="CM985" t="s">
        <v>98</v>
      </c>
      <c r="CN985" t="s">
        <v>365</v>
      </c>
      <c r="CO985" s="1">
        <v>38895</v>
      </c>
      <c r="CP985" s="1">
        <v>43633</v>
      </c>
    </row>
    <row r="986" spans="1:94" x14ac:dyDescent="0.25">
      <c r="A986" t="s">
        <v>3096</v>
      </c>
      <c r="B986" t="str">
        <f xml:space="preserve"> "" &amp; 747396057132</f>
        <v>747396057132</v>
      </c>
      <c r="C986" t="s">
        <v>758</v>
      </c>
      <c r="D986" t="s">
        <v>6820</v>
      </c>
      <c r="E986" t="s">
        <v>537</v>
      </c>
      <c r="F986" t="s">
        <v>323</v>
      </c>
      <c r="G986">
        <v>1</v>
      </c>
      <c r="H986">
        <v>1</v>
      </c>
      <c r="I986" t="s">
        <v>97</v>
      </c>
      <c r="J986" s="10">
        <v>69</v>
      </c>
      <c r="K986" s="10">
        <v>207</v>
      </c>
      <c r="L986" s="10">
        <v>0</v>
      </c>
      <c r="N986" s="10">
        <v>0</v>
      </c>
      <c r="O986" t="s">
        <v>99</v>
      </c>
      <c r="P986" s="10">
        <v>139.94999999999999</v>
      </c>
      <c r="S986">
        <v>8.25</v>
      </c>
      <c r="U986">
        <v>21</v>
      </c>
      <c r="V986">
        <v>8.75</v>
      </c>
      <c r="W986">
        <v>6.66</v>
      </c>
      <c r="X986">
        <v>1</v>
      </c>
      <c r="Y986">
        <v>10.5</v>
      </c>
      <c r="Z986">
        <v>26</v>
      </c>
      <c r="AA986">
        <v>10.5</v>
      </c>
      <c r="AB986">
        <v>1.659</v>
      </c>
      <c r="AC986">
        <v>9.81</v>
      </c>
      <c r="AE986">
        <v>2</v>
      </c>
      <c r="AF986" t="s">
        <v>233</v>
      </c>
      <c r="AG986">
        <v>100</v>
      </c>
      <c r="AK986" t="s">
        <v>98</v>
      </c>
      <c r="AM986" t="s">
        <v>98</v>
      </c>
      <c r="AN986" t="s">
        <v>98</v>
      </c>
      <c r="AO986" t="s">
        <v>99</v>
      </c>
      <c r="AP986" t="s">
        <v>100</v>
      </c>
      <c r="AQ986" t="s">
        <v>101</v>
      </c>
      <c r="AV986" t="s">
        <v>98</v>
      </c>
      <c r="AX986" t="s">
        <v>279</v>
      </c>
      <c r="AZ986" t="s">
        <v>392</v>
      </c>
      <c r="BB986" t="s">
        <v>235</v>
      </c>
      <c r="BC986" t="s">
        <v>5220</v>
      </c>
      <c r="BD986" t="s">
        <v>7528</v>
      </c>
      <c r="BF986" t="s">
        <v>3097</v>
      </c>
      <c r="BG986" t="s">
        <v>98</v>
      </c>
      <c r="BH986" t="s">
        <v>98</v>
      </c>
      <c r="BI986" t="s">
        <v>98</v>
      </c>
      <c r="BK986" t="s">
        <v>127</v>
      </c>
      <c r="BL986" t="s">
        <v>756</v>
      </c>
      <c r="BR986">
        <v>6</v>
      </c>
      <c r="BT986">
        <v>6.75</v>
      </c>
      <c r="CA986">
        <v>6812</v>
      </c>
      <c r="CB986" t="s">
        <v>279</v>
      </c>
      <c r="CL986" t="s">
        <v>99</v>
      </c>
      <c r="CM986" t="s">
        <v>98</v>
      </c>
      <c r="CN986" t="s">
        <v>365</v>
      </c>
      <c r="CO986" s="1">
        <v>38895</v>
      </c>
      <c r="CP986" s="1">
        <v>43633</v>
      </c>
    </row>
    <row r="987" spans="1:94" x14ac:dyDescent="0.25">
      <c r="A987" t="s">
        <v>3098</v>
      </c>
      <c r="B987" t="str">
        <f xml:space="preserve"> "" &amp; 747396057163</f>
        <v>747396057163</v>
      </c>
      <c r="C987" t="s">
        <v>762</v>
      </c>
      <c r="D987" t="s">
        <v>6821</v>
      </c>
      <c r="E987" t="s">
        <v>537</v>
      </c>
      <c r="F987" t="s">
        <v>323</v>
      </c>
      <c r="G987">
        <v>1</v>
      </c>
      <c r="H987">
        <v>1</v>
      </c>
      <c r="I987" t="s">
        <v>97</v>
      </c>
      <c r="J987" s="10">
        <v>89</v>
      </c>
      <c r="K987" s="10">
        <v>267</v>
      </c>
      <c r="L987" s="10">
        <v>0</v>
      </c>
      <c r="N987" s="10">
        <v>0</v>
      </c>
      <c r="O987" t="s">
        <v>99</v>
      </c>
      <c r="P987" s="10">
        <v>179.95</v>
      </c>
      <c r="U987">
        <v>32</v>
      </c>
      <c r="V987">
        <v>8.75</v>
      </c>
      <c r="W987">
        <v>9.0399999999999991</v>
      </c>
      <c r="X987">
        <v>1</v>
      </c>
      <c r="Y987">
        <v>10.5</v>
      </c>
      <c r="Z987">
        <v>37</v>
      </c>
      <c r="AA987">
        <v>10.5</v>
      </c>
      <c r="AB987">
        <v>2.3610000000000002</v>
      </c>
      <c r="AC987">
        <v>12.79</v>
      </c>
      <c r="AE987">
        <v>3</v>
      </c>
      <c r="AF987" t="s">
        <v>233</v>
      </c>
      <c r="AG987">
        <v>100</v>
      </c>
      <c r="AK987" t="s">
        <v>98</v>
      </c>
      <c r="AM987" t="s">
        <v>98</v>
      </c>
      <c r="AN987" t="s">
        <v>98</v>
      </c>
      <c r="AO987" t="s">
        <v>99</v>
      </c>
      <c r="AP987" t="s">
        <v>100</v>
      </c>
      <c r="AQ987" t="s">
        <v>101</v>
      </c>
      <c r="AV987" t="s">
        <v>98</v>
      </c>
      <c r="AX987" t="s">
        <v>164</v>
      </c>
      <c r="AZ987" t="s">
        <v>392</v>
      </c>
      <c r="BB987" t="s">
        <v>235</v>
      </c>
      <c r="BC987" t="s">
        <v>3099</v>
      </c>
      <c r="BD987" t="s">
        <v>7528</v>
      </c>
      <c r="BF987" t="s">
        <v>3100</v>
      </c>
      <c r="BG987" t="s">
        <v>98</v>
      </c>
      <c r="BH987" t="s">
        <v>98</v>
      </c>
      <c r="BI987" t="s">
        <v>98</v>
      </c>
      <c r="BK987" t="s">
        <v>127</v>
      </c>
      <c r="BL987" t="s">
        <v>756</v>
      </c>
      <c r="BM987">
        <v>6.75</v>
      </c>
      <c r="BN987">
        <v>6</v>
      </c>
      <c r="BR987">
        <v>6</v>
      </c>
      <c r="BT987">
        <v>6.75</v>
      </c>
      <c r="CA987">
        <v>6813</v>
      </c>
      <c r="CB987" t="s">
        <v>164</v>
      </c>
      <c r="CL987" t="s">
        <v>99</v>
      </c>
      <c r="CM987" t="s">
        <v>98</v>
      </c>
      <c r="CN987" t="s">
        <v>394</v>
      </c>
      <c r="CO987" s="1">
        <v>38895</v>
      </c>
      <c r="CP987" s="1">
        <v>43633</v>
      </c>
    </row>
    <row r="988" spans="1:94" x14ac:dyDescent="0.25">
      <c r="A988" t="s">
        <v>3101</v>
      </c>
      <c r="B988" t="str">
        <f xml:space="preserve"> "" &amp; 747396057156</f>
        <v>747396057156</v>
      </c>
      <c r="C988" t="s">
        <v>762</v>
      </c>
      <c r="D988" t="s">
        <v>6821</v>
      </c>
      <c r="E988" t="s">
        <v>537</v>
      </c>
      <c r="F988" t="s">
        <v>323</v>
      </c>
      <c r="G988">
        <v>1</v>
      </c>
      <c r="H988">
        <v>1</v>
      </c>
      <c r="I988" t="s">
        <v>97</v>
      </c>
      <c r="J988" s="10">
        <v>89</v>
      </c>
      <c r="K988" s="10">
        <v>267</v>
      </c>
      <c r="L988" s="10">
        <v>0</v>
      </c>
      <c r="N988" s="10">
        <v>0</v>
      </c>
      <c r="O988" t="s">
        <v>99</v>
      </c>
      <c r="P988" s="10">
        <v>179.95</v>
      </c>
      <c r="S988">
        <v>8.25</v>
      </c>
      <c r="U988">
        <v>32</v>
      </c>
      <c r="V988">
        <v>8.75</v>
      </c>
      <c r="W988">
        <v>9.0399999999999991</v>
      </c>
      <c r="X988">
        <v>1</v>
      </c>
      <c r="Y988">
        <v>10.5</v>
      </c>
      <c r="Z988">
        <v>37</v>
      </c>
      <c r="AA988">
        <v>10.5</v>
      </c>
      <c r="AB988">
        <v>2.3610000000000002</v>
      </c>
      <c r="AC988">
        <v>12.79</v>
      </c>
      <c r="AE988">
        <v>3</v>
      </c>
      <c r="AF988" t="s">
        <v>598</v>
      </c>
      <c r="AG988">
        <v>100</v>
      </c>
      <c r="AK988" t="s">
        <v>98</v>
      </c>
      <c r="AM988" t="s">
        <v>98</v>
      </c>
      <c r="AN988" t="s">
        <v>98</v>
      </c>
      <c r="AO988" t="s">
        <v>99</v>
      </c>
      <c r="AP988" t="s">
        <v>100</v>
      </c>
      <c r="AQ988" t="s">
        <v>101</v>
      </c>
      <c r="AV988" t="s">
        <v>98</v>
      </c>
      <c r="AX988" t="s">
        <v>279</v>
      </c>
      <c r="AZ988" t="s">
        <v>392</v>
      </c>
      <c r="BB988" t="s">
        <v>235</v>
      </c>
      <c r="BC988" t="s">
        <v>5220</v>
      </c>
      <c r="BD988" t="s">
        <v>7528</v>
      </c>
      <c r="BF988" t="s">
        <v>3102</v>
      </c>
      <c r="BG988" t="s">
        <v>98</v>
      </c>
      <c r="BH988" t="s">
        <v>98</v>
      </c>
      <c r="BI988" t="s">
        <v>98</v>
      </c>
      <c r="BK988" t="s">
        <v>127</v>
      </c>
      <c r="BL988" t="s">
        <v>756</v>
      </c>
      <c r="BM988">
        <v>6.75</v>
      </c>
      <c r="BN988">
        <v>6</v>
      </c>
      <c r="CA988">
        <v>6813</v>
      </c>
      <c r="CB988" t="s">
        <v>279</v>
      </c>
      <c r="CL988" t="s">
        <v>99</v>
      </c>
      <c r="CM988" t="s">
        <v>98</v>
      </c>
      <c r="CN988" t="s">
        <v>394</v>
      </c>
      <c r="CO988" s="1">
        <v>38897</v>
      </c>
      <c r="CP988" s="1">
        <v>43633</v>
      </c>
    </row>
    <row r="989" spans="1:94" x14ac:dyDescent="0.25">
      <c r="A989" t="s">
        <v>3103</v>
      </c>
      <c r="B989" t="str">
        <f xml:space="preserve"> "" &amp; 747396057187</f>
        <v>747396057187</v>
      </c>
      <c r="C989" t="s">
        <v>766</v>
      </c>
      <c r="D989" t="s">
        <v>6822</v>
      </c>
      <c r="E989" t="s">
        <v>537</v>
      </c>
      <c r="F989" t="s">
        <v>323</v>
      </c>
      <c r="G989">
        <v>1</v>
      </c>
      <c r="H989">
        <v>1</v>
      </c>
      <c r="I989" t="s">
        <v>97</v>
      </c>
      <c r="J989" s="10">
        <v>105</v>
      </c>
      <c r="K989" s="10">
        <v>315</v>
      </c>
      <c r="L989" s="10">
        <v>0</v>
      </c>
      <c r="N989" s="10">
        <v>0</v>
      </c>
      <c r="O989" t="s">
        <v>99</v>
      </c>
      <c r="P989" s="10">
        <v>209.95</v>
      </c>
      <c r="S989">
        <v>8.25</v>
      </c>
      <c r="U989">
        <v>43</v>
      </c>
      <c r="V989">
        <v>8.75</v>
      </c>
      <c r="W989">
        <v>11.09</v>
      </c>
      <c r="X989">
        <v>1</v>
      </c>
      <c r="Y989">
        <v>10.5</v>
      </c>
      <c r="Z989">
        <v>48</v>
      </c>
      <c r="AA989">
        <v>10.5</v>
      </c>
      <c r="AB989">
        <v>3.0630000000000002</v>
      </c>
      <c r="AC989">
        <v>15.87</v>
      </c>
      <c r="AE989">
        <v>4</v>
      </c>
      <c r="AF989" t="s">
        <v>466</v>
      </c>
      <c r="AG989">
        <v>100</v>
      </c>
      <c r="AK989" t="s">
        <v>98</v>
      </c>
      <c r="AM989" t="s">
        <v>98</v>
      </c>
      <c r="AN989" t="s">
        <v>98</v>
      </c>
      <c r="AO989" t="s">
        <v>99</v>
      </c>
      <c r="AP989" t="s">
        <v>100</v>
      </c>
      <c r="AQ989" t="s">
        <v>101</v>
      </c>
      <c r="AV989" t="s">
        <v>98</v>
      </c>
      <c r="AX989" t="s">
        <v>164</v>
      </c>
      <c r="AZ989" t="s">
        <v>392</v>
      </c>
      <c r="BB989" t="s">
        <v>235</v>
      </c>
      <c r="BC989" t="s">
        <v>7528</v>
      </c>
      <c r="BD989" t="s">
        <v>7528</v>
      </c>
      <c r="BF989" t="s">
        <v>3104</v>
      </c>
      <c r="BG989" t="s">
        <v>98</v>
      </c>
      <c r="BH989" t="s">
        <v>98</v>
      </c>
      <c r="BI989" t="s">
        <v>98</v>
      </c>
      <c r="BK989" t="s">
        <v>127</v>
      </c>
      <c r="BL989" t="s">
        <v>756</v>
      </c>
      <c r="BM989">
        <v>6.75</v>
      </c>
      <c r="BN989">
        <v>6</v>
      </c>
      <c r="CA989">
        <v>6814</v>
      </c>
      <c r="CB989" t="s">
        <v>164</v>
      </c>
      <c r="CL989" t="s">
        <v>99</v>
      </c>
      <c r="CM989" t="s">
        <v>98</v>
      </c>
      <c r="CN989" t="s">
        <v>365</v>
      </c>
      <c r="CO989" s="1">
        <v>38895</v>
      </c>
      <c r="CP989" s="1">
        <v>43633</v>
      </c>
    </row>
    <row r="990" spans="1:94" x14ac:dyDescent="0.25">
      <c r="A990" t="s">
        <v>3105</v>
      </c>
      <c r="B990" t="str">
        <f xml:space="preserve"> "" &amp; 747396057170</f>
        <v>747396057170</v>
      </c>
      <c r="C990" t="s">
        <v>766</v>
      </c>
      <c r="D990" t="s">
        <v>6822</v>
      </c>
      <c r="E990" t="s">
        <v>537</v>
      </c>
      <c r="F990" t="s">
        <v>323</v>
      </c>
      <c r="G990">
        <v>1</v>
      </c>
      <c r="H990">
        <v>1</v>
      </c>
      <c r="I990" t="s">
        <v>97</v>
      </c>
      <c r="J990" s="10">
        <v>105</v>
      </c>
      <c r="K990" s="10">
        <v>315</v>
      </c>
      <c r="L990" s="10">
        <v>0</v>
      </c>
      <c r="N990" s="10">
        <v>0</v>
      </c>
      <c r="O990" t="s">
        <v>99</v>
      </c>
      <c r="P990" s="10">
        <v>209.95</v>
      </c>
      <c r="S990">
        <v>8.25</v>
      </c>
      <c r="U990">
        <v>43</v>
      </c>
      <c r="V990">
        <v>8.75</v>
      </c>
      <c r="W990">
        <v>11.09</v>
      </c>
      <c r="X990">
        <v>1</v>
      </c>
      <c r="Y990">
        <v>10.5</v>
      </c>
      <c r="Z990">
        <v>48</v>
      </c>
      <c r="AA990">
        <v>10.5</v>
      </c>
      <c r="AB990">
        <v>3.0630000000000002</v>
      </c>
      <c r="AC990">
        <v>15.87</v>
      </c>
      <c r="AE990">
        <v>4</v>
      </c>
      <c r="AF990" t="s">
        <v>466</v>
      </c>
      <c r="AG990">
        <v>100</v>
      </c>
      <c r="AK990" t="s">
        <v>98</v>
      </c>
      <c r="AM990" t="s">
        <v>98</v>
      </c>
      <c r="AN990" t="s">
        <v>98</v>
      </c>
      <c r="AO990" t="s">
        <v>99</v>
      </c>
      <c r="AP990" t="s">
        <v>100</v>
      </c>
      <c r="AQ990" t="s">
        <v>101</v>
      </c>
      <c r="AV990" t="s">
        <v>98</v>
      </c>
      <c r="AX990" t="s">
        <v>279</v>
      </c>
      <c r="AZ990" t="s">
        <v>392</v>
      </c>
      <c r="BB990" t="s">
        <v>235</v>
      </c>
      <c r="BC990" t="s">
        <v>3090</v>
      </c>
      <c r="BD990" t="s">
        <v>7528</v>
      </c>
      <c r="BF990" t="s">
        <v>3106</v>
      </c>
      <c r="BG990" t="s">
        <v>98</v>
      </c>
      <c r="BH990" t="s">
        <v>98</v>
      </c>
      <c r="BI990" t="s">
        <v>98</v>
      </c>
      <c r="BK990" t="s">
        <v>127</v>
      </c>
      <c r="BL990" t="s">
        <v>756</v>
      </c>
      <c r="BM990">
        <v>6.75</v>
      </c>
      <c r="BN990">
        <v>6</v>
      </c>
      <c r="CA990">
        <v>6814</v>
      </c>
      <c r="CB990" t="s">
        <v>279</v>
      </c>
      <c r="CL990" t="s">
        <v>99</v>
      </c>
      <c r="CM990" t="s">
        <v>98</v>
      </c>
      <c r="CN990" t="s">
        <v>365</v>
      </c>
      <c r="CO990" s="1">
        <v>38895</v>
      </c>
      <c r="CP990" s="1">
        <v>43633</v>
      </c>
    </row>
    <row r="991" spans="1:94" x14ac:dyDescent="0.25">
      <c r="A991" t="s">
        <v>3107</v>
      </c>
      <c r="B991" t="str">
        <f xml:space="preserve"> "" &amp; 747396006864</f>
        <v>747396006864</v>
      </c>
      <c r="C991" t="s">
        <v>243</v>
      </c>
      <c r="D991" t="s">
        <v>6823</v>
      </c>
      <c r="E991" t="s">
        <v>472</v>
      </c>
      <c r="F991" t="s">
        <v>473</v>
      </c>
      <c r="G991">
        <v>1</v>
      </c>
      <c r="H991">
        <v>1</v>
      </c>
      <c r="I991" t="s">
        <v>97</v>
      </c>
      <c r="J991" s="10">
        <v>298</v>
      </c>
      <c r="K991" s="10">
        <v>894</v>
      </c>
      <c r="L991" s="10">
        <v>0</v>
      </c>
      <c r="N991" s="10">
        <v>0</v>
      </c>
      <c r="O991" t="s">
        <v>99</v>
      </c>
      <c r="P991" s="10">
        <v>594.95000000000005</v>
      </c>
      <c r="S991">
        <v>31.75</v>
      </c>
      <c r="U991">
        <v>24</v>
      </c>
      <c r="W991">
        <v>20.72</v>
      </c>
      <c r="X991">
        <v>1</v>
      </c>
      <c r="Y991">
        <v>12</v>
      </c>
      <c r="Z991">
        <v>25</v>
      </c>
      <c r="AA991">
        <v>25</v>
      </c>
      <c r="AB991">
        <v>4.34</v>
      </c>
      <c r="AC991">
        <v>27.12</v>
      </c>
      <c r="AE991">
        <v>3</v>
      </c>
      <c r="AF991" t="s">
        <v>225</v>
      </c>
      <c r="AG991">
        <v>60</v>
      </c>
      <c r="AH991">
        <v>0</v>
      </c>
      <c r="AJ991">
        <v>0</v>
      </c>
      <c r="AK991" t="s">
        <v>98</v>
      </c>
      <c r="AM991" t="s">
        <v>98</v>
      </c>
      <c r="AN991" t="s">
        <v>98</v>
      </c>
      <c r="AO991" t="s">
        <v>99</v>
      </c>
      <c r="AP991" t="s">
        <v>100</v>
      </c>
      <c r="AQ991" t="s">
        <v>101</v>
      </c>
      <c r="AV991" t="s">
        <v>98</v>
      </c>
      <c r="AX991" t="s">
        <v>474</v>
      </c>
      <c r="AZ991" t="s">
        <v>102</v>
      </c>
      <c r="BB991" t="s">
        <v>1417</v>
      </c>
      <c r="BC991" t="s">
        <v>7614</v>
      </c>
      <c r="BD991" t="s">
        <v>7528</v>
      </c>
      <c r="BF991" t="s">
        <v>3108</v>
      </c>
      <c r="BG991" t="s">
        <v>98</v>
      </c>
      <c r="BH991" t="s">
        <v>98</v>
      </c>
      <c r="BI991" t="s">
        <v>98</v>
      </c>
      <c r="BK991" t="s">
        <v>110</v>
      </c>
      <c r="BL991" t="s">
        <v>7528</v>
      </c>
      <c r="BT991">
        <v>5.5</v>
      </c>
      <c r="CA991">
        <v>682</v>
      </c>
      <c r="CB991" t="s">
        <v>474</v>
      </c>
      <c r="CL991" t="s">
        <v>98</v>
      </c>
      <c r="CM991" t="s">
        <v>99</v>
      </c>
      <c r="CN991" t="s">
        <v>692</v>
      </c>
      <c r="CO991" s="1">
        <v>36847</v>
      </c>
      <c r="CP991" s="1">
        <v>43633</v>
      </c>
    </row>
    <row r="992" spans="1:94" x14ac:dyDescent="0.25">
      <c r="A992" t="s">
        <v>3109</v>
      </c>
      <c r="B992" t="str">
        <f xml:space="preserve"> "" &amp; 747396022185</f>
        <v>747396022185</v>
      </c>
      <c r="C992" t="s">
        <v>850</v>
      </c>
      <c r="D992" t="s">
        <v>6824</v>
      </c>
      <c r="E992" t="s">
        <v>472</v>
      </c>
      <c r="F992" t="s">
        <v>473</v>
      </c>
      <c r="G992">
        <v>1</v>
      </c>
      <c r="H992">
        <v>1</v>
      </c>
      <c r="I992" t="s">
        <v>97</v>
      </c>
      <c r="J992" s="10">
        <v>379.95</v>
      </c>
      <c r="K992" s="10">
        <v>1139.8499999999999</v>
      </c>
      <c r="L992" s="10">
        <v>0</v>
      </c>
      <c r="N992" s="10">
        <v>0</v>
      </c>
      <c r="O992" t="s">
        <v>99</v>
      </c>
      <c r="P992" s="10">
        <v>759</v>
      </c>
      <c r="S992">
        <v>39</v>
      </c>
      <c r="U992">
        <v>32</v>
      </c>
      <c r="W992">
        <v>29.78</v>
      </c>
      <c r="X992">
        <v>1</v>
      </c>
      <c r="Y992">
        <v>13</v>
      </c>
      <c r="Z992">
        <v>34</v>
      </c>
      <c r="AA992">
        <v>34</v>
      </c>
      <c r="AB992">
        <v>8.6969999999999992</v>
      </c>
      <c r="AC992">
        <v>40.08</v>
      </c>
      <c r="AE992">
        <v>5</v>
      </c>
      <c r="AF992" t="s">
        <v>225</v>
      </c>
      <c r="AG992">
        <v>100</v>
      </c>
      <c r="AK992" t="s">
        <v>98</v>
      </c>
      <c r="AM992" t="s">
        <v>98</v>
      </c>
      <c r="AN992" t="s">
        <v>98</v>
      </c>
      <c r="AO992" t="s">
        <v>99</v>
      </c>
      <c r="AP992" t="s">
        <v>259</v>
      </c>
      <c r="AQ992" t="s">
        <v>101</v>
      </c>
      <c r="AV992" t="s">
        <v>98</v>
      </c>
      <c r="AX992" t="s">
        <v>474</v>
      </c>
      <c r="AZ992" t="s">
        <v>102</v>
      </c>
      <c r="BB992" t="s">
        <v>1417</v>
      </c>
      <c r="BC992" t="s">
        <v>7614</v>
      </c>
      <c r="BD992" t="s">
        <v>7528</v>
      </c>
      <c r="BF992" t="s">
        <v>3110</v>
      </c>
      <c r="BG992" t="s">
        <v>98</v>
      </c>
      <c r="BH992" t="s">
        <v>98</v>
      </c>
      <c r="BI992" t="s">
        <v>98</v>
      </c>
      <c r="BK992" t="s">
        <v>110</v>
      </c>
      <c r="BL992" t="s">
        <v>7528</v>
      </c>
      <c r="BR992">
        <v>0.75</v>
      </c>
      <c r="BT992">
        <v>5.5</v>
      </c>
      <c r="CA992">
        <v>684</v>
      </c>
      <c r="CB992" t="s">
        <v>474</v>
      </c>
      <c r="CL992" t="s">
        <v>98</v>
      </c>
      <c r="CM992" t="s">
        <v>99</v>
      </c>
      <c r="CN992" t="s">
        <v>692</v>
      </c>
      <c r="CO992" s="1">
        <v>36847</v>
      </c>
      <c r="CP992" s="1">
        <v>43633</v>
      </c>
    </row>
    <row r="993" spans="1:94" x14ac:dyDescent="0.25">
      <c r="A993" t="s">
        <v>3111</v>
      </c>
      <c r="B993" t="str">
        <f xml:space="preserve"> "" &amp; 747396006925</f>
        <v>747396006925</v>
      </c>
      <c r="C993" t="s">
        <v>376</v>
      </c>
      <c r="D993" t="s">
        <v>6825</v>
      </c>
      <c r="E993" t="s">
        <v>472</v>
      </c>
      <c r="F993" t="s">
        <v>473</v>
      </c>
      <c r="G993">
        <v>1</v>
      </c>
      <c r="H993">
        <v>1</v>
      </c>
      <c r="I993" t="s">
        <v>97</v>
      </c>
      <c r="J993" s="10">
        <v>87.95</v>
      </c>
      <c r="K993" s="10">
        <v>263.85000000000002</v>
      </c>
      <c r="L993" s="10">
        <v>0</v>
      </c>
      <c r="N993" s="10">
        <v>0</v>
      </c>
      <c r="O993" t="s">
        <v>99</v>
      </c>
      <c r="P993" s="10">
        <v>175.9</v>
      </c>
      <c r="S993">
        <v>7.75</v>
      </c>
      <c r="U993">
        <v>14</v>
      </c>
      <c r="W993">
        <v>5.09</v>
      </c>
      <c r="X993">
        <v>1</v>
      </c>
      <c r="Y993">
        <v>8.5</v>
      </c>
      <c r="Z993">
        <v>18</v>
      </c>
      <c r="AA993">
        <v>16</v>
      </c>
      <c r="AB993">
        <v>1.417</v>
      </c>
      <c r="AC993">
        <v>7.96</v>
      </c>
      <c r="AE993">
        <v>3</v>
      </c>
      <c r="AF993" t="s">
        <v>1864</v>
      </c>
      <c r="AG993">
        <v>40</v>
      </c>
      <c r="AH993">
        <v>0</v>
      </c>
      <c r="AJ993">
        <v>0</v>
      </c>
      <c r="AK993" t="s">
        <v>98</v>
      </c>
      <c r="AM993" t="s">
        <v>98</v>
      </c>
      <c r="AN993" t="s">
        <v>98</v>
      </c>
      <c r="AO993" t="s">
        <v>99</v>
      </c>
      <c r="AP993" t="s">
        <v>100</v>
      </c>
      <c r="AQ993" t="s">
        <v>101</v>
      </c>
      <c r="AV993" t="s">
        <v>98</v>
      </c>
      <c r="AX993" t="s">
        <v>474</v>
      </c>
      <c r="AZ993" t="s">
        <v>102</v>
      </c>
      <c r="BB993" t="s">
        <v>1417</v>
      </c>
      <c r="BC993" t="s">
        <v>7598</v>
      </c>
      <c r="BD993" t="s">
        <v>7528</v>
      </c>
      <c r="BF993" t="s">
        <v>3112</v>
      </c>
      <c r="BG993" t="s">
        <v>98</v>
      </c>
      <c r="BH993" t="s">
        <v>98</v>
      </c>
      <c r="BI993" t="s">
        <v>98</v>
      </c>
      <c r="BK993" t="s">
        <v>127</v>
      </c>
      <c r="BL993" t="s">
        <v>7528</v>
      </c>
      <c r="BT993">
        <v>5.5</v>
      </c>
      <c r="CA993">
        <v>687</v>
      </c>
      <c r="CB993" t="s">
        <v>474</v>
      </c>
      <c r="CL993" t="s">
        <v>98</v>
      </c>
      <c r="CM993" t="s">
        <v>98</v>
      </c>
      <c r="CN993" t="s">
        <v>692</v>
      </c>
      <c r="CO993" s="1">
        <v>37212</v>
      </c>
      <c r="CP993" s="1">
        <v>43633</v>
      </c>
    </row>
    <row r="994" spans="1:94" x14ac:dyDescent="0.25">
      <c r="A994" t="s">
        <v>3113</v>
      </c>
      <c r="B994" t="str">
        <f xml:space="preserve"> "" &amp; 747396077444</f>
        <v>747396077444</v>
      </c>
      <c r="C994" t="s">
        <v>758</v>
      </c>
      <c r="D994" t="s">
        <v>3114</v>
      </c>
      <c r="E994" t="s">
        <v>3115</v>
      </c>
      <c r="F994" t="s">
        <v>323</v>
      </c>
      <c r="G994">
        <v>1</v>
      </c>
      <c r="H994">
        <v>1</v>
      </c>
      <c r="I994" t="s">
        <v>97</v>
      </c>
      <c r="J994" s="10">
        <v>53</v>
      </c>
      <c r="K994" s="10">
        <v>159</v>
      </c>
      <c r="L994" s="10">
        <v>0</v>
      </c>
      <c r="N994" s="10">
        <v>0</v>
      </c>
      <c r="O994" t="s">
        <v>99</v>
      </c>
      <c r="P994" s="10">
        <v>104.95</v>
      </c>
      <c r="S994">
        <v>16.75</v>
      </c>
      <c r="T994">
        <v>19.5</v>
      </c>
      <c r="U994">
        <v>4.5</v>
      </c>
      <c r="V994">
        <v>3.75</v>
      </c>
      <c r="W994">
        <v>4.4800000000000004</v>
      </c>
      <c r="Y994">
        <v>6.75</v>
      </c>
      <c r="Z994">
        <v>19.5</v>
      </c>
      <c r="AA994">
        <v>7.25</v>
      </c>
      <c r="AB994">
        <v>0.55200000000000005</v>
      </c>
      <c r="AC994">
        <v>5.51</v>
      </c>
      <c r="AE994">
        <v>2</v>
      </c>
      <c r="AF994" t="s">
        <v>794</v>
      </c>
      <c r="AG994">
        <v>60</v>
      </c>
      <c r="AK994" t="s">
        <v>98</v>
      </c>
      <c r="AM994" t="s">
        <v>98</v>
      </c>
      <c r="AN994" t="s">
        <v>98</v>
      </c>
      <c r="AO994" t="s">
        <v>99</v>
      </c>
      <c r="AP994" t="s">
        <v>100</v>
      </c>
      <c r="AQ994" t="s">
        <v>101</v>
      </c>
      <c r="AV994" t="s">
        <v>98</v>
      </c>
      <c r="AX994" t="s">
        <v>484</v>
      </c>
      <c r="AZ994" t="s">
        <v>124</v>
      </c>
      <c r="BB994" t="s">
        <v>235</v>
      </c>
      <c r="BC994" t="s">
        <v>7615</v>
      </c>
      <c r="BD994" t="s">
        <v>7528</v>
      </c>
      <c r="BF994" t="s">
        <v>3116</v>
      </c>
      <c r="BG994" t="s">
        <v>98</v>
      </c>
      <c r="BH994" t="s">
        <v>99</v>
      </c>
      <c r="BI994" t="s">
        <v>98</v>
      </c>
      <c r="BK994" t="s">
        <v>127</v>
      </c>
      <c r="BL994" t="s">
        <v>979</v>
      </c>
      <c r="BR994">
        <v>4</v>
      </c>
      <c r="BT994">
        <v>15.75</v>
      </c>
      <c r="CA994">
        <v>6912</v>
      </c>
      <c r="CB994" t="s">
        <v>484</v>
      </c>
      <c r="CL994" t="s">
        <v>98</v>
      </c>
      <c r="CM994" t="s">
        <v>98</v>
      </c>
      <c r="CN994" t="s">
        <v>442</v>
      </c>
      <c r="CO994" s="1">
        <v>40467</v>
      </c>
      <c r="CP994" s="1">
        <v>43633</v>
      </c>
    </row>
    <row r="995" spans="1:94" x14ac:dyDescent="0.25">
      <c r="A995" t="s">
        <v>3117</v>
      </c>
      <c r="B995" t="str">
        <f xml:space="preserve"> "" &amp; 747396077451</f>
        <v>747396077451</v>
      </c>
      <c r="C995" t="s">
        <v>762</v>
      </c>
      <c r="D995" t="s">
        <v>3118</v>
      </c>
      <c r="E995" t="s">
        <v>3115</v>
      </c>
      <c r="F995" t="s">
        <v>323</v>
      </c>
      <c r="G995">
        <v>1</v>
      </c>
      <c r="H995">
        <v>1</v>
      </c>
      <c r="I995" t="s">
        <v>97</v>
      </c>
      <c r="J995" s="10">
        <v>79</v>
      </c>
      <c r="K995" s="10">
        <v>237</v>
      </c>
      <c r="L995" s="10">
        <v>0</v>
      </c>
      <c r="N995" s="10">
        <v>0</v>
      </c>
      <c r="O995" t="s">
        <v>99</v>
      </c>
      <c r="P995" s="10">
        <v>159.94999999999999</v>
      </c>
      <c r="S995">
        <v>26</v>
      </c>
      <c r="T995">
        <v>28.5</v>
      </c>
      <c r="U995">
        <v>4.5</v>
      </c>
      <c r="V995">
        <v>3.75</v>
      </c>
      <c r="W995">
        <v>6.86</v>
      </c>
      <c r="Y995">
        <v>6.75</v>
      </c>
      <c r="Z995">
        <v>28.5</v>
      </c>
      <c r="AA995">
        <v>7.25</v>
      </c>
      <c r="AB995">
        <v>0.80700000000000005</v>
      </c>
      <c r="AC995">
        <v>8.33</v>
      </c>
      <c r="AE995">
        <v>3</v>
      </c>
      <c r="AF995" t="s">
        <v>794</v>
      </c>
      <c r="AG995">
        <v>60</v>
      </c>
      <c r="AK995" t="s">
        <v>98</v>
      </c>
      <c r="AM995" t="s">
        <v>98</v>
      </c>
      <c r="AN995" t="s">
        <v>98</v>
      </c>
      <c r="AO995" t="s">
        <v>99</v>
      </c>
      <c r="AP995" t="s">
        <v>100</v>
      </c>
      <c r="AQ995" t="s">
        <v>101</v>
      </c>
      <c r="AV995" t="s">
        <v>98</v>
      </c>
      <c r="AX995" t="s">
        <v>484</v>
      </c>
      <c r="AZ995" t="s">
        <v>124</v>
      </c>
      <c r="BB995" t="s">
        <v>235</v>
      </c>
      <c r="BC995" t="s">
        <v>7615</v>
      </c>
      <c r="BD995" t="s">
        <v>7528</v>
      </c>
      <c r="BF995" t="s">
        <v>3119</v>
      </c>
      <c r="BG995" t="s">
        <v>98</v>
      </c>
      <c r="BH995" t="s">
        <v>99</v>
      </c>
      <c r="BI995" t="s">
        <v>98</v>
      </c>
      <c r="BK995" t="s">
        <v>127</v>
      </c>
      <c r="BL995" t="s">
        <v>979</v>
      </c>
      <c r="BR995">
        <v>4</v>
      </c>
      <c r="BT995">
        <v>25</v>
      </c>
      <c r="CA995">
        <v>6913</v>
      </c>
      <c r="CB995" t="s">
        <v>484</v>
      </c>
      <c r="CL995" t="s">
        <v>98</v>
      </c>
      <c r="CM995" t="s">
        <v>98</v>
      </c>
      <c r="CN995" t="s">
        <v>442</v>
      </c>
      <c r="CO995" s="1">
        <v>40467</v>
      </c>
      <c r="CP995" s="1">
        <v>43633</v>
      </c>
    </row>
    <row r="996" spans="1:94" x14ac:dyDescent="0.25">
      <c r="A996" t="s">
        <v>3120</v>
      </c>
      <c r="B996" t="str">
        <f xml:space="preserve"> "" &amp; 747396077468</f>
        <v>747396077468</v>
      </c>
      <c r="C996" t="s">
        <v>766</v>
      </c>
      <c r="D996" t="s">
        <v>3121</v>
      </c>
      <c r="E996" t="s">
        <v>3115</v>
      </c>
      <c r="F996" t="s">
        <v>323</v>
      </c>
      <c r="G996">
        <v>1</v>
      </c>
      <c r="H996">
        <v>1</v>
      </c>
      <c r="I996" t="s">
        <v>97</v>
      </c>
      <c r="J996" s="10">
        <v>95</v>
      </c>
      <c r="K996" s="10">
        <v>285</v>
      </c>
      <c r="L996" s="10">
        <v>0</v>
      </c>
      <c r="N996" s="10">
        <v>0</v>
      </c>
      <c r="O996" t="s">
        <v>99</v>
      </c>
      <c r="P996" s="10">
        <v>189.95</v>
      </c>
      <c r="S996">
        <v>37</v>
      </c>
      <c r="U996">
        <v>4.5</v>
      </c>
      <c r="V996">
        <v>3.75</v>
      </c>
      <c r="W996">
        <v>9.48</v>
      </c>
      <c r="Y996">
        <v>6.75</v>
      </c>
      <c r="Z996">
        <v>39.75</v>
      </c>
      <c r="AA996">
        <v>7.25</v>
      </c>
      <c r="AB996">
        <v>1.1259999999999999</v>
      </c>
      <c r="AC996">
        <v>11.6</v>
      </c>
      <c r="AE996">
        <v>4</v>
      </c>
      <c r="AF996" t="s">
        <v>794</v>
      </c>
      <c r="AG996">
        <v>60</v>
      </c>
      <c r="AK996" t="s">
        <v>98</v>
      </c>
      <c r="AM996" t="s">
        <v>98</v>
      </c>
      <c r="AN996" t="s">
        <v>98</v>
      </c>
      <c r="AO996" t="s">
        <v>99</v>
      </c>
      <c r="AP996" t="s">
        <v>100</v>
      </c>
      <c r="AQ996" t="s">
        <v>101</v>
      </c>
      <c r="AV996" t="s">
        <v>98</v>
      </c>
      <c r="AX996" t="s">
        <v>484</v>
      </c>
      <c r="AZ996" t="s">
        <v>124</v>
      </c>
      <c r="BB996" t="s">
        <v>235</v>
      </c>
      <c r="BC996" t="s">
        <v>7615</v>
      </c>
      <c r="BD996" t="s">
        <v>7528</v>
      </c>
      <c r="BF996" t="s">
        <v>3122</v>
      </c>
      <c r="BG996" t="s">
        <v>98</v>
      </c>
      <c r="BH996" t="s">
        <v>99</v>
      </c>
      <c r="BI996" t="s">
        <v>98</v>
      </c>
      <c r="BK996" t="s">
        <v>127</v>
      </c>
      <c r="BL996" t="s">
        <v>979</v>
      </c>
      <c r="BR996">
        <v>4</v>
      </c>
      <c r="BT996">
        <v>36</v>
      </c>
      <c r="CA996">
        <v>6914</v>
      </c>
      <c r="CB996" t="s">
        <v>484</v>
      </c>
      <c r="CL996" t="s">
        <v>98</v>
      </c>
      <c r="CM996" t="s">
        <v>98</v>
      </c>
      <c r="CN996" t="s">
        <v>442</v>
      </c>
      <c r="CO996" s="1">
        <v>40467</v>
      </c>
      <c r="CP996" s="1">
        <v>43633</v>
      </c>
    </row>
    <row r="997" spans="1:94" x14ac:dyDescent="0.25">
      <c r="A997" t="s">
        <v>3123</v>
      </c>
      <c r="B997" t="str">
        <f xml:space="preserve"> "" &amp; 747396108933</f>
        <v>747396108933</v>
      </c>
      <c r="C997" t="s">
        <v>558</v>
      </c>
      <c r="D997" t="s">
        <v>558</v>
      </c>
      <c r="E997" t="s">
        <v>7528</v>
      </c>
      <c r="F997" t="s">
        <v>7532</v>
      </c>
      <c r="G997">
        <v>1</v>
      </c>
      <c r="H997">
        <v>1</v>
      </c>
      <c r="I997" t="s">
        <v>97</v>
      </c>
      <c r="J997" s="10">
        <v>179</v>
      </c>
      <c r="K997" s="10">
        <v>537</v>
      </c>
      <c r="L997" s="10">
        <v>0</v>
      </c>
      <c r="N997" s="10">
        <v>0</v>
      </c>
      <c r="O997" t="s">
        <v>99</v>
      </c>
      <c r="P997" s="10">
        <v>374.95</v>
      </c>
      <c r="S997">
        <v>6.25</v>
      </c>
      <c r="T997">
        <v>20</v>
      </c>
      <c r="U997">
        <v>20</v>
      </c>
      <c r="W997">
        <v>14.18</v>
      </c>
      <c r="X997">
        <v>1</v>
      </c>
      <c r="Y997">
        <v>10.25</v>
      </c>
      <c r="Z997">
        <v>22.5</v>
      </c>
      <c r="AA997">
        <v>22.5</v>
      </c>
      <c r="AB997">
        <v>3.0030000000000001</v>
      </c>
      <c r="AC997">
        <v>18.670000000000002</v>
      </c>
      <c r="AE997">
        <v>1</v>
      </c>
      <c r="AF997" t="s">
        <v>559</v>
      </c>
      <c r="AG997">
        <v>45</v>
      </c>
      <c r="AK997" t="s">
        <v>99</v>
      </c>
      <c r="AM997" t="s">
        <v>98</v>
      </c>
      <c r="AN997" t="s">
        <v>99</v>
      </c>
      <c r="AO997" t="s">
        <v>98</v>
      </c>
      <c r="AP997" t="s">
        <v>100</v>
      </c>
      <c r="AQ997" t="s">
        <v>101</v>
      </c>
      <c r="AV997" t="s">
        <v>98</v>
      </c>
      <c r="AX997" t="s">
        <v>560</v>
      </c>
      <c r="AZ997" t="s">
        <v>124</v>
      </c>
      <c r="BB997" t="s">
        <v>235</v>
      </c>
      <c r="BC997" t="s">
        <v>117</v>
      </c>
      <c r="BD997" t="s">
        <v>7528</v>
      </c>
      <c r="BF997" t="s">
        <v>3124</v>
      </c>
      <c r="BG997" t="s">
        <v>98</v>
      </c>
      <c r="BH997" t="s">
        <v>98</v>
      </c>
      <c r="BI997" t="s">
        <v>98</v>
      </c>
      <c r="BK997" t="s">
        <v>127</v>
      </c>
      <c r="BL997" t="s">
        <v>7528</v>
      </c>
      <c r="BR997">
        <v>1.5</v>
      </c>
      <c r="BS997">
        <v>20</v>
      </c>
      <c r="BT997">
        <v>20</v>
      </c>
      <c r="CA997">
        <v>6917</v>
      </c>
      <c r="CB997" t="s">
        <v>560</v>
      </c>
      <c r="CG997">
        <v>3000</v>
      </c>
      <c r="CH997">
        <v>94</v>
      </c>
      <c r="CI997">
        <v>2898</v>
      </c>
      <c r="CJ997">
        <v>2113</v>
      </c>
      <c r="CK997">
        <v>30000</v>
      </c>
      <c r="CL997" t="s">
        <v>99</v>
      </c>
      <c r="CM997" t="s">
        <v>98</v>
      </c>
      <c r="CN997" t="s">
        <v>442</v>
      </c>
      <c r="CO997" s="1">
        <v>43236</v>
      </c>
      <c r="CP997" s="1">
        <v>43633</v>
      </c>
    </row>
    <row r="998" spans="1:94" x14ac:dyDescent="0.25">
      <c r="A998" t="s">
        <v>3125</v>
      </c>
      <c r="B998" t="str">
        <f xml:space="preserve"> "" &amp; 747396108919</f>
        <v>747396108919</v>
      </c>
      <c r="C998" t="s">
        <v>3126</v>
      </c>
      <c r="D998" t="s">
        <v>558</v>
      </c>
      <c r="E998" t="s">
        <v>7528</v>
      </c>
      <c r="F998" t="s">
        <v>7532</v>
      </c>
      <c r="G998">
        <v>1</v>
      </c>
      <c r="H998">
        <v>1</v>
      </c>
      <c r="I998" t="s">
        <v>97</v>
      </c>
      <c r="J998" s="10">
        <v>179</v>
      </c>
      <c r="K998" s="10">
        <v>537</v>
      </c>
      <c r="L998" s="10">
        <v>0</v>
      </c>
      <c r="N998" s="10">
        <v>0</v>
      </c>
      <c r="O998" t="s">
        <v>99</v>
      </c>
      <c r="P998" s="10">
        <v>374.95</v>
      </c>
      <c r="S998">
        <v>6.25</v>
      </c>
      <c r="T998">
        <v>20</v>
      </c>
      <c r="U998">
        <v>20</v>
      </c>
      <c r="W998">
        <v>14.18</v>
      </c>
      <c r="X998">
        <v>1</v>
      </c>
      <c r="Y998">
        <v>10.25</v>
      </c>
      <c r="Z998">
        <v>22.5</v>
      </c>
      <c r="AA998">
        <v>22.5</v>
      </c>
      <c r="AB998">
        <v>3.0030000000000001</v>
      </c>
      <c r="AC998">
        <v>18.670000000000002</v>
      </c>
      <c r="AE998">
        <v>1</v>
      </c>
      <c r="AF998" t="s">
        <v>559</v>
      </c>
      <c r="AG998">
        <v>45</v>
      </c>
      <c r="AK998" t="s">
        <v>99</v>
      </c>
      <c r="AM998" t="s">
        <v>98</v>
      </c>
      <c r="AN998" t="s">
        <v>99</v>
      </c>
      <c r="AO998" t="s">
        <v>98</v>
      </c>
      <c r="AP998" t="s">
        <v>100</v>
      </c>
      <c r="AQ998" t="s">
        <v>101</v>
      </c>
      <c r="AV998" t="s">
        <v>98</v>
      </c>
      <c r="AX998" t="s">
        <v>367</v>
      </c>
      <c r="AZ998" t="s">
        <v>124</v>
      </c>
      <c r="BB998" t="s">
        <v>235</v>
      </c>
      <c r="BC998" t="s">
        <v>117</v>
      </c>
      <c r="BD998" t="s">
        <v>7528</v>
      </c>
      <c r="BF998" t="s">
        <v>3127</v>
      </c>
      <c r="BG998" t="s">
        <v>98</v>
      </c>
      <c r="BH998" t="s">
        <v>98</v>
      </c>
      <c r="BI998" t="s">
        <v>98</v>
      </c>
      <c r="BK998" t="s">
        <v>127</v>
      </c>
      <c r="BL998" t="s">
        <v>7528</v>
      </c>
      <c r="BR998">
        <v>1.5</v>
      </c>
      <c r="BS998">
        <v>20</v>
      </c>
      <c r="BT998">
        <v>20</v>
      </c>
      <c r="CA998">
        <v>6917</v>
      </c>
      <c r="CB998" t="s">
        <v>367</v>
      </c>
      <c r="CG998">
        <v>3000</v>
      </c>
      <c r="CH998">
        <v>94</v>
      </c>
      <c r="CI998">
        <v>2898</v>
      </c>
      <c r="CJ998">
        <v>2113</v>
      </c>
      <c r="CK998">
        <v>30000</v>
      </c>
      <c r="CL998" t="s">
        <v>99</v>
      </c>
      <c r="CM998" t="s">
        <v>98</v>
      </c>
      <c r="CN998" t="s">
        <v>442</v>
      </c>
      <c r="CO998" s="1">
        <v>43236</v>
      </c>
      <c r="CP998" s="1">
        <v>43633</v>
      </c>
    </row>
    <row r="999" spans="1:94" x14ac:dyDescent="0.25">
      <c r="A999" t="s">
        <v>3128</v>
      </c>
      <c r="B999" t="str">
        <f xml:space="preserve"> "" &amp; 747396108940</f>
        <v>747396108940</v>
      </c>
      <c r="C999" t="s">
        <v>558</v>
      </c>
      <c r="D999" t="s">
        <v>558</v>
      </c>
      <c r="E999" t="s">
        <v>7528</v>
      </c>
      <c r="F999" t="s">
        <v>7532</v>
      </c>
      <c r="G999">
        <v>1</v>
      </c>
      <c r="H999">
        <v>1</v>
      </c>
      <c r="I999" t="s">
        <v>97</v>
      </c>
      <c r="J999" s="10">
        <v>179</v>
      </c>
      <c r="K999" s="10">
        <v>537</v>
      </c>
      <c r="L999" s="10">
        <v>0</v>
      </c>
      <c r="N999" s="10">
        <v>0</v>
      </c>
      <c r="O999" t="s">
        <v>99</v>
      </c>
      <c r="P999" s="10">
        <v>374.95</v>
      </c>
      <c r="S999">
        <v>6.25</v>
      </c>
      <c r="T999">
        <v>20</v>
      </c>
      <c r="U999">
        <v>20</v>
      </c>
      <c r="W999">
        <v>14.18</v>
      </c>
      <c r="X999">
        <v>1</v>
      </c>
      <c r="Y999">
        <v>10.25</v>
      </c>
      <c r="Z999">
        <v>22.5</v>
      </c>
      <c r="AA999">
        <v>22.5</v>
      </c>
      <c r="AB999">
        <v>3.0030000000000001</v>
      </c>
      <c r="AC999">
        <v>18.670000000000002</v>
      </c>
      <c r="AE999">
        <v>1</v>
      </c>
      <c r="AF999" t="s">
        <v>559</v>
      </c>
      <c r="AG999">
        <v>30</v>
      </c>
      <c r="AK999" t="s">
        <v>99</v>
      </c>
      <c r="AM999" t="s">
        <v>98</v>
      </c>
      <c r="AN999" t="s">
        <v>99</v>
      </c>
      <c r="AO999" t="s">
        <v>98</v>
      </c>
      <c r="AP999" t="s">
        <v>100</v>
      </c>
      <c r="AQ999" t="s">
        <v>101</v>
      </c>
      <c r="AV999" t="s">
        <v>98</v>
      </c>
      <c r="AX999" t="s">
        <v>399</v>
      </c>
      <c r="AZ999" t="s">
        <v>124</v>
      </c>
      <c r="BB999" t="s">
        <v>235</v>
      </c>
      <c r="BC999" t="s">
        <v>117</v>
      </c>
      <c r="BD999" t="s">
        <v>7528</v>
      </c>
      <c r="BF999" t="s">
        <v>3129</v>
      </c>
      <c r="BG999" t="s">
        <v>98</v>
      </c>
      <c r="BH999" t="s">
        <v>98</v>
      </c>
      <c r="BI999" t="s">
        <v>98</v>
      </c>
      <c r="BK999" t="s">
        <v>127</v>
      </c>
      <c r="BL999" t="s">
        <v>7528</v>
      </c>
      <c r="BR999">
        <v>1.5</v>
      </c>
      <c r="BS999">
        <v>20</v>
      </c>
      <c r="BT999">
        <v>20</v>
      </c>
      <c r="CA999">
        <v>6917</v>
      </c>
      <c r="CB999" t="s">
        <v>399</v>
      </c>
      <c r="CG999">
        <v>3000</v>
      </c>
      <c r="CH999">
        <v>94</v>
      </c>
      <c r="CI999">
        <v>2898</v>
      </c>
      <c r="CJ999">
        <v>2113</v>
      </c>
      <c r="CK999">
        <v>30000</v>
      </c>
      <c r="CL999" t="s">
        <v>99</v>
      </c>
      <c r="CM999" t="s">
        <v>98</v>
      </c>
      <c r="CN999" t="s">
        <v>442</v>
      </c>
      <c r="CO999" s="1">
        <v>43236</v>
      </c>
      <c r="CP999" s="1">
        <v>43633</v>
      </c>
    </row>
    <row r="1000" spans="1:94" x14ac:dyDescent="0.25">
      <c r="A1000" t="s">
        <v>3130</v>
      </c>
      <c r="B1000" t="str">
        <f xml:space="preserve"> "" &amp; 747396108926</f>
        <v>747396108926</v>
      </c>
      <c r="C1000" t="s">
        <v>558</v>
      </c>
      <c r="D1000" t="s">
        <v>558</v>
      </c>
      <c r="E1000" t="s">
        <v>7528</v>
      </c>
      <c r="F1000" t="s">
        <v>7532</v>
      </c>
      <c r="G1000">
        <v>1</v>
      </c>
      <c r="H1000">
        <v>1</v>
      </c>
      <c r="I1000" t="s">
        <v>97</v>
      </c>
      <c r="J1000" s="10">
        <v>179</v>
      </c>
      <c r="K1000" s="10">
        <v>537</v>
      </c>
      <c r="L1000" s="10">
        <v>0</v>
      </c>
      <c r="N1000" s="10">
        <v>0</v>
      </c>
      <c r="O1000" t="s">
        <v>99</v>
      </c>
      <c r="P1000" s="10">
        <v>374.95</v>
      </c>
      <c r="S1000">
        <v>6.25</v>
      </c>
      <c r="T1000">
        <v>20</v>
      </c>
      <c r="U1000">
        <v>20</v>
      </c>
      <c r="W1000">
        <v>14.18</v>
      </c>
      <c r="X1000">
        <v>1</v>
      </c>
      <c r="Y1000">
        <v>10.25</v>
      </c>
      <c r="Z1000">
        <v>22.5</v>
      </c>
      <c r="AA1000">
        <v>22.5</v>
      </c>
      <c r="AB1000">
        <v>3.0030000000000001</v>
      </c>
      <c r="AC1000">
        <v>18.670000000000002</v>
      </c>
      <c r="AE1000">
        <v>1</v>
      </c>
      <c r="AF1000" t="s">
        <v>559</v>
      </c>
      <c r="AG1000">
        <v>45</v>
      </c>
      <c r="AK1000" t="s">
        <v>99</v>
      </c>
      <c r="AM1000" t="s">
        <v>98</v>
      </c>
      <c r="AN1000" t="s">
        <v>99</v>
      </c>
      <c r="AO1000" t="s">
        <v>98</v>
      </c>
      <c r="AP1000" t="s">
        <v>100</v>
      </c>
      <c r="AQ1000" t="s">
        <v>101</v>
      </c>
      <c r="AV1000" t="s">
        <v>98</v>
      </c>
      <c r="AX1000" t="s">
        <v>279</v>
      </c>
      <c r="AZ1000" t="s">
        <v>102</v>
      </c>
      <c r="BB1000" t="s">
        <v>235</v>
      </c>
      <c r="BC1000" t="s">
        <v>117</v>
      </c>
      <c r="BD1000" t="s">
        <v>7528</v>
      </c>
      <c r="BF1000" t="s">
        <v>3131</v>
      </c>
      <c r="BG1000" t="s">
        <v>98</v>
      </c>
      <c r="BH1000" t="s">
        <v>98</v>
      </c>
      <c r="BI1000" t="s">
        <v>98</v>
      </c>
      <c r="BK1000" t="s">
        <v>127</v>
      </c>
      <c r="BL1000" t="s">
        <v>7528</v>
      </c>
      <c r="BR1000">
        <v>1.5</v>
      </c>
      <c r="BS1000">
        <v>20</v>
      </c>
      <c r="BT1000">
        <v>20</v>
      </c>
      <c r="CA1000">
        <v>6917</v>
      </c>
      <c r="CB1000" t="s">
        <v>279</v>
      </c>
      <c r="CG1000">
        <v>3000</v>
      </c>
      <c r="CH1000">
        <v>94</v>
      </c>
      <c r="CI1000">
        <v>2898</v>
      </c>
      <c r="CJ1000">
        <v>2113</v>
      </c>
      <c r="CK1000">
        <v>30000</v>
      </c>
      <c r="CL1000" t="s">
        <v>99</v>
      </c>
      <c r="CM1000" t="s">
        <v>98</v>
      </c>
      <c r="CN1000" t="s">
        <v>442</v>
      </c>
      <c r="CO1000" s="1">
        <v>43236</v>
      </c>
      <c r="CP1000" s="1">
        <v>43633</v>
      </c>
    </row>
    <row r="1001" spans="1:94" x14ac:dyDescent="0.25">
      <c r="A1001" t="s">
        <v>3132</v>
      </c>
      <c r="B1001" t="str">
        <f xml:space="preserve"> "" &amp; 747396108896</f>
        <v>747396108896</v>
      </c>
      <c r="C1001" t="s">
        <v>558</v>
      </c>
      <c r="D1001" t="s">
        <v>558</v>
      </c>
      <c r="E1001" t="s">
        <v>7528</v>
      </c>
      <c r="F1001" t="s">
        <v>7532</v>
      </c>
      <c r="G1001">
        <v>1</v>
      </c>
      <c r="H1001">
        <v>1</v>
      </c>
      <c r="I1001" t="s">
        <v>97</v>
      </c>
      <c r="J1001" s="10">
        <v>135</v>
      </c>
      <c r="K1001" s="10">
        <v>405</v>
      </c>
      <c r="L1001" s="10">
        <v>0</v>
      </c>
      <c r="N1001" s="10">
        <v>0</v>
      </c>
      <c r="O1001" t="s">
        <v>99</v>
      </c>
      <c r="P1001" s="10">
        <v>284.95</v>
      </c>
      <c r="S1001">
        <v>6</v>
      </c>
      <c r="T1001">
        <v>16</v>
      </c>
      <c r="U1001">
        <v>16</v>
      </c>
      <c r="W1001">
        <v>9.81</v>
      </c>
      <c r="X1001">
        <v>1</v>
      </c>
      <c r="Y1001">
        <v>10.25</v>
      </c>
      <c r="Z1001">
        <v>18.5</v>
      </c>
      <c r="AA1001">
        <v>18.5</v>
      </c>
      <c r="AB1001">
        <v>2.0299999999999998</v>
      </c>
      <c r="AC1001">
        <v>13.07</v>
      </c>
      <c r="AE1001">
        <v>1</v>
      </c>
      <c r="AF1001" t="s">
        <v>559</v>
      </c>
      <c r="AG1001">
        <v>30</v>
      </c>
      <c r="AK1001" t="s">
        <v>99</v>
      </c>
      <c r="AM1001" t="s">
        <v>98</v>
      </c>
      <c r="AN1001" t="s">
        <v>99</v>
      </c>
      <c r="AO1001" t="s">
        <v>98</v>
      </c>
      <c r="AP1001" t="s">
        <v>100</v>
      </c>
      <c r="AQ1001" t="s">
        <v>101</v>
      </c>
      <c r="AV1001" t="s">
        <v>98</v>
      </c>
      <c r="AX1001" t="s">
        <v>560</v>
      </c>
      <c r="AZ1001" t="s">
        <v>124</v>
      </c>
      <c r="BB1001" t="s">
        <v>235</v>
      </c>
      <c r="BC1001" t="s">
        <v>561</v>
      </c>
      <c r="BD1001" t="s">
        <v>7528</v>
      </c>
      <c r="BF1001" t="s">
        <v>3133</v>
      </c>
      <c r="BG1001" t="s">
        <v>98</v>
      </c>
      <c r="BH1001" t="s">
        <v>98</v>
      </c>
      <c r="BI1001" t="s">
        <v>98</v>
      </c>
      <c r="BK1001" t="s">
        <v>127</v>
      </c>
      <c r="BL1001" t="s">
        <v>7528</v>
      </c>
      <c r="BR1001">
        <v>1.38</v>
      </c>
      <c r="BS1001">
        <v>16</v>
      </c>
      <c r="BT1001">
        <v>16</v>
      </c>
      <c r="CA1001">
        <v>6918</v>
      </c>
      <c r="CB1001" t="s">
        <v>560</v>
      </c>
      <c r="CG1001">
        <v>3000</v>
      </c>
      <c r="CH1001">
        <v>93</v>
      </c>
      <c r="CI1001">
        <v>1946</v>
      </c>
      <c r="CJ1001">
        <v>1426</v>
      </c>
      <c r="CK1001">
        <v>30000</v>
      </c>
      <c r="CL1001" t="s">
        <v>99</v>
      </c>
      <c r="CM1001" t="s">
        <v>98</v>
      </c>
      <c r="CN1001" t="s">
        <v>442</v>
      </c>
      <c r="CO1001" s="1">
        <v>43236</v>
      </c>
      <c r="CP1001" s="1">
        <v>43633</v>
      </c>
    </row>
    <row r="1002" spans="1:94" x14ac:dyDescent="0.25">
      <c r="A1002" t="s">
        <v>3134</v>
      </c>
      <c r="B1002" t="str">
        <f xml:space="preserve"> "" &amp; 747396108872</f>
        <v>747396108872</v>
      </c>
      <c r="C1002" t="s">
        <v>558</v>
      </c>
      <c r="D1002" t="s">
        <v>558</v>
      </c>
      <c r="E1002" t="s">
        <v>7528</v>
      </c>
      <c r="F1002" t="s">
        <v>7532</v>
      </c>
      <c r="G1002">
        <v>1</v>
      </c>
      <c r="H1002">
        <v>1</v>
      </c>
      <c r="I1002" t="s">
        <v>97</v>
      </c>
      <c r="J1002" s="10">
        <v>135</v>
      </c>
      <c r="K1002" s="10">
        <v>405</v>
      </c>
      <c r="L1002" s="10">
        <v>0</v>
      </c>
      <c r="N1002" s="10">
        <v>0</v>
      </c>
      <c r="O1002" t="s">
        <v>99</v>
      </c>
      <c r="P1002" s="10">
        <v>284.95</v>
      </c>
      <c r="S1002">
        <v>6</v>
      </c>
      <c r="T1002">
        <v>16</v>
      </c>
      <c r="U1002">
        <v>16</v>
      </c>
      <c r="W1002">
        <v>9.81</v>
      </c>
      <c r="X1002">
        <v>1</v>
      </c>
      <c r="Y1002">
        <v>10.25</v>
      </c>
      <c r="Z1002">
        <v>18.5</v>
      </c>
      <c r="AA1002">
        <v>18.5</v>
      </c>
      <c r="AB1002">
        <v>2.0299999999999998</v>
      </c>
      <c r="AC1002">
        <v>13.07</v>
      </c>
      <c r="AE1002">
        <v>1</v>
      </c>
      <c r="AF1002" t="s">
        <v>559</v>
      </c>
      <c r="AG1002">
        <v>30</v>
      </c>
      <c r="AK1002" t="s">
        <v>99</v>
      </c>
      <c r="AM1002" t="s">
        <v>98</v>
      </c>
      <c r="AN1002" t="s">
        <v>99</v>
      </c>
      <c r="AO1002" t="s">
        <v>98</v>
      </c>
      <c r="AP1002" t="s">
        <v>100</v>
      </c>
      <c r="AQ1002" t="s">
        <v>101</v>
      </c>
      <c r="AV1002" t="s">
        <v>98</v>
      </c>
      <c r="AX1002" t="s">
        <v>367</v>
      </c>
      <c r="AZ1002" t="s">
        <v>124</v>
      </c>
      <c r="BB1002" t="s">
        <v>235</v>
      </c>
      <c r="BC1002" t="s">
        <v>117</v>
      </c>
      <c r="BD1002" t="s">
        <v>7528</v>
      </c>
      <c r="BF1002" t="s">
        <v>3135</v>
      </c>
      <c r="BG1002" t="s">
        <v>98</v>
      </c>
      <c r="BH1002" t="s">
        <v>98</v>
      </c>
      <c r="BI1002" t="s">
        <v>98</v>
      </c>
      <c r="BK1002" t="s">
        <v>127</v>
      </c>
      <c r="BL1002" t="s">
        <v>7528</v>
      </c>
      <c r="BR1002">
        <v>1.38</v>
      </c>
      <c r="BS1002">
        <v>16</v>
      </c>
      <c r="BT1002">
        <v>16</v>
      </c>
      <c r="CA1002">
        <v>6918</v>
      </c>
      <c r="CB1002" t="s">
        <v>367</v>
      </c>
      <c r="CG1002">
        <v>3000</v>
      </c>
      <c r="CH1002">
        <v>93</v>
      </c>
      <c r="CI1002">
        <v>1946</v>
      </c>
      <c r="CJ1002">
        <v>1426</v>
      </c>
      <c r="CK1002">
        <v>30000</v>
      </c>
      <c r="CL1002" t="s">
        <v>99</v>
      </c>
      <c r="CM1002" t="s">
        <v>98</v>
      </c>
      <c r="CN1002" t="s">
        <v>442</v>
      </c>
      <c r="CO1002" s="1">
        <v>43236</v>
      </c>
      <c r="CP1002" s="1">
        <v>43633</v>
      </c>
    </row>
    <row r="1003" spans="1:94" x14ac:dyDescent="0.25">
      <c r="A1003" t="s">
        <v>3136</v>
      </c>
      <c r="B1003" t="str">
        <f xml:space="preserve"> "" &amp; 747396108902</f>
        <v>747396108902</v>
      </c>
      <c r="C1003" t="s">
        <v>558</v>
      </c>
      <c r="D1003" t="s">
        <v>558</v>
      </c>
      <c r="E1003" t="s">
        <v>7528</v>
      </c>
      <c r="F1003" t="s">
        <v>7532</v>
      </c>
      <c r="G1003">
        <v>1</v>
      </c>
      <c r="H1003">
        <v>1</v>
      </c>
      <c r="I1003" t="s">
        <v>97</v>
      </c>
      <c r="J1003" s="10">
        <v>135</v>
      </c>
      <c r="K1003" s="10">
        <v>405</v>
      </c>
      <c r="L1003" s="10">
        <v>0</v>
      </c>
      <c r="N1003" s="10">
        <v>0</v>
      </c>
      <c r="O1003" t="s">
        <v>99</v>
      </c>
      <c r="P1003" s="10">
        <v>284.95</v>
      </c>
      <c r="S1003">
        <v>6</v>
      </c>
      <c r="T1003">
        <v>16</v>
      </c>
      <c r="U1003">
        <v>16</v>
      </c>
      <c r="W1003">
        <v>9.81</v>
      </c>
      <c r="X1003">
        <v>1</v>
      </c>
      <c r="Y1003">
        <v>10.25</v>
      </c>
      <c r="Z1003">
        <v>18.5</v>
      </c>
      <c r="AA1003">
        <v>18.5</v>
      </c>
      <c r="AB1003">
        <v>2.0299999999999998</v>
      </c>
      <c r="AC1003">
        <v>13.07</v>
      </c>
      <c r="AE1003">
        <v>1</v>
      </c>
      <c r="AF1003" t="s">
        <v>559</v>
      </c>
      <c r="AG1003">
        <v>30</v>
      </c>
      <c r="AK1003" t="s">
        <v>99</v>
      </c>
      <c r="AM1003" t="s">
        <v>98</v>
      </c>
      <c r="AN1003" t="s">
        <v>99</v>
      </c>
      <c r="AO1003" t="s">
        <v>98</v>
      </c>
      <c r="AP1003" t="s">
        <v>100</v>
      </c>
      <c r="AQ1003" t="s">
        <v>101</v>
      </c>
      <c r="AV1003" t="s">
        <v>98</v>
      </c>
      <c r="AX1003" t="s">
        <v>399</v>
      </c>
      <c r="AZ1003" t="s">
        <v>124</v>
      </c>
      <c r="BB1003" t="s">
        <v>235</v>
      </c>
      <c r="BC1003" t="s">
        <v>561</v>
      </c>
      <c r="BD1003" t="s">
        <v>7528</v>
      </c>
      <c r="BF1003" t="s">
        <v>3137</v>
      </c>
      <c r="BG1003" t="s">
        <v>98</v>
      </c>
      <c r="BH1003" t="s">
        <v>98</v>
      </c>
      <c r="BI1003" t="s">
        <v>98</v>
      </c>
      <c r="BK1003" t="s">
        <v>127</v>
      </c>
      <c r="BL1003" t="s">
        <v>7528</v>
      </c>
      <c r="BR1003">
        <v>1.38</v>
      </c>
      <c r="BS1003">
        <v>16</v>
      </c>
      <c r="BT1003">
        <v>16</v>
      </c>
      <c r="CA1003">
        <v>6918</v>
      </c>
      <c r="CB1003" t="s">
        <v>399</v>
      </c>
      <c r="CG1003">
        <v>3000</v>
      </c>
      <c r="CH1003">
        <v>93</v>
      </c>
      <c r="CI1003">
        <v>1946</v>
      </c>
      <c r="CJ1003">
        <v>1426</v>
      </c>
      <c r="CK1003">
        <v>30000</v>
      </c>
      <c r="CL1003" t="s">
        <v>99</v>
      </c>
      <c r="CM1003" t="s">
        <v>98</v>
      </c>
      <c r="CN1003" t="s">
        <v>442</v>
      </c>
      <c r="CO1003" s="1">
        <v>43236</v>
      </c>
      <c r="CP1003" s="1">
        <v>43633</v>
      </c>
    </row>
    <row r="1004" spans="1:94" x14ac:dyDescent="0.25">
      <c r="A1004" t="s">
        <v>3138</v>
      </c>
      <c r="B1004" t="str">
        <f xml:space="preserve"> "" &amp; 747396108889</f>
        <v>747396108889</v>
      </c>
      <c r="C1004" t="s">
        <v>558</v>
      </c>
      <c r="D1004" t="s">
        <v>558</v>
      </c>
      <c r="E1004" t="s">
        <v>7528</v>
      </c>
      <c r="F1004" t="s">
        <v>7532</v>
      </c>
      <c r="G1004">
        <v>1</v>
      </c>
      <c r="H1004">
        <v>1</v>
      </c>
      <c r="I1004" t="s">
        <v>97</v>
      </c>
      <c r="J1004" s="10">
        <v>135</v>
      </c>
      <c r="K1004" s="10">
        <v>405</v>
      </c>
      <c r="L1004" s="10">
        <v>0</v>
      </c>
      <c r="N1004" s="10">
        <v>0</v>
      </c>
      <c r="O1004" t="s">
        <v>99</v>
      </c>
      <c r="P1004" s="10">
        <v>284.95</v>
      </c>
      <c r="S1004">
        <v>6</v>
      </c>
      <c r="T1004">
        <v>16</v>
      </c>
      <c r="U1004">
        <v>16</v>
      </c>
      <c r="W1004">
        <v>9.81</v>
      </c>
      <c r="X1004">
        <v>1</v>
      </c>
      <c r="Y1004">
        <v>10.25</v>
      </c>
      <c r="Z1004">
        <v>18.5</v>
      </c>
      <c r="AA1004">
        <v>18.5</v>
      </c>
      <c r="AB1004">
        <v>2.0299999999999998</v>
      </c>
      <c r="AC1004">
        <v>13.07</v>
      </c>
      <c r="AE1004">
        <v>1</v>
      </c>
      <c r="AF1004" t="s">
        <v>559</v>
      </c>
      <c r="AG1004">
        <v>30</v>
      </c>
      <c r="AK1004" t="s">
        <v>99</v>
      </c>
      <c r="AM1004" t="s">
        <v>98</v>
      </c>
      <c r="AN1004" t="s">
        <v>99</v>
      </c>
      <c r="AO1004" t="s">
        <v>98</v>
      </c>
      <c r="AP1004" t="s">
        <v>100</v>
      </c>
      <c r="AQ1004" t="s">
        <v>101</v>
      </c>
      <c r="AV1004" t="s">
        <v>98</v>
      </c>
      <c r="AX1004" t="s">
        <v>279</v>
      </c>
      <c r="AZ1004" t="s">
        <v>124</v>
      </c>
      <c r="BB1004" t="s">
        <v>235</v>
      </c>
      <c r="BC1004" t="s">
        <v>561</v>
      </c>
      <c r="BD1004" t="s">
        <v>7528</v>
      </c>
      <c r="BF1004" t="s">
        <v>3139</v>
      </c>
      <c r="BG1004" t="s">
        <v>98</v>
      </c>
      <c r="BH1004" t="s">
        <v>98</v>
      </c>
      <c r="BI1004" t="s">
        <v>98</v>
      </c>
      <c r="BK1004" t="s">
        <v>127</v>
      </c>
      <c r="BL1004" t="s">
        <v>7528</v>
      </c>
      <c r="BR1004">
        <v>1.38</v>
      </c>
      <c r="BS1004">
        <v>16</v>
      </c>
      <c r="BT1004">
        <v>16</v>
      </c>
      <c r="CA1004">
        <v>6918</v>
      </c>
      <c r="CB1004" t="s">
        <v>279</v>
      </c>
      <c r="CG1004">
        <v>3000</v>
      </c>
      <c r="CH1004">
        <v>93</v>
      </c>
      <c r="CI1004">
        <v>1946</v>
      </c>
      <c r="CJ1004">
        <v>1426</v>
      </c>
      <c r="CK1004">
        <v>30000</v>
      </c>
      <c r="CL1004" t="s">
        <v>99</v>
      </c>
      <c r="CM1004" t="s">
        <v>98</v>
      </c>
      <c r="CN1004" t="s">
        <v>442</v>
      </c>
      <c r="CO1004" s="1">
        <v>43236</v>
      </c>
      <c r="CP1004" s="1">
        <v>43633</v>
      </c>
    </row>
    <row r="1005" spans="1:94" x14ac:dyDescent="0.25">
      <c r="A1005" t="s">
        <v>3140</v>
      </c>
      <c r="B1005" t="str">
        <f xml:space="preserve"> "" &amp; 747396106793</f>
        <v>747396106793</v>
      </c>
      <c r="C1005" t="s">
        <v>569</v>
      </c>
      <c r="D1005" t="s">
        <v>6826</v>
      </c>
      <c r="E1005" t="s">
        <v>7528</v>
      </c>
      <c r="F1005" t="s">
        <v>478</v>
      </c>
      <c r="G1005">
        <v>1</v>
      </c>
      <c r="H1005">
        <v>1</v>
      </c>
      <c r="I1005" t="s">
        <v>97</v>
      </c>
      <c r="J1005" s="10">
        <v>64</v>
      </c>
      <c r="K1005" s="10">
        <v>192</v>
      </c>
      <c r="L1005" s="10">
        <v>0</v>
      </c>
      <c r="N1005" s="10">
        <v>0</v>
      </c>
      <c r="O1005" t="s">
        <v>99</v>
      </c>
      <c r="P1005" s="10">
        <v>134.94999999999999</v>
      </c>
      <c r="S1005">
        <v>5.5</v>
      </c>
      <c r="T1005">
        <v>13</v>
      </c>
      <c r="U1005">
        <v>13</v>
      </c>
      <c r="W1005">
        <v>7.5</v>
      </c>
      <c r="X1005">
        <v>1</v>
      </c>
      <c r="Y1005">
        <v>8.5</v>
      </c>
      <c r="Z1005">
        <v>15.5</v>
      </c>
      <c r="AA1005">
        <v>15.5</v>
      </c>
      <c r="AB1005">
        <v>1.1819999999999999</v>
      </c>
      <c r="AC1005">
        <v>9.41</v>
      </c>
      <c r="AE1005">
        <v>2</v>
      </c>
      <c r="AF1005" t="s">
        <v>282</v>
      </c>
      <c r="AG1005">
        <v>60</v>
      </c>
      <c r="AK1005" t="s">
        <v>98</v>
      </c>
      <c r="AM1005" t="s">
        <v>98</v>
      </c>
      <c r="AN1005" t="s">
        <v>98</v>
      </c>
      <c r="AO1005" t="s">
        <v>99</v>
      </c>
      <c r="AP1005" t="s">
        <v>100</v>
      </c>
      <c r="AQ1005" t="s">
        <v>101</v>
      </c>
      <c r="AV1005" t="s">
        <v>98</v>
      </c>
      <c r="AX1005" t="s">
        <v>560</v>
      </c>
      <c r="AZ1005" t="s">
        <v>124</v>
      </c>
      <c r="BB1005" t="s">
        <v>235</v>
      </c>
      <c r="BC1005" t="s">
        <v>561</v>
      </c>
      <c r="BD1005" t="s">
        <v>7528</v>
      </c>
      <c r="BF1005" t="s">
        <v>3141</v>
      </c>
      <c r="BG1005" t="s">
        <v>98</v>
      </c>
      <c r="BH1005" t="s">
        <v>98</v>
      </c>
      <c r="BI1005" t="s">
        <v>98</v>
      </c>
      <c r="BK1005" t="s">
        <v>127</v>
      </c>
      <c r="BL1005" t="s">
        <v>7528</v>
      </c>
      <c r="BR1005">
        <v>1.5</v>
      </c>
      <c r="BS1005">
        <v>13</v>
      </c>
      <c r="BT1005">
        <v>13</v>
      </c>
      <c r="CA1005">
        <v>6919</v>
      </c>
      <c r="CB1005" t="s">
        <v>560</v>
      </c>
      <c r="CL1005" t="s">
        <v>99</v>
      </c>
      <c r="CM1005" t="s">
        <v>98</v>
      </c>
      <c r="CN1005" t="s">
        <v>442</v>
      </c>
      <c r="CO1005" s="1">
        <v>43038</v>
      </c>
      <c r="CP1005" s="1">
        <v>43633</v>
      </c>
    </row>
    <row r="1006" spans="1:94" x14ac:dyDescent="0.25">
      <c r="A1006" t="s">
        <v>3142</v>
      </c>
      <c r="B1006" t="str">
        <f xml:space="preserve"> "" &amp; 747396077512</f>
        <v>747396077512</v>
      </c>
      <c r="C1006" t="s">
        <v>569</v>
      </c>
      <c r="D1006" t="s">
        <v>6826</v>
      </c>
      <c r="E1006" t="s">
        <v>7528</v>
      </c>
      <c r="F1006" t="s">
        <v>478</v>
      </c>
      <c r="G1006">
        <v>1</v>
      </c>
      <c r="H1006">
        <v>1</v>
      </c>
      <c r="I1006" t="s">
        <v>97</v>
      </c>
      <c r="J1006" s="10">
        <v>64</v>
      </c>
      <c r="K1006" s="10">
        <v>192</v>
      </c>
      <c r="L1006" s="10">
        <v>0</v>
      </c>
      <c r="N1006" s="10">
        <v>0</v>
      </c>
      <c r="O1006" t="s">
        <v>99</v>
      </c>
      <c r="P1006" s="10">
        <v>134.94999999999999</v>
      </c>
      <c r="S1006">
        <v>5.5</v>
      </c>
      <c r="T1006">
        <v>13</v>
      </c>
      <c r="U1006">
        <v>13</v>
      </c>
      <c r="W1006">
        <v>7.5</v>
      </c>
      <c r="Y1006">
        <v>8.5</v>
      </c>
      <c r="Z1006">
        <v>15.5</v>
      </c>
      <c r="AA1006">
        <v>15.5</v>
      </c>
      <c r="AB1006">
        <v>1.1819999999999999</v>
      </c>
      <c r="AC1006">
        <v>9.41</v>
      </c>
      <c r="AE1006">
        <v>2</v>
      </c>
      <c r="AF1006" t="s">
        <v>282</v>
      </c>
      <c r="AG1006">
        <v>60</v>
      </c>
      <c r="AK1006" t="s">
        <v>98</v>
      </c>
      <c r="AM1006" t="s">
        <v>98</v>
      </c>
      <c r="AN1006" t="s">
        <v>98</v>
      </c>
      <c r="AO1006" t="s">
        <v>99</v>
      </c>
      <c r="AP1006" t="s">
        <v>100</v>
      </c>
      <c r="AQ1006" t="s">
        <v>101</v>
      </c>
      <c r="AV1006" t="s">
        <v>98</v>
      </c>
      <c r="AX1006" t="s">
        <v>367</v>
      </c>
      <c r="AZ1006" t="s">
        <v>124</v>
      </c>
      <c r="BB1006" t="s">
        <v>235</v>
      </c>
      <c r="BC1006" t="s">
        <v>117</v>
      </c>
      <c r="BD1006" t="s">
        <v>7528</v>
      </c>
      <c r="BF1006" t="s">
        <v>3143</v>
      </c>
      <c r="BG1006" t="s">
        <v>98</v>
      </c>
      <c r="BH1006" t="s">
        <v>98</v>
      </c>
      <c r="BI1006" t="s">
        <v>98</v>
      </c>
      <c r="BK1006" t="s">
        <v>127</v>
      </c>
      <c r="BL1006" t="s">
        <v>7528</v>
      </c>
      <c r="BR1006">
        <v>1.5</v>
      </c>
      <c r="BS1006">
        <v>13</v>
      </c>
      <c r="BT1006">
        <v>13</v>
      </c>
      <c r="CA1006">
        <v>6919</v>
      </c>
      <c r="CB1006" t="s">
        <v>367</v>
      </c>
      <c r="CL1006" t="s">
        <v>99</v>
      </c>
      <c r="CM1006" t="s">
        <v>98</v>
      </c>
      <c r="CN1006" t="s">
        <v>442</v>
      </c>
      <c r="CO1006" s="1">
        <v>40466</v>
      </c>
      <c r="CP1006" s="1">
        <v>43633</v>
      </c>
    </row>
    <row r="1007" spans="1:94" x14ac:dyDescent="0.25">
      <c r="A1007" t="s">
        <v>3144</v>
      </c>
      <c r="B1007" t="str">
        <f xml:space="preserve"> "" &amp; 747396077475</f>
        <v>747396077475</v>
      </c>
      <c r="C1007" t="s">
        <v>476</v>
      </c>
      <c r="D1007" t="s">
        <v>3145</v>
      </c>
      <c r="E1007" t="s">
        <v>3115</v>
      </c>
      <c r="F1007" t="s">
        <v>478</v>
      </c>
      <c r="G1007">
        <v>1</v>
      </c>
      <c r="H1007">
        <v>1</v>
      </c>
      <c r="I1007" t="s">
        <v>97</v>
      </c>
      <c r="J1007" s="10">
        <v>64</v>
      </c>
      <c r="K1007" s="10">
        <v>192</v>
      </c>
      <c r="L1007" s="10">
        <v>0</v>
      </c>
      <c r="N1007" s="10">
        <v>0</v>
      </c>
      <c r="O1007" t="s">
        <v>99</v>
      </c>
      <c r="P1007" s="10">
        <v>134.94999999999999</v>
      </c>
      <c r="S1007">
        <v>5.5</v>
      </c>
      <c r="T1007">
        <v>13</v>
      </c>
      <c r="U1007">
        <v>13</v>
      </c>
      <c r="W1007">
        <v>6.86</v>
      </c>
      <c r="Y1007">
        <v>8.5</v>
      </c>
      <c r="Z1007">
        <v>15.5</v>
      </c>
      <c r="AA1007">
        <v>15.5</v>
      </c>
      <c r="AB1007">
        <v>1.1819999999999999</v>
      </c>
      <c r="AC1007">
        <v>8.51</v>
      </c>
      <c r="AE1007">
        <v>2</v>
      </c>
      <c r="AF1007" t="s">
        <v>3146</v>
      </c>
      <c r="AG1007">
        <v>60</v>
      </c>
      <c r="AK1007" t="s">
        <v>98</v>
      </c>
      <c r="AM1007" t="s">
        <v>98</v>
      </c>
      <c r="AN1007" t="s">
        <v>98</v>
      </c>
      <c r="AO1007" t="s">
        <v>99</v>
      </c>
      <c r="AP1007" t="s">
        <v>100</v>
      </c>
      <c r="AQ1007" t="s">
        <v>101</v>
      </c>
      <c r="AV1007" t="s">
        <v>98</v>
      </c>
      <c r="AX1007" t="s">
        <v>484</v>
      </c>
      <c r="AZ1007" t="s">
        <v>124</v>
      </c>
      <c r="BB1007" t="s">
        <v>235</v>
      </c>
      <c r="BC1007" t="s">
        <v>7615</v>
      </c>
      <c r="BD1007" t="s">
        <v>7528</v>
      </c>
      <c r="BF1007" t="s">
        <v>3147</v>
      </c>
      <c r="BG1007" t="s">
        <v>98</v>
      </c>
      <c r="BH1007" t="s">
        <v>98</v>
      </c>
      <c r="BI1007" t="s">
        <v>98</v>
      </c>
      <c r="BK1007" t="s">
        <v>127</v>
      </c>
      <c r="BL1007" t="s">
        <v>7528</v>
      </c>
      <c r="BR1007">
        <v>1.5</v>
      </c>
      <c r="BS1007">
        <v>13</v>
      </c>
      <c r="BT1007">
        <v>13</v>
      </c>
      <c r="CA1007">
        <v>6919</v>
      </c>
      <c r="CB1007" t="s">
        <v>484</v>
      </c>
      <c r="CL1007" t="s">
        <v>99</v>
      </c>
      <c r="CM1007" t="s">
        <v>98</v>
      </c>
      <c r="CN1007" t="s">
        <v>442</v>
      </c>
      <c r="CO1007" s="1">
        <v>40361</v>
      </c>
      <c r="CP1007" s="1">
        <v>43633</v>
      </c>
    </row>
    <row r="1008" spans="1:94" x14ac:dyDescent="0.25">
      <c r="A1008" t="s">
        <v>3148</v>
      </c>
      <c r="B1008" t="str">
        <f xml:space="preserve"> "" &amp; 747396106786</f>
        <v>747396106786</v>
      </c>
      <c r="C1008" t="s">
        <v>569</v>
      </c>
      <c r="D1008" t="s">
        <v>476</v>
      </c>
      <c r="E1008" t="s">
        <v>7528</v>
      </c>
      <c r="F1008" t="s">
        <v>478</v>
      </c>
      <c r="G1008">
        <v>1</v>
      </c>
      <c r="H1008">
        <v>1</v>
      </c>
      <c r="I1008" t="s">
        <v>97</v>
      </c>
      <c r="J1008" s="10">
        <v>64</v>
      </c>
      <c r="K1008" s="10">
        <v>192</v>
      </c>
      <c r="L1008" s="10">
        <v>0</v>
      </c>
      <c r="N1008" s="10">
        <v>0</v>
      </c>
      <c r="O1008" t="s">
        <v>99</v>
      </c>
      <c r="P1008" s="10">
        <v>134.94999999999999</v>
      </c>
      <c r="S1008">
        <v>5.5</v>
      </c>
      <c r="T1008">
        <v>13</v>
      </c>
      <c r="U1008">
        <v>13</v>
      </c>
      <c r="W1008">
        <v>7.5</v>
      </c>
      <c r="X1008">
        <v>1</v>
      </c>
      <c r="Y1008">
        <v>8.5</v>
      </c>
      <c r="Z1008">
        <v>15.5</v>
      </c>
      <c r="AA1008">
        <v>15.5</v>
      </c>
      <c r="AB1008">
        <v>1.1819999999999999</v>
      </c>
      <c r="AC1008">
        <v>9.41</v>
      </c>
      <c r="AE1008">
        <v>2</v>
      </c>
      <c r="AF1008" t="s">
        <v>282</v>
      </c>
      <c r="AG1008">
        <v>60</v>
      </c>
      <c r="AK1008" t="s">
        <v>98</v>
      </c>
      <c r="AM1008" t="s">
        <v>98</v>
      </c>
      <c r="AN1008" t="s">
        <v>98</v>
      </c>
      <c r="AO1008" t="s">
        <v>99</v>
      </c>
      <c r="AP1008" t="s">
        <v>100</v>
      </c>
      <c r="AQ1008" t="s">
        <v>101</v>
      </c>
      <c r="AV1008" t="s">
        <v>98</v>
      </c>
      <c r="AX1008" t="s">
        <v>399</v>
      </c>
      <c r="AZ1008" t="s">
        <v>124</v>
      </c>
      <c r="BB1008" t="s">
        <v>235</v>
      </c>
      <c r="BC1008" t="s">
        <v>561</v>
      </c>
      <c r="BD1008" t="s">
        <v>7528</v>
      </c>
      <c r="BF1008" t="s">
        <v>3149</v>
      </c>
      <c r="BG1008" t="s">
        <v>98</v>
      </c>
      <c r="BH1008" t="s">
        <v>98</v>
      </c>
      <c r="BI1008" t="s">
        <v>98</v>
      </c>
      <c r="BK1008" t="s">
        <v>127</v>
      </c>
      <c r="BL1008" t="s">
        <v>7528</v>
      </c>
      <c r="BR1008">
        <v>1.5</v>
      </c>
      <c r="BS1008">
        <v>13</v>
      </c>
      <c r="BT1008">
        <v>13</v>
      </c>
      <c r="CA1008">
        <v>6919</v>
      </c>
      <c r="CB1008" t="s">
        <v>399</v>
      </c>
      <c r="CL1008" t="s">
        <v>99</v>
      </c>
      <c r="CM1008" t="s">
        <v>98</v>
      </c>
      <c r="CN1008" t="s">
        <v>442</v>
      </c>
      <c r="CO1008" s="1">
        <v>43038</v>
      </c>
      <c r="CP1008" s="1">
        <v>43633</v>
      </c>
    </row>
    <row r="1009" spans="1:94" x14ac:dyDescent="0.25">
      <c r="A1009" t="s">
        <v>3150</v>
      </c>
      <c r="B1009" t="str">
        <f xml:space="preserve"> "" &amp; 747396106809</f>
        <v>747396106809</v>
      </c>
      <c r="C1009" t="s">
        <v>569</v>
      </c>
      <c r="D1009" t="s">
        <v>476</v>
      </c>
      <c r="E1009" t="s">
        <v>7528</v>
      </c>
      <c r="F1009" t="s">
        <v>478</v>
      </c>
      <c r="G1009">
        <v>1</v>
      </c>
      <c r="H1009">
        <v>1</v>
      </c>
      <c r="I1009" t="s">
        <v>97</v>
      </c>
      <c r="J1009" s="10">
        <v>64</v>
      </c>
      <c r="K1009" s="10">
        <v>192</v>
      </c>
      <c r="L1009" s="10">
        <v>0</v>
      </c>
      <c r="N1009" s="10">
        <v>0</v>
      </c>
      <c r="O1009" t="s">
        <v>99</v>
      </c>
      <c r="P1009" s="10">
        <v>134.94999999999999</v>
      </c>
      <c r="S1009">
        <v>5.5</v>
      </c>
      <c r="T1009">
        <v>13</v>
      </c>
      <c r="U1009">
        <v>13</v>
      </c>
      <c r="W1009">
        <v>7.5</v>
      </c>
      <c r="X1009">
        <v>1</v>
      </c>
      <c r="Y1009">
        <v>8.5</v>
      </c>
      <c r="Z1009">
        <v>15.5</v>
      </c>
      <c r="AA1009">
        <v>15.5</v>
      </c>
      <c r="AB1009">
        <v>1.1819999999999999</v>
      </c>
      <c r="AC1009">
        <v>9.41</v>
      </c>
      <c r="AE1009">
        <v>2</v>
      </c>
      <c r="AF1009" t="s">
        <v>282</v>
      </c>
      <c r="AG1009">
        <v>60</v>
      </c>
      <c r="AK1009" t="s">
        <v>98</v>
      </c>
      <c r="AM1009" t="s">
        <v>98</v>
      </c>
      <c r="AN1009" t="s">
        <v>98</v>
      </c>
      <c r="AO1009" t="s">
        <v>99</v>
      </c>
      <c r="AP1009" t="s">
        <v>100</v>
      </c>
      <c r="AQ1009" t="s">
        <v>101</v>
      </c>
      <c r="AV1009" t="s">
        <v>98</v>
      </c>
      <c r="AX1009" t="s">
        <v>279</v>
      </c>
      <c r="AZ1009" t="s">
        <v>124</v>
      </c>
      <c r="BB1009" t="s">
        <v>235</v>
      </c>
      <c r="BC1009" t="s">
        <v>561</v>
      </c>
      <c r="BD1009" t="s">
        <v>7528</v>
      </c>
      <c r="BF1009" t="s">
        <v>3151</v>
      </c>
      <c r="BG1009" t="s">
        <v>98</v>
      </c>
      <c r="BH1009" t="s">
        <v>98</v>
      </c>
      <c r="BI1009" t="s">
        <v>98</v>
      </c>
      <c r="BK1009" t="s">
        <v>127</v>
      </c>
      <c r="BL1009" t="s">
        <v>7528</v>
      </c>
      <c r="BR1009">
        <v>1.5</v>
      </c>
      <c r="BS1009">
        <v>13</v>
      </c>
      <c r="BT1009">
        <v>13</v>
      </c>
      <c r="CA1009">
        <v>6919</v>
      </c>
      <c r="CB1009" t="s">
        <v>279</v>
      </c>
      <c r="CL1009" t="s">
        <v>99</v>
      </c>
      <c r="CM1009" t="s">
        <v>98</v>
      </c>
      <c r="CN1009" t="s">
        <v>442</v>
      </c>
      <c r="CO1009" s="1">
        <v>43038</v>
      </c>
      <c r="CP1009" s="1">
        <v>43633</v>
      </c>
    </row>
    <row r="1010" spans="1:94" x14ac:dyDescent="0.25">
      <c r="A1010" t="s">
        <v>3152</v>
      </c>
      <c r="B1010" t="str">
        <f xml:space="preserve"> "" &amp; 747396090702</f>
        <v>747396090702</v>
      </c>
      <c r="C1010" t="s">
        <v>751</v>
      </c>
      <c r="D1010" t="s">
        <v>3153</v>
      </c>
      <c r="E1010" t="s">
        <v>2649</v>
      </c>
      <c r="F1010" t="s">
        <v>323</v>
      </c>
      <c r="G1010">
        <v>1</v>
      </c>
      <c r="H1010">
        <v>1</v>
      </c>
      <c r="I1010" t="s">
        <v>97</v>
      </c>
      <c r="J1010" s="10">
        <v>30</v>
      </c>
      <c r="K1010" s="10">
        <v>90</v>
      </c>
      <c r="L1010" s="10">
        <v>0</v>
      </c>
      <c r="N1010" s="10">
        <v>0</v>
      </c>
      <c r="O1010" t="s">
        <v>99</v>
      </c>
      <c r="P1010" s="10">
        <v>59.95</v>
      </c>
      <c r="S1010">
        <v>9</v>
      </c>
      <c r="T1010">
        <v>9</v>
      </c>
      <c r="U1010">
        <v>4.5</v>
      </c>
      <c r="V1010">
        <v>5.75</v>
      </c>
      <c r="W1010">
        <v>1.83</v>
      </c>
      <c r="X1010">
        <v>1</v>
      </c>
      <c r="Y1010">
        <v>12.25</v>
      </c>
      <c r="Z1010">
        <v>9</v>
      </c>
      <c r="AA1010">
        <v>6.5</v>
      </c>
      <c r="AB1010">
        <v>0.41499999999999998</v>
      </c>
      <c r="AC1010">
        <v>2.27</v>
      </c>
      <c r="AE1010">
        <v>1</v>
      </c>
      <c r="AF1010" t="s">
        <v>282</v>
      </c>
      <c r="AG1010">
        <v>100</v>
      </c>
      <c r="AK1010" t="s">
        <v>98</v>
      </c>
      <c r="AM1010" t="s">
        <v>98</v>
      </c>
      <c r="AN1010" t="s">
        <v>99</v>
      </c>
      <c r="AO1010" t="s">
        <v>98</v>
      </c>
      <c r="AP1010" t="s">
        <v>100</v>
      </c>
      <c r="AQ1010" t="s">
        <v>101</v>
      </c>
      <c r="AV1010" t="s">
        <v>98</v>
      </c>
      <c r="AX1010" t="s">
        <v>1257</v>
      </c>
      <c r="AZ1010" t="s">
        <v>102</v>
      </c>
      <c r="BB1010" t="s">
        <v>235</v>
      </c>
      <c r="BC1010" t="s">
        <v>561</v>
      </c>
      <c r="BD1010" t="s">
        <v>7528</v>
      </c>
      <c r="BF1010" t="s">
        <v>3154</v>
      </c>
      <c r="BG1010" t="s">
        <v>98</v>
      </c>
      <c r="BH1010" t="s">
        <v>98</v>
      </c>
      <c r="BI1010" t="s">
        <v>98</v>
      </c>
      <c r="BK1010" t="s">
        <v>127</v>
      </c>
      <c r="BL1010" t="s">
        <v>756</v>
      </c>
      <c r="BM1010">
        <v>4.5</v>
      </c>
      <c r="BN1010">
        <v>5</v>
      </c>
      <c r="CA1010">
        <v>6961</v>
      </c>
      <c r="CB1010" t="s">
        <v>1257</v>
      </c>
      <c r="CL1010" t="s">
        <v>99</v>
      </c>
      <c r="CM1010" t="s">
        <v>98</v>
      </c>
      <c r="CN1010" t="s">
        <v>442</v>
      </c>
      <c r="CO1010" s="1">
        <v>41604</v>
      </c>
      <c r="CP1010" s="1">
        <v>43633</v>
      </c>
    </row>
    <row r="1011" spans="1:94" x14ac:dyDescent="0.25">
      <c r="A1011" t="s">
        <v>3155</v>
      </c>
      <c r="B1011" t="str">
        <f xml:space="preserve"> "" &amp; 747396068480</f>
        <v>747396068480</v>
      </c>
      <c r="C1011" t="s">
        <v>751</v>
      </c>
      <c r="D1011" t="s">
        <v>3153</v>
      </c>
      <c r="E1011" t="s">
        <v>2649</v>
      </c>
      <c r="F1011" t="s">
        <v>323</v>
      </c>
      <c r="G1011">
        <v>1</v>
      </c>
      <c r="H1011">
        <v>1</v>
      </c>
      <c r="I1011" t="s">
        <v>97</v>
      </c>
      <c r="J1011" s="10">
        <v>30</v>
      </c>
      <c r="K1011" s="10">
        <v>90</v>
      </c>
      <c r="L1011" s="10">
        <v>0</v>
      </c>
      <c r="N1011" s="10">
        <v>0</v>
      </c>
      <c r="O1011" t="s">
        <v>99</v>
      </c>
      <c r="P1011" s="10">
        <v>59.95</v>
      </c>
      <c r="S1011">
        <v>9</v>
      </c>
      <c r="T1011">
        <v>9</v>
      </c>
      <c r="U1011">
        <v>4.5</v>
      </c>
      <c r="V1011">
        <v>5.75</v>
      </c>
      <c r="W1011">
        <v>1.83</v>
      </c>
      <c r="X1011">
        <v>1</v>
      </c>
      <c r="Y1011">
        <v>12.25</v>
      </c>
      <c r="Z1011">
        <v>9</v>
      </c>
      <c r="AA1011">
        <v>6.5</v>
      </c>
      <c r="AB1011">
        <v>0.41499999999999998</v>
      </c>
      <c r="AC1011">
        <v>2.27</v>
      </c>
      <c r="AE1011">
        <v>1</v>
      </c>
      <c r="AF1011" t="s">
        <v>282</v>
      </c>
      <c r="AG1011">
        <v>100</v>
      </c>
      <c r="AK1011" t="s">
        <v>98</v>
      </c>
      <c r="AM1011" t="s">
        <v>98</v>
      </c>
      <c r="AN1011" t="s">
        <v>99</v>
      </c>
      <c r="AO1011" t="s">
        <v>98</v>
      </c>
      <c r="AP1011" t="s">
        <v>100</v>
      </c>
      <c r="AQ1011" t="s">
        <v>101</v>
      </c>
      <c r="AV1011" t="s">
        <v>98</v>
      </c>
      <c r="AX1011" t="s">
        <v>279</v>
      </c>
      <c r="AZ1011" t="s">
        <v>102</v>
      </c>
      <c r="BB1011" t="s">
        <v>235</v>
      </c>
      <c r="BC1011" t="s">
        <v>808</v>
      </c>
      <c r="BD1011" t="s">
        <v>7528</v>
      </c>
      <c r="BF1011" t="s">
        <v>3156</v>
      </c>
      <c r="BG1011" t="s">
        <v>98</v>
      </c>
      <c r="BH1011" t="s">
        <v>98</v>
      </c>
      <c r="BI1011" t="s">
        <v>98</v>
      </c>
      <c r="BK1011" t="s">
        <v>127</v>
      </c>
      <c r="BL1011" t="s">
        <v>7528</v>
      </c>
      <c r="BM1011">
        <v>4.5</v>
      </c>
      <c r="BN1011">
        <v>7</v>
      </c>
      <c r="CA1011">
        <v>6961</v>
      </c>
      <c r="CB1011" t="s">
        <v>279</v>
      </c>
      <c r="CL1011" t="s">
        <v>99</v>
      </c>
      <c r="CM1011" t="s">
        <v>98</v>
      </c>
      <c r="CN1011" t="s">
        <v>3157</v>
      </c>
      <c r="CO1011" s="1">
        <v>41425</v>
      </c>
      <c r="CP1011" s="1">
        <v>43633</v>
      </c>
    </row>
    <row r="1012" spans="1:94" x14ac:dyDescent="0.25">
      <c r="A1012" t="s">
        <v>3158</v>
      </c>
      <c r="B1012" t="str">
        <f xml:space="preserve"> "" &amp; 747396090719</f>
        <v>747396090719</v>
      </c>
      <c r="C1012" t="s">
        <v>758</v>
      </c>
      <c r="D1012" t="s">
        <v>6827</v>
      </c>
      <c r="E1012" t="s">
        <v>2649</v>
      </c>
      <c r="F1012" t="s">
        <v>323</v>
      </c>
      <c r="G1012">
        <v>1</v>
      </c>
      <c r="H1012">
        <v>1</v>
      </c>
      <c r="I1012" t="s">
        <v>97</v>
      </c>
      <c r="J1012" s="10">
        <v>54</v>
      </c>
      <c r="K1012" s="10">
        <v>162</v>
      </c>
      <c r="L1012" s="10">
        <v>0</v>
      </c>
      <c r="N1012" s="10">
        <v>0</v>
      </c>
      <c r="O1012" t="s">
        <v>99</v>
      </c>
      <c r="P1012" s="10">
        <v>109.95</v>
      </c>
      <c r="S1012">
        <v>8.25</v>
      </c>
      <c r="T1012">
        <v>13.5</v>
      </c>
      <c r="U1012">
        <v>13</v>
      </c>
      <c r="V1012">
        <v>5.75</v>
      </c>
      <c r="W1012">
        <v>3.15</v>
      </c>
      <c r="X1012">
        <v>1</v>
      </c>
      <c r="Y1012">
        <v>12.5</v>
      </c>
      <c r="Z1012">
        <v>13.5</v>
      </c>
      <c r="AA1012">
        <v>8.5</v>
      </c>
      <c r="AB1012">
        <v>0.83</v>
      </c>
      <c r="AC1012">
        <v>4.0599999999999996</v>
      </c>
      <c r="AE1012">
        <v>2</v>
      </c>
      <c r="AF1012" t="s">
        <v>598</v>
      </c>
      <c r="AG1012">
        <v>100</v>
      </c>
      <c r="AK1012" t="s">
        <v>98</v>
      </c>
      <c r="AM1012" t="s">
        <v>98</v>
      </c>
      <c r="AN1012" t="s">
        <v>99</v>
      </c>
      <c r="AO1012" t="s">
        <v>98</v>
      </c>
      <c r="AP1012" t="s">
        <v>100</v>
      </c>
      <c r="AQ1012" t="s">
        <v>101</v>
      </c>
      <c r="AV1012" t="s">
        <v>98</v>
      </c>
      <c r="AX1012" t="s">
        <v>1257</v>
      </c>
      <c r="AZ1012" t="s">
        <v>102</v>
      </c>
      <c r="BB1012" t="s">
        <v>235</v>
      </c>
      <c r="BC1012" t="s">
        <v>808</v>
      </c>
      <c r="BD1012" t="s">
        <v>7528</v>
      </c>
      <c r="BF1012" t="s">
        <v>3159</v>
      </c>
      <c r="BG1012" t="s">
        <v>98</v>
      </c>
      <c r="BH1012" t="s">
        <v>98</v>
      </c>
      <c r="BI1012" t="s">
        <v>98</v>
      </c>
      <c r="BK1012" t="s">
        <v>127</v>
      </c>
      <c r="BL1012" t="s">
        <v>7528</v>
      </c>
      <c r="BM1012">
        <v>7</v>
      </c>
      <c r="BN1012">
        <v>4.5</v>
      </c>
      <c r="CA1012">
        <v>6962</v>
      </c>
      <c r="CB1012" t="s">
        <v>1257</v>
      </c>
      <c r="CL1012" t="s">
        <v>99</v>
      </c>
      <c r="CM1012" t="s">
        <v>98</v>
      </c>
      <c r="CN1012" t="s">
        <v>592</v>
      </c>
      <c r="CO1012" s="1">
        <v>41604</v>
      </c>
      <c r="CP1012" s="1">
        <v>43633</v>
      </c>
    </row>
    <row r="1013" spans="1:94" x14ac:dyDescent="0.25">
      <c r="A1013" t="s">
        <v>3160</v>
      </c>
      <c r="B1013" t="str">
        <f xml:space="preserve"> "" &amp; 747396068527</f>
        <v>747396068527</v>
      </c>
      <c r="C1013" t="s">
        <v>758</v>
      </c>
      <c r="D1013" t="s">
        <v>6828</v>
      </c>
      <c r="E1013" t="s">
        <v>2649</v>
      </c>
      <c r="F1013" t="s">
        <v>323</v>
      </c>
      <c r="G1013">
        <v>1</v>
      </c>
      <c r="H1013">
        <v>1</v>
      </c>
      <c r="I1013" t="s">
        <v>97</v>
      </c>
      <c r="J1013" s="10">
        <v>54</v>
      </c>
      <c r="K1013" s="10">
        <v>162</v>
      </c>
      <c r="L1013" s="10">
        <v>0</v>
      </c>
      <c r="N1013" s="10">
        <v>0</v>
      </c>
      <c r="O1013" t="s">
        <v>99</v>
      </c>
      <c r="P1013" s="10">
        <v>109.95</v>
      </c>
      <c r="S1013">
        <v>8.25</v>
      </c>
      <c r="T1013">
        <v>13.5</v>
      </c>
      <c r="U1013">
        <v>13</v>
      </c>
      <c r="V1013">
        <v>5.75</v>
      </c>
      <c r="W1013">
        <v>3.15</v>
      </c>
      <c r="X1013">
        <v>1</v>
      </c>
      <c r="Y1013">
        <v>12.5</v>
      </c>
      <c r="Z1013">
        <v>13.5</v>
      </c>
      <c r="AA1013">
        <v>8.5</v>
      </c>
      <c r="AB1013">
        <v>0.83</v>
      </c>
      <c r="AC1013">
        <v>4.0599999999999996</v>
      </c>
      <c r="AE1013">
        <v>2</v>
      </c>
      <c r="AF1013" t="s">
        <v>282</v>
      </c>
      <c r="AG1013">
        <v>100</v>
      </c>
      <c r="AK1013" t="s">
        <v>98</v>
      </c>
      <c r="AM1013" t="s">
        <v>98</v>
      </c>
      <c r="AN1013" t="s">
        <v>99</v>
      </c>
      <c r="AO1013" t="s">
        <v>98</v>
      </c>
      <c r="AP1013" t="s">
        <v>100</v>
      </c>
      <c r="AQ1013" t="s">
        <v>101</v>
      </c>
      <c r="AV1013" t="s">
        <v>98</v>
      </c>
      <c r="AX1013" t="s">
        <v>279</v>
      </c>
      <c r="AZ1013" t="s">
        <v>102</v>
      </c>
      <c r="BB1013" t="s">
        <v>235</v>
      </c>
      <c r="BC1013" t="s">
        <v>808</v>
      </c>
      <c r="BD1013" t="s">
        <v>7528</v>
      </c>
      <c r="BF1013" t="s">
        <v>3161</v>
      </c>
      <c r="BG1013" t="s">
        <v>98</v>
      </c>
      <c r="BH1013" t="s">
        <v>98</v>
      </c>
      <c r="BI1013" t="s">
        <v>98</v>
      </c>
      <c r="BK1013" t="s">
        <v>127</v>
      </c>
      <c r="BL1013" t="s">
        <v>7528</v>
      </c>
      <c r="BM1013">
        <v>7</v>
      </c>
      <c r="BN1013">
        <v>4.5</v>
      </c>
      <c r="CA1013">
        <v>6962</v>
      </c>
      <c r="CB1013" t="s">
        <v>279</v>
      </c>
      <c r="CL1013" t="s">
        <v>99</v>
      </c>
      <c r="CM1013" t="s">
        <v>98</v>
      </c>
      <c r="CN1013" t="s">
        <v>442</v>
      </c>
      <c r="CO1013" s="1">
        <v>41425</v>
      </c>
      <c r="CP1013" s="1">
        <v>43633</v>
      </c>
    </row>
    <row r="1014" spans="1:94" x14ac:dyDescent="0.25">
      <c r="A1014" t="s">
        <v>3162</v>
      </c>
      <c r="B1014" t="str">
        <f xml:space="preserve"> "" &amp; 747396090726</f>
        <v>747396090726</v>
      </c>
      <c r="C1014" t="s">
        <v>762</v>
      </c>
      <c r="D1014" t="s">
        <v>3163</v>
      </c>
      <c r="E1014" t="s">
        <v>2649</v>
      </c>
      <c r="F1014" t="s">
        <v>323</v>
      </c>
      <c r="G1014">
        <v>1</v>
      </c>
      <c r="H1014">
        <v>1</v>
      </c>
      <c r="I1014" t="s">
        <v>97</v>
      </c>
      <c r="J1014" s="10">
        <v>69</v>
      </c>
      <c r="K1014" s="10">
        <v>207</v>
      </c>
      <c r="L1014" s="10">
        <v>0</v>
      </c>
      <c r="N1014" s="10">
        <v>0</v>
      </c>
      <c r="O1014" t="s">
        <v>99</v>
      </c>
      <c r="P1014" s="10">
        <v>139.94999999999999</v>
      </c>
      <c r="S1014">
        <v>8.25</v>
      </c>
      <c r="T1014">
        <v>0</v>
      </c>
      <c r="U1014">
        <v>22.75</v>
      </c>
      <c r="V1014">
        <v>5.75</v>
      </c>
      <c r="W1014">
        <v>4.34</v>
      </c>
      <c r="X1014">
        <v>1</v>
      </c>
      <c r="Y1014">
        <v>0</v>
      </c>
      <c r="Z1014">
        <v>0</v>
      </c>
      <c r="AA1014">
        <v>0</v>
      </c>
      <c r="AB1014">
        <v>0</v>
      </c>
      <c r="AC1014">
        <v>5.56</v>
      </c>
      <c r="AE1014">
        <v>3</v>
      </c>
      <c r="AF1014" t="s">
        <v>598</v>
      </c>
      <c r="AG1014">
        <v>100</v>
      </c>
      <c r="AK1014" t="s">
        <v>98</v>
      </c>
      <c r="AM1014" t="s">
        <v>98</v>
      </c>
      <c r="AN1014" t="s">
        <v>99</v>
      </c>
      <c r="AO1014" t="s">
        <v>98</v>
      </c>
      <c r="AP1014" t="s">
        <v>100</v>
      </c>
      <c r="AQ1014" t="s">
        <v>101</v>
      </c>
      <c r="AV1014" t="s">
        <v>98</v>
      </c>
      <c r="AX1014" t="s">
        <v>1257</v>
      </c>
      <c r="AZ1014" t="s">
        <v>102</v>
      </c>
      <c r="BB1014" t="s">
        <v>235</v>
      </c>
      <c r="BC1014" t="s">
        <v>808</v>
      </c>
      <c r="BD1014" t="s">
        <v>7528</v>
      </c>
      <c r="BF1014" t="s">
        <v>3164</v>
      </c>
      <c r="BG1014" t="s">
        <v>98</v>
      </c>
      <c r="BH1014" t="s">
        <v>98</v>
      </c>
      <c r="BI1014" t="s">
        <v>98</v>
      </c>
      <c r="BK1014" t="s">
        <v>127</v>
      </c>
      <c r="BL1014" t="s">
        <v>7528</v>
      </c>
      <c r="BM1014">
        <v>7</v>
      </c>
      <c r="BN1014">
        <v>4.5</v>
      </c>
      <c r="CA1014">
        <v>6963</v>
      </c>
      <c r="CB1014" t="s">
        <v>1257</v>
      </c>
      <c r="CL1014" t="s">
        <v>99</v>
      </c>
      <c r="CM1014" t="s">
        <v>98</v>
      </c>
      <c r="CN1014" t="s">
        <v>592</v>
      </c>
      <c r="CO1014" s="1">
        <v>41604</v>
      </c>
      <c r="CP1014" s="1">
        <v>43633</v>
      </c>
    </row>
    <row r="1015" spans="1:94" x14ac:dyDescent="0.25">
      <c r="A1015" t="s">
        <v>3165</v>
      </c>
      <c r="B1015" t="str">
        <f xml:space="preserve"> "" &amp; 747396068534</f>
        <v>747396068534</v>
      </c>
      <c r="C1015" t="s">
        <v>762</v>
      </c>
      <c r="D1015" t="s">
        <v>3163</v>
      </c>
      <c r="E1015" t="s">
        <v>2649</v>
      </c>
      <c r="F1015" t="s">
        <v>323</v>
      </c>
      <c r="G1015">
        <v>1</v>
      </c>
      <c r="H1015">
        <v>1</v>
      </c>
      <c r="I1015" t="s">
        <v>97</v>
      </c>
      <c r="J1015" s="10">
        <v>69</v>
      </c>
      <c r="K1015" s="10">
        <v>207</v>
      </c>
      <c r="L1015" s="10">
        <v>0</v>
      </c>
      <c r="N1015" s="10">
        <v>0</v>
      </c>
      <c r="O1015" t="s">
        <v>99</v>
      </c>
      <c r="P1015" s="10">
        <v>139.94999999999999</v>
      </c>
      <c r="S1015">
        <v>8.25</v>
      </c>
      <c r="U1015">
        <v>22.75</v>
      </c>
      <c r="V1015">
        <v>5.75</v>
      </c>
      <c r="W1015">
        <v>4.34</v>
      </c>
      <c r="X1015">
        <v>1</v>
      </c>
      <c r="Y1015">
        <v>12.25</v>
      </c>
      <c r="Z1015">
        <v>23</v>
      </c>
      <c r="AA1015">
        <v>7</v>
      </c>
      <c r="AB1015">
        <v>1.141</v>
      </c>
      <c r="AC1015">
        <v>5.56</v>
      </c>
      <c r="AE1015">
        <v>3</v>
      </c>
      <c r="AF1015" t="s">
        <v>282</v>
      </c>
      <c r="AG1015">
        <v>100</v>
      </c>
      <c r="AK1015" t="s">
        <v>98</v>
      </c>
      <c r="AL1015">
        <v>3</v>
      </c>
      <c r="AM1015" t="s">
        <v>98</v>
      </c>
      <c r="AN1015" t="s">
        <v>99</v>
      </c>
      <c r="AO1015" t="s">
        <v>98</v>
      </c>
      <c r="AP1015" t="s">
        <v>100</v>
      </c>
      <c r="AQ1015" t="s">
        <v>101</v>
      </c>
      <c r="AV1015" t="s">
        <v>98</v>
      </c>
      <c r="AX1015" t="s">
        <v>279</v>
      </c>
      <c r="AZ1015" t="s">
        <v>102</v>
      </c>
      <c r="BB1015" t="s">
        <v>235</v>
      </c>
      <c r="BC1015" t="s">
        <v>561</v>
      </c>
      <c r="BD1015" t="s">
        <v>7528</v>
      </c>
      <c r="BF1015" t="s">
        <v>3166</v>
      </c>
      <c r="BG1015" t="s">
        <v>98</v>
      </c>
      <c r="BH1015" t="s">
        <v>98</v>
      </c>
      <c r="BI1015" t="s">
        <v>98</v>
      </c>
      <c r="BK1015" t="s">
        <v>127</v>
      </c>
      <c r="BL1015" t="s">
        <v>7528</v>
      </c>
      <c r="BM1015">
        <v>7</v>
      </c>
      <c r="BN1015">
        <v>4.5</v>
      </c>
      <c r="CA1015">
        <v>6963</v>
      </c>
      <c r="CB1015" t="s">
        <v>279</v>
      </c>
      <c r="CL1015" t="s">
        <v>99</v>
      </c>
      <c r="CM1015" t="s">
        <v>98</v>
      </c>
      <c r="CN1015" t="s">
        <v>442</v>
      </c>
      <c r="CO1015" s="1">
        <v>41425</v>
      </c>
      <c r="CP1015" s="1">
        <v>43633</v>
      </c>
    </row>
    <row r="1016" spans="1:94" x14ac:dyDescent="0.25">
      <c r="A1016" t="s">
        <v>3167</v>
      </c>
      <c r="B1016" t="str">
        <f xml:space="preserve"> "" &amp; 747396090733</f>
        <v>747396090733</v>
      </c>
      <c r="C1016" t="s">
        <v>766</v>
      </c>
      <c r="D1016" t="s">
        <v>3168</v>
      </c>
      <c r="E1016" t="s">
        <v>2649</v>
      </c>
      <c r="F1016" t="s">
        <v>323</v>
      </c>
      <c r="G1016">
        <v>1</v>
      </c>
      <c r="H1016">
        <v>1</v>
      </c>
      <c r="I1016" t="s">
        <v>97</v>
      </c>
      <c r="J1016" s="10">
        <v>89</v>
      </c>
      <c r="K1016" s="10">
        <v>267</v>
      </c>
      <c r="L1016" s="10">
        <v>0</v>
      </c>
      <c r="N1016" s="10">
        <v>0</v>
      </c>
      <c r="O1016" t="s">
        <v>99</v>
      </c>
      <c r="P1016" s="10">
        <v>179.95</v>
      </c>
      <c r="S1016">
        <v>9</v>
      </c>
      <c r="T1016">
        <v>0</v>
      </c>
      <c r="U1016">
        <v>30.5</v>
      </c>
      <c r="V1016">
        <v>5.75</v>
      </c>
      <c r="W1016">
        <v>5.75</v>
      </c>
      <c r="Y1016">
        <v>0</v>
      </c>
      <c r="Z1016">
        <v>0</v>
      </c>
      <c r="AA1016">
        <v>0</v>
      </c>
      <c r="AB1016">
        <v>0</v>
      </c>
      <c r="AC1016">
        <v>7.08</v>
      </c>
      <c r="AE1016">
        <v>4</v>
      </c>
      <c r="AF1016" t="s">
        <v>282</v>
      </c>
      <c r="AG1016">
        <v>100</v>
      </c>
      <c r="AK1016" t="s">
        <v>98</v>
      </c>
      <c r="AL1016">
        <v>4</v>
      </c>
      <c r="AM1016" t="s">
        <v>98</v>
      </c>
      <c r="AN1016" t="s">
        <v>99</v>
      </c>
      <c r="AO1016" t="s">
        <v>98</v>
      </c>
      <c r="AP1016" t="s">
        <v>100</v>
      </c>
      <c r="AQ1016" t="s">
        <v>101</v>
      </c>
      <c r="AV1016" t="s">
        <v>98</v>
      </c>
      <c r="AX1016" t="s">
        <v>1257</v>
      </c>
      <c r="AZ1016" t="s">
        <v>102</v>
      </c>
      <c r="BB1016" t="s">
        <v>235</v>
      </c>
      <c r="BC1016" t="s">
        <v>561</v>
      </c>
      <c r="BD1016" t="s">
        <v>7528</v>
      </c>
      <c r="BF1016" t="s">
        <v>3169</v>
      </c>
      <c r="BG1016" t="s">
        <v>98</v>
      </c>
      <c r="BH1016" t="s">
        <v>98</v>
      </c>
      <c r="BI1016" t="s">
        <v>98</v>
      </c>
      <c r="BK1016" t="s">
        <v>127</v>
      </c>
      <c r="BL1016" t="s">
        <v>756</v>
      </c>
      <c r="BM1016">
        <v>7</v>
      </c>
      <c r="BN1016">
        <v>4.5</v>
      </c>
      <c r="CA1016">
        <v>6964</v>
      </c>
      <c r="CB1016" t="s">
        <v>1257</v>
      </c>
      <c r="CL1016" t="s">
        <v>99</v>
      </c>
      <c r="CM1016" t="s">
        <v>98</v>
      </c>
      <c r="CN1016" t="s">
        <v>442</v>
      </c>
      <c r="CO1016" s="1">
        <v>41604</v>
      </c>
      <c r="CP1016" s="1">
        <v>43633</v>
      </c>
    </row>
    <row r="1017" spans="1:94" x14ac:dyDescent="0.25">
      <c r="A1017" t="s">
        <v>3170</v>
      </c>
      <c r="B1017" t="str">
        <f xml:space="preserve"> "" &amp; 747396068541</f>
        <v>747396068541</v>
      </c>
      <c r="C1017" t="s">
        <v>766</v>
      </c>
      <c r="D1017" t="s">
        <v>6829</v>
      </c>
      <c r="E1017" t="s">
        <v>2649</v>
      </c>
      <c r="F1017" t="s">
        <v>323</v>
      </c>
      <c r="G1017">
        <v>1</v>
      </c>
      <c r="H1017">
        <v>1</v>
      </c>
      <c r="I1017" t="s">
        <v>97</v>
      </c>
      <c r="J1017" s="10">
        <v>89</v>
      </c>
      <c r="K1017" s="10">
        <v>267</v>
      </c>
      <c r="L1017" s="10">
        <v>0</v>
      </c>
      <c r="N1017" s="10">
        <v>0</v>
      </c>
      <c r="O1017" t="s">
        <v>99</v>
      </c>
      <c r="P1017" s="10">
        <v>179.95</v>
      </c>
      <c r="S1017">
        <v>9</v>
      </c>
      <c r="U1017">
        <v>30.5</v>
      </c>
      <c r="V1017">
        <v>5.75</v>
      </c>
      <c r="W1017">
        <v>5.75</v>
      </c>
      <c r="X1017">
        <v>1</v>
      </c>
      <c r="Y1017">
        <v>10.5</v>
      </c>
      <c r="Z1017">
        <v>31</v>
      </c>
      <c r="AA1017">
        <v>8.25</v>
      </c>
      <c r="AB1017">
        <v>1.554</v>
      </c>
      <c r="AC1017">
        <v>7.08</v>
      </c>
      <c r="AE1017">
        <v>4</v>
      </c>
      <c r="AF1017" t="s">
        <v>282</v>
      </c>
      <c r="AG1017">
        <v>100</v>
      </c>
      <c r="AK1017" t="s">
        <v>98</v>
      </c>
      <c r="AM1017" t="s">
        <v>98</v>
      </c>
      <c r="AN1017" t="s">
        <v>99</v>
      </c>
      <c r="AO1017" t="s">
        <v>98</v>
      </c>
      <c r="AP1017" t="s">
        <v>100</v>
      </c>
      <c r="AQ1017" t="s">
        <v>101</v>
      </c>
      <c r="AV1017" t="s">
        <v>98</v>
      </c>
      <c r="AX1017" t="s">
        <v>279</v>
      </c>
      <c r="AZ1017" t="s">
        <v>102</v>
      </c>
      <c r="BB1017" t="s">
        <v>235</v>
      </c>
      <c r="BC1017" t="s">
        <v>808</v>
      </c>
      <c r="BD1017" t="s">
        <v>7528</v>
      </c>
      <c r="BF1017" t="s">
        <v>3171</v>
      </c>
      <c r="BG1017" t="s">
        <v>98</v>
      </c>
      <c r="BH1017" t="s">
        <v>98</v>
      </c>
      <c r="BI1017" t="s">
        <v>98</v>
      </c>
      <c r="BK1017" t="s">
        <v>127</v>
      </c>
      <c r="BL1017" t="s">
        <v>7528</v>
      </c>
      <c r="BM1017">
        <v>7</v>
      </c>
      <c r="BN1017">
        <v>4.5</v>
      </c>
      <c r="CA1017">
        <v>6964</v>
      </c>
      <c r="CB1017" t="s">
        <v>279</v>
      </c>
      <c r="CL1017" t="s">
        <v>99</v>
      </c>
      <c r="CM1017" t="s">
        <v>98</v>
      </c>
      <c r="CN1017" t="s">
        <v>442</v>
      </c>
      <c r="CO1017" s="1">
        <v>41425</v>
      </c>
      <c r="CP1017" s="1">
        <v>43633</v>
      </c>
    </row>
    <row r="1018" spans="1:94" x14ac:dyDescent="0.25">
      <c r="A1018" t="s">
        <v>3177</v>
      </c>
      <c r="B1018" t="str">
        <f xml:space="preserve"> "" &amp; 747396069470</f>
        <v>747396069470</v>
      </c>
      <c r="C1018" t="s">
        <v>1577</v>
      </c>
      <c r="D1018" t="s">
        <v>3178</v>
      </c>
      <c r="E1018" t="s">
        <v>1868</v>
      </c>
      <c r="F1018" t="s">
        <v>232</v>
      </c>
      <c r="G1018">
        <v>1</v>
      </c>
      <c r="H1018">
        <v>1</v>
      </c>
      <c r="I1018" t="s">
        <v>97</v>
      </c>
      <c r="J1018" s="10">
        <v>69</v>
      </c>
      <c r="K1018" s="10">
        <v>207</v>
      </c>
      <c r="L1018" s="10">
        <v>0</v>
      </c>
      <c r="N1018" s="10">
        <v>0</v>
      </c>
      <c r="O1018" t="s">
        <v>99</v>
      </c>
      <c r="P1018" s="10">
        <v>139.94999999999999</v>
      </c>
      <c r="S1018">
        <v>13</v>
      </c>
      <c r="U1018">
        <v>8.5</v>
      </c>
      <c r="V1018">
        <v>12.38</v>
      </c>
      <c r="W1018">
        <v>2.0099999999999998</v>
      </c>
      <c r="X1018">
        <v>1</v>
      </c>
      <c r="Y1018">
        <v>10</v>
      </c>
      <c r="Z1018">
        <v>13.25</v>
      </c>
      <c r="AA1018">
        <v>11.25</v>
      </c>
      <c r="AB1018">
        <v>0.86299999999999999</v>
      </c>
      <c r="AC1018">
        <v>3.51</v>
      </c>
      <c r="AE1018">
        <v>1</v>
      </c>
      <c r="AF1018" t="s">
        <v>282</v>
      </c>
      <c r="AG1018">
        <v>60</v>
      </c>
      <c r="AK1018" t="s">
        <v>98</v>
      </c>
      <c r="AM1018" t="s">
        <v>98</v>
      </c>
      <c r="AN1018" t="s">
        <v>98</v>
      </c>
      <c r="AO1018" t="s">
        <v>99</v>
      </c>
      <c r="AP1018" t="s">
        <v>100</v>
      </c>
      <c r="AQ1018" t="s">
        <v>101</v>
      </c>
      <c r="AV1018" t="s">
        <v>98</v>
      </c>
      <c r="AX1018" t="s">
        <v>279</v>
      </c>
      <c r="AZ1018" t="s">
        <v>102</v>
      </c>
      <c r="BB1018" t="s">
        <v>235</v>
      </c>
      <c r="BC1018" t="s">
        <v>1064</v>
      </c>
      <c r="BD1018" t="s">
        <v>7528</v>
      </c>
      <c r="BF1018" t="s">
        <v>3179</v>
      </c>
      <c r="BG1018" t="s">
        <v>98</v>
      </c>
      <c r="BH1018" t="s">
        <v>98</v>
      </c>
      <c r="BI1018" t="s">
        <v>98</v>
      </c>
      <c r="BK1018" t="s">
        <v>127</v>
      </c>
      <c r="BL1018" t="s">
        <v>7528</v>
      </c>
      <c r="BR1018">
        <v>5</v>
      </c>
      <c r="BT1018">
        <v>5</v>
      </c>
      <c r="CA1018">
        <v>71162</v>
      </c>
      <c r="CB1018" t="s">
        <v>279</v>
      </c>
      <c r="CL1018" t="s">
        <v>98</v>
      </c>
      <c r="CM1018" t="s">
        <v>98</v>
      </c>
      <c r="CN1018" t="s">
        <v>692</v>
      </c>
      <c r="CO1018" s="1">
        <v>41498</v>
      </c>
      <c r="CP1018" s="1">
        <v>43633</v>
      </c>
    </row>
    <row r="1019" spans="1:94" x14ac:dyDescent="0.25">
      <c r="A1019" t="s">
        <v>3180</v>
      </c>
      <c r="B1019" t="str">
        <f xml:space="preserve"> "" &amp; 747396091044</f>
        <v>747396091044</v>
      </c>
      <c r="C1019" t="s">
        <v>1577</v>
      </c>
      <c r="D1019" t="s">
        <v>3181</v>
      </c>
      <c r="E1019" t="s">
        <v>1868</v>
      </c>
      <c r="F1019" t="s">
        <v>2823</v>
      </c>
      <c r="G1019">
        <v>1</v>
      </c>
      <c r="H1019">
        <v>1</v>
      </c>
      <c r="I1019" t="s">
        <v>97</v>
      </c>
      <c r="J1019" s="10">
        <v>59</v>
      </c>
      <c r="K1019" s="10">
        <v>177</v>
      </c>
      <c r="L1019" s="10">
        <v>0</v>
      </c>
      <c r="N1019" s="10">
        <v>0</v>
      </c>
      <c r="O1019" t="s">
        <v>99</v>
      </c>
      <c r="P1019" s="10">
        <v>119.95</v>
      </c>
      <c r="S1019">
        <v>13</v>
      </c>
      <c r="U1019">
        <v>8.5</v>
      </c>
      <c r="V1019">
        <v>11.5</v>
      </c>
      <c r="W1019">
        <v>1.74</v>
      </c>
      <c r="Y1019">
        <v>10.5</v>
      </c>
      <c r="Z1019">
        <v>13.75</v>
      </c>
      <c r="AA1019">
        <v>11</v>
      </c>
      <c r="AB1019">
        <v>0.91900000000000004</v>
      </c>
      <c r="AC1019">
        <v>3.3</v>
      </c>
      <c r="AE1019">
        <v>1</v>
      </c>
      <c r="AF1019" t="s">
        <v>2629</v>
      </c>
      <c r="AG1019">
        <v>100</v>
      </c>
      <c r="AK1019" t="s">
        <v>98</v>
      </c>
      <c r="AM1019" t="s">
        <v>98</v>
      </c>
      <c r="AN1019" t="s">
        <v>99</v>
      </c>
      <c r="AO1019" t="s">
        <v>98</v>
      </c>
      <c r="AP1019" t="s">
        <v>100</v>
      </c>
      <c r="AQ1019" t="s">
        <v>101</v>
      </c>
      <c r="AV1019" t="s">
        <v>98</v>
      </c>
      <c r="AX1019" t="s">
        <v>3182</v>
      </c>
      <c r="AZ1019" t="s">
        <v>102</v>
      </c>
      <c r="BB1019" t="s">
        <v>235</v>
      </c>
      <c r="BC1019" t="s">
        <v>1064</v>
      </c>
      <c r="BD1019" t="s">
        <v>7528</v>
      </c>
      <c r="BF1019" t="s">
        <v>3183</v>
      </c>
      <c r="BG1019" t="s">
        <v>98</v>
      </c>
      <c r="BH1019" t="s">
        <v>98</v>
      </c>
      <c r="BI1019" t="s">
        <v>98</v>
      </c>
      <c r="BJ1019" t="s">
        <v>99</v>
      </c>
      <c r="BK1019" t="s">
        <v>453</v>
      </c>
      <c r="BL1019" t="s">
        <v>7528</v>
      </c>
      <c r="BR1019">
        <v>5</v>
      </c>
      <c r="BT1019">
        <v>5</v>
      </c>
      <c r="CA1019">
        <v>71163</v>
      </c>
      <c r="CB1019" t="s">
        <v>3182</v>
      </c>
      <c r="CL1019" t="s">
        <v>98</v>
      </c>
      <c r="CM1019" t="s">
        <v>98</v>
      </c>
      <c r="CN1019" t="s">
        <v>3694</v>
      </c>
      <c r="CO1019" s="1">
        <v>41702</v>
      </c>
      <c r="CP1019" s="1">
        <v>43633</v>
      </c>
    </row>
    <row r="1020" spans="1:94" x14ac:dyDescent="0.25">
      <c r="A1020" t="s">
        <v>3184</v>
      </c>
      <c r="B1020" t="str">
        <f xml:space="preserve"> "" &amp; 747396097893</f>
        <v>747396097893</v>
      </c>
      <c r="C1020" t="s">
        <v>3185</v>
      </c>
      <c r="D1020" t="s">
        <v>3186</v>
      </c>
      <c r="E1020" t="s">
        <v>3187</v>
      </c>
      <c r="F1020" t="s">
        <v>3188</v>
      </c>
      <c r="G1020">
        <v>1</v>
      </c>
      <c r="H1020">
        <v>1</v>
      </c>
      <c r="I1020" t="s">
        <v>97</v>
      </c>
      <c r="J1020" s="10">
        <v>70</v>
      </c>
      <c r="K1020" s="10">
        <v>210</v>
      </c>
      <c r="L1020" s="10">
        <v>0</v>
      </c>
      <c r="N1020" s="10">
        <v>0</v>
      </c>
      <c r="O1020" t="s">
        <v>99</v>
      </c>
      <c r="P1020" s="10">
        <v>144.94999999999999</v>
      </c>
      <c r="S1020">
        <v>8.5</v>
      </c>
      <c r="U1020">
        <v>8.5</v>
      </c>
      <c r="V1020">
        <v>11.5</v>
      </c>
      <c r="W1020">
        <v>1.3</v>
      </c>
      <c r="Y1020">
        <v>10.5</v>
      </c>
      <c r="Z1020">
        <v>13.75</v>
      </c>
      <c r="AA1020">
        <v>10.5</v>
      </c>
      <c r="AB1020">
        <v>0.877</v>
      </c>
      <c r="AC1020">
        <v>3.02</v>
      </c>
      <c r="AE1020">
        <v>1</v>
      </c>
      <c r="AF1020" t="s">
        <v>3189</v>
      </c>
      <c r="AG1020">
        <v>14</v>
      </c>
      <c r="AK1020" t="s">
        <v>99</v>
      </c>
      <c r="AM1020" t="s">
        <v>98</v>
      </c>
      <c r="AN1020" t="s">
        <v>99</v>
      </c>
      <c r="AO1020" t="s">
        <v>98</v>
      </c>
      <c r="AP1020" t="s">
        <v>100</v>
      </c>
      <c r="AQ1020" t="s">
        <v>101</v>
      </c>
      <c r="AV1020" t="s">
        <v>98</v>
      </c>
      <c r="AX1020" t="s">
        <v>3190</v>
      </c>
      <c r="AZ1020" t="s">
        <v>124</v>
      </c>
      <c r="BB1020" t="s">
        <v>7528</v>
      </c>
      <c r="BC1020" t="s">
        <v>7528</v>
      </c>
      <c r="BD1020" t="s">
        <v>7528</v>
      </c>
      <c r="BF1020" t="s">
        <v>3191</v>
      </c>
      <c r="BG1020" t="s">
        <v>99</v>
      </c>
      <c r="BH1020" t="s">
        <v>98</v>
      </c>
      <c r="BI1020" t="s">
        <v>98</v>
      </c>
      <c r="BJ1020" t="s">
        <v>99</v>
      </c>
      <c r="BK1020" t="s">
        <v>453</v>
      </c>
      <c r="BL1020" t="s">
        <v>128</v>
      </c>
      <c r="BM1020">
        <v>5</v>
      </c>
      <c r="BN1020">
        <v>1.75</v>
      </c>
      <c r="CA1020">
        <v>71163</v>
      </c>
      <c r="CB1020" t="s">
        <v>3190</v>
      </c>
      <c r="CG1020">
        <v>2700</v>
      </c>
      <c r="CH1020">
        <v>90</v>
      </c>
      <c r="CI1020">
        <v>980</v>
      </c>
      <c r="CJ1020">
        <v>376</v>
      </c>
      <c r="CK1020">
        <v>30000</v>
      </c>
      <c r="CL1020" t="s">
        <v>99</v>
      </c>
      <c r="CM1020" t="s">
        <v>98</v>
      </c>
      <c r="CN1020" t="s">
        <v>3192</v>
      </c>
      <c r="CO1020" s="1">
        <v>42325</v>
      </c>
      <c r="CP1020" s="1">
        <v>43633</v>
      </c>
    </row>
    <row r="1021" spans="1:94" x14ac:dyDescent="0.25">
      <c r="A1021" t="s">
        <v>3193</v>
      </c>
      <c r="B1021" t="str">
        <f xml:space="preserve"> "" &amp; 747396091037</f>
        <v>747396091037</v>
      </c>
      <c r="C1021" t="s">
        <v>3194</v>
      </c>
      <c r="D1021" t="s">
        <v>3181</v>
      </c>
      <c r="E1021" t="s">
        <v>1868</v>
      </c>
      <c r="F1021" t="s">
        <v>2823</v>
      </c>
      <c r="G1021">
        <v>1</v>
      </c>
      <c r="H1021">
        <v>1</v>
      </c>
      <c r="I1021" t="s">
        <v>97</v>
      </c>
      <c r="J1021" s="10">
        <v>59</v>
      </c>
      <c r="K1021" s="10">
        <v>177</v>
      </c>
      <c r="L1021" s="10">
        <v>0</v>
      </c>
      <c r="N1021" s="10">
        <v>0</v>
      </c>
      <c r="O1021" t="s">
        <v>99</v>
      </c>
      <c r="P1021" s="10">
        <v>119.95</v>
      </c>
      <c r="S1021">
        <v>13</v>
      </c>
      <c r="U1021">
        <v>8.5</v>
      </c>
      <c r="V1021">
        <v>11.5</v>
      </c>
      <c r="W1021">
        <v>1.74</v>
      </c>
      <c r="Y1021">
        <v>10.5</v>
      </c>
      <c r="Z1021">
        <v>13.75</v>
      </c>
      <c r="AA1021">
        <v>11</v>
      </c>
      <c r="AB1021">
        <v>0.91900000000000004</v>
      </c>
      <c r="AC1021">
        <v>3.31</v>
      </c>
      <c r="AE1021">
        <v>1</v>
      </c>
      <c r="AF1021" t="s">
        <v>2629</v>
      </c>
      <c r="AG1021">
        <v>100</v>
      </c>
      <c r="AK1021" t="s">
        <v>98</v>
      </c>
      <c r="AM1021" t="s">
        <v>98</v>
      </c>
      <c r="AN1021" t="s">
        <v>99</v>
      </c>
      <c r="AO1021" t="s">
        <v>98</v>
      </c>
      <c r="AP1021" t="s">
        <v>100</v>
      </c>
      <c r="AQ1021" t="s">
        <v>101</v>
      </c>
      <c r="AV1021" t="s">
        <v>98</v>
      </c>
      <c r="AX1021" t="s">
        <v>1918</v>
      </c>
      <c r="AZ1021" t="s">
        <v>102</v>
      </c>
      <c r="BB1021" t="s">
        <v>235</v>
      </c>
      <c r="BC1021" t="s">
        <v>1064</v>
      </c>
      <c r="BD1021" t="s">
        <v>7528</v>
      </c>
      <c r="BF1021" t="s">
        <v>3195</v>
      </c>
      <c r="BG1021" t="s">
        <v>98</v>
      </c>
      <c r="BH1021" t="s">
        <v>98</v>
      </c>
      <c r="BI1021" t="s">
        <v>98</v>
      </c>
      <c r="BJ1021" t="s">
        <v>99</v>
      </c>
      <c r="BK1021" t="s">
        <v>453</v>
      </c>
      <c r="BL1021" t="s">
        <v>7528</v>
      </c>
      <c r="BR1021">
        <v>5</v>
      </c>
      <c r="BT1021">
        <v>5</v>
      </c>
      <c r="CA1021">
        <v>71163</v>
      </c>
      <c r="CB1021" t="s">
        <v>1918</v>
      </c>
      <c r="CL1021" t="s">
        <v>98</v>
      </c>
      <c r="CM1021" t="s">
        <v>98</v>
      </c>
      <c r="CN1021" t="s">
        <v>3694</v>
      </c>
      <c r="CO1021" s="1">
        <v>41702</v>
      </c>
      <c r="CP1021" s="1">
        <v>43633</v>
      </c>
    </row>
    <row r="1022" spans="1:94" x14ac:dyDescent="0.25">
      <c r="A1022" t="s">
        <v>3196</v>
      </c>
      <c r="B1022" t="str">
        <f xml:space="preserve"> "" &amp; 747396097886</f>
        <v>747396097886</v>
      </c>
      <c r="C1022" t="s">
        <v>3185</v>
      </c>
      <c r="D1022" t="s">
        <v>6830</v>
      </c>
      <c r="E1022" t="s">
        <v>3187</v>
      </c>
      <c r="F1022" t="s">
        <v>3188</v>
      </c>
      <c r="G1022">
        <v>1</v>
      </c>
      <c r="H1022">
        <v>1</v>
      </c>
      <c r="I1022" t="s">
        <v>97</v>
      </c>
      <c r="J1022" s="10">
        <v>70</v>
      </c>
      <c r="K1022" s="10">
        <v>210</v>
      </c>
      <c r="L1022" s="10">
        <v>0</v>
      </c>
      <c r="N1022" s="10">
        <v>0</v>
      </c>
      <c r="O1022" t="s">
        <v>99</v>
      </c>
      <c r="P1022" s="10">
        <v>144.94999999999999</v>
      </c>
      <c r="S1022">
        <v>8.5</v>
      </c>
      <c r="U1022">
        <v>8.5</v>
      </c>
      <c r="V1022">
        <v>11.5</v>
      </c>
      <c r="W1022">
        <v>1.3</v>
      </c>
      <c r="Y1022">
        <v>10.5</v>
      </c>
      <c r="Z1022">
        <v>13.75</v>
      </c>
      <c r="AA1022">
        <v>10.5</v>
      </c>
      <c r="AB1022">
        <v>0.877</v>
      </c>
      <c r="AC1022">
        <v>3.02</v>
      </c>
      <c r="AE1022">
        <v>1</v>
      </c>
      <c r="AF1022" t="s">
        <v>3189</v>
      </c>
      <c r="AG1022">
        <v>14</v>
      </c>
      <c r="AK1022" t="s">
        <v>99</v>
      </c>
      <c r="AM1022" t="s">
        <v>98</v>
      </c>
      <c r="AN1022" t="s">
        <v>99</v>
      </c>
      <c r="AO1022" t="s">
        <v>98</v>
      </c>
      <c r="AP1022" t="s">
        <v>100</v>
      </c>
      <c r="AQ1022" t="s">
        <v>101</v>
      </c>
      <c r="AV1022" t="s">
        <v>98</v>
      </c>
      <c r="AX1022" t="s">
        <v>1918</v>
      </c>
      <c r="AZ1022" t="s">
        <v>124</v>
      </c>
      <c r="BB1022" t="s">
        <v>235</v>
      </c>
      <c r="BC1022" t="s">
        <v>7528</v>
      </c>
      <c r="BD1022" t="s">
        <v>7528</v>
      </c>
      <c r="BF1022" t="s">
        <v>3197</v>
      </c>
      <c r="BG1022" t="s">
        <v>99</v>
      </c>
      <c r="BH1022" t="s">
        <v>98</v>
      </c>
      <c r="BI1022" t="s">
        <v>98</v>
      </c>
      <c r="BJ1022" t="s">
        <v>99</v>
      </c>
      <c r="BK1022" t="s">
        <v>453</v>
      </c>
      <c r="BL1022" t="s">
        <v>128</v>
      </c>
      <c r="BM1022">
        <v>5</v>
      </c>
      <c r="BN1022">
        <v>1.75</v>
      </c>
      <c r="BO1022">
        <v>5</v>
      </c>
      <c r="BP1022">
        <v>5</v>
      </c>
      <c r="CA1022">
        <v>71163</v>
      </c>
      <c r="CB1022" t="s">
        <v>1918</v>
      </c>
      <c r="CG1022">
        <v>2700</v>
      </c>
      <c r="CH1022">
        <v>90</v>
      </c>
      <c r="CI1022">
        <v>980</v>
      </c>
      <c r="CJ1022">
        <v>376</v>
      </c>
      <c r="CK1022">
        <v>30000</v>
      </c>
      <c r="CL1022" t="s">
        <v>99</v>
      </c>
      <c r="CM1022" t="s">
        <v>98</v>
      </c>
      <c r="CN1022" t="s">
        <v>3198</v>
      </c>
      <c r="CO1022" s="1">
        <v>42325</v>
      </c>
      <c r="CP1022" s="1">
        <v>43441</v>
      </c>
    </row>
    <row r="1023" spans="1:94" x14ac:dyDescent="0.25">
      <c r="A1023" t="s">
        <v>3196</v>
      </c>
      <c r="B1023" t="str">
        <f xml:space="preserve"> "" &amp; 747396097886</f>
        <v>747396097886</v>
      </c>
      <c r="C1023" t="s">
        <v>3185</v>
      </c>
      <c r="D1023" t="s">
        <v>6830</v>
      </c>
      <c r="E1023" t="s">
        <v>3187</v>
      </c>
      <c r="F1023" t="s">
        <v>3188</v>
      </c>
      <c r="G1023">
        <v>1</v>
      </c>
      <c r="H1023">
        <v>1</v>
      </c>
      <c r="I1023" t="s">
        <v>97</v>
      </c>
      <c r="J1023" s="10">
        <v>70</v>
      </c>
      <c r="K1023" s="10">
        <v>210</v>
      </c>
      <c r="L1023" s="10">
        <v>0</v>
      </c>
      <c r="N1023" s="10">
        <v>0</v>
      </c>
      <c r="O1023" t="s">
        <v>99</v>
      </c>
      <c r="P1023" s="10">
        <v>144.94999999999999</v>
      </c>
      <c r="S1023">
        <v>8.5</v>
      </c>
      <c r="U1023">
        <v>8.5</v>
      </c>
      <c r="V1023">
        <v>11.5</v>
      </c>
      <c r="W1023">
        <v>1.3</v>
      </c>
      <c r="Y1023">
        <v>10.5</v>
      </c>
      <c r="Z1023">
        <v>13.75</v>
      </c>
      <c r="AA1023">
        <v>10.5</v>
      </c>
      <c r="AB1023">
        <v>0.877</v>
      </c>
      <c r="AC1023">
        <v>3.01</v>
      </c>
      <c r="AE1023">
        <v>1</v>
      </c>
      <c r="AF1023" t="s">
        <v>559</v>
      </c>
      <c r="AG1023">
        <v>14</v>
      </c>
      <c r="AK1023" t="s">
        <v>99</v>
      </c>
      <c r="AM1023" t="s">
        <v>98</v>
      </c>
      <c r="AN1023" t="s">
        <v>98</v>
      </c>
      <c r="AO1023" t="s">
        <v>98</v>
      </c>
      <c r="AP1023" t="s">
        <v>100</v>
      </c>
      <c r="AQ1023" t="s">
        <v>101</v>
      </c>
      <c r="AV1023" t="s">
        <v>98</v>
      </c>
      <c r="AX1023" t="s">
        <v>3200</v>
      </c>
      <c r="AZ1023" t="s">
        <v>124</v>
      </c>
      <c r="BB1023" t="s">
        <v>7528</v>
      </c>
      <c r="BC1023" t="s">
        <v>7528</v>
      </c>
      <c r="BD1023" t="s">
        <v>7528</v>
      </c>
      <c r="BF1023" t="s">
        <v>3197</v>
      </c>
      <c r="BG1023" t="s">
        <v>98</v>
      </c>
      <c r="BH1023" t="s">
        <v>98</v>
      </c>
      <c r="BI1023" t="s">
        <v>98</v>
      </c>
      <c r="BK1023" t="s">
        <v>7528</v>
      </c>
      <c r="BL1023" t="s">
        <v>7528</v>
      </c>
      <c r="CA1023">
        <v>71163</v>
      </c>
      <c r="CB1023" t="s">
        <v>3200</v>
      </c>
      <c r="CG1023">
        <v>2700</v>
      </c>
      <c r="CH1023">
        <v>80</v>
      </c>
      <c r="CJ1023">
        <v>950</v>
      </c>
      <c r="CL1023" t="s">
        <v>98</v>
      </c>
      <c r="CM1023" t="s">
        <v>98</v>
      </c>
      <c r="CN1023" t="s">
        <v>3192</v>
      </c>
      <c r="CO1023" s="1">
        <v>42401</v>
      </c>
      <c r="CP1023" s="1">
        <v>42401</v>
      </c>
    </row>
    <row r="1024" spans="1:94" x14ac:dyDescent="0.25">
      <c r="A1024" t="s">
        <v>3201</v>
      </c>
      <c r="B1024" t="str">
        <f xml:space="preserve"> "" &amp; 747396693170</f>
        <v>747396693170</v>
      </c>
      <c r="C1024" t="s">
        <v>1577</v>
      </c>
      <c r="D1024" t="s">
        <v>6831</v>
      </c>
      <c r="E1024" t="s">
        <v>2562</v>
      </c>
      <c r="F1024" t="s">
        <v>2823</v>
      </c>
      <c r="G1024">
        <v>1</v>
      </c>
      <c r="H1024">
        <v>1</v>
      </c>
      <c r="I1024" t="s">
        <v>97</v>
      </c>
      <c r="J1024" s="10">
        <v>22</v>
      </c>
      <c r="K1024" s="10">
        <v>66</v>
      </c>
      <c r="L1024" s="10">
        <v>0</v>
      </c>
      <c r="N1024" s="10">
        <v>0</v>
      </c>
      <c r="O1024" t="s">
        <v>99</v>
      </c>
      <c r="P1024" s="10">
        <v>44.95</v>
      </c>
      <c r="S1024">
        <v>9</v>
      </c>
      <c r="U1024">
        <v>6.13</v>
      </c>
      <c r="V1024">
        <v>6.38</v>
      </c>
      <c r="W1024">
        <v>0.77</v>
      </c>
      <c r="X1024">
        <v>1</v>
      </c>
      <c r="Y1024">
        <v>7.5</v>
      </c>
      <c r="Z1024">
        <v>11</v>
      </c>
      <c r="AA1024">
        <v>8</v>
      </c>
      <c r="AB1024">
        <v>0.38200000000000001</v>
      </c>
      <c r="AC1024">
        <v>1.76</v>
      </c>
      <c r="AE1024">
        <v>1</v>
      </c>
      <c r="AF1024" t="s">
        <v>233</v>
      </c>
      <c r="AG1024">
        <v>60</v>
      </c>
      <c r="AH1024">
        <v>0</v>
      </c>
      <c r="AJ1024">
        <v>0</v>
      </c>
      <c r="AK1024" t="s">
        <v>98</v>
      </c>
      <c r="AM1024" t="s">
        <v>98</v>
      </c>
      <c r="AN1024" t="s">
        <v>98</v>
      </c>
      <c r="AO1024" t="s">
        <v>99</v>
      </c>
      <c r="AP1024" t="s">
        <v>100</v>
      </c>
      <c r="AQ1024" t="s">
        <v>101</v>
      </c>
      <c r="AV1024" t="s">
        <v>98</v>
      </c>
      <c r="AX1024" t="s">
        <v>3202</v>
      </c>
      <c r="AZ1024" t="s">
        <v>124</v>
      </c>
      <c r="BB1024" t="s">
        <v>3203</v>
      </c>
      <c r="BC1024" t="s">
        <v>7528</v>
      </c>
      <c r="BD1024" t="s">
        <v>7528</v>
      </c>
      <c r="BF1024" t="s">
        <v>3204</v>
      </c>
      <c r="BG1024" t="s">
        <v>98</v>
      </c>
      <c r="BH1024" t="s">
        <v>98</v>
      </c>
      <c r="BI1024" t="s">
        <v>98</v>
      </c>
      <c r="BJ1024" t="s">
        <v>99</v>
      </c>
      <c r="BK1024" t="s">
        <v>453</v>
      </c>
      <c r="BL1024" t="s">
        <v>128</v>
      </c>
      <c r="BR1024">
        <v>0</v>
      </c>
      <c r="BT1024">
        <v>5</v>
      </c>
      <c r="CA1024">
        <v>71166</v>
      </c>
      <c r="CB1024" t="s">
        <v>3202</v>
      </c>
      <c r="CG1024">
        <v>0</v>
      </c>
      <c r="CL1024" t="s">
        <v>99</v>
      </c>
      <c r="CM1024" t="s">
        <v>98</v>
      </c>
      <c r="CN1024" t="s">
        <v>3205</v>
      </c>
      <c r="CO1024" s="1">
        <v>39300</v>
      </c>
      <c r="CP1024" s="1">
        <v>43633</v>
      </c>
    </row>
    <row r="1025" spans="1:94" x14ac:dyDescent="0.25">
      <c r="A1025" t="s">
        <v>3206</v>
      </c>
      <c r="B1025" t="str">
        <f xml:space="preserve"> "" &amp; 747396007229</f>
        <v>747396007229</v>
      </c>
      <c r="C1025" t="s">
        <v>3194</v>
      </c>
      <c r="D1025" t="s">
        <v>6831</v>
      </c>
      <c r="E1025" t="s">
        <v>2562</v>
      </c>
      <c r="F1025" t="s">
        <v>2823</v>
      </c>
      <c r="G1025">
        <v>1</v>
      </c>
      <c r="H1025">
        <v>1</v>
      </c>
      <c r="I1025" t="s">
        <v>97</v>
      </c>
      <c r="J1025" s="10">
        <v>32</v>
      </c>
      <c r="K1025" s="10">
        <v>96</v>
      </c>
      <c r="L1025" s="10">
        <v>0</v>
      </c>
      <c r="N1025" s="10">
        <v>0</v>
      </c>
      <c r="O1025" t="s">
        <v>99</v>
      </c>
      <c r="P1025" s="10">
        <v>64.95</v>
      </c>
      <c r="S1025">
        <v>10.25</v>
      </c>
      <c r="U1025">
        <v>8.25</v>
      </c>
      <c r="V1025">
        <v>8.5</v>
      </c>
      <c r="W1025">
        <v>0.88</v>
      </c>
      <c r="X1025">
        <v>1</v>
      </c>
      <c r="Y1025">
        <v>10</v>
      </c>
      <c r="Z1025">
        <v>12</v>
      </c>
      <c r="AA1025">
        <v>10</v>
      </c>
      <c r="AB1025">
        <v>0.69399999999999995</v>
      </c>
      <c r="AC1025">
        <v>2.09</v>
      </c>
      <c r="AE1025">
        <v>1</v>
      </c>
      <c r="AF1025" t="s">
        <v>233</v>
      </c>
      <c r="AG1025">
        <v>100</v>
      </c>
      <c r="AH1025">
        <v>0</v>
      </c>
      <c r="AJ1025">
        <v>0</v>
      </c>
      <c r="AK1025" t="s">
        <v>98</v>
      </c>
      <c r="AM1025" t="s">
        <v>98</v>
      </c>
      <c r="AN1025" t="s">
        <v>98</v>
      </c>
      <c r="AO1025" t="s">
        <v>99</v>
      </c>
      <c r="AP1025" t="s">
        <v>100</v>
      </c>
      <c r="AQ1025" t="s">
        <v>101</v>
      </c>
      <c r="AV1025" t="s">
        <v>98</v>
      </c>
      <c r="AX1025" t="s">
        <v>3202</v>
      </c>
      <c r="AZ1025" t="s">
        <v>124</v>
      </c>
      <c r="BB1025" t="s">
        <v>3203</v>
      </c>
      <c r="BC1025" t="s">
        <v>7528</v>
      </c>
      <c r="BD1025" t="s">
        <v>7528</v>
      </c>
      <c r="BF1025" t="s">
        <v>3207</v>
      </c>
      <c r="BG1025" t="s">
        <v>98</v>
      </c>
      <c r="BH1025" t="s">
        <v>98</v>
      </c>
      <c r="BI1025" t="s">
        <v>98</v>
      </c>
      <c r="BJ1025" t="s">
        <v>99</v>
      </c>
      <c r="BK1025" t="s">
        <v>453</v>
      </c>
      <c r="BL1025" t="s">
        <v>128</v>
      </c>
      <c r="BR1025">
        <v>0</v>
      </c>
      <c r="BT1025">
        <v>5</v>
      </c>
      <c r="CA1025">
        <v>71167</v>
      </c>
      <c r="CB1025" t="s">
        <v>3202</v>
      </c>
      <c r="CL1025" t="s">
        <v>99</v>
      </c>
      <c r="CM1025" t="s">
        <v>98</v>
      </c>
      <c r="CN1025" t="s">
        <v>3208</v>
      </c>
      <c r="CO1025" s="1">
        <v>37814</v>
      </c>
      <c r="CP1025" s="1">
        <v>43633</v>
      </c>
    </row>
    <row r="1026" spans="1:94" x14ac:dyDescent="0.25">
      <c r="A1026" t="s">
        <v>3209</v>
      </c>
      <c r="B1026" t="str">
        <f xml:space="preserve"> "" &amp; 747396097916</f>
        <v>747396097916</v>
      </c>
      <c r="C1026" t="s">
        <v>3199</v>
      </c>
      <c r="D1026" t="s">
        <v>3186</v>
      </c>
      <c r="E1026" t="s">
        <v>3187</v>
      </c>
      <c r="F1026" t="s">
        <v>3188</v>
      </c>
      <c r="G1026">
        <v>1</v>
      </c>
      <c r="H1026">
        <v>1</v>
      </c>
      <c r="I1026" t="s">
        <v>97</v>
      </c>
      <c r="J1026" s="10">
        <v>80</v>
      </c>
      <c r="K1026" s="10">
        <v>240</v>
      </c>
      <c r="L1026" s="10">
        <v>0</v>
      </c>
      <c r="N1026" s="10">
        <v>0</v>
      </c>
      <c r="O1026" t="s">
        <v>99</v>
      </c>
      <c r="P1026" s="10">
        <v>164.95</v>
      </c>
      <c r="S1026">
        <v>9.75</v>
      </c>
      <c r="U1026">
        <v>11</v>
      </c>
      <c r="V1026">
        <v>12.75</v>
      </c>
      <c r="W1026">
        <v>1.63</v>
      </c>
      <c r="Y1026">
        <v>13.25</v>
      </c>
      <c r="Z1026">
        <v>15.25</v>
      </c>
      <c r="AA1026">
        <v>12</v>
      </c>
      <c r="AB1026">
        <v>1.403</v>
      </c>
      <c r="AC1026">
        <v>3.9</v>
      </c>
      <c r="AE1026">
        <v>1</v>
      </c>
      <c r="AF1026" t="s">
        <v>559</v>
      </c>
      <c r="AG1026">
        <v>14</v>
      </c>
      <c r="AK1026" t="s">
        <v>99</v>
      </c>
      <c r="AM1026" t="s">
        <v>98</v>
      </c>
      <c r="AN1026" t="s">
        <v>99</v>
      </c>
      <c r="AO1026" t="s">
        <v>98</v>
      </c>
      <c r="AP1026" t="s">
        <v>100</v>
      </c>
      <c r="AQ1026" t="s">
        <v>101</v>
      </c>
      <c r="AV1026" t="s">
        <v>98</v>
      </c>
      <c r="AX1026" t="s">
        <v>3190</v>
      </c>
      <c r="AZ1026" t="s">
        <v>124</v>
      </c>
      <c r="BB1026" t="s">
        <v>235</v>
      </c>
      <c r="BC1026" t="s">
        <v>1501</v>
      </c>
      <c r="BD1026" t="s">
        <v>7528</v>
      </c>
      <c r="BF1026" t="s">
        <v>3210</v>
      </c>
      <c r="BG1026" t="s">
        <v>99</v>
      </c>
      <c r="BH1026" t="s">
        <v>98</v>
      </c>
      <c r="BI1026" t="s">
        <v>98</v>
      </c>
      <c r="BJ1026" t="s">
        <v>99</v>
      </c>
      <c r="BK1026" t="s">
        <v>453</v>
      </c>
      <c r="BL1026" t="s">
        <v>128</v>
      </c>
      <c r="BM1026">
        <v>5</v>
      </c>
      <c r="BN1026">
        <v>1.75</v>
      </c>
      <c r="CA1026">
        <v>71169</v>
      </c>
      <c r="CB1026" t="s">
        <v>3190</v>
      </c>
      <c r="CG1026">
        <v>2700</v>
      </c>
      <c r="CH1026">
        <v>90</v>
      </c>
      <c r="CI1026">
        <v>980</v>
      </c>
      <c r="CJ1026">
        <v>351</v>
      </c>
      <c r="CK1026">
        <v>30000</v>
      </c>
      <c r="CL1026" t="s">
        <v>99</v>
      </c>
      <c r="CM1026" t="s">
        <v>98</v>
      </c>
      <c r="CN1026" t="s">
        <v>3198</v>
      </c>
      <c r="CO1026" s="1">
        <v>42325</v>
      </c>
      <c r="CP1026" s="1">
        <v>43633</v>
      </c>
    </row>
    <row r="1027" spans="1:94" x14ac:dyDescent="0.25">
      <c r="A1027" t="s">
        <v>3211</v>
      </c>
      <c r="B1027" t="str">
        <f xml:space="preserve"> "" &amp; 747396097909</f>
        <v>747396097909</v>
      </c>
      <c r="C1027" t="s">
        <v>3185</v>
      </c>
      <c r="D1027" t="s">
        <v>3186</v>
      </c>
      <c r="E1027" t="s">
        <v>3187</v>
      </c>
      <c r="F1027" t="s">
        <v>3188</v>
      </c>
      <c r="G1027">
        <v>1</v>
      </c>
      <c r="H1027">
        <v>1</v>
      </c>
      <c r="I1027" t="s">
        <v>97</v>
      </c>
      <c r="J1027" s="10">
        <v>80</v>
      </c>
      <c r="K1027" s="10">
        <v>240</v>
      </c>
      <c r="L1027" s="10">
        <v>0</v>
      </c>
      <c r="N1027" s="10">
        <v>0</v>
      </c>
      <c r="O1027" t="s">
        <v>99</v>
      </c>
      <c r="P1027" s="10">
        <v>164.95</v>
      </c>
      <c r="S1027">
        <v>9.75</v>
      </c>
      <c r="U1027">
        <v>11</v>
      </c>
      <c r="V1027">
        <v>12.75</v>
      </c>
      <c r="W1027">
        <v>1.63</v>
      </c>
      <c r="Y1027">
        <v>13.25</v>
      </c>
      <c r="Z1027">
        <v>15.25</v>
      </c>
      <c r="AA1027">
        <v>12</v>
      </c>
      <c r="AB1027">
        <v>1.403</v>
      </c>
      <c r="AC1027">
        <v>3.9</v>
      </c>
      <c r="AE1027">
        <v>1</v>
      </c>
      <c r="AF1027" t="s">
        <v>3212</v>
      </c>
      <c r="AG1027">
        <v>14</v>
      </c>
      <c r="AK1027" t="s">
        <v>99</v>
      </c>
      <c r="AM1027" t="s">
        <v>98</v>
      </c>
      <c r="AN1027" t="s">
        <v>99</v>
      </c>
      <c r="AO1027" t="s">
        <v>98</v>
      </c>
      <c r="AP1027" t="s">
        <v>100</v>
      </c>
      <c r="AQ1027" t="s">
        <v>101</v>
      </c>
      <c r="AV1027" t="s">
        <v>98</v>
      </c>
      <c r="AX1027" t="s">
        <v>1918</v>
      </c>
      <c r="AZ1027" t="s">
        <v>124</v>
      </c>
      <c r="BB1027" t="s">
        <v>235</v>
      </c>
      <c r="BC1027" t="s">
        <v>1501</v>
      </c>
      <c r="BD1027" t="s">
        <v>7528</v>
      </c>
      <c r="BF1027" t="s">
        <v>3213</v>
      </c>
      <c r="BG1027" t="s">
        <v>99</v>
      </c>
      <c r="BH1027" t="s">
        <v>98</v>
      </c>
      <c r="BI1027" t="s">
        <v>98</v>
      </c>
      <c r="BJ1027" t="s">
        <v>99</v>
      </c>
      <c r="BK1027" t="s">
        <v>453</v>
      </c>
      <c r="BL1027" t="s">
        <v>128</v>
      </c>
      <c r="BM1027">
        <v>5</v>
      </c>
      <c r="BN1027">
        <v>1.75</v>
      </c>
      <c r="BO1027">
        <v>5</v>
      </c>
      <c r="BP1027">
        <v>5</v>
      </c>
      <c r="CA1027">
        <v>71169</v>
      </c>
      <c r="CB1027" t="s">
        <v>1918</v>
      </c>
      <c r="CG1027">
        <v>2700</v>
      </c>
      <c r="CH1027">
        <v>90</v>
      </c>
      <c r="CI1027">
        <v>980</v>
      </c>
      <c r="CJ1027">
        <v>351</v>
      </c>
      <c r="CK1027">
        <v>30000</v>
      </c>
      <c r="CL1027" t="s">
        <v>99</v>
      </c>
      <c r="CM1027" t="s">
        <v>98</v>
      </c>
      <c r="CN1027" t="s">
        <v>3198</v>
      </c>
      <c r="CO1027" s="1">
        <v>42401</v>
      </c>
      <c r="CP1027" s="1">
        <v>43633</v>
      </c>
    </row>
    <row r="1028" spans="1:94" x14ac:dyDescent="0.25">
      <c r="A1028" t="s">
        <v>3214</v>
      </c>
      <c r="B1028" t="str">
        <f xml:space="preserve"> "" &amp; 747396007267</f>
        <v>747396007267</v>
      </c>
      <c r="C1028" t="s">
        <v>3215</v>
      </c>
      <c r="D1028" t="s">
        <v>3216</v>
      </c>
      <c r="E1028" t="s">
        <v>2562</v>
      </c>
      <c r="F1028" t="s">
        <v>2823</v>
      </c>
      <c r="G1028">
        <v>1</v>
      </c>
      <c r="H1028">
        <v>1</v>
      </c>
      <c r="I1028" t="s">
        <v>97</v>
      </c>
      <c r="J1028" s="10">
        <v>30</v>
      </c>
      <c r="K1028" s="10">
        <v>90</v>
      </c>
      <c r="L1028" s="10">
        <v>0</v>
      </c>
      <c r="N1028" s="10">
        <v>0</v>
      </c>
      <c r="O1028" t="s">
        <v>99</v>
      </c>
      <c r="P1028" s="10">
        <v>59.95</v>
      </c>
      <c r="S1028">
        <v>6.75</v>
      </c>
      <c r="T1028">
        <v>10.75</v>
      </c>
      <c r="U1028">
        <v>10.75</v>
      </c>
      <c r="W1028">
        <v>2.98</v>
      </c>
      <c r="X1028">
        <v>1</v>
      </c>
      <c r="Y1028">
        <v>10</v>
      </c>
      <c r="Z1028">
        <v>12.1</v>
      </c>
      <c r="AA1028">
        <v>10.9</v>
      </c>
      <c r="AB1028">
        <v>0.76300000000000001</v>
      </c>
      <c r="AC1028">
        <v>4.59</v>
      </c>
      <c r="AE1028">
        <v>3</v>
      </c>
      <c r="AF1028" t="s">
        <v>308</v>
      </c>
      <c r="AG1028">
        <v>40</v>
      </c>
      <c r="AH1028">
        <v>0</v>
      </c>
      <c r="AK1028" t="s">
        <v>98</v>
      </c>
      <c r="AM1028" t="s">
        <v>98</v>
      </c>
      <c r="AN1028" t="s">
        <v>99</v>
      </c>
      <c r="AO1028" t="s">
        <v>98</v>
      </c>
      <c r="AP1028" t="s">
        <v>100</v>
      </c>
      <c r="AQ1028" t="s">
        <v>101</v>
      </c>
      <c r="AV1028" t="s">
        <v>98</v>
      </c>
      <c r="AX1028" t="s">
        <v>164</v>
      </c>
      <c r="AZ1028" t="s">
        <v>124</v>
      </c>
      <c r="BB1028" t="s">
        <v>235</v>
      </c>
      <c r="BC1028" t="s">
        <v>7616</v>
      </c>
      <c r="BD1028" t="s">
        <v>7528</v>
      </c>
      <c r="BF1028" t="s">
        <v>3217</v>
      </c>
      <c r="BG1028" t="s">
        <v>98</v>
      </c>
      <c r="BH1028" t="s">
        <v>98</v>
      </c>
      <c r="BI1028" t="s">
        <v>98</v>
      </c>
      <c r="BK1028" t="s">
        <v>127</v>
      </c>
      <c r="BL1028" t="s">
        <v>7528</v>
      </c>
      <c r="BR1028">
        <v>0</v>
      </c>
      <c r="BT1028">
        <v>0</v>
      </c>
      <c r="CA1028">
        <v>71174</v>
      </c>
      <c r="CB1028" t="s">
        <v>164</v>
      </c>
      <c r="CG1028">
        <v>0</v>
      </c>
      <c r="CL1028" t="s">
        <v>99</v>
      </c>
      <c r="CM1028" t="s">
        <v>98</v>
      </c>
      <c r="CN1028" t="s">
        <v>3218</v>
      </c>
      <c r="CO1028" s="1">
        <v>36389</v>
      </c>
      <c r="CP1028" s="1">
        <v>43633</v>
      </c>
    </row>
    <row r="1029" spans="1:94" x14ac:dyDescent="0.25">
      <c r="A1029" t="s">
        <v>3219</v>
      </c>
      <c r="B1029" t="str">
        <f xml:space="preserve"> "" &amp; 747396007274</f>
        <v>747396007274</v>
      </c>
      <c r="C1029" t="s">
        <v>3215</v>
      </c>
      <c r="D1029" t="s">
        <v>3216</v>
      </c>
      <c r="E1029" t="s">
        <v>2562</v>
      </c>
      <c r="F1029" t="s">
        <v>2823</v>
      </c>
      <c r="G1029">
        <v>1</v>
      </c>
      <c r="H1029">
        <v>1</v>
      </c>
      <c r="I1029" t="s">
        <v>97</v>
      </c>
      <c r="J1029" s="10">
        <v>30</v>
      </c>
      <c r="K1029" s="10">
        <v>90</v>
      </c>
      <c r="L1029" s="10">
        <v>0</v>
      </c>
      <c r="N1029" s="10">
        <v>0</v>
      </c>
      <c r="O1029" t="s">
        <v>99</v>
      </c>
      <c r="P1029" s="10">
        <v>59.95</v>
      </c>
      <c r="S1029">
        <v>6.75</v>
      </c>
      <c r="U1029">
        <v>10.75</v>
      </c>
      <c r="W1029">
        <v>3.02</v>
      </c>
      <c r="X1029">
        <v>1</v>
      </c>
      <c r="Y1029">
        <v>9.75</v>
      </c>
      <c r="Z1029">
        <v>12.13</v>
      </c>
      <c r="AA1029">
        <v>10.88</v>
      </c>
      <c r="AB1029">
        <v>0.745</v>
      </c>
      <c r="AC1029">
        <v>4.83</v>
      </c>
      <c r="AE1029">
        <v>3</v>
      </c>
      <c r="AF1029" t="s">
        <v>308</v>
      </c>
      <c r="AG1029">
        <v>40</v>
      </c>
      <c r="AH1029">
        <v>0</v>
      </c>
      <c r="AK1029" t="s">
        <v>98</v>
      </c>
      <c r="AM1029" t="s">
        <v>98</v>
      </c>
      <c r="AN1029" t="s">
        <v>99</v>
      </c>
      <c r="AO1029" t="s">
        <v>98</v>
      </c>
      <c r="AP1029" t="s">
        <v>100</v>
      </c>
      <c r="AQ1029" t="s">
        <v>101</v>
      </c>
      <c r="AV1029" t="s">
        <v>98</v>
      </c>
      <c r="AX1029" t="s">
        <v>3202</v>
      </c>
      <c r="AZ1029" t="s">
        <v>124</v>
      </c>
      <c r="BB1029" t="s">
        <v>235</v>
      </c>
      <c r="BC1029" t="s">
        <v>7616</v>
      </c>
      <c r="BD1029" t="s">
        <v>7528</v>
      </c>
      <c r="BF1029" t="s">
        <v>3220</v>
      </c>
      <c r="BG1029" t="s">
        <v>98</v>
      </c>
      <c r="BH1029" t="s">
        <v>98</v>
      </c>
      <c r="BI1029" t="s">
        <v>98</v>
      </c>
      <c r="BK1029" t="s">
        <v>127</v>
      </c>
      <c r="BL1029" t="s">
        <v>7528</v>
      </c>
      <c r="BR1029">
        <v>0</v>
      </c>
      <c r="BT1029">
        <v>0</v>
      </c>
      <c r="CA1029">
        <v>71174</v>
      </c>
      <c r="CB1029" t="s">
        <v>3202</v>
      </c>
      <c r="CG1029">
        <v>0</v>
      </c>
      <c r="CL1029" t="s">
        <v>99</v>
      </c>
      <c r="CM1029" t="s">
        <v>98</v>
      </c>
      <c r="CN1029" t="s">
        <v>3218</v>
      </c>
      <c r="CO1029" s="1">
        <v>36389</v>
      </c>
      <c r="CP1029" s="1">
        <v>43633</v>
      </c>
    </row>
    <row r="1030" spans="1:94" x14ac:dyDescent="0.25">
      <c r="A1030" t="s">
        <v>3221</v>
      </c>
      <c r="B1030" t="str">
        <f xml:space="preserve"> "" &amp; 747396079332</f>
        <v>747396079332</v>
      </c>
      <c r="C1030" t="s">
        <v>1577</v>
      </c>
      <c r="D1030" t="s">
        <v>6832</v>
      </c>
      <c r="E1030" t="s">
        <v>3222</v>
      </c>
      <c r="F1030" t="s">
        <v>449</v>
      </c>
      <c r="G1030">
        <v>1</v>
      </c>
      <c r="H1030">
        <v>1</v>
      </c>
      <c r="I1030" t="s">
        <v>97</v>
      </c>
      <c r="J1030" s="10">
        <v>85</v>
      </c>
      <c r="K1030" s="10">
        <v>255</v>
      </c>
      <c r="L1030" s="10">
        <v>0</v>
      </c>
      <c r="N1030" s="10">
        <v>0</v>
      </c>
      <c r="O1030" t="s">
        <v>99</v>
      </c>
      <c r="P1030" s="10">
        <v>169.95</v>
      </c>
      <c r="S1030">
        <v>12.25</v>
      </c>
      <c r="U1030">
        <v>6</v>
      </c>
      <c r="V1030">
        <v>8</v>
      </c>
      <c r="W1030">
        <v>3.33</v>
      </c>
      <c r="X1030">
        <v>1</v>
      </c>
      <c r="Y1030">
        <v>15.25</v>
      </c>
      <c r="Z1030">
        <v>11</v>
      </c>
      <c r="AA1030">
        <v>8.75</v>
      </c>
      <c r="AB1030">
        <v>0.84899999999999998</v>
      </c>
      <c r="AC1030">
        <v>4.45</v>
      </c>
      <c r="AE1030">
        <v>1</v>
      </c>
      <c r="AF1030" t="s">
        <v>3223</v>
      </c>
      <c r="AG1030">
        <v>13</v>
      </c>
      <c r="AK1030" t="s">
        <v>99</v>
      </c>
      <c r="AM1030" t="s">
        <v>98</v>
      </c>
      <c r="AN1030" t="s">
        <v>99</v>
      </c>
      <c r="AO1030" t="s">
        <v>98</v>
      </c>
      <c r="AP1030" t="s">
        <v>100</v>
      </c>
      <c r="AQ1030" t="s">
        <v>101</v>
      </c>
      <c r="AV1030" t="s">
        <v>98</v>
      </c>
      <c r="AX1030" t="s">
        <v>234</v>
      </c>
      <c r="AZ1030" t="s">
        <v>102</v>
      </c>
      <c r="BB1030" t="s">
        <v>235</v>
      </c>
      <c r="BC1030" t="s">
        <v>3224</v>
      </c>
      <c r="BD1030" t="s">
        <v>7528</v>
      </c>
      <c r="BF1030" t="s">
        <v>3225</v>
      </c>
      <c r="BG1030" t="s">
        <v>98</v>
      </c>
      <c r="BH1030" t="s">
        <v>98</v>
      </c>
      <c r="BI1030" t="s">
        <v>98</v>
      </c>
      <c r="BJ1030" t="s">
        <v>99</v>
      </c>
      <c r="BK1030" t="s">
        <v>453</v>
      </c>
      <c r="BL1030" t="s">
        <v>128</v>
      </c>
      <c r="BR1030">
        <v>9</v>
      </c>
      <c r="BT1030">
        <v>5</v>
      </c>
      <c r="CA1030" t="s">
        <v>3226</v>
      </c>
      <c r="CB1030" t="s">
        <v>234</v>
      </c>
      <c r="CG1030">
        <v>2700</v>
      </c>
      <c r="CL1030" t="s">
        <v>98</v>
      </c>
      <c r="CM1030" t="s">
        <v>98</v>
      </c>
      <c r="CN1030" t="s">
        <v>3227</v>
      </c>
      <c r="CO1030" s="1">
        <v>40491</v>
      </c>
      <c r="CP1030" s="1">
        <v>43633</v>
      </c>
    </row>
    <row r="1031" spans="1:94" x14ac:dyDescent="0.25">
      <c r="A1031" t="s">
        <v>3228</v>
      </c>
      <c r="B1031" t="str">
        <f xml:space="preserve"> "" &amp; 747396079387</f>
        <v>747396079387</v>
      </c>
      <c r="C1031" t="s">
        <v>447</v>
      </c>
      <c r="D1031" t="s">
        <v>6833</v>
      </c>
      <c r="E1031" t="s">
        <v>3222</v>
      </c>
      <c r="F1031" t="s">
        <v>449</v>
      </c>
      <c r="G1031">
        <v>1</v>
      </c>
      <c r="H1031">
        <v>1</v>
      </c>
      <c r="I1031" t="s">
        <v>97</v>
      </c>
      <c r="J1031" s="10">
        <v>94.95</v>
      </c>
      <c r="K1031" s="10">
        <v>284.85000000000002</v>
      </c>
      <c r="L1031" s="10">
        <v>0</v>
      </c>
      <c r="N1031" s="10">
        <v>0</v>
      </c>
      <c r="S1031">
        <v>13.75</v>
      </c>
      <c r="T1031">
        <v>10.5</v>
      </c>
      <c r="U1031">
        <v>10.5</v>
      </c>
      <c r="W1031">
        <v>5.86</v>
      </c>
      <c r="X1031">
        <v>1</v>
      </c>
      <c r="Y1031">
        <v>16.5</v>
      </c>
      <c r="Z1031">
        <v>13</v>
      </c>
      <c r="AA1031">
        <v>13</v>
      </c>
      <c r="AB1031">
        <v>1.6140000000000001</v>
      </c>
      <c r="AC1031">
        <v>8.27</v>
      </c>
      <c r="AE1031">
        <v>1</v>
      </c>
      <c r="AF1031" t="s">
        <v>3223</v>
      </c>
      <c r="AG1031">
        <v>26</v>
      </c>
      <c r="AK1031" t="s">
        <v>99</v>
      </c>
      <c r="AM1031" t="s">
        <v>98</v>
      </c>
      <c r="AN1031" t="s">
        <v>99</v>
      </c>
      <c r="AO1031" t="s">
        <v>98</v>
      </c>
      <c r="AP1031" t="s">
        <v>100</v>
      </c>
      <c r="AQ1031" t="s">
        <v>101</v>
      </c>
      <c r="AV1031" t="s">
        <v>98</v>
      </c>
      <c r="AX1031" t="s">
        <v>234</v>
      </c>
      <c r="AZ1031" t="s">
        <v>102</v>
      </c>
      <c r="BB1031" t="s">
        <v>235</v>
      </c>
      <c r="BC1031" t="s">
        <v>3224</v>
      </c>
      <c r="BD1031" t="s">
        <v>7528</v>
      </c>
      <c r="BF1031" t="s">
        <v>3229</v>
      </c>
      <c r="BG1031" t="s">
        <v>98</v>
      </c>
      <c r="BH1031" t="s">
        <v>98</v>
      </c>
      <c r="BI1031" t="s">
        <v>98</v>
      </c>
      <c r="BJ1031" t="s">
        <v>99</v>
      </c>
      <c r="BK1031" t="s">
        <v>453</v>
      </c>
      <c r="BL1031" t="s">
        <v>7528</v>
      </c>
      <c r="CA1031" t="s">
        <v>3230</v>
      </c>
      <c r="CB1031" t="s">
        <v>234</v>
      </c>
      <c r="CG1031">
        <v>2700</v>
      </c>
      <c r="CL1031" t="s">
        <v>98</v>
      </c>
      <c r="CM1031" t="s">
        <v>98</v>
      </c>
      <c r="CN1031" t="s">
        <v>3227</v>
      </c>
      <c r="CO1031" s="1">
        <v>40660</v>
      </c>
      <c r="CP1031" s="1">
        <v>43633</v>
      </c>
    </row>
    <row r="1032" spans="1:94" x14ac:dyDescent="0.25">
      <c r="A1032" t="s">
        <v>3231</v>
      </c>
      <c r="B1032" t="str">
        <f xml:space="preserve"> "" &amp; 747396101743</f>
        <v>747396101743</v>
      </c>
      <c r="C1032" t="s">
        <v>3232</v>
      </c>
      <c r="D1032" t="s">
        <v>3185</v>
      </c>
      <c r="E1032" t="s">
        <v>3233</v>
      </c>
      <c r="F1032" t="s">
        <v>2823</v>
      </c>
      <c r="G1032">
        <v>1</v>
      </c>
      <c r="H1032">
        <v>1</v>
      </c>
      <c r="I1032" t="s">
        <v>97</v>
      </c>
      <c r="J1032" s="10">
        <v>55</v>
      </c>
      <c r="K1032" s="10">
        <v>165</v>
      </c>
      <c r="L1032" s="10">
        <v>0</v>
      </c>
      <c r="N1032" s="10">
        <v>0</v>
      </c>
      <c r="O1032" t="s">
        <v>99</v>
      </c>
      <c r="P1032" s="10">
        <v>114.95</v>
      </c>
      <c r="S1032">
        <v>12.5</v>
      </c>
      <c r="U1032">
        <v>5.75</v>
      </c>
      <c r="V1032">
        <v>8.75</v>
      </c>
      <c r="W1032">
        <v>3.59</v>
      </c>
      <c r="X1032">
        <v>1</v>
      </c>
      <c r="Y1032">
        <v>15.38</v>
      </c>
      <c r="Z1032">
        <v>11</v>
      </c>
      <c r="AA1032">
        <v>8.8800000000000008</v>
      </c>
      <c r="AB1032">
        <v>0.86899999999999999</v>
      </c>
      <c r="AC1032">
        <v>4.8099999999999996</v>
      </c>
      <c r="AE1032">
        <v>1</v>
      </c>
      <c r="AF1032" t="s">
        <v>282</v>
      </c>
      <c r="AG1032">
        <v>100</v>
      </c>
      <c r="AK1032" t="s">
        <v>98</v>
      </c>
      <c r="AM1032" t="s">
        <v>98</v>
      </c>
      <c r="AN1032" t="s">
        <v>99</v>
      </c>
      <c r="AO1032" t="s">
        <v>98</v>
      </c>
      <c r="AP1032" t="s">
        <v>100</v>
      </c>
      <c r="AQ1032" t="s">
        <v>101</v>
      </c>
      <c r="AV1032" t="s">
        <v>98</v>
      </c>
      <c r="AX1032" t="s">
        <v>3234</v>
      </c>
      <c r="AZ1032" t="s">
        <v>102</v>
      </c>
      <c r="BB1032" t="s">
        <v>235</v>
      </c>
      <c r="BC1032" t="s">
        <v>1064</v>
      </c>
      <c r="BD1032" t="s">
        <v>7528</v>
      </c>
      <c r="BF1032" t="s">
        <v>3235</v>
      </c>
      <c r="BG1032" t="s">
        <v>98</v>
      </c>
      <c r="BH1032" t="s">
        <v>98</v>
      </c>
      <c r="BI1032" t="s">
        <v>98</v>
      </c>
      <c r="BJ1032" t="s">
        <v>99</v>
      </c>
      <c r="BK1032" t="s">
        <v>453</v>
      </c>
      <c r="BL1032" t="s">
        <v>7528</v>
      </c>
      <c r="BM1032">
        <v>5</v>
      </c>
      <c r="BN1032">
        <v>7</v>
      </c>
      <c r="CA1032">
        <v>71201</v>
      </c>
      <c r="CB1032" t="s">
        <v>3234</v>
      </c>
      <c r="CL1032" t="s">
        <v>99</v>
      </c>
      <c r="CM1032" t="s">
        <v>98</v>
      </c>
      <c r="CN1032" t="s">
        <v>3236</v>
      </c>
      <c r="CO1032" s="1">
        <v>42765</v>
      </c>
      <c r="CP1032" s="1">
        <v>43633</v>
      </c>
    </row>
    <row r="1033" spans="1:94" x14ac:dyDescent="0.25">
      <c r="A1033" t="s">
        <v>3237</v>
      </c>
      <c r="B1033" t="str">
        <f xml:space="preserve"> "" &amp; 747396101750</f>
        <v>747396101750</v>
      </c>
      <c r="C1033" t="s">
        <v>3232</v>
      </c>
      <c r="D1033" t="s">
        <v>3185</v>
      </c>
      <c r="E1033" t="s">
        <v>3233</v>
      </c>
      <c r="F1033" t="s">
        <v>2823</v>
      </c>
      <c r="G1033">
        <v>1</v>
      </c>
      <c r="H1033">
        <v>1</v>
      </c>
      <c r="I1033" t="s">
        <v>97</v>
      </c>
      <c r="J1033" s="10">
        <v>75</v>
      </c>
      <c r="K1033" s="10">
        <v>225</v>
      </c>
      <c r="L1033" s="10">
        <v>0</v>
      </c>
      <c r="N1033" s="10">
        <v>0</v>
      </c>
      <c r="O1033" t="s">
        <v>99</v>
      </c>
      <c r="P1033" s="10">
        <v>159.94999999999999</v>
      </c>
      <c r="S1033">
        <v>14.5</v>
      </c>
      <c r="U1033">
        <v>7</v>
      </c>
      <c r="V1033">
        <v>9.25</v>
      </c>
      <c r="W1033">
        <v>5.47</v>
      </c>
      <c r="X1033">
        <v>1</v>
      </c>
      <c r="Y1033">
        <v>17.38</v>
      </c>
      <c r="Z1033">
        <v>12.25</v>
      </c>
      <c r="AA1033">
        <v>10</v>
      </c>
      <c r="AB1033">
        <v>1.232</v>
      </c>
      <c r="AC1033">
        <v>6.88</v>
      </c>
      <c r="AE1033">
        <v>1</v>
      </c>
      <c r="AF1033" t="s">
        <v>598</v>
      </c>
      <c r="AG1033">
        <v>100</v>
      </c>
      <c r="AK1033" t="s">
        <v>98</v>
      </c>
      <c r="AM1033" t="s">
        <v>98</v>
      </c>
      <c r="AN1033" t="s">
        <v>99</v>
      </c>
      <c r="AO1033" t="s">
        <v>98</v>
      </c>
      <c r="AP1033" t="s">
        <v>100</v>
      </c>
      <c r="AQ1033" t="s">
        <v>101</v>
      </c>
      <c r="AV1033" t="s">
        <v>98</v>
      </c>
      <c r="AX1033" t="s">
        <v>3234</v>
      </c>
      <c r="AZ1033" t="s">
        <v>102</v>
      </c>
      <c r="BB1033" t="s">
        <v>235</v>
      </c>
      <c r="BC1033" t="s">
        <v>746</v>
      </c>
      <c r="BD1033" t="s">
        <v>7528</v>
      </c>
      <c r="BF1033" t="s">
        <v>3238</v>
      </c>
      <c r="BG1033" t="s">
        <v>98</v>
      </c>
      <c r="BH1033" t="s">
        <v>98</v>
      </c>
      <c r="BI1033" t="s">
        <v>98</v>
      </c>
      <c r="BJ1033" t="s">
        <v>99</v>
      </c>
      <c r="BK1033" t="s">
        <v>453</v>
      </c>
      <c r="BL1033" t="s">
        <v>7528</v>
      </c>
      <c r="BM1033">
        <v>5</v>
      </c>
      <c r="BN1033">
        <v>7</v>
      </c>
      <c r="CA1033">
        <v>71202</v>
      </c>
      <c r="CB1033" t="s">
        <v>3234</v>
      </c>
      <c r="CL1033" t="s">
        <v>99</v>
      </c>
      <c r="CM1033" t="s">
        <v>98</v>
      </c>
      <c r="CN1033" t="s">
        <v>3236</v>
      </c>
      <c r="CO1033" s="1">
        <v>42765</v>
      </c>
      <c r="CP1033" s="1">
        <v>43633</v>
      </c>
    </row>
    <row r="1034" spans="1:94" x14ac:dyDescent="0.25">
      <c r="A1034" t="s">
        <v>3239</v>
      </c>
      <c r="B1034" t="str">
        <f xml:space="preserve"> "" &amp; 747396101897</f>
        <v>747396101897</v>
      </c>
      <c r="C1034" t="s">
        <v>3232</v>
      </c>
      <c r="D1034" t="s">
        <v>3240</v>
      </c>
      <c r="E1034" t="s">
        <v>3233</v>
      </c>
      <c r="F1034" t="s">
        <v>2823</v>
      </c>
      <c r="G1034">
        <v>1</v>
      </c>
      <c r="H1034">
        <v>1</v>
      </c>
      <c r="I1034" t="s">
        <v>97</v>
      </c>
      <c r="J1034" s="10">
        <v>119</v>
      </c>
      <c r="K1034" s="10">
        <v>357</v>
      </c>
      <c r="L1034" s="10">
        <v>0</v>
      </c>
      <c r="N1034" s="10">
        <v>0</v>
      </c>
      <c r="O1034" t="s">
        <v>99</v>
      </c>
      <c r="P1034" s="10">
        <v>249.95</v>
      </c>
      <c r="S1034">
        <v>17.5</v>
      </c>
      <c r="U1034">
        <v>9</v>
      </c>
      <c r="V1034">
        <v>11.25</v>
      </c>
      <c r="W1034">
        <v>9.7899999999999991</v>
      </c>
      <c r="X1034">
        <v>1</v>
      </c>
      <c r="Y1034">
        <v>20.28</v>
      </c>
      <c r="Z1034">
        <v>13.78</v>
      </c>
      <c r="AA1034">
        <v>11.81</v>
      </c>
      <c r="AB1034">
        <v>1.91</v>
      </c>
      <c r="AC1034">
        <v>11.77</v>
      </c>
      <c r="AE1034">
        <v>3</v>
      </c>
      <c r="AF1034" t="s">
        <v>1205</v>
      </c>
      <c r="AG1034">
        <v>60</v>
      </c>
      <c r="AK1034" t="s">
        <v>98</v>
      </c>
      <c r="AM1034" t="s">
        <v>98</v>
      </c>
      <c r="AN1034" t="s">
        <v>99</v>
      </c>
      <c r="AO1034" t="s">
        <v>98</v>
      </c>
      <c r="AP1034" t="s">
        <v>100</v>
      </c>
      <c r="AQ1034" t="s">
        <v>101</v>
      </c>
      <c r="AV1034" t="s">
        <v>98</v>
      </c>
      <c r="AX1034" t="s">
        <v>3234</v>
      </c>
      <c r="AZ1034" t="s">
        <v>102</v>
      </c>
      <c r="BB1034" t="s">
        <v>235</v>
      </c>
      <c r="BC1034" t="s">
        <v>746</v>
      </c>
      <c r="BD1034" t="s">
        <v>7528</v>
      </c>
      <c r="BF1034" t="s">
        <v>3241</v>
      </c>
      <c r="BG1034" t="s">
        <v>98</v>
      </c>
      <c r="BH1034" t="s">
        <v>98</v>
      </c>
      <c r="BI1034" t="s">
        <v>98</v>
      </c>
      <c r="BJ1034" t="s">
        <v>99</v>
      </c>
      <c r="BK1034" t="s">
        <v>453</v>
      </c>
      <c r="BL1034" t="s">
        <v>7528</v>
      </c>
      <c r="BM1034">
        <v>5.63</v>
      </c>
      <c r="BN1034">
        <v>8.25</v>
      </c>
      <c r="CA1034">
        <v>71203</v>
      </c>
      <c r="CB1034" t="s">
        <v>3234</v>
      </c>
      <c r="CL1034" t="s">
        <v>99</v>
      </c>
      <c r="CM1034" t="s">
        <v>98</v>
      </c>
      <c r="CN1034" t="s">
        <v>3236</v>
      </c>
      <c r="CO1034" s="1">
        <v>42839</v>
      </c>
      <c r="CP1034" s="1">
        <v>43633</v>
      </c>
    </row>
    <row r="1035" spans="1:94" x14ac:dyDescent="0.25">
      <c r="A1035" t="s">
        <v>3242</v>
      </c>
      <c r="B1035" t="str">
        <f xml:space="preserve"> "" &amp; 747396101262</f>
        <v>747396101262</v>
      </c>
      <c r="C1035" t="s">
        <v>3232</v>
      </c>
      <c r="D1035" t="s">
        <v>3243</v>
      </c>
      <c r="E1035" t="s">
        <v>3244</v>
      </c>
      <c r="F1035" t="s">
        <v>2823</v>
      </c>
      <c r="G1035">
        <v>1</v>
      </c>
      <c r="H1035">
        <v>1</v>
      </c>
      <c r="I1035" t="s">
        <v>97</v>
      </c>
      <c r="J1035" s="10">
        <v>45</v>
      </c>
      <c r="K1035" s="10">
        <v>135</v>
      </c>
      <c r="L1035" s="10">
        <v>0</v>
      </c>
      <c r="N1035" s="10">
        <v>0</v>
      </c>
      <c r="O1035" t="s">
        <v>99</v>
      </c>
      <c r="P1035" s="10">
        <v>94.95</v>
      </c>
      <c r="S1035">
        <v>12</v>
      </c>
      <c r="U1035">
        <v>6.5</v>
      </c>
      <c r="V1035">
        <v>7.75</v>
      </c>
      <c r="W1035">
        <v>2.76</v>
      </c>
      <c r="X1035">
        <v>1</v>
      </c>
      <c r="Y1035">
        <v>15</v>
      </c>
      <c r="Z1035">
        <v>9.8800000000000008</v>
      </c>
      <c r="AA1035">
        <v>9</v>
      </c>
      <c r="AB1035">
        <v>0.77200000000000002</v>
      </c>
      <c r="AC1035">
        <v>3.88</v>
      </c>
      <c r="AE1035">
        <v>1</v>
      </c>
      <c r="AF1035" t="s">
        <v>466</v>
      </c>
      <c r="AG1035">
        <v>100</v>
      </c>
      <c r="AK1035" t="s">
        <v>98</v>
      </c>
      <c r="AL1035">
        <v>1</v>
      </c>
      <c r="AM1035" t="s">
        <v>98</v>
      </c>
      <c r="AN1035" t="s">
        <v>99</v>
      </c>
      <c r="AO1035" t="s">
        <v>98</v>
      </c>
      <c r="AP1035" t="s">
        <v>100</v>
      </c>
      <c r="AQ1035" t="s">
        <v>101</v>
      </c>
      <c r="AV1035" t="s">
        <v>98</v>
      </c>
      <c r="AX1035" t="s">
        <v>3190</v>
      </c>
      <c r="AZ1035" t="s">
        <v>124</v>
      </c>
      <c r="BB1035" t="s">
        <v>235</v>
      </c>
      <c r="BC1035" t="s">
        <v>2591</v>
      </c>
      <c r="BD1035" t="s">
        <v>7528</v>
      </c>
      <c r="BF1035" t="s">
        <v>3245</v>
      </c>
      <c r="BG1035" t="s">
        <v>98</v>
      </c>
      <c r="BH1035" t="s">
        <v>98</v>
      </c>
      <c r="BI1035" t="s">
        <v>98</v>
      </c>
      <c r="BJ1035" t="s">
        <v>99</v>
      </c>
      <c r="BK1035" t="s">
        <v>453</v>
      </c>
      <c r="BL1035" t="s">
        <v>128</v>
      </c>
      <c r="BM1035">
        <v>5</v>
      </c>
      <c r="BN1035">
        <v>7.25</v>
      </c>
      <c r="CA1035">
        <v>71211</v>
      </c>
      <c r="CB1035" t="s">
        <v>3190</v>
      </c>
      <c r="CL1035" t="s">
        <v>99</v>
      </c>
      <c r="CM1035" t="s">
        <v>98</v>
      </c>
      <c r="CN1035" t="s">
        <v>3236</v>
      </c>
      <c r="CO1035" s="1">
        <v>42843</v>
      </c>
      <c r="CP1035" s="1">
        <v>43633</v>
      </c>
    </row>
    <row r="1036" spans="1:94" x14ac:dyDescent="0.25">
      <c r="A1036" t="s">
        <v>3246</v>
      </c>
      <c r="B1036" t="str">
        <f xml:space="preserve"> "" &amp; 747396101279</f>
        <v>747396101279</v>
      </c>
      <c r="C1036" t="s">
        <v>3232</v>
      </c>
      <c r="D1036" t="s">
        <v>3247</v>
      </c>
      <c r="E1036" t="s">
        <v>3244</v>
      </c>
      <c r="F1036" t="s">
        <v>2823</v>
      </c>
      <c r="G1036">
        <v>1</v>
      </c>
      <c r="H1036">
        <v>1</v>
      </c>
      <c r="I1036" t="s">
        <v>97</v>
      </c>
      <c r="J1036" s="10">
        <v>72</v>
      </c>
      <c r="K1036" s="10">
        <v>216</v>
      </c>
      <c r="L1036" s="10">
        <v>0</v>
      </c>
      <c r="N1036" s="10">
        <v>0</v>
      </c>
      <c r="O1036" t="s">
        <v>99</v>
      </c>
      <c r="P1036" s="10">
        <v>154.94999999999999</v>
      </c>
      <c r="S1036">
        <v>15.75</v>
      </c>
      <c r="U1036">
        <v>8.5</v>
      </c>
      <c r="V1036">
        <v>10</v>
      </c>
      <c r="W1036">
        <v>5.03</v>
      </c>
      <c r="X1036">
        <v>1</v>
      </c>
      <c r="Y1036">
        <v>19.38</v>
      </c>
      <c r="Z1036">
        <v>12.63</v>
      </c>
      <c r="AA1036">
        <v>11.25</v>
      </c>
      <c r="AB1036">
        <v>1.5940000000000001</v>
      </c>
      <c r="AC1036">
        <v>6.97</v>
      </c>
      <c r="AE1036">
        <v>3</v>
      </c>
      <c r="AF1036" t="s">
        <v>519</v>
      </c>
      <c r="AG1036">
        <v>60</v>
      </c>
      <c r="AK1036" t="s">
        <v>98</v>
      </c>
      <c r="AL1036">
        <v>1</v>
      </c>
      <c r="AM1036" t="s">
        <v>98</v>
      </c>
      <c r="AN1036" t="s">
        <v>99</v>
      </c>
      <c r="AO1036" t="s">
        <v>98</v>
      </c>
      <c r="AP1036" t="s">
        <v>100</v>
      </c>
      <c r="AQ1036" t="s">
        <v>101</v>
      </c>
      <c r="AV1036" t="s">
        <v>98</v>
      </c>
      <c r="AX1036" t="s">
        <v>3190</v>
      </c>
      <c r="AZ1036" t="s">
        <v>124</v>
      </c>
      <c r="BB1036" t="s">
        <v>235</v>
      </c>
      <c r="BC1036" t="s">
        <v>2591</v>
      </c>
      <c r="BD1036" t="s">
        <v>7528</v>
      </c>
      <c r="BF1036" t="s">
        <v>3248</v>
      </c>
      <c r="BG1036" t="s">
        <v>98</v>
      </c>
      <c r="BH1036" t="s">
        <v>98</v>
      </c>
      <c r="BI1036" t="s">
        <v>98</v>
      </c>
      <c r="BJ1036" t="s">
        <v>99</v>
      </c>
      <c r="BK1036" t="s">
        <v>453</v>
      </c>
      <c r="BL1036" t="s">
        <v>128</v>
      </c>
      <c r="BM1036">
        <v>5.75</v>
      </c>
      <c r="BN1036">
        <v>9.5</v>
      </c>
      <c r="CA1036">
        <v>71212</v>
      </c>
      <c r="CB1036" t="s">
        <v>3190</v>
      </c>
      <c r="CL1036" t="s">
        <v>99</v>
      </c>
      <c r="CM1036" t="s">
        <v>98</v>
      </c>
      <c r="CN1036" t="s">
        <v>3249</v>
      </c>
      <c r="CO1036" s="1">
        <v>42843</v>
      </c>
      <c r="CP1036" s="1">
        <v>43633</v>
      </c>
    </row>
    <row r="1037" spans="1:94" x14ac:dyDescent="0.25">
      <c r="A1037" t="s">
        <v>3250</v>
      </c>
      <c r="B1037" t="str">
        <f xml:space="preserve"> "" &amp; 747396101286</f>
        <v>747396101286</v>
      </c>
      <c r="C1037" t="s">
        <v>3232</v>
      </c>
      <c r="D1037" t="s">
        <v>3247</v>
      </c>
      <c r="E1037" t="s">
        <v>3244</v>
      </c>
      <c r="F1037" t="s">
        <v>2823</v>
      </c>
      <c r="G1037">
        <v>1</v>
      </c>
      <c r="H1037">
        <v>1</v>
      </c>
      <c r="I1037" t="s">
        <v>97</v>
      </c>
      <c r="J1037" s="10">
        <v>95</v>
      </c>
      <c r="K1037" s="10">
        <v>285</v>
      </c>
      <c r="L1037" s="10">
        <v>0</v>
      </c>
      <c r="N1037" s="10">
        <v>0</v>
      </c>
      <c r="O1037" t="s">
        <v>99</v>
      </c>
      <c r="P1037" s="10">
        <v>199.95</v>
      </c>
      <c r="S1037">
        <v>19.5</v>
      </c>
      <c r="U1037">
        <v>10.5</v>
      </c>
      <c r="V1037">
        <v>12.25</v>
      </c>
      <c r="W1037">
        <v>10.08</v>
      </c>
      <c r="X1037">
        <v>1</v>
      </c>
      <c r="Y1037">
        <v>23.5</v>
      </c>
      <c r="Z1037">
        <v>15</v>
      </c>
      <c r="AA1037">
        <v>13.63</v>
      </c>
      <c r="AB1037">
        <v>2.78</v>
      </c>
      <c r="AC1037">
        <v>13.36</v>
      </c>
      <c r="AE1037">
        <v>3</v>
      </c>
      <c r="AF1037" t="s">
        <v>519</v>
      </c>
      <c r="AG1037">
        <v>60</v>
      </c>
      <c r="AK1037" t="s">
        <v>98</v>
      </c>
      <c r="AL1037">
        <v>1</v>
      </c>
      <c r="AM1037" t="s">
        <v>98</v>
      </c>
      <c r="AN1037" t="s">
        <v>99</v>
      </c>
      <c r="AO1037" t="s">
        <v>98</v>
      </c>
      <c r="AP1037" t="s">
        <v>100</v>
      </c>
      <c r="AQ1037" t="s">
        <v>101</v>
      </c>
      <c r="AV1037" t="s">
        <v>98</v>
      </c>
      <c r="AX1037" t="s">
        <v>3190</v>
      </c>
      <c r="AZ1037" t="s">
        <v>124</v>
      </c>
      <c r="BB1037" t="s">
        <v>235</v>
      </c>
      <c r="BC1037" t="s">
        <v>2591</v>
      </c>
      <c r="BD1037" t="s">
        <v>7528</v>
      </c>
      <c r="BF1037" t="s">
        <v>3251</v>
      </c>
      <c r="BG1037" t="s">
        <v>98</v>
      </c>
      <c r="BH1037" t="s">
        <v>98</v>
      </c>
      <c r="BI1037" t="s">
        <v>98</v>
      </c>
      <c r="BJ1037" t="s">
        <v>99</v>
      </c>
      <c r="BK1037" t="s">
        <v>453</v>
      </c>
      <c r="BL1037" t="s">
        <v>128</v>
      </c>
      <c r="BM1037">
        <v>7.38</v>
      </c>
      <c r="BN1037">
        <v>12.13</v>
      </c>
      <c r="CA1037">
        <v>71213</v>
      </c>
      <c r="CB1037" t="s">
        <v>3190</v>
      </c>
      <c r="CL1037" t="s">
        <v>99</v>
      </c>
      <c r="CM1037" t="s">
        <v>98</v>
      </c>
      <c r="CN1037" t="s">
        <v>3249</v>
      </c>
      <c r="CO1037" s="1">
        <v>42843</v>
      </c>
      <c r="CP1037" s="1">
        <v>43633</v>
      </c>
    </row>
    <row r="1038" spans="1:94" x14ac:dyDescent="0.25">
      <c r="A1038" t="s">
        <v>3252</v>
      </c>
      <c r="B1038" t="str">
        <f xml:space="preserve"> "" &amp; 747396101293</f>
        <v>747396101293</v>
      </c>
      <c r="C1038" t="s">
        <v>3253</v>
      </c>
      <c r="D1038" t="s">
        <v>3254</v>
      </c>
      <c r="E1038" t="s">
        <v>3244</v>
      </c>
      <c r="F1038" t="s">
        <v>2823</v>
      </c>
      <c r="G1038">
        <v>1</v>
      </c>
      <c r="H1038">
        <v>1</v>
      </c>
      <c r="I1038" t="s">
        <v>97</v>
      </c>
      <c r="J1038" s="10">
        <v>72</v>
      </c>
      <c r="K1038" s="10">
        <v>216</v>
      </c>
      <c r="L1038" s="10">
        <v>0</v>
      </c>
      <c r="N1038" s="10">
        <v>0</v>
      </c>
      <c r="O1038" t="s">
        <v>99</v>
      </c>
      <c r="P1038" s="10">
        <v>154.94999999999999</v>
      </c>
      <c r="S1038">
        <v>15.75</v>
      </c>
      <c r="T1038">
        <v>8.5</v>
      </c>
      <c r="U1038">
        <v>8.5</v>
      </c>
      <c r="W1038">
        <v>5.64</v>
      </c>
      <c r="X1038">
        <v>1</v>
      </c>
      <c r="Y1038">
        <v>19.63</v>
      </c>
      <c r="Z1038">
        <v>11.5</v>
      </c>
      <c r="AA1038">
        <v>11.5</v>
      </c>
      <c r="AB1038">
        <v>1.502</v>
      </c>
      <c r="AC1038">
        <v>7.32</v>
      </c>
      <c r="AE1038">
        <v>3</v>
      </c>
      <c r="AF1038" t="s">
        <v>519</v>
      </c>
      <c r="AG1038">
        <v>60</v>
      </c>
      <c r="AK1038" t="s">
        <v>98</v>
      </c>
      <c r="AM1038" t="s">
        <v>98</v>
      </c>
      <c r="AN1038" t="s">
        <v>99</v>
      </c>
      <c r="AO1038" t="s">
        <v>98</v>
      </c>
      <c r="AP1038" t="s">
        <v>100</v>
      </c>
      <c r="AQ1038" t="s">
        <v>101</v>
      </c>
      <c r="AV1038" t="s">
        <v>98</v>
      </c>
      <c r="AX1038" t="s">
        <v>3190</v>
      </c>
      <c r="AZ1038" t="s">
        <v>124</v>
      </c>
      <c r="BB1038" t="s">
        <v>235</v>
      </c>
      <c r="BC1038" t="s">
        <v>2591</v>
      </c>
      <c r="BD1038" t="s">
        <v>7528</v>
      </c>
      <c r="BF1038" t="s">
        <v>3255</v>
      </c>
      <c r="BG1038" t="s">
        <v>98</v>
      </c>
      <c r="BH1038" t="s">
        <v>98</v>
      </c>
      <c r="BI1038" t="s">
        <v>98</v>
      </c>
      <c r="BK1038" t="s">
        <v>127</v>
      </c>
      <c r="BL1038" t="s">
        <v>7528</v>
      </c>
      <c r="BR1038">
        <v>1.5</v>
      </c>
      <c r="BT1038">
        <v>4.88</v>
      </c>
      <c r="CA1038">
        <v>71214</v>
      </c>
      <c r="CB1038" t="s">
        <v>3190</v>
      </c>
      <c r="CL1038" t="s">
        <v>99</v>
      </c>
      <c r="CM1038" t="s">
        <v>98</v>
      </c>
      <c r="CN1038" t="s">
        <v>3236</v>
      </c>
      <c r="CO1038" s="1">
        <v>42843</v>
      </c>
      <c r="CP1038" s="1">
        <v>43633</v>
      </c>
    </row>
    <row r="1039" spans="1:94" x14ac:dyDescent="0.25">
      <c r="A1039" t="s">
        <v>3256</v>
      </c>
      <c r="B1039" t="str">
        <f xml:space="preserve"> "" &amp; 747396101309</f>
        <v>747396101309</v>
      </c>
      <c r="C1039" t="s">
        <v>3257</v>
      </c>
      <c r="D1039" t="s">
        <v>3258</v>
      </c>
      <c r="E1039" t="s">
        <v>3244</v>
      </c>
      <c r="F1039" t="s">
        <v>2823</v>
      </c>
      <c r="G1039">
        <v>1</v>
      </c>
      <c r="H1039">
        <v>1</v>
      </c>
      <c r="I1039" t="s">
        <v>97</v>
      </c>
      <c r="J1039" s="10">
        <v>72</v>
      </c>
      <c r="K1039" s="10">
        <v>216</v>
      </c>
      <c r="L1039" s="10">
        <v>0</v>
      </c>
      <c r="N1039" s="10">
        <v>0</v>
      </c>
      <c r="O1039" t="s">
        <v>99</v>
      </c>
      <c r="P1039" s="10">
        <v>154.94999999999999</v>
      </c>
      <c r="S1039">
        <v>17.5</v>
      </c>
      <c r="T1039">
        <v>8.5</v>
      </c>
      <c r="U1039">
        <v>8.5</v>
      </c>
      <c r="W1039">
        <v>4.3</v>
      </c>
      <c r="X1039">
        <v>1</v>
      </c>
      <c r="Y1039">
        <v>16</v>
      </c>
      <c r="Z1039">
        <v>11</v>
      </c>
      <c r="AA1039">
        <v>11</v>
      </c>
      <c r="AB1039">
        <v>1.1200000000000001</v>
      </c>
      <c r="AC1039">
        <v>5.78</v>
      </c>
      <c r="AE1039">
        <v>3</v>
      </c>
      <c r="AF1039" t="s">
        <v>519</v>
      </c>
      <c r="AG1039">
        <v>60</v>
      </c>
      <c r="AK1039" t="s">
        <v>98</v>
      </c>
      <c r="AM1039" t="s">
        <v>98</v>
      </c>
      <c r="AN1039" t="s">
        <v>99</v>
      </c>
      <c r="AO1039" t="s">
        <v>98</v>
      </c>
      <c r="AP1039" t="s">
        <v>100</v>
      </c>
      <c r="AQ1039" t="s">
        <v>101</v>
      </c>
      <c r="AV1039" t="s">
        <v>98</v>
      </c>
      <c r="AX1039" t="s">
        <v>3190</v>
      </c>
      <c r="AZ1039" t="s">
        <v>124</v>
      </c>
      <c r="BB1039" t="s">
        <v>235</v>
      </c>
      <c r="BC1039" t="s">
        <v>3259</v>
      </c>
      <c r="BD1039" t="s">
        <v>7528</v>
      </c>
      <c r="BF1039" t="s">
        <v>3260</v>
      </c>
      <c r="BG1039" t="s">
        <v>98</v>
      </c>
      <c r="BH1039" t="s">
        <v>98</v>
      </c>
      <c r="BI1039" t="s">
        <v>98</v>
      </c>
      <c r="BJ1039" t="s">
        <v>99</v>
      </c>
      <c r="BK1039" t="s">
        <v>453</v>
      </c>
      <c r="BL1039" t="s">
        <v>7528</v>
      </c>
      <c r="CA1039">
        <v>71216</v>
      </c>
      <c r="CB1039" t="s">
        <v>3190</v>
      </c>
      <c r="CL1039" t="s">
        <v>99</v>
      </c>
      <c r="CM1039" t="s">
        <v>98</v>
      </c>
      <c r="CN1039" t="s">
        <v>3236</v>
      </c>
      <c r="CO1039" s="1">
        <v>42843</v>
      </c>
      <c r="CP1039" s="1">
        <v>43633</v>
      </c>
    </row>
    <row r="1040" spans="1:94" x14ac:dyDescent="0.25">
      <c r="A1040" t="s">
        <v>3261</v>
      </c>
      <c r="B1040" t="str">
        <f xml:space="preserve"> "" &amp; 747396101316</f>
        <v>747396101316</v>
      </c>
      <c r="C1040" t="s">
        <v>3232</v>
      </c>
      <c r="D1040" t="s">
        <v>3262</v>
      </c>
      <c r="E1040" t="s">
        <v>3263</v>
      </c>
      <c r="F1040" t="s">
        <v>2823</v>
      </c>
      <c r="G1040">
        <v>1</v>
      </c>
      <c r="H1040">
        <v>1</v>
      </c>
      <c r="I1040" t="s">
        <v>97</v>
      </c>
      <c r="J1040" s="10">
        <v>55</v>
      </c>
      <c r="K1040" s="10">
        <v>165</v>
      </c>
      <c r="L1040" s="10">
        <v>0</v>
      </c>
      <c r="N1040" s="10">
        <v>0</v>
      </c>
      <c r="O1040" t="s">
        <v>99</v>
      </c>
      <c r="P1040" s="10">
        <v>114.95</v>
      </c>
      <c r="S1040">
        <v>13.25</v>
      </c>
      <c r="U1040">
        <v>5.5</v>
      </c>
      <c r="V1040">
        <v>6.75</v>
      </c>
      <c r="W1040">
        <v>3.66</v>
      </c>
      <c r="X1040">
        <v>1</v>
      </c>
      <c r="Y1040">
        <v>15.75</v>
      </c>
      <c r="Z1040">
        <v>9</v>
      </c>
      <c r="AA1040">
        <v>7.88</v>
      </c>
      <c r="AB1040">
        <v>0.64600000000000002</v>
      </c>
      <c r="AC1040">
        <v>4.8099999999999996</v>
      </c>
      <c r="AE1040">
        <v>1</v>
      </c>
      <c r="AF1040" t="s">
        <v>282</v>
      </c>
      <c r="AG1040">
        <v>100</v>
      </c>
      <c r="AK1040" t="s">
        <v>98</v>
      </c>
      <c r="AM1040" t="s">
        <v>98</v>
      </c>
      <c r="AN1040" t="s">
        <v>99</v>
      </c>
      <c r="AO1040" t="s">
        <v>98</v>
      </c>
      <c r="AP1040" t="s">
        <v>100</v>
      </c>
      <c r="AQ1040" t="s">
        <v>101</v>
      </c>
      <c r="AV1040" t="s">
        <v>98</v>
      </c>
      <c r="AX1040" t="s">
        <v>3264</v>
      </c>
      <c r="AZ1040" t="s">
        <v>102</v>
      </c>
      <c r="BB1040" t="s">
        <v>235</v>
      </c>
      <c r="BC1040" t="s">
        <v>3265</v>
      </c>
      <c r="BD1040" t="s">
        <v>7528</v>
      </c>
      <c r="BF1040" t="s">
        <v>3266</v>
      </c>
      <c r="BG1040" t="s">
        <v>98</v>
      </c>
      <c r="BH1040" t="s">
        <v>98</v>
      </c>
      <c r="BI1040" t="s">
        <v>98</v>
      </c>
      <c r="BJ1040" t="s">
        <v>99</v>
      </c>
      <c r="BK1040" t="s">
        <v>453</v>
      </c>
      <c r="BL1040" t="s">
        <v>128</v>
      </c>
      <c r="BM1040">
        <v>4.75</v>
      </c>
      <c r="BN1040">
        <v>8</v>
      </c>
      <c r="CA1040">
        <v>71221</v>
      </c>
      <c r="CB1040" t="s">
        <v>3264</v>
      </c>
      <c r="CL1040" t="s">
        <v>99</v>
      </c>
      <c r="CM1040" t="s">
        <v>98</v>
      </c>
      <c r="CN1040" t="s">
        <v>3236</v>
      </c>
      <c r="CO1040" s="1">
        <v>42762</v>
      </c>
      <c r="CP1040" s="1">
        <v>43633</v>
      </c>
    </row>
    <row r="1041" spans="1:94" x14ac:dyDescent="0.25">
      <c r="A1041" t="s">
        <v>3267</v>
      </c>
      <c r="B1041" t="str">
        <f xml:space="preserve"> "" &amp; 747396101323</f>
        <v>747396101323</v>
      </c>
      <c r="C1041" t="s">
        <v>3232</v>
      </c>
      <c r="D1041" t="s">
        <v>3268</v>
      </c>
      <c r="E1041" t="s">
        <v>3263</v>
      </c>
      <c r="F1041" t="s">
        <v>2823</v>
      </c>
      <c r="G1041">
        <v>1</v>
      </c>
      <c r="H1041">
        <v>1</v>
      </c>
      <c r="I1041" t="s">
        <v>97</v>
      </c>
      <c r="J1041" s="10">
        <v>78</v>
      </c>
      <c r="K1041" s="10">
        <v>234</v>
      </c>
      <c r="L1041" s="10">
        <v>0</v>
      </c>
      <c r="N1041" s="10">
        <v>0</v>
      </c>
      <c r="O1041" t="s">
        <v>99</v>
      </c>
      <c r="P1041" s="10">
        <v>169.95</v>
      </c>
      <c r="S1041">
        <v>17.25</v>
      </c>
      <c r="U1041">
        <v>7.25</v>
      </c>
      <c r="V1041">
        <v>8.5</v>
      </c>
      <c r="W1041">
        <v>5.95</v>
      </c>
      <c r="X1041">
        <v>1</v>
      </c>
      <c r="Y1041">
        <v>20</v>
      </c>
      <c r="Z1041">
        <v>10.63</v>
      </c>
      <c r="AA1041">
        <v>9.5</v>
      </c>
      <c r="AB1041">
        <v>1.169</v>
      </c>
      <c r="AC1041">
        <v>7.32</v>
      </c>
      <c r="AE1041">
        <v>3</v>
      </c>
      <c r="AF1041" t="s">
        <v>519</v>
      </c>
      <c r="AG1041">
        <v>60</v>
      </c>
      <c r="AK1041" t="s">
        <v>98</v>
      </c>
      <c r="AM1041" t="s">
        <v>98</v>
      </c>
      <c r="AN1041" t="s">
        <v>99</v>
      </c>
      <c r="AO1041" t="s">
        <v>98</v>
      </c>
      <c r="AP1041" t="s">
        <v>100</v>
      </c>
      <c r="AQ1041" t="s">
        <v>101</v>
      </c>
      <c r="AV1041" t="s">
        <v>98</v>
      </c>
      <c r="AX1041" t="s">
        <v>3264</v>
      </c>
      <c r="AZ1041" t="s">
        <v>102</v>
      </c>
      <c r="BB1041" t="s">
        <v>235</v>
      </c>
      <c r="BC1041" t="s">
        <v>3265</v>
      </c>
      <c r="BD1041" t="s">
        <v>7528</v>
      </c>
      <c r="BF1041" t="s">
        <v>3269</v>
      </c>
      <c r="BG1041" t="s">
        <v>98</v>
      </c>
      <c r="BH1041" t="s">
        <v>98</v>
      </c>
      <c r="BI1041" t="s">
        <v>98</v>
      </c>
      <c r="BJ1041" t="s">
        <v>99</v>
      </c>
      <c r="BK1041" t="s">
        <v>453</v>
      </c>
      <c r="BL1041" t="s">
        <v>128</v>
      </c>
      <c r="BM1041">
        <v>4.75</v>
      </c>
      <c r="BN1041">
        <v>8</v>
      </c>
      <c r="CA1041">
        <v>71222</v>
      </c>
      <c r="CB1041" t="s">
        <v>3264</v>
      </c>
      <c r="CL1041" t="s">
        <v>99</v>
      </c>
      <c r="CM1041" t="s">
        <v>98</v>
      </c>
      <c r="CN1041" t="s">
        <v>3270</v>
      </c>
      <c r="CO1041" s="1">
        <v>42762</v>
      </c>
      <c r="CP1041" s="1">
        <v>43633</v>
      </c>
    </row>
    <row r="1042" spans="1:94" x14ac:dyDescent="0.25">
      <c r="A1042" t="s">
        <v>3271</v>
      </c>
      <c r="B1042" t="str">
        <f xml:space="preserve"> "" &amp; 747396101330</f>
        <v>747396101330</v>
      </c>
      <c r="C1042" t="s">
        <v>3232</v>
      </c>
      <c r="D1042" t="s">
        <v>3272</v>
      </c>
      <c r="E1042" t="s">
        <v>3263</v>
      </c>
      <c r="F1042" t="s">
        <v>2823</v>
      </c>
      <c r="G1042">
        <v>1</v>
      </c>
      <c r="H1042">
        <v>1</v>
      </c>
      <c r="I1042" t="s">
        <v>97</v>
      </c>
      <c r="J1042" s="10">
        <v>101</v>
      </c>
      <c r="K1042" s="10">
        <v>303</v>
      </c>
      <c r="L1042" s="10">
        <v>0</v>
      </c>
      <c r="N1042" s="10">
        <v>0</v>
      </c>
      <c r="O1042" t="s">
        <v>99</v>
      </c>
      <c r="P1042" s="10">
        <v>214.95</v>
      </c>
      <c r="S1042">
        <v>21.5</v>
      </c>
      <c r="U1042">
        <v>9</v>
      </c>
      <c r="V1042">
        <v>10.5</v>
      </c>
      <c r="W1042">
        <v>9.4600000000000009</v>
      </c>
      <c r="X1042">
        <v>1</v>
      </c>
      <c r="Y1042">
        <v>24</v>
      </c>
      <c r="Z1042">
        <v>12.5</v>
      </c>
      <c r="AA1042">
        <v>11</v>
      </c>
      <c r="AB1042">
        <v>1.91</v>
      </c>
      <c r="AC1042">
        <v>11.77</v>
      </c>
      <c r="AE1042">
        <v>4</v>
      </c>
      <c r="AF1042" t="s">
        <v>519</v>
      </c>
      <c r="AG1042">
        <v>60</v>
      </c>
      <c r="AK1042" t="s">
        <v>98</v>
      </c>
      <c r="AM1042" t="s">
        <v>98</v>
      </c>
      <c r="AN1042" t="s">
        <v>99</v>
      </c>
      <c r="AO1042" t="s">
        <v>98</v>
      </c>
      <c r="AP1042" t="s">
        <v>100</v>
      </c>
      <c r="AQ1042" t="s">
        <v>101</v>
      </c>
      <c r="AV1042" t="s">
        <v>98</v>
      </c>
      <c r="AX1042" t="s">
        <v>3264</v>
      </c>
      <c r="AZ1042" t="s">
        <v>102</v>
      </c>
      <c r="BB1042" t="s">
        <v>235</v>
      </c>
      <c r="BC1042" t="s">
        <v>3265</v>
      </c>
      <c r="BD1042" t="s">
        <v>7528</v>
      </c>
      <c r="BF1042" t="s">
        <v>3273</v>
      </c>
      <c r="BG1042" t="s">
        <v>98</v>
      </c>
      <c r="BH1042" t="s">
        <v>98</v>
      </c>
      <c r="BI1042" t="s">
        <v>98</v>
      </c>
      <c r="BJ1042" t="s">
        <v>99</v>
      </c>
      <c r="BK1042" t="s">
        <v>453</v>
      </c>
      <c r="BL1042" t="s">
        <v>128</v>
      </c>
      <c r="BM1042">
        <v>6</v>
      </c>
      <c r="BN1042">
        <v>10.130000000000001</v>
      </c>
      <c r="CA1042">
        <v>71223</v>
      </c>
      <c r="CB1042" t="s">
        <v>3264</v>
      </c>
      <c r="CL1042" t="s">
        <v>99</v>
      </c>
      <c r="CM1042" t="s">
        <v>98</v>
      </c>
      <c r="CN1042" t="s">
        <v>3236</v>
      </c>
      <c r="CO1042" s="1">
        <v>42762</v>
      </c>
      <c r="CP1042" s="1">
        <v>43633</v>
      </c>
    </row>
    <row r="1043" spans="1:94" x14ac:dyDescent="0.25">
      <c r="A1043" t="s">
        <v>3274</v>
      </c>
      <c r="B1043" t="str">
        <f xml:space="preserve"> "" &amp; 747396101347</f>
        <v>747396101347</v>
      </c>
      <c r="C1043" t="s">
        <v>3275</v>
      </c>
      <c r="D1043" t="s">
        <v>6834</v>
      </c>
      <c r="E1043" t="s">
        <v>3263</v>
      </c>
      <c r="F1043" t="s">
        <v>2823</v>
      </c>
      <c r="G1043">
        <v>1</v>
      </c>
      <c r="H1043">
        <v>1</v>
      </c>
      <c r="I1043" t="s">
        <v>97</v>
      </c>
      <c r="J1043" s="10">
        <v>78</v>
      </c>
      <c r="K1043" s="10">
        <v>234</v>
      </c>
      <c r="L1043" s="10">
        <v>0</v>
      </c>
      <c r="N1043" s="10">
        <v>0</v>
      </c>
      <c r="O1043" t="s">
        <v>99</v>
      </c>
      <c r="P1043" s="10">
        <v>169.95</v>
      </c>
      <c r="S1043">
        <v>13.5</v>
      </c>
      <c r="T1043">
        <v>7.25</v>
      </c>
      <c r="U1043">
        <v>7.25</v>
      </c>
      <c r="W1043">
        <v>6.04</v>
      </c>
      <c r="X1043">
        <v>1</v>
      </c>
      <c r="Y1043">
        <v>19.75</v>
      </c>
      <c r="Z1043">
        <v>9.8800000000000008</v>
      </c>
      <c r="AA1043">
        <v>9.8800000000000008</v>
      </c>
      <c r="AB1043">
        <v>1.1160000000000001</v>
      </c>
      <c r="AC1043">
        <v>7.89</v>
      </c>
      <c r="AE1043">
        <v>3</v>
      </c>
      <c r="AF1043" t="s">
        <v>519</v>
      </c>
      <c r="AG1043">
        <v>60</v>
      </c>
      <c r="AK1043" t="s">
        <v>98</v>
      </c>
      <c r="AM1043" t="s">
        <v>98</v>
      </c>
      <c r="AN1043" t="s">
        <v>99</v>
      </c>
      <c r="AO1043" t="s">
        <v>98</v>
      </c>
      <c r="AP1043" t="s">
        <v>100</v>
      </c>
      <c r="AQ1043" t="s">
        <v>101</v>
      </c>
      <c r="AV1043" t="s">
        <v>98</v>
      </c>
      <c r="AX1043" t="s">
        <v>3264</v>
      </c>
      <c r="AZ1043" t="s">
        <v>102</v>
      </c>
      <c r="BB1043" t="s">
        <v>235</v>
      </c>
      <c r="BC1043" t="s">
        <v>3265</v>
      </c>
      <c r="BD1043" t="s">
        <v>7528</v>
      </c>
      <c r="BF1043" t="s">
        <v>3276</v>
      </c>
      <c r="BG1043" t="s">
        <v>98</v>
      </c>
      <c r="BH1043" t="s">
        <v>98</v>
      </c>
      <c r="BI1043" t="s">
        <v>98</v>
      </c>
      <c r="BK1043" t="s">
        <v>127</v>
      </c>
      <c r="BL1043" t="s">
        <v>7528</v>
      </c>
      <c r="BQ1043">
        <v>4.88</v>
      </c>
      <c r="BR1043">
        <v>1</v>
      </c>
      <c r="BS1043">
        <v>4.88</v>
      </c>
      <c r="BT1043">
        <v>4.88</v>
      </c>
      <c r="CA1043">
        <v>71224</v>
      </c>
      <c r="CB1043" t="s">
        <v>3264</v>
      </c>
      <c r="CL1043" t="s">
        <v>99</v>
      </c>
      <c r="CM1043" t="s">
        <v>99</v>
      </c>
      <c r="CN1043" t="s">
        <v>3270</v>
      </c>
      <c r="CO1043" s="1">
        <v>42762</v>
      </c>
      <c r="CP1043" s="1">
        <v>43633</v>
      </c>
    </row>
    <row r="1044" spans="1:94" x14ac:dyDescent="0.25">
      <c r="A1044" t="s">
        <v>3277</v>
      </c>
      <c r="B1044" t="str">
        <f xml:space="preserve"> "" &amp; 747396101354</f>
        <v>747396101354</v>
      </c>
      <c r="C1044" t="s">
        <v>3278</v>
      </c>
      <c r="D1044" t="s">
        <v>6835</v>
      </c>
      <c r="E1044" t="s">
        <v>3263</v>
      </c>
      <c r="F1044" t="s">
        <v>2823</v>
      </c>
      <c r="G1044">
        <v>1</v>
      </c>
      <c r="H1044">
        <v>1</v>
      </c>
      <c r="I1044" t="s">
        <v>97</v>
      </c>
      <c r="J1044" s="10">
        <v>78</v>
      </c>
      <c r="K1044" s="10">
        <v>234</v>
      </c>
      <c r="L1044" s="10">
        <v>0</v>
      </c>
      <c r="N1044" s="10">
        <v>0</v>
      </c>
      <c r="O1044" t="s">
        <v>99</v>
      </c>
      <c r="P1044" s="10">
        <v>169.95</v>
      </c>
      <c r="S1044">
        <v>16.25</v>
      </c>
      <c r="T1044">
        <v>7.25</v>
      </c>
      <c r="U1044">
        <v>7.25</v>
      </c>
      <c r="W1044">
        <v>4.9800000000000004</v>
      </c>
      <c r="X1044">
        <v>1</v>
      </c>
      <c r="Y1044">
        <v>18.88</v>
      </c>
      <c r="Z1044">
        <v>9.8800000000000008</v>
      </c>
      <c r="AA1044">
        <v>9.8800000000000008</v>
      </c>
      <c r="AB1044">
        <v>1.0669999999999999</v>
      </c>
      <c r="AC1044">
        <v>6.22</v>
      </c>
      <c r="AE1044">
        <v>3</v>
      </c>
      <c r="AF1044" t="s">
        <v>772</v>
      </c>
      <c r="AG1044">
        <v>60</v>
      </c>
      <c r="AK1044" t="s">
        <v>98</v>
      </c>
      <c r="AM1044" t="s">
        <v>98</v>
      </c>
      <c r="AN1044" t="s">
        <v>99</v>
      </c>
      <c r="AO1044" t="s">
        <v>98</v>
      </c>
      <c r="AP1044" t="s">
        <v>100</v>
      </c>
      <c r="AQ1044" t="s">
        <v>101</v>
      </c>
      <c r="AV1044" t="s">
        <v>98</v>
      </c>
      <c r="AX1044" t="s">
        <v>3264</v>
      </c>
      <c r="AZ1044" t="s">
        <v>102</v>
      </c>
      <c r="BB1044" t="s">
        <v>235</v>
      </c>
      <c r="BC1044" t="s">
        <v>3265</v>
      </c>
      <c r="BD1044" t="s">
        <v>7528</v>
      </c>
      <c r="BF1044" t="s">
        <v>3279</v>
      </c>
      <c r="BG1044" t="s">
        <v>98</v>
      </c>
      <c r="BH1044" t="s">
        <v>98</v>
      </c>
      <c r="BI1044" t="s">
        <v>98</v>
      </c>
      <c r="BJ1044" t="s">
        <v>99</v>
      </c>
      <c r="BK1044" t="s">
        <v>453</v>
      </c>
      <c r="BL1044" t="s">
        <v>7528</v>
      </c>
      <c r="CA1044">
        <v>71226</v>
      </c>
      <c r="CB1044" t="s">
        <v>3264</v>
      </c>
      <c r="CL1044" t="s">
        <v>99</v>
      </c>
      <c r="CM1044" t="s">
        <v>98</v>
      </c>
      <c r="CN1044" t="s">
        <v>3236</v>
      </c>
      <c r="CO1044" s="1">
        <v>42762</v>
      </c>
      <c r="CP1044" s="1">
        <v>43633</v>
      </c>
    </row>
    <row r="1045" spans="1:94" x14ac:dyDescent="0.25">
      <c r="A1045" t="s">
        <v>3280</v>
      </c>
      <c r="B1045" t="str">
        <f xml:space="preserve"> "" &amp; 747396101767</f>
        <v>747396101767</v>
      </c>
      <c r="C1045" t="s">
        <v>3232</v>
      </c>
      <c r="D1045" t="s">
        <v>3281</v>
      </c>
      <c r="E1045" t="s">
        <v>3282</v>
      </c>
      <c r="F1045" t="s">
        <v>2823</v>
      </c>
      <c r="G1045">
        <v>1</v>
      </c>
      <c r="H1045">
        <v>1</v>
      </c>
      <c r="I1045" t="s">
        <v>97</v>
      </c>
      <c r="J1045" s="10">
        <v>50</v>
      </c>
      <c r="K1045" s="10">
        <v>150</v>
      </c>
      <c r="L1045" s="10">
        <v>0</v>
      </c>
      <c r="N1045" s="10">
        <v>0</v>
      </c>
      <c r="O1045" t="s">
        <v>99</v>
      </c>
      <c r="P1045" s="10">
        <v>109.95</v>
      </c>
      <c r="S1045">
        <v>9.75</v>
      </c>
      <c r="T1045">
        <v>7.5</v>
      </c>
      <c r="U1045">
        <v>7.5</v>
      </c>
      <c r="V1045">
        <v>8.5</v>
      </c>
      <c r="W1045">
        <v>2.73</v>
      </c>
      <c r="X1045">
        <v>1</v>
      </c>
      <c r="Y1045">
        <v>10</v>
      </c>
      <c r="Z1045">
        <v>12.25</v>
      </c>
      <c r="AA1045">
        <v>10.75</v>
      </c>
      <c r="AB1045">
        <v>0.76200000000000001</v>
      </c>
      <c r="AC1045">
        <v>3.86</v>
      </c>
      <c r="AE1045">
        <v>1</v>
      </c>
      <c r="AF1045" t="s">
        <v>282</v>
      </c>
      <c r="AG1045">
        <v>100</v>
      </c>
      <c r="AK1045" t="s">
        <v>98</v>
      </c>
      <c r="AM1045" t="s">
        <v>98</v>
      </c>
      <c r="AN1045" t="s">
        <v>99</v>
      </c>
      <c r="AO1045" t="s">
        <v>98</v>
      </c>
      <c r="AP1045" t="s">
        <v>100</v>
      </c>
      <c r="AQ1045" t="s">
        <v>101</v>
      </c>
      <c r="AV1045" t="s">
        <v>98</v>
      </c>
      <c r="AX1045" t="s">
        <v>3283</v>
      </c>
      <c r="AZ1045" t="s">
        <v>102</v>
      </c>
      <c r="BB1045" t="s">
        <v>235</v>
      </c>
      <c r="BC1045" t="s">
        <v>3265</v>
      </c>
      <c r="BD1045" t="s">
        <v>7528</v>
      </c>
      <c r="BF1045" t="s">
        <v>3284</v>
      </c>
      <c r="BG1045" t="s">
        <v>98</v>
      </c>
      <c r="BH1045" t="s">
        <v>98</v>
      </c>
      <c r="BI1045" t="s">
        <v>98</v>
      </c>
      <c r="BJ1045" t="s">
        <v>99</v>
      </c>
      <c r="BK1045" t="s">
        <v>453</v>
      </c>
      <c r="BL1045" t="s">
        <v>7528</v>
      </c>
      <c r="BM1045">
        <v>6</v>
      </c>
      <c r="BN1045">
        <v>1</v>
      </c>
      <c r="CA1045">
        <v>71231</v>
      </c>
      <c r="CB1045" t="s">
        <v>3283</v>
      </c>
      <c r="CL1045" t="s">
        <v>99</v>
      </c>
      <c r="CM1045" t="s">
        <v>98</v>
      </c>
      <c r="CN1045" t="s">
        <v>3285</v>
      </c>
      <c r="CO1045" s="1">
        <v>42765</v>
      </c>
      <c r="CP1045" s="1">
        <v>43633</v>
      </c>
    </row>
    <row r="1046" spans="1:94" x14ac:dyDescent="0.25">
      <c r="A1046" t="s">
        <v>3286</v>
      </c>
      <c r="B1046" t="str">
        <f xml:space="preserve"> "" &amp; 747396101774</f>
        <v>747396101774</v>
      </c>
      <c r="C1046" t="s">
        <v>3232</v>
      </c>
      <c r="D1046" t="s">
        <v>3281</v>
      </c>
      <c r="E1046" t="s">
        <v>3282</v>
      </c>
      <c r="F1046" t="s">
        <v>2823</v>
      </c>
      <c r="G1046">
        <v>1</v>
      </c>
      <c r="H1046">
        <v>1</v>
      </c>
      <c r="I1046" t="s">
        <v>97</v>
      </c>
      <c r="J1046" s="10">
        <v>64</v>
      </c>
      <c r="K1046" s="10">
        <v>192</v>
      </c>
      <c r="L1046" s="10">
        <v>0</v>
      </c>
      <c r="N1046" s="10">
        <v>0</v>
      </c>
      <c r="O1046" t="s">
        <v>99</v>
      </c>
      <c r="P1046" s="10">
        <v>139.94999999999999</v>
      </c>
      <c r="S1046">
        <v>12</v>
      </c>
      <c r="T1046">
        <v>9.75</v>
      </c>
      <c r="U1046">
        <v>9.75</v>
      </c>
      <c r="V1046">
        <v>10.5</v>
      </c>
      <c r="W1046">
        <v>4.03</v>
      </c>
      <c r="X1046">
        <v>1</v>
      </c>
      <c r="Y1046">
        <v>12</v>
      </c>
      <c r="Z1046">
        <v>14.25</v>
      </c>
      <c r="AA1046">
        <v>12.75</v>
      </c>
      <c r="AB1046">
        <v>1.262</v>
      </c>
      <c r="AC1046">
        <v>5.6</v>
      </c>
      <c r="AE1046">
        <v>1</v>
      </c>
      <c r="AF1046" t="s">
        <v>3287</v>
      </c>
      <c r="AG1046">
        <v>100</v>
      </c>
      <c r="AK1046" t="s">
        <v>98</v>
      </c>
      <c r="AM1046" t="s">
        <v>98</v>
      </c>
      <c r="AN1046" t="s">
        <v>99</v>
      </c>
      <c r="AO1046" t="s">
        <v>98</v>
      </c>
      <c r="AP1046" t="s">
        <v>100</v>
      </c>
      <c r="AQ1046" t="s">
        <v>101</v>
      </c>
      <c r="AV1046" t="s">
        <v>98</v>
      </c>
      <c r="AX1046" t="s">
        <v>3283</v>
      </c>
      <c r="AZ1046" t="s">
        <v>102</v>
      </c>
      <c r="BB1046" t="s">
        <v>235</v>
      </c>
      <c r="BC1046" t="s">
        <v>3265</v>
      </c>
      <c r="BD1046" t="s">
        <v>7528</v>
      </c>
      <c r="BF1046" t="s">
        <v>3288</v>
      </c>
      <c r="BG1046" t="s">
        <v>98</v>
      </c>
      <c r="BH1046" t="s">
        <v>98</v>
      </c>
      <c r="BI1046" t="s">
        <v>98</v>
      </c>
      <c r="BJ1046" t="s">
        <v>99</v>
      </c>
      <c r="BK1046" t="s">
        <v>453</v>
      </c>
      <c r="BL1046" t="s">
        <v>7528</v>
      </c>
      <c r="BM1046">
        <v>6</v>
      </c>
      <c r="BN1046">
        <v>1</v>
      </c>
      <c r="CA1046">
        <v>71232</v>
      </c>
      <c r="CB1046" t="s">
        <v>3283</v>
      </c>
      <c r="CL1046" t="s">
        <v>98</v>
      </c>
      <c r="CM1046" t="s">
        <v>98</v>
      </c>
      <c r="CN1046" t="s">
        <v>3285</v>
      </c>
      <c r="CO1046" s="1">
        <v>42765</v>
      </c>
      <c r="CP1046" s="1">
        <v>43633</v>
      </c>
    </row>
    <row r="1047" spans="1:94" x14ac:dyDescent="0.25">
      <c r="A1047" t="s">
        <v>3289</v>
      </c>
      <c r="B1047" t="str">
        <f xml:space="preserve"> "" &amp; 747396101781</f>
        <v>747396101781</v>
      </c>
      <c r="C1047" t="s">
        <v>3232</v>
      </c>
      <c r="D1047" t="s">
        <v>3290</v>
      </c>
      <c r="E1047" t="s">
        <v>3291</v>
      </c>
      <c r="F1047" t="s">
        <v>2823</v>
      </c>
      <c r="G1047">
        <v>1</v>
      </c>
      <c r="H1047">
        <v>1</v>
      </c>
      <c r="I1047" t="s">
        <v>97</v>
      </c>
      <c r="J1047" s="10">
        <v>40</v>
      </c>
      <c r="K1047" s="10">
        <v>120</v>
      </c>
      <c r="L1047" s="10">
        <v>0</v>
      </c>
      <c r="N1047" s="10">
        <v>0</v>
      </c>
      <c r="O1047" t="s">
        <v>99</v>
      </c>
      <c r="P1047" s="10">
        <v>84.95</v>
      </c>
      <c r="S1047">
        <v>9.75</v>
      </c>
      <c r="U1047">
        <v>8</v>
      </c>
      <c r="V1047">
        <v>10.5</v>
      </c>
      <c r="W1047">
        <v>1.08</v>
      </c>
      <c r="X1047">
        <v>1</v>
      </c>
      <c r="Y1047">
        <v>10.5</v>
      </c>
      <c r="Z1047">
        <v>12</v>
      </c>
      <c r="AA1047">
        <v>10.25</v>
      </c>
      <c r="AB1047">
        <v>0.747</v>
      </c>
      <c r="AC1047">
        <v>2.4300000000000002</v>
      </c>
      <c r="AF1047" t="s">
        <v>7528</v>
      </c>
      <c r="AK1047" t="s">
        <v>98</v>
      </c>
      <c r="AL1047">
        <v>1</v>
      </c>
      <c r="AM1047" t="s">
        <v>98</v>
      </c>
      <c r="AN1047" t="s">
        <v>98</v>
      </c>
      <c r="AO1047" t="s">
        <v>98</v>
      </c>
      <c r="AP1047" t="s">
        <v>100</v>
      </c>
      <c r="AQ1047" t="s">
        <v>101</v>
      </c>
      <c r="AV1047" t="s">
        <v>98</v>
      </c>
      <c r="AX1047" t="s">
        <v>3292</v>
      </c>
      <c r="AZ1047" t="s">
        <v>102</v>
      </c>
      <c r="BB1047" t="s">
        <v>7528</v>
      </c>
      <c r="BC1047" t="s">
        <v>7528</v>
      </c>
      <c r="BD1047" t="s">
        <v>7528</v>
      </c>
      <c r="BF1047" t="s">
        <v>3293</v>
      </c>
      <c r="BG1047" t="s">
        <v>98</v>
      </c>
      <c r="BH1047" t="s">
        <v>98</v>
      </c>
      <c r="BI1047" t="s">
        <v>98</v>
      </c>
      <c r="BJ1047" t="s">
        <v>99</v>
      </c>
      <c r="BK1047" t="s">
        <v>453</v>
      </c>
      <c r="BL1047" t="s">
        <v>128</v>
      </c>
      <c r="BM1047">
        <v>5.5</v>
      </c>
      <c r="BN1047">
        <v>1.1299999999999999</v>
      </c>
      <c r="CA1047">
        <v>71241</v>
      </c>
      <c r="CB1047" t="s">
        <v>3292</v>
      </c>
      <c r="CL1047" t="s">
        <v>99</v>
      </c>
      <c r="CM1047" t="s">
        <v>98</v>
      </c>
      <c r="CN1047" t="s">
        <v>3227</v>
      </c>
      <c r="CO1047" s="1">
        <v>42908</v>
      </c>
      <c r="CP1047" s="1">
        <v>43633</v>
      </c>
    </row>
    <row r="1048" spans="1:94" x14ac:dyDescent="0.25">
      <c r="A1048" t="s">
        <v>3294</v>
      </c>
      <c r="B1048" t="str">
        <f xml:space="preserve"> "" &amp; 747396101798</f>
        <v>747396101798</v>
      </c>
      <c r="C1048" t="s">
        <v>3232</v>
      </c>
      <c r="D1048" t="s">
        <v>3290</v>
      </c>
      <c r="E1048" t="s">
        <v>3291</v>
      </c>
      <c r="F1048" t="s">
        <v>2823</v>
      </c>
      <c r="G1048">
        <v>1</v>
      </c>
      <c r="H1048">
        <v>1</v>
      </c>
      <c r="I1048" t="s">
        <v>97</v>
      </c>
      <c r="J1048" s="10">
        <v>40.1</v>
      </c>
      <c r="K1048" s="10">
        <v>120.3</v>
      </c>
      <c r="L1048" s="10">
        <v>0</v>
      </c>
      <c r="N1048" s="10">
        <v>0</v>
      </c>
      <c r="O1048" t="s">
        <v>99</v>
      </c>
      <c r="P1048" s="10">
        <v>84.95</v>
      </c>
      <c r="S1048">
        <v>9.75</v>
      </c>
      <c r="T1048">
        <v>8</v>
      </c>
      <c r="U1048">
        <v>8</v>
      </c>
      <c r="V1048">
        <v>10.5</v>
      </c>
      <c r="W1048">
        <v>1.08</v>
      </c>
      <c r="X1048">
        <v>1</v>
      </c>
      <c r="Y1048">
        <v>10.5</v>
      </c>
      <c r="Z1048">
        <v>12</v>
      </c>
      <c r="AA1048">
        <v>10.25</v>
      </c>
      <c r="AB1048">
        <v>0.747</v>
      </c>
      <c r="AC1048">
        <v>2.4300000000000002</v>
      </c>
      <c r="AE1048">
        <v>1</v>
      </c>
      <c r="AF1048" t="s">
        <v>347</v>
      </c>
      <c r="AG1048">
        <v>100</v>
      </c>
      <c r="AK1048" t="s">
        <v>98</v>
      </c>
      <c r="AM1048" t="s">
        <v>98</v>
      </c>
      <c r="AN1048" t="s">
        <v>99</v>
      </c>
      <c r="AO1048" t="s">
        <v>98</v>
      </c>
      <c r="AP1048" t="s">
        <v>100</v>
      </c>
      <c r="AQ1048" t="s">
        <v>101</v>
      </c>
      <c r="AV1048" t="s">
        <v>98</v>
      </c>
      <c r="AX1048" t="s">
        <v>164</v>
      </c>
      <c r="AZ1048" t="s">
        <v>102</v>
      </c>
      <c r="BB1048" t="s">
        <v>3227</v>
      </c>
      <c r="BC1048" t="s">
        <v>164</v>
      </c>
      <c r="BD1048" t="s">
        <v>7528</v>
      </c>
      <c r="BF1048" t="s">
        <v>3295</v>
      </c>
      <c r="BG1048" t="s">
        <v>99</v>
      </c>
      <c r="BH1048" t="s">
        <v>98</v>
      </c>
      <c r="BI1048" t="s">
        <v>98</v>
      </c>
      <c r="BJ1048" t="s">
        <v>99</v>
      </c>
      <c r="BK1048" t="s">
        <v>453</v>
      </c>
      <c r="BL1048" t="s">
        <v>128</v>
      </c>
      <c r="BM1048">
        <v>5.5</v>
      </c>
      <c r="BN1048">
        <v>1.1299999999999999</v>
      </c>
      <c r="CA1048">
        <v>71241</v>
      </c>
      <c r="CB1048" t="s">
        <v>164</v>
      </c>
      <c r="CL1048" t="s">
        <v>99</v>
      </c>
      <c r="CM1048" t="s">
        <v>98</v>
      </c>
      <c r="CN1048" t="s">
        <v>3192</v>
      </c>
      <c r="CO1048" s="1">
        <v>42765</v>
      </c>
      <c r="CP1048" s="1">
        <v>43633</v>
      </c>
    </row>
    <row r="1049" spans="1:94" x14ac:dyDescent="0.25">
      <c r="A1049" t="s">
        <v>3296</v>
      </c>
      <c r="B1049" t="str">
        <f xml:space="preserve"> "" &amp; 747396101804</f>
        <v>747396101804</v>
      </c>
      <c r="C1049" t="s">
        <v>3232</v>
      </c>
      <c r="D1049" t="s">
        <v>3290</v>
      </c>
      <c r="E1049" t="s">
        <v>3291</v>
      </c>
      <c r="F1049" t="s">
        <v>2823</v>
      </c>
      <c r="G1049">
        <v>1</v>
      </c>
      <c r="H1049">
        <v>1</v>
      </c>
      <c r="I1049" t="s">
        <v>97</v>
      </c>
      <c r="J1049" s="10">
        <v>50</v>
      </c>
      <c r="K1049" s="10">
        <v>150</v>
      </c>
      <c r="L1049" s="10">
        <v>0</v>
      </c>
      <c r="N1049" s="10">
        <v>0</v>
      </c>
      <c r="O1049" t="s">
        <v>99</v>
      </c>
      <c r="P1049" s="10">
        <v>104.95</v>
      </c>
      <c r="S1049">
        <v>9.75</v>
      </c>
      <c r="T1049">
        <v>10</v>
      </c>
      <c r="U1049">
        <v>10</v>
      </c>
      <c r="V1049">
        <v>11.5</v>
      </c>
      <c r="W1049">
        <v>1.23</v>
      </c>
      <c r="X1049">
        <v>1</v>
      </c>
      <c r="Y1049">
        <v>10.5</v>
      </c>
      <c r="Z1049">
        <v>14</v>
      </c>
      <c r="AA1049">
        <v>12.25</v>
      </c>
      <c r="AB1049">
        <v>1.042</v>
      </c>
      <c r="AC1049">
        <v>3.04</v>
      </c>
      <c r="AE1049">
        <v>1</v>
      </c>
      <c r="AF1049" t="s">
        <v>598</v>
      </c>
      <c r="AG1049">
        <v>100</v>
      </c>
      <c r="AK1049" t="s">
        <v>98</v>
      </c>
      <c r="AM1049" t="s">
        <v>98</v>
      </c>
      <c r="AN1049" t="s">
        <v>99</v>
      </c>
      <c r="AO1049" t="s">
        <v>98</v>
      </c>
      <c r="AP1049" t="s">
        <v>100</v>
      </c>
      <c r="AQ1049" t="s">
        <v>101</v>
      </c>
      <c r="AV1049" t="s">
        <v>98</v>
      </c>
      <c r="AX1049" t="s">
        <v>3292</v>
      </c>
      <c r="AZ1049" t="s">
        <v>102</v>
      </c>
      <c r="BB1049" t="s">
        <v>3227</v>
      </c>
      <c r="BC1049" t="s">
        <v>3292</v>
      </c>
      <c r="BD1049" t="s">
        <v>7528</v>
      </c>
      <c r="BF1049" t="s">
        <v>3297</v>
      </c>
      <c r="BG1049" t="s">
        <v>99</v>
      </c>
      <c r="BH1049" t="s">
        <v>98</v>
      </c>
      <c r="BI1049" t="s">
        <v>98</v>
      </c>
      <c r="BJ1049" t="s">
        <v>99</v>
      </c>
      <c r="BK1049" t="s">
        <v>453</v>
      </c>
      <c r="BL1049" t="s">
        <v>128</v>
      </c>
      <c r="BM1049">
        <v>5.5</v>
      </c>
      <c r="BN1049">
        <v>1.1299999999999999</v>
      </c>
      <c r="CA1049">
        <v>71242</v>
      </c>
      <c r="CB1049" t="s">
        <v>3292</v>
      </c>
      <c r="CL1049" t="s">
        <v>99</v>
      </c>
      <c r="CM1049" t="s">
        <v>98</v>
      </c>
      <c r="CN1049" t="s">
        <v>3192</v>
      </c>
      <c r="CO1049" s="1">
        <v>42765</v>
      </c>
      <c r="CP1049" s="1">
        <v>43633</v>
      </c>
    </row>
    <row r="1050" spans="1:94" x14ac:dyDescent="0.25">
      <c r="A1050" t="s">
        <v>3298</v>
      </c>
      <c r="B1050" t="str">
        <f xml:space="preserve"> "" &amp; 747396101811</f>
        <v>747396101811</v>
      </c>
      <c r="C1050" t="s">
        <v>3232</v>
      </c>
      <c r="D1050" t="s">
        <v>3290</v>
      </c>
      <c r="E1050" t="s">
        <v>3291</v>
      </c>
      <c r="F1050" t="s">
        <v>2823</v>
      </c>
      <c r="G1050">
        <v>1</v>
      </c>
      <c r="H1050">
        <v>1</v>
      </c>
      <c r="I1050" t="s">
        <v>97</v>
      </c>
      <c r="J1050" s="10">
        <v>50</v>
      </c>
      <c r="K1050" s="10">
        <v>150</v>
      </c>
      <c r="L1050" s="10">
        <v>0</v>
      </c>
      <c r="N1050" s="10">
        <v>0</v>
      </c>
      <c r="O1050" t="s">
        <v>99</v>
      </c>
      <c r="P1050" s="10">
        <v>104.95</v>
      </c>
      <c r="S1050">
        <v>9.75</v>
      </c>
      <c r="T1050">
        <v>10</v>
      </c>
      <c r="U1050">
        <v>10</v>
      </c>
      <c r="V1050">
        <v>11.5</v>
      </c>
      <c r="W1050">
        <v>1.23</v>
      </c>
      <c r="X1050">
        <v>1</v>
      </c>
      <c r="Y1050">
        <v>10.5</v>
      </c>
      <c r="Z1050">
        <v>14</v>
      </c>
      <c r="AA1050">
        <v>12.25</v>
      </c>
      <c r="AB1050">
        <v>1.042</v>
      </c>
      <c r="AC1050">
        <v>3.04</v>
      </c>
      <c r="AE1050">
        <v>1</v>
      </c>
      <c r="AF1050" t="s">
        <v>282</v>
      </c>
      <c r="AG1050">
        <v>100</v>
      </c>
      <c r="AK1050" t="s">
        <v>98</v>
      </c>
      <c r="AM1050" t="s">
        <v>98</v>
      </c>
      <c r="AN1050" t="s">
        <v>99</v>
      </c>
      <c r="AO1050" t="s">
        <v>98</v>
      </c>
      <c r="AP1050" t="s">
        <v>100</v>
      </c>
      <c r="AQ1050" t="s">
        <v>101</v>
      </c>
      <c r="AV1050" t="s">
        <v>98</v>
      </c>
      <c r="AX1050" t="s">
        <v>164</v>
      </c>
      <c r="AZ1050" t="s">
        <v>102</v>
      </c>
      <c r="BB1050" t="s">
        <v>3227</v>
      </c>
      <c r="BC1050" t="s">
        <v>164</v>
      </c>
      <c r="BD1050" t="s">
        <v>7528</v>
      </c>
      <c r="BF1050" t="s">
        <v>3299</v>
      </c>
      <c r="BG1050" t="s">
        <v>99</v>
      </c>
      <c r="BH1050" t="s">
        <v>98</v>
      </c>
      <c r="BI1050" t="s">
        <v>98</v>
      </c>
      <c r="BJ1050" t="s">
        <v>99</v>
      </c>
      <c r="BK1050" t="s">
        <v>453</v>
      </c>
      <c r="BL1050" t="s">
        <v>128</v>
      </c>
      <c r="BM1050">
        <v>5.5</v>
      </c>
      <c r="BN1050">
        <v>1.1299999999999999</v>
      </c>
      <c r="CA1050">
        <v>71242</v>
      </c>
      <c r="CB1050" t="s">
        <v>164</v>
      </c>
      <c r="CL1050" t="s">
        <v>99</v>
      </c>
      <c r="CM1050" t="s">
        <v>98</v>
      </c>
      <c r="CN1050" t="s">
        <v>3192</v>
      </c>
      <c r="CO1050" s="1">
        <v>42765</v>
      </c>
      <c r="CP1050" s="1">
        <v>43633</v>
      </c>
    </row>
    <row r="1051" spans="1:94" x14ac:dyDescent="0.25">
      <c r="A1051" t="s">
        <v>3300</v>
      </c>
      <c r="B1051" t="str">
        <f xml:space="preserve"> "" &amp; 747396101828</f>
        <v>747396101828</v>
      </c>
      <c r="C1051" t="s">
        <v>3232</v>
      </c>
      <c r="D1051" t="s">
        <v>3301</v>
      </c>
      <c r="E1051" t="s">
        <v>3302</v>
      </c>
      <c r="F1051" t="s">
        <v>2823</v>
      </c>
      <c r="G1051">
        <v>1</v>
      </c>
      <c r="H1051">
        <v>1</v>
      </c>
      <c r="I1051" t="s">
        <v>97</v>
      </c>
      <c r="J1051" s="10">
        <v>51</v>
      </c>
      <c r="K1051" s="10">
        <v>153</v>
      </c>
      <c r="L1051" s="10">
        <v>0</v>
      </c>
      <c r="N1051" s="10">
        <v>0</v>
      </c>
      <c r="O1051" t="s">
        <v>99</v>
      </c>
      <c r="P1051" s="10">
        <v>109.95</v>
      </c>
      <c r="S1051">
        <v>11.75</v>
      </c>
      <c r="T1051">
        <v>12</v>
      </c>
      <c r="U1051">
        <v>12</v>
      </c>
      <c r="V1051">
        <v>13.75</v>
      </c>
      <c r="W1051">
        <v>1.63</v>
      </c>
      <c r="X1051">
        <v>1</v>
      </c>
      <c r="Y1051">
        <v>10.5</v>
      </c>
      <c r="Z1051">
        <v>15.75</v>
      </c>
      <c r="AA1051">
        <v>14.25</v>
      </c>
      <c r="AB1051">
        <v>1.3640000000000001</v>
      </c>
      <c r="AC1051">
        <v>3.88</v>
      </c>
      <c r="AE1051">
        <v>1</v>
      </c>
      <c r="AF1051" t="s">
        <v>282</v>
      </c>
      <c r="AG1051">
        <v>100</v>
      </c>
      <c r="AK1051" t="s">
        <v>98</v>
      </c>
      <c r="AM1051" t="s">
        <v>98</v>
      </c>
      <c r="AN1051" t="s">
        <v>99</v>
      </c>
      <c r="AO1051" t="s">
        <v>98</v>
      </c>
      <c r="AP1051" t="s">
        <v>100</v>
      </c>
      <c r="AQ1051" t="s">
        <v>101</v>
      </c>
      <c r="AV1051" t="s">
        <v>98</v>
      </c>
      <c r="AX1051" t="s">
        <v>3292</v>
      </c>
      <c r="AZ1051" t="s">
        <v>102</v>
      </c>
      <c r="BB1051" t="s">
        <v>3227</v>
      </c>
      <c r="BC1051" t="s">
        <v>3292</v>
      </c>
      <c r="BD1051" t="s">
        <v>7528</v>
      </c>
      <c r="BF1051" t="s">
        <v>3303</v>
      </c>
      <c r="BG1051" t="s">
        <v>99</v>
      </c>
      <c r="BH1051" t="s">
        <v>98</v>
      </c>
      <c r="BI1051" t="s">
        <v>98</v>
      </c>
      <c r="BJ1051" t="s">
        <v>99</v>
      </c>
      <c r="BK1051" t="s">
        <v>453</v>
      </c>
      <c r="BL1051" t="s">
        <v>128</v>
      </c>
      <c r="BM1051">
        <v>5.5</v>
      </c>
      <c r="BN1051">
        <v>1</v>
      </c>
      <c r="CA1051">
        <v>71251</v>
      </c>
      <c r="CB1051" t="s">
        <v>3292</v>
      </c>
      <c r="CL1051" t="s">
        <v>99</v>
      </c>
      <c r="CM1051" t="s">
        <v>98</v>
      </c>
      <c r="CN1051" t="s">
        <v>3192</v>
      </c>
      <c r="CO1051" s="1">
        <v>42765</v>
      </c>
      <c r="CP1051" s="1">
        <v>43633</v>
      </c>
    </row>
    <row r="1052" spans="1:94" x14ac:dyDescent="0.25">
      <c r="A1052" t="s">
        <v>3304</v>
      </c>
      <c r="B1052" t="str">
        <f xml:space="preserve"> "" &amp; 747396101835</f>
        <v>747396101835</v>
      </c>
      <c r="C1052" t="s">
        <v>3185</v>
      </c>
      <c r="D1052" t="s">
        <v>3305</v>
      </c>
      <c r="E1052" t="s">
        <v>3302</v>
      </c>
      <c r="F1052" t="s">
        <v>2823</v>
      </c>
      <c r="G1052">
        <v>1</v>
      </c>
      <c r="H1052">
        <v>1</v>
      </c>
      <c r="I1052" t="s">
        <v>97</v>
      </c>
      <c r="J1052" s="10">
        <v>51</v>
      </c>
      <c r="K1052" s="10">
        <v>153</v>
      </c>
      <c r="L1052" s="10">
        <v>0</v>
      </c>
      <c r="N1052" s="10">
        <v>0</v>
      </c>
      <c r="O1052" t="s">
        <v>99</v>
      </c>
      <c r="P1052" s="10">
        <v>109.95</v>
      </c>
      <c r="S1052">
        <v>11.75</v>
      </c>
      <c r="U1052">
        <v>12</v>
      </c>
      <c r="V1052">
        <v>13.75</v>
      </c>
      <c r="W1052">
        <v>1.63</v>
      </c>
      <c r="X1052">
        <v>1</v>
      </c>
      <c r="Y1052">
        <v>10.5</v>
      </c>
      <c r="Z1052">
        <v>15.75</v>
      </c>
      <c r="AA1052">
        <v>14.25</v>
      </c>
      <c r="AB1052">
        <v>1.3640000000000001</v>
      </c>
      <c r="AC1052">
        <v>3.88</v>
      </c>
      <c r="AE1052">
        <v>1</v>
      </c>
      <c r="AF1052" t="s">
        <v>598</v>
      </c>
      <c r="AG1052">
        <v>100</v>
      </c>
      <c r="AK1052" t="s">
        <v>98</v>
      </c>
      <c r="AM1052" t="s">
        <v>98</v>
      </c>
      <c r="AN1052" t="s">
        <v>99</v>
      </c>
      <c r="AO1052" t="s">
        <v>98</v>
      </c>
      <c r="AP1052" t="s">
        <v>259</v>
      </c>
      <c r="AQ1052" t="s">
        <v>101</v>
      </c>
      <c r="AV1052" t="s">
        <v>98</v>
      </c>
      <c r="AX1052" t="s">
        <v>3306</v>
      </c>
      <c r="AZ1052" t="s">
        <v>102</v>
      </c>
      <c r="BB1052" t="s">
        <v>3227</v>
      </c>
      <c r="BC1052" t="s">
        <v>3306</v>
      </c>
      <c r="BD1052" t="s">
        <v>7528</v>
      </c>
      <c r="BF1052" t="s">
        <v>3307</v>
      </c>
      <c r="BG1052" t="s">
        <v>99</v>
      </c>
      <c r="BH1052" t="s">
        <v>98</v>
      </c>
      <c r="BI1052" t="s">
        <v>98</v>
      </c>
      <c r="BJ1052" t="s">
        <v>99</v>
      </c>
      <c r="BK1052" t="s">
        <v>453</v>
      </c>
      <c r="BL1052" t="s">
        <v>7528</v>
      </c>
      <c r="BM1052">
        <v>5.5</v>
      </c>
      <c r="BN1052">
        <v>1</v>
      </c>
      <c r="CA1052">
        <v>71251</v>
      </c>
      <c r="CB1052" t="s">
        <v>3306</v>
      </c>
      <c r="CL1052" t="s">
        <v>99</v>
      </c>
      <c r="CM1052" t="s">
        <v>98</v>
      </c>
      <c r="CN1052" t="s">
        <v>3227</v>
      </c>
      <c r="CO1052" s="1">
        <v>42765</v>
      </c>
      <c r="CP1052" s="1">
        <v>43633</v>
      </c>
    </row>
    <row r="1053" spans="1:94" x14ac:dyDescent="0.25">
      <c r="A1053" t="s">
        <v>3308</v>
      </c>
      <c r="B1053" t="str">
        <f xml:space="preserve"> "" &amp; 747396101842</f>
        <v>747396101842</v>
      </c>
      <c r="C1053" t="s">
        <v>3232</v>
      </c>
      <c r="D1053" t="s">
        <v>3301</v>
      </c>
      <c r="E1053" t="s">
        <v>3302</v>
      </c>
      <c r="F1053" t="s">
        <v>2823</v>
      </c>
      <c r="G1053">
        <v>1</v>
      </c>
      <c r="H1053">
        <v>1</v>
      </c>
      <c r="I1053" t="s">
        <v>97</v>
      </c>
      <c r="J1053" s="10">
        <v>51</v>
      </c>
      <c r="K1053" s="10">
        <v>153</v>
      </c>
      <c r="L1053" s="10">
        <v>0</v>
      </c>
      <c r="N1053" s="10">
        <v>0</v>
      </c>
      <c r="O1053" t="s">
        <v>99</v>
      </c>
      <c r="P1053" s="10">
        <v>109.95</v>
      </c>
      <c r="S1053">
        <v>11.75</v>
      </c>
      <c r="T1053">
        <v>12</v>
      </c>
      <c r="U1053">
        <v>12</v>
      </c>
      <c r="V1053">
        <v>13.75</v>
      </c>
      <c r="W1053">
        <v>1.63</v>
      </c>
      <c r="X1053">
        <v>1</v>
      </c>
      <c r="Y1053">
        <v>10.5</v>
      </c>
      <c r="Z1053">
        <v>15.75</v>
      </c>
      <c r="AA1053">
        <v>14.25</v>
      </c>
      <c r="AB1053">
        <v>1.3640000000000001</v>
      </c>
      <c r="AC1053">
        <v>3.88</v>
      </c>
      <c r="AE1053">
        <v>1</v>
      </c>
      <c r="AF1053" t="s">
        <v>282</v>
      </c>
      <c r="AG1053">
        <v>100</v>
      </c>
      <c r="AK1053" t="s">
        <v>98</v>
      </c>
      <c r="AM1053" t="s">
        <v>98</v>
      </c>
      <c r="AN1053" t="s">
        <v>99</v>
      </c>
      <c r="AO1053" t="s">
        <v>98</v>
      </c>
      <c r="AP1053" t="s">
        <v>100</v>
      </c>
      <c r="AQ1053" t="s">
        <v>101</v>
      </c>
      <c r="AV1053" t="s">
        <v>98</v>
      </c>
      <c r="AX1053" t="s">
        <v>164</v>
      </c>
      <c r="AZ1053" t="s">
        <v>102</v>
      </c>
      <c r="BB1053" t="s">
        <v>3227</v>
      </c>
      <c r="BC1053" t="s">
        <v>164</v>
      </c>
      <c r="BD1053" t="s">
        <v>7528</v>
      </c>
      <c r="BF1053" t="s">
        <v>3309</v>
      </c>
      <c r="BG1053" t="s">
        <v>99</v>
      </c>
      <c r="BH1053" t="s">
        <v>98</v>
      </c>
      <c r="BI1053" t="s">
        <v>98</v>
      </c>
      <c r="BJ1053" t="s">
        <v>99</v>
      </c>
      <c r="BK1053" t="s">
        <v>453</v>
      </c>
      <c r="BL1053" t="s">
        <v>128</v>
      </c>
      <c r="BM1053">
        <v>5.5</v>
      </c>
      <c r="BN1053">
        <v>1</v>
      </c>
      <c r="CA1053">
        <v>71251</v>
      </c>
      <c r="CB1053" t="s">
        <v>164</v>
      </c>
      <c r="CL1053" t="s">
        <v>99</v>
      </c>
      <c r="CM1053" t="s">
        <v>98</v>
      </c>
      <c r="CN1053" t="s">
        <v>3227</v>
      </c>
      <c r="CO1053" s="1">
        <v>42765</v>
      </c>
      <c r="CP1053" s="1">
        <v>43633</v>
      </c>
    </row>
    <row r="1054" spans="1:94" x14ac:dyDescent="0.25">
      <c r="A1054" t="s">
        <v>3310</v>
      </c>
      <c r="B1054" t="str">
        <f xml:space="preserve"> "" &amp; 747396101859</f>
        <v>747396101859</v>
      </c>
      <c r="C1054" t="s">
        <v>3232</v>
      </c>
      <c r="D1054" t="s">
        <v>3301</v>
      </c>
      <c r="E1054" t="s">
        <v>3302</v>
      </c>
      <c r="F1054" t="s">
        <v>2823</v>
      </c>
      <c r="G1054">
        <v>1</v>
      </c>
      <c r="H1054">
        <v>1</v>
      </c>
      <c r="I1054" t="s">
        <v>97</v>
      </c>
      <c r="J1054" s="10">
        <v>51</v>
      </c>
      <c r="K1054" s="10">
        <v>153</v>
      </c>
      <c r="L1054" s="10">
        <v>0</v>
      </c>
      <c r="N1054" s="10">
        <v>0</v>
      </c>
      <c r="O1054" t="s">
        <v>99</v>
      </c>
      <c r="P1054" s="10">
        <v>109.95</v>
      </c>
      <c r="S1054">
        <v>11.75</v>
      </c>
      <c r="T1054">
        <v>12</v>
      </c>
      <c r="U1054">
        <v>12</v>
      </c>
      <c r="V1054">
        <v>13.75</v>
      </c>
      <c r="W1054">
        <v>1.63</v>
      </c>
      <c r="X1054">
        <v>1</v>
      </c>
      <c r="Y1054">
        <v>10.5</v>
      </c>
      <c r="Z1054">
        <v>15.75</v>
      </c>
      <c r="AA1054">
        <v>14.25</v>
      </c>
      <c r="AB1054">
        <v>1.3640000000000001</v>
      </c>
      <c r="AC1054">
        <v>3.88</v>
      </c>
      <c r="AE1054">
        <v>1</v>
      </c>
      <c r="AF1054" t="s">
        <v>282</v>
      </c>
      <c r="AG1054">
        <v>100</v>
      </c>
      <c r="AK1054" t="s">
        <v>98</v>
      </c>
      <c r="AM1054" t="s">
        <v>98</v>
      </c>
      <c r="AN1054" t="s">
        <v>99</v>
      </c>
      <c r="AO1054" t="s">
        <v>98</v>
      </c>
      <c r="AP1054" t="s">
        <v>100</v>
      </c>
      <c r="AQ1054" t="s">
        <v>101</v>
      </c>
      <c r="AV1054" t="s">
        <v>98</v>
      </c>
      <c r="AX1054" t="s">
        <v>3311</v>
      </c>
      <c r="AZ1054" t="s">
        <v>102</v>
      </c>
      <c r="BB1054" t="s">
        <v>3227</v>
      </c>
      <c r="BC1054" t="s">
        <v>3311</v>
      </c>
      <c r="BD1054" t="s">
        <v>7528</v>
      </c>
      <c r="BF1054" t="s">
        <v>3312</v>
      </c>
      <c r="BG1054" t="s">
        <v>99</v>
      </c>
      <c r="BH1054" t="s">
        <v>98</v>
      </c>
      <c r="BI1054" t="s">
        <v>98</v>
      </c>
      <c r="BJ1054" t="s">
        <v>99</v>
      </c>
      <c r="BK1054" t="s">
        <v>453</v>
      </c>
      <c r="BL1054" t="s">
        <v>128</v>
      </c>
      <c r="BM1054">
        <v>5.5</v>
      </c>
      <c r="BN1054">
        <v>1</v>
      </c>
      <c r="CA1054">
        <v>71251</v>
      </c>
      <c r="CB1054" t="s">
        <v>3311</v>
      </c>
      <c r="CL1054" t="s">
        <v>99</v>
      </c>
      <c r="CM1054" t="s">
        <v>98</v>
      </c>
      <c r="CN1054" t="s">
        <v>3192</v>
      </c>
      <c r="CO1054" s="1">
        <v>42765</v>
      </c>
      <c r="CP1054" s="1">
        <v>43633</v>
      </c>
    </row>
    <row r="1055" spans="1:94" x14ac:dyDescent="0.25">
      <c r="A1055" t="s">
        <v>3313</v>
      </c>
      <c r="B1055" t="str">
        <f xml:space="preserve"> "" &amp; 747396101866</f>
        <v>747396101866</v>
      </c>
      <c r="C1055" t="s">
        <v>3232</v>
      </c>
      <c r="D1055" t="s">
        <v>3314</v>
      </c>
      <c r="E1055" t="s">
        <v>3302</v>
      </c>
      <c r="F1055" t="s">
        <v>2823</v>
      </c>
      <c r="G1055">
        <v>1</v>
      </c>
      <c r="H1055">
        <v>1</v>
      </c>
      <c r="I1055" t="s">
        <v>97</v>
      </c>
      <c r="J1055" s="10">
        <v>51</v>
      </c>
      <c r="K1055" s="10">
        <v>153</v>
      </c>
      <c r="L1055" s="10">
        <v>0</v>
      </c>
      <c r="N1055" s="10">
        <v>0</v>
      </c>
      <c r="O1055" t="s">
        <v>99</v>
      </c>
      <c r="P1055" s="10">
        <v>109.95</v>
      </c>
      <c r="S1055">
        <v>11.75</v>
      </c>
      <c r="T1055">
        <v>12</v>
      </c>
      <c r="U1055">
        <v>12</v>
      </c>
      <c r="V1055">
        <v>13.75</v>
      </c>
      <c r="W1055">
        <v>1.63</v>
      </c>
      <c r="X1055">
        <v>1</v>
      </c>
      <c r="Y1055">
        <v>10.5</v>
      </c>
      <c r="Z1055">
        <v>15.75</v>
      </c>
      <c r="AA1055">
        <v>14.25</v>
      </c>
      <c r="AB1055">
        <v>1.3640000000000001</v>
      </c>
      <c r="AC1055">
        <v>3.88</v>
      </c>
      <c r="AE1055">
        <v>1</v>
      </c>
      <c r="AF1055" t="s">
        <v>282</v>
      </c>
      <c r="AG1055">
        <v>100</v>
      </c>
      <c r="AK1055" t="s">
        <v>98</v>
      </c>
      <c r="AM1055" t="s">
        <v>98</v>
      </c>
      <c r="AN1055" t="s">
        <v>99</v>
      </c>
      <c r="AO1055" t="s">
        <v>98</v>
      </c>
      <c r="AP1055" t="s">
        <v>100</v>
      </c>
      <c r="AQ1055" t="s">
        <v>101</v>
      </c>
      <c r="AV1055" t="s">
        <v>98</v>
      </c>
      <c r="AX1055" t="s">
        <v>3315</v>
      </c>
      <c r="AZ1055" t="s">
        <v>102</v>
      </c>
      <c r="BB1055" t="s">
        <v>3227</v>
      </c>
      <c r="BC1055" t="s">
        <v>3315</v>
      </c>
      <c r="BD1055" t="s">
        <v>7528</v>
      </c>
      <c r="BF1055" t="s">
        <v>3316</v>
      </c>
      <c r="BG1055" t="s">
        <v>99</v>
      </c>
      <c r="BH1055" t="s">
        <v>98</v>
      </c>
      <c r="BI1055" t="s">
        <v>98</v>
      </c>
      <c r="BJ1055" t="s">
        <v>99</v>
      </c>
      <c r="BK1055" t="s">
        <v>453</v>
      </c>
      <c r="BL1055" t="s">
        <v>128</v>
      </c>
      <c r="BM1055">
        <v>5.5</v>
      </c>
      <c r="BN1055">
        <v>1</v>
      </c>
      <c r="CA1055">
        <v>71251</v>
      </c>
      <c r="CB1055" t="s">
        <v>3315</v>
      </c>
      <c r="CL1055" t="s">
        <v>99</v>
      </c>
      <c r="CM1055" t="s">
        <v>98</v>
      </c>
      <c r="CN1055" t="s">
        <v>3227</v>
      </c>
      <c r="CO1055" s="1">
        <v>42762</v>
      </c>
      <c r="CP1055" s="1">
        <v>43633</v>
      </c>
    </row>
    <row r="1056" spans="1:94" x14ac:dyDescent="0.25">
      <c r="A1056" t="s">
        <v>3317</v>
      </c>
      <c r="B1056" t="str">
        <f xml:space="preserve"> "" &amp; 747396105789</f>
        <v>747396105789</v>
      </c>
      <c r="C1056" t="s">
        <v>3318</v>
      </c>
      <c r="D1056" t="s">
        <v>3319</v>
      </c>
      <c r="E1056" t="s">
        <v>3320</v>
      </c>
      <c r="F1056" t="s">
        <v>3188</v>
      </c>
      <c r="G1056">
        <v>1</v>
      </c>
      <c r="H1056">
        <v>1</v>
      </c>
      <c r="I1056" t="s">
        <v>97</v>
      </c>
      <c r="J1056" s="10">
        <v>64</v>
      </c>
      <c r="K1056" s="10">
        <v>192</v>
      </c>
      <c r="L1056" s="10">
        <v>0</v>
      </c>
      <c r="N1056" s="10">
        <v>0</v>
      </c>
      <c r="O1056" t="s">
        <v>99</v>
      </c>
      <c r="P1056" s="10">
        <v>134.94999999999999</v>
      </c>
      <c r="S1056">
        <v>8.75</v>
      </c>
      <c r="U1056">
        <v>10.5</v>
      </c>
      <c r="V1056">
        <v>14.5</v>
      </c>
      <c r="W1056">
        <v>1.7</v>
      </c>
      <c r="X1056">
        <v>1</v>
      </c>
      <c r="Y1056">
        <v>10.88</v>
      </c>
      <c r="Z1056">
        <v>16.38</v>
      </c>
      <c r="AA1056">
        <v>12.5</v>
      </c>
      <c r="AB1056">
        <v>1.2889999999999999</v>
      </c>
      <c r="AC1056">
        <v>3.37</v>
      </c>
      <c r="AE1056">
        <v>1</v>
      </c>
      <c r="AF1056" t="s">
        <v>559</v>
      </c>
      <c r="AG1056">
        <v>11</v>
      </c>
      <c r="AK1056" t="s">
        <v>99</v>
      </c>
      <c r="AL1056">
        <v>1</v>
      </c>
      <c r="AM1056" t="s">
        <v>98</v>
      </c>
      <c r="AN1056" t="s">
        <v>99</v>
      </c>
      <c r="AO1056" t="s">
        <v>98</v>
      </c>
      <c r="AP1056" t="s">
        <v>100</v>
      </c>
      <c r="AQ1056" t="s">
        <v>101</v>
      </c>
      <c r="AV1056" t="s">
        <v>98</v>
      </c>
      <c r="AX1056" t="s">
        <v>3321</v>
      </c>
      <c r="AZ1056" t="s">
        <v>102</v>
      </c>
      <c r="BB1056" t="s">
        <v>7528</v>
      </c>
      <c r="BC1056" t="s">
        <v>7528</v>
      </c>
      <c r="BD1056" t="s">
        <v>7528</v>
      </c>
      <c r="BF1056" t="s">
        <v>3322</v>
      </c>
      <c r="BG1056" t="s">
        <v>98</v>
      </c>
      <c r="BH1056" t="s">
        <v>98</v>
      </c>
      <c r="BI1056" t="s">
        <v>98</v>
      </c>
      <c r="BJ1056" t="s">
        <v>99</v>
      </c>
      <c r="BK1056" t="s">
        <v>453</v>
      </c>
      <c r="BL1056" t="s">
        <v>128</v>
      </c>
      <c r="BM1056">
        <v>6</v>
      </c>
      <c r="BN1056">
        <v>6</v>
      </c>
      <c r="BO1056">
        <v>6</v>
      </c>
      <c r="CA1056">
        <v>71252</v>
      </c>
      <c r="CB1056" t="s">
        <v>3321</v>
      </c>
      <c r="CG1056">
        <v>2700</v>
      </c>
      <c r="CH1056">
        <v>91</v>
      </c>
      <c r="CI1056">
        <v>825</v>
      </c>
      <c r="CJ1056">
        <v>623</v>
      </c>
      <c r="CK1056">
        <v>30000</v>
      </c>
      <c r="CL1056" t="s">
        <v>99</v>
      </c>
      <c r="CM1056" t="s">
        <v>98</v>
      </c>
      <c r="CN1056" t="s">
        <v>3227</v>
      </c>
      <c r="CO1056" s="1">
        <v>43047</v>
      </c>
      <c r="CP1056" s="1">
        <v>43633</v>
      </c>
    </row>
    <row r="1057" spans="1:94" x14ac:dyDescent="0.25">
      <c r="A1057" t="s">
        <v>3323</v>
      </c>
      <c r="B1057" t="str">
        <f xml:space="preserve"> "" &amp; 747396105796</f>
        <v>747396105796</v>
      </c>
      <c r="C1057" t="s">
        <v>3318</v>
      </c>
      <c r="D1057" t="s">
        <v>3324</v>
      </c>
      <c r="E1057" t="s">
        <v>3320</v>
      </c>
      <c r="F1057" t="s">
        <v>3188</v>
      </c>
      <c r="G1057">
        <v>1</v>
      </c>
      <c r="H1057">
        <v>1</v>
      </c>
      <c r="I1057" t="s">
        <v>97</v>
      </c>
      <c r="J1057" s="10">
        <v>64</v>
      </c>
      <c r="K1057" s="10">
        <v>192</v>
      </c>
      <c r="L1057" s="10">
        <v>0</v>
      </c>
      <c r="N1057" s="10">
        <v>0</v>
      </c>
      <c r="O1057" t="s">
        <v>99</v>
      </c>
      <c r="P1057" s="10">
        <v>134.94999999999999</v>
      </c>
      <c r="S1057">
        <v>8.75</v>
      </c>
      <c r="U1057">
        <v>10.5</v>
      </c>
      <c r="V1057">
        <v>14.5</v>
      </c>
      <c r="W1057">
        <v>1.7</v>
      </c>
      <c r="X1057">
        <v>1</v>
      </c>
      <c r="Y1057">
        <v>10.88</v>
      </c>
      <c r="Z1057">
        <v>16.38</v>
      </c>
      <c r="AA1057">
        <v>12.5</v>
      </c>
      <c r="AB1057">
        <v>1.2889999999999999</v>
      </c>
      <c r="AC1057">
        <v>3.37</v>
      </c>
      <c r="AE1057">
        <v>1</v>
      </c>
      <c r="AF1057" t="s">
        <v>559</v>
      </c>
      <c r="AG1057">
        <v>11</v>
      </c>
      <c r="AK1057" t="s">
        <v>99</v>
      </c>
      <c r="AL1057">
        <v>1</v>
      </c>
      <c r="AM1057" t="s">
        <v>98</v>
      </c>
      <c r="AN1057" t="s">
        <v>99</v>
      </c>
      <c r="AO1057" t="s">
        <v>98</v>
      </c>
      <c r="AP1057" t="s">
        <v>100</v>
      </c>
      <c r="AQ1057" t="s">
        <v>101</v>
      </c>
      <c r="AV1057" t="s">
        <v>98</v>
      </c>
      <c r="AX1057" t="s">
        <v>3325</v>
      </c>
      <c r="AZ1057" t="s">
        <v>102</v>
      </c>
      <c r="BB1057" t="s">
        <v>7528</v>
      </c>
      <c r="BC1057" t="s">
        <v>7528</v>
      </c>
      <c r="BD1057" t="s">
        <v>7528</v>
      </c>
      <c r="BF1057" t="s">
        <v>3326</v>
      </c>
      <c r="BG1057" t="s">
        <v>98</v>
      </c>
      <c r="BH1057" t="s">
        <v>98</v>
      </c>
      <c r="BI1057" t="s">
        <v>98</v>
      </c>
      <c r="BJ1057" t="s">
        <v>99</v>
      </c>
      <c r="BK1057" t="s">
        <v>453</v>
      </c>
      <c r="BL1057" t="s">
        <v>128</v>
      </c>
      <c r="BM1057">
        <v>6</v>
      </c>
      <c r="BN1057">
        <v>6</v>
      </c>
      <c r="BO1057">
        <v>6</v>
      </c>
      <c r="CA1057">
        <v>71252</v>
      </c>
      <c r="CB1057" t="s">
        <v>3325</v>
      </c>
      <c r="CG1057">
        <v>2700</v>
      </c>
      <c r="CH1057">
        <v>91</v>
      </c>
      <c r="CI1057">
        <v>825</v>
      </c>
      <c r="CJ1057">
        <v>623</v>
      </c>
      <c r="CK1057">
        <v>30000</v>
      </c>
      <c r="CL1057" t="s">
        <v>99</v>
      </c>
      <c r="CM1057" t="s">
        <v>98</v>
      </c>
      <c r="CN1057" t="s">
        <v>3227</v>
      </c>
      <c r="CO1057" s="1">
        <v>43047</v>
      </c>
      <c r="CP1057" s="1">
        <v>43633</v>
      </c>
    </row>
    <row r="1058" spans="1:94" x14ac:dyDescent="0.25">
      <c r="A1058" t="s">
        <v>3327</v>
      </c>
      <c r="B1058" t="str">
        <f xml:space="preserve"> "" &amp; 747396105802</f>
        <v>747396105802</v>
      </c>
      <c r="C1058" t="s">
        <v>3318</v>
      </c>
      <c r="D1058" t="s">
        <v>3319</v>
      </c>
      <c r="E1058" t="s">
        <v>3320</v>
      </c>
      <c r="F1058" t="s">
        <v>3188</v>
      </c>
      <c r="G1058">
        <v>1</v>
      </c>
      <c r="H1058">
        <v>1</v>
      </c>
      <c r="I1058" t="s">
        <v>97</v>
      </c>
      <c r="J1058" s="10">
        <v>74</v>
      </c>
      <c r="K1058" s="10">
        <v>222</v>
      </c>
      <c r="L1058" s="10">
        <v>0</v>
      </c>
      <c r="N1058" s="10">
        <v>0</v>
      </c>
      <c r="O1058" t="s">
        <v>99</v>
      </c>
      <c r="P1058" s="10">
        <v>154.94999999999999</v>
      </c>
      <c r="S1058">
        <v>9.75</v>
      </c>
      <c r="U1058">
        <v>12.5</v>
      </c>
      <c r="V1058">
        <v>15.5</v>
      </c>
      <c r="W1058">
        <v>2.16</v>
      </c>
      <c r="X1058">
        <v>1</v>
      </c>
      <c r="Y1058">
        <v>11.38</v>
      </c>
      <c r="Z1058">
        <v>17.5</v>
      </c>
      <c r="AA1058">
        <v>14.38</v>
      </c>
      <c r="AB1058">
        <v>1.657</v>
      </c>
      <c r="AC1058">
        <v>4.43</v>
      </c>
      <c r="AE1058">
        <v>1</v>
      </c>
      <c r="AF1058" t="s">
        <v>559</v>
      </c>
      <c r="AG1058">
        <v>14</v>
      </c>
      <c r="AK1058" t="s">
        <v>99</v>
      </c>
      <c r="AL1058">
        <v>1</v>
      </c>
      <c r="AM1058" t="s">
        <v>98</v>
      </c>
      <c r="AN1058" t="s">
        <v>99</v>
      </c>
      <c r="AO1058" t="s">
        <v>98</v>
      </c>
      <c r="AP1058" t="s">
        <v>100</v>
      </c>
      <c r="AQ1058" t="s">
        <v>101</v>
      </c>
      <c r="AV1058" t="s">
        <v>98</v>
      </c>
      <c r="AX1058" t="s">
        <v>3321</v>
      </c>
      <c r="AZ1058" t="s">
        <v>102</v>
      </c>
      <c r="BB1058" t="s">
        <v>7528</v>
      </c>
      <c r="BC1058" t="s">
        <v>7528</v>
      </c>
      <c r="BD1058" t="s">
        <v>7528</v>
      </c>
      <c r="BF1058" t="s">
        <v>3328</v>
      </c>
      <c r="BG1058" t="s">
        <v>98</v>
      </c>
      <c r="BH1058" t="s">
        <v>98</v>
      </c>
      <c r="BI1058" t="s">
        <v>98</v>
      </c>
      <c r="BJ1058" t="s">
        <v>99</v>
      </c>
      <c r="BK1058" t="s">
        <v>453</v>
      </c>
      <c r="BL1058" t="s">
        <v>128</v>
      </c>
      <c r="BM1058">
        <v>6</v>
      </c>
      <c r="BN1058">
        <v>6</v>
      </c>
      <c r="BO1058">
        <v>6</v>
      </c>
      <c r="CA1058">
        <v>71253</v>
      </c>
      <c r="CB1058" t="s">
        <v>3321</v>
      </c>
      <c r="CG1058">
        <v>2700</v>
      </c>
      <c r="CH1058">
        <v>91</v>
      </c>
      <c r="CI1058">
        <v>1050</v>
      </c>
      <c r="CJ1058">
        <v>694.7</v>
      </c>
      <c r="CK1058">
        <v>300000</v>
      </c>
      <c r="CL1058" t="s">
        <v>99</v>
      </c>
      <c r="CM1058" t="s">
        <v>98</v>
      </c>
      <c r="CN1058" t="s">
        <v>3227</v>
      </c>
      <c r="CO1058" s="1">
        <v>43047</v>
      </c>
      <c r="CP1058" s="1">
        <v>43633</v>
      </c>
    </row>
    <row r="1059" spans="1:94" x14ac:dyDescent="0.25">
      <c r="A1059" t="s">
        <v>3329</v>
      </c>
      <c r="B1059" t="str">
        <f xml:space="preserve"> "" &amp; 747396105819</f>
        <v>747396105819</v>
      </c>
      <c r="C1059" t="s">
        <v>3318</v>
      </c>
      <c r="D1059" t="s">
        <v>3319</v>
      </c>
      <c r="E1059" t="s">
        <v>3320</v>
      </c>
      <c r="F1059" t="s">
        <v>3188</v>
      </c>
      <c r="G1059">
        <v>1</v>
      </c>
      <c r="H1059">
        <v>1</v>
      </c>
      <c r="I1059" t="s">
        <v>97</v>
      </c>
      <c r="J1059" s="10">
        <v>74</v>
      </c>
      <c r="K1059" s="10">
        <v>222</v>
      </c>
      <c r="L1059" s="10">
        <v>0</v>
      </c>
      <c r="N1059" s="10">
        <v>0</v>
      </c>
      <c r="O1059" t="s">
        <v>99</v>
      </c>
      <c r="P1059" s="10">
        <v>154.94999999999999</v>
      </c>
      <c r="S1059">
        <v>9.75</v>
      </c>
      <c r="U1059">
        <v>12.5</v>
      </c>
      <c r="V1059">
        <v>15.5</v>
      </c>
      <c r="W1059">
        <v>2.16</v>
      </c>
      <c r="X1059">
        <v>1</v>
      </c>
      <c r="Y1059">
        <v>11.38</v>
      </c>
      <c r="Z1059">
        <v>17.5</v>
      </c>
      <c r="AA1059">
        <v>14.38</v>
      </c>
      <c r="AB1059">
        <v>1.657</v>
      </c>
      <c r="AC1059">
        <v>4.43</v>
      </c>
      <c r="AE1059">
        <v>1</v>
      </c>
      <c r="AF1059" t="s">
        <v>559</v>
      </c>
      <c r="AG1059">
        <v>14</v>
      </c>
      <c r="AK1059" t="s">
        <v>99</v>
      </c>
      <c r="AL1059">
        <v>1</v>
      </c>
      <c r="AM1059" t="s">
        <v>98</v>
      </c>
      <c r="AN1059" t="s">
        <v>99</v>
      </c>
      <c r="AO1059" t="s">
        <v>98</v>
      </c>
      <c r="AP1059" t="s">
        <v>100</v>
      </c>
      <c r="AQ1059" t="s">
        <v>101</v>
      </c>
      <c r="AV1059" t="s">
        <v>98</v>
      </c>
      <c r="AX1059" t="s">
        <v>3325</v>
      </c>
      <c r="AZ1059" t="s">
        <v>102</v>
      </c>
      <c r="BB1059" t="s">
        <v>7528</v>
      </c>
      <c r="BC1059" t="s">
        <v>7528</v>
      </c>
      <c r="BD1059" t="s">
        <v>7528</v>
      </c>
      <c r="BF1059" t="s">
        <v>3330</v>
      </c>
      <c r="BG1059" t="s">
        <v>98</v>
      </c>
      <c r="BH1059" t="s">
        <v>98</v>
      </c>
      <c r="BI1059" t="s">
        <v>98</v>
      </c>
      <c r="BJ1059" t="s">
        <v>99</v>
      </c>
      <c r="BK1059" t="s">
        <v>453</v>
      </c>
      <c r="BL1059" t="s">
        <v>128</v>
      </c>
      <c r="BM1059">
        <v>6</v>
      </c>
      <c r="BN1059">
        <v>6</v>
      </c>
      <c r="BO1059">
        <v>6</v>
      </c>
      <c r="BP1059">
        <v>6</v>
      </c>
      <c r="CA1059">
        <v>71253</v>
      </c>
      <c r="CB1059" t="s">
        <v>3325</v>
      </c>
      <c r="CG1059">
        <v>2700</v>
      </c>
      <c r="CH1059">
        <v>91</v>
      </c>
      <c r="CI1059">
        <v>1050</v>
      </c>
      <c r="CJ1059">
        <v>694.7</v>
      </c>
      <c r="CK1059">
        <v>30000</v>
      </c>
      <c r="CL1059" t="s">
        <v>99</v>
      </c>
      <c r="CM1059" t="s">
        <v>98</v>
      </c>
      <c r="CN1059" t="s">
        <v>3227</v>
      </c>
      <c r="CO1059" s="1">
        <v>43047</v>
      </c>
      <c r="CP1059" s="1">
        <v>43633</v>
      </c>
    </row>
    <row r="1060" spans="1:94" x14ac:dyDescent="0.25">
      <c r="A1060" t="s">
        <v>3331</v>
      </c>
      <c r="B1060" t="str">
        <f xml:space="preserve"> "" &amp; 747396094366</f>
        <v>747396094366</v>
      </c>
      <c r="C1060" t="s">
        <v>3332</v>
      </c>
      <c r="D1060" t="s">
        <v>6836</v>
      </c>
      <c r="E1060" t="s">
        <v>3333</v>
      </c>
      <c r="F1060" t="s">
        <v>3188</v>
      </c>
      <c r="G1060">
        <v>1</v>
      </c>
      <c r="H1060">
        <v>1</v>
      </c>
      <c r="I1060" t="s">
        <v>97</v>
      </c>
      <c r="J1060" s="10">
        <v>65</v>
      </c>
      <c r="K1060" s="10">
        <v>195</v>
      </c>
      <c r="L1060" s="10">
        <v>0</v>
      </c>
      <c r="N1060" s="10">
        <v>0</v>
      </c>
      <c r="O1060" t="s">
        <v>99</v>
      </c>
      <c r="P1060" s="10">
        <v>134.94999999999999</v>
      </c>
      <c r="S1060">
        <v>19</v>
      </c>
      <c r="U1060">
        <v>7.75</v>
      </c>
      <c r="V1060">
        <v>9</v>
      </c>
      <c r="W1060">
        <v>3.66</v>
      </c>
      <c r="Y1060">
        <v>17.25</v>
      </c>
      <c r="Z1060">
        <v>10.88</v>
      </c>
      <c r="AA1060">
        <v>9.8800000000000008</v>
      </c>
      <c r="AB1060">
        <v>1.073</v>
      </c>
      <c r="AC1060">
        <v>4.92</v>
      </c>
      <c r="AE1060">
        <v>1</v>
      </c>
      <c r="AF1060" t="s">
        <v>3334</v>
      </c>
      <c r="AG1060">
        <v>11</v>
      </c>
      <c r="AK1060" t="s">
        <v>99</v>
      </c>
      <c r="AM1060" t="s">
        <v>98</v>
      </c>
      <c r="AN1060" t="s">
        <v>99</v>
      </c>
      <c r="AO1060" t="s">
        <v>98</v>
      </c>
      <c r="AP1060" t="s">
        <v>100</v>
      </c>
      <c r="AQ1060" t="s">
        <v>101</v>
      </c>
      <c r="AV1060" t="s">
        <v>98</v>
      </c>
      <c r="AX1060" t="s">
        <v>3264</v>
      </c>
      <c r="AZ1060" t="s">
        <v>124</v>
      </c>
      <c r="BB1060" t="s">
        <v>235</v>
      </c>
      <c r="BC1060" t="s">
        <v>1304</v>
      </c>
      <c r="BD1060" t="s">
        <v>7528</v>
      </c>
      <c r="BF1060" t="s">
        <v>3335</v>
      </c>
      <c r="BG1060" t="s">
        <v>98</v>
      </c>
      <c r="BH1060" t="s">
        <v>98</v>
      </c>
      <c r="BI1060" t="s">
        <v>98</v>
      </c>
      <c r="BJ1060" t="s">
        <v>99</v>
      </c>
      <c r="BK1060" t="s">
        <v>453</v>
      </c>
      <c r="BL1060" t="s">
        <v>7528</v>
      </c>
      <c r="BR1060">
        <v>9</v>
      </c>
      <c r="BT1060">
        <v>4.75</v>
      </c>
      <c r="CA1060">
        <v>71821</v>
      </c>
      <c r="CB1060" t="s">
        <v>3264</v>
      </c>
      <c r="CG1060">
        <v>2700</v>
      </c>
      <c r="CH1060">
        <v>80</v>
      </c>
      <c r="CI1060">
        <v>770</v>
      </c>
      <c r="CJ1060">
        <v>476.8</v>
      </c>
      <c r="CK1060">
        <v>30000</v>
      </c>
      <c r="CL1060" t="s">
        <v>98</v>
      </c>
      <c r="CM1060" t="s">
        <v>98</v>
      </c>
      <c r="CN1060" t="s">
        <v>3336</v>
      </c>
      <c r="CO1060" s="1">
        <v>41585</v>
      </c>
      <c r="CP1060" s="1">
        <v>43633</v>
      </c>
    </row>
    <row r="1061" spans="1:94" x14ac:dyDescent="0.25">
      <c r="A1061" t="s">
        <v>3337</v>
      </c>
      <c r="B1061" t="str">
        <f xml:space="preserve"> "" &amp; 747396094373</f>
        <v>747396094373</v>
      </c>
      <c r="C1061" t="s">
        <v>3332</v>
      </c>
      <c r="D1061" t="s">
        <v>6836</v>
      </c>
      <c r="E1061" t="s">
        <v>3333</v>
      </c>
      <c r="F1061" t="s">
        <v>3188</v>
      </c>
      <c r="G1061">
        <v>1</v>
      </c>
      <c r="H1061">
        <v>1</v>
      </c>
      <c r="I1061" t="s">
        <v>97</v>
      </c>
      <c r="J1061" s="10">
        <v>95</v>
      </c>
      <c r="K1061" s="10">
        <v>285</v>
      </c>
      <c r="L1061" s="10">
        <v>0</v>
      </c>
      <c r="N1061" s="10">
        <v>0</v>
      </c>
      <c r="O1061" t="s">
        <v>99</v>
      </c>
      <c r="P1061" s="10">
        <v>199.95</v>
      </c>
      <c r="S1061">
        <v>21.75</v>
      </c>
      <c r="U1061">
        <v>9</v>
      </c>
      <c r="V1061">
        <v>11.25</v>
      </c>
      <c r="W1061">
        <v>5.14</v>
      </c>
      <c r="Y1061">
        <v>24.25</v>
      </c>
      <c r="Z1061">
        <v>13.25</v>
      </c>
      <c r="AA1061">
        <v>11</v>
      </c>
      <c r="AB1061">
        <v>2.0449999999999999</v>
      </c>
      <c r="AC1061">
        <v>7.1</v>
      </c>
      <c r="AE1061">
        <v>1</v>
      </c>
      <c r="AF1061" t="s">
        <v>3334</v>
      </c>
      <c r="AG1061">
        <v>14</v>
      </c>
      <c r="AK1061" t="s">
        <v>99</v>
      </c>
      <c r="AM1061" t="s">
        <v>98</v>
      </c>
      <c r="AN1061" t="s">
        <v>99</v>
      </c>
      <c r="AO1061" t="s">
        <v>98</v>
      </c>
      <c r="AP1061" t="s">
        <v>100</v>
      </c>
      <c r="AQ1061" t="s">
        <v>101</v>
      </c>
      <c r="AV1061" t="s">
        <v>98</v>
      </c>
      <c r="AX1061" t="s">
        <v>3264</v>
      </c>
      <c r="AZ1061" t="s">
        <v>124</v>
      </c>
      <c r="BB1061" t="s">
        <v>235</v>
      </c>
      <c r="BC1061" t="s">
        <v>1304</v>
      </c>
      <c r="BD1061" t="s">
        <v>7528</v>
      </c>
      <c r="BF1061" t="s">
        <v>3338</v>
      </c>
      <c r="BG1061" t="s">
        <v>98</v>
      </c>
      <c r="BH1061" t="s">
        <v>98</v>
      </c>
      <c r="BI1061" t="s">
        <v>98</v>
      </c>
      <c r="BJ1061" t="s">
        <v>99</v>
      </c>
      <c r="BK1061" t="s">
        <v>453</v>
      </c>
      <c r="BL1061" t="s">
        <v>7528</v>
      </c>
      <c r="BR1061">
        <v>13.13</v>
      </c>
      <c r="BT1061">
        <v>4.75</v>
      </c>
      <c r="CA1061">
        <v>71822</v>
      </c>
      <c r="CB1061" t="s">
        <v>3264</v>
      </c>
      <c r="CG1061">
        <v>2700</v>
      </c>
      <c r="CH1061">
        <v>80</v>
      </c>
      <c r="CI1061">
        <v>980</v>
      </c>
      <c r="CJ1061">
        <v>521</v>
      </c>
      <c r="CK1061">
        <v>30000</v>
      </c>
      <c r="CL1061" t="s">
        <v>98</v>
      </c>
      <c r="CM1061" t="s">
        <v>98</v>
      </c>
      <c r="CN1061" t="s">
        <v>3339</v>
      </c>
      <c r="CO1061" s="1">
        <v>41585</v>
      </c>
      <c r="CP1061" s="1">
        <v>43633</v>
      </c>
    </row>
    <row r="1062" spans="1:94" x14ac:dyDescent="0.25">
      <c r="A1062" t="s">
        <v>3340</v>
      </c>
      <c r="B1062" t="str">
        <f xml:space="preserve"> "" &amp; 747396094380</f>
        <v>747396094380</v>
      </c>
      <c r="C1062" t="s">
        <v>3341</v>
      </c>
      <c r="D1062" t="s">
        <v>3342</v>
      </c>
      <c r="E1062" t="s">
        <v>3333</v>
      </c>
      <c r="F1062" t="s">
        <v>3188</v>
      </c>
      <c r="G1062">
        <v>1</v>
      </c>
      <c r="H1062">
        <v>1</v>
      </c>
      <c r="I1062" t="s">
        <v>97</v>
      </c>
      <c r="J1062" s="10">
        <v>86</v>
      </c>
      <c r="K1062" s="10">
        <v>258</v>
      </c>
      <c r="L1062" s="10">
        <v>0</v>
      </c>
      <c r="N1062" s="10">
        <v>0</v>
      </c>
      <c r="O1062" t="s">
        <v>99</v>
      </c>
      <c r="P1062" s="10">
        <v>184.95</v>
      </c>
      <c r="S1062">
        <v>18.75</v>
      </c>
      <c r="T1062">
        <v>9</v>
      </c>
      <c r="U1062">
        <v>9</v>
      </c>
      <c r="V1062">
        <v>7.75</v>
      </c>
      <c r="W1062">
        <v>5.29</v>
      </c>
      <c r="Y1062">
        <v>16.38</v>
      </c>
      <c r="Z1062">
        <v>11</v>
      </c>
      <c r="AA1062">
        <v>9.8800000000000008</v>
      </c>
      <c r="AB1062">
        <v>1.03</v>
      </c>
      <c r="AC1062">
        <v>6.53</v>
      </c>
      <c r="AE1062">
        <v>1</v>
      </c>
      <c r="AF1062" t="s">
        <v>3334</v>
      </c>
      <c r="AG1062">
        <v>14</v>
      </c>
      <c r="AK1062" t="s">
        <v>99</v>
      </c>
      <c r="AM1062" t="s">
        <v>98</v>
      </c>
      <c r="AN1062" t="s">
        <v>99</v>
      </c>
      <c r="AO1062" t="s">
        <v>98</v>
      </c>
      <c r="AP1062" t="s">
        <v>100</v>
      </c>
      <c r="AQ1062" t="s">
        <v>101</v>
      </c>
      <c r="AV1062" t="s">
        <v>98</v>
      </c>
      <c r="AX1062" t="s">
        <v>3264</v>
      </c>
      <c r="AZ1062" t="s">
        <v>124</v>
      </c>
      <c r="BB1062" t="s">
        <v>235</v>
      </c>
      <c r="BC1062" t="s">
        <v>1304</v>
      </c>
      <c r="BD1062" t="s">
        <v>7528</v>
      </c>
      <c r="BF1062" t="s">
        <v>3343</v>
      </c>
      <c r="BG1062" t="s">
        <v>98</v>
      </c>
      <c r="BH1062" t="s">
        <v>98</v>
      </c>
      <c r="BI1062" t="s">
        <v>98</v>
      </c>
      <c r="BK1062" t="s">
        <v>127</v>
      </c>
      <c r="BL1062" t="s">
        <v>7528</v>
      </c>
      <c r="BR1062">
        <v>1</v>
      </c>
      <c r="BT1062">
        <v>5</v>
      </c>
      <c r="CA1062">
        <v>71824</v>
      </c>
      <c r="CB1062" t="s">
        <v>3264</v>
      </c>
      <c r="CG1062">
        <v>2700</v>
      </c>
      <c r="CH1062">
        <v>80</v>
      </c>
      <c r="CI1062">
        <v>980</v>
      </c>
      <c r="CJ1062">
        <v>599.6</v>
      </c>
      <c r="CK1062">
        <v>30000</v>
      </c>
      <c r="CL1062" t="s">
        <v>98</v>
      </c>
      <c r="CM1062" t="s">
        <v>98</v>
      </c>
      <c r="CN1062" t="s">
        <v>3336</v>
      </c>
      <c r="CO1062" s="1">
        <v>41585</v>
      </c>
      <c r="CP1062" s="1">
        <v>43633</v>
      </c>
    </row>
    <row r="1063" spans="1:94" x14ac:dyDescent="0.25">
      <c r="A1063" t="s">
        <v>3344</v>
      </c>
      <c r="B1063" t="str">
        <f xml:space="preserve"> "" &amp; 747396094397</f>
        <v>747396094397</v>
      </c>
      <c r="C1063" t="s">
        <v>3345</v>
      </c>
      <c r="D1063" t="s">
        <v>3346</v>
      </c>
      <c r="E1063" t="s">
        <v>3333</v>
      </c>
      <c r="F1063" t="s">
        <v>3188</v>
      </c>
      <c r="G1063">
        <v>1</v>
      </c>
      <c r="H1063">
        <v>1</v>
      </c>
      <c r="I1063" t="s">
        <v>97</v>
      </c>
      <c r="J1063" s="10">
        <v>72</v>
      </c>
      <c r="K1063" s="10">
        <v>216</v>
      </c>
      <c r="L1063" s="10">
        <v>0</v>
      </c>
      <c r="N1063" s="10">
        <v>0</v>
      </c>
      <c r="O1063" t="s">
        <v>99</v>
      </c>
      <c r="P1063" s="10">
        <v>149.94999999999999</v>
      </c>
      <c r="S1063">
        <v>20.25</v>
      </c>
      <c r="T1063">
        <v>9</v>
      </c>
      <c r="U1063">
        <v>9</v>
      </c>
      <c r="V1063">
        <v>7.75</v>
      </c>
      <c r="W1063">
        <v>3.97</v>
      </c>
      <c r="Y1063">
        <v>20.88</v>
      </c>
      <c r="Z1063">
        <v>11</v>
      </c>
      <c r="AA1063">
        <v>9.8800000000000008</v>
      </c>
      <c r="AB1063">
        <v>1.3129999999999999</v>
      </c>
      <c r="AC1063">
        <v>5.38</v>
      </c>
      <c r="AE1063">
        <v>1</v>
      </c>
      <c r="AF1063" t="s">
        <v>3334</v>
      </c>
      <c r="AG1063">
        <v>14</v>
      </c>
      <c r="AK1063" t="s">
        <v>99</v>
      </c>
      <c r="AM1063" t="s">
        <v>98</v>
      </c>
      <c r="AN1063" t="s">
        <v>99</v>
      </c>
      <c r="AO1063" t="s">
        <v>98</v>
      </c>
      <c r="AP1063" t="s">
        <v>100</v>
      </c>
      <c r="AQ1063" t="s">
        <v>101</v>
      </c>
      <c r="AV1063" t="s">
        <v>98</v>
      </c>
      <c r="AX1063" t="s">
        <v>3264</v>
      </c>
      <c r="AZ1063" t="s">
        <v>124</v>
      </c>
      <c r="BB1063" t="s">
        <v>235</v>
      </c>
      <c r="BC1063" t="s">
        <v>1304</v>
      </c>
      <c r="BD1063" t="s">
        <v>7528</v>
      </c>
      <c r="BF1063" t="s">
        <v>3347</v>
      </c>
      <c r="BG1063" t="s">
        <v>98</v>
      </c>
      <c r="BH1063" t="s">
        <v>98</v>
      </c>
      <c r="BI1063" t="s">
        <v>98</v>
      </c>
      <c r="BJ1063" t="s">
        <v>99</v>
      </c>
      <c r="BK1063" t="s">
        <v>453</v>
      </c>
      <c r="BL1063" t="s">
        <v>7528</v>
      </c>
      <c r="CA1063">
        <v>71826</v>
      </c>
      <c r="CB1063" t="s">
        <v>3264</v>
      </c>
      <c r="CG1063">
        <v>2700</v>
      </c>
      <c r="CH1063">
        <v>80</v>
      </c>
      <c r="CI1063">
        <v>980</v>
      </c>
      <c r="CJ1063">
        <v>625.29999999999995</v>
      </c>
      <c r="CK1063">
        <v>30000</v>
      </c>
      <c r="CL1063" t="s">
        <v>98</v>
      </c>
      <c r="CM1063" t="s">
        <v>98</v>
      </c>
      <c r="CN1063" t="s">
        <v>3336</v>
      </c>
      <c r="CO1063" s="1">
        <v>41585</v>
      </c>
      <c r="CP1063" s="1">
        <v>43633</v>
      </c>
    </row>
    <row r="1064" spans="1:94" x14ac:dyDescent="0.25">
      <c r="A1064" t="s">
        <v>3348</v>
      </c>
      <c r="B1064" t="str">
        <f xml:space="preserve"> "" &amp; 747396079424</f>
        <v>747396079424</v>
      </c>
      <c r="C1064" t="s">
        <v>3349</v>
      </c>
      <c r="D1064" t="s">
        <v>6837</v>
      </c>
      <c r="E1064" t="s">
        <v>3350</v>
      </c>
      <c r="F1064" t="s">
        <v>449</v>
      </c>
      <c r="G1064">
        <v>1</v>
      </c>
      <c r="H1064">
        <v>1</v>
      </c>
      <c r="I1064" t="s">
        <v>97</v>
      </c>
      <c r="J1064" s="10">
        <v>74</v>
      </c>
      <c r="K1064" s="10">
        <v>222</v>
      </c>
      <c r="L1064" s="10">
        <v>0</v>
      </c>
      <c r="N1064" s="10">
        <v>0</v>
      </c>
      <c r="O1064" t="s">
        <v>99</v>
      </c>
      <c r="P1064" s="10">
        <v>149.94999999999999</v>
      </c>
      <c r="S1064">
        <v>12.75</v>
      </c>
      <c r="U1064">
        <v>9.25</v>
      </c>
      <c r="V1064">
        <v>5.75</v>
      </c>
      <c r="W1064">
        <v>3.64</v>
      </c>
      <c r="X1064">
        <v>1</v>
      </c>
      <c r="Y1064">
        <v>12.88</v>
      </c>
      <c r="Z1064">
        <v>15</v>
      </c>
      <c r="AA1064">
        <v>11.63</v>
      </c>
      <c r="AB1064">
        <v>1.3</v>
      </c>
      <c r="AC1064">
        <v>5.56</v>
      </c>
      <c r="AE1064">
        <v>1</v>
      </c>
      <c r="AF1064" t="s">
        <v>3223</v>
      </c>
      <c r="AG1064">
        <v>13</v>
      </c>
      <c r="AK1064" t="s">
        <v>99</v>
      </c>
      <c r="AM1064" t="s">
        <v>98</v>
      </c>
      <c r="AN1064" t="s">
        <v>99</v>
      </c>
      <c r="AO1064" t="s">
        <v>98</v>
      </c>
      <c r="AP1064" t="s">
        <v>100</v>
      </c>
      <c r="AQ1064" t="s">
        <v>101</v>
      </c>
      <c r="AV1064" t="s">
        <v>98</v>
      </c>
      <c r="AX1064" t="s">
        <v>640</v>
      </c>
      <c r="AZ1064" t="s">
        <v>102</v>
      </c>
      <c r="BB1064" t="s">
        <v>235</v>
      </c>
      <c r="BC1064" t="s">
        <v>641</v>
      </c>
      <c r="BD1064" t="s">
        <v>7528</v>
      </c>
      <c r="BF1064" t="s">
        <v>3351</v>
      </c>
      <c r="BG1064" t="s">
        <v>98</v>
      </c>
      <c r="BH1064" t="s">
        <v>98</v>
      </c>
      <c r="BI1064" t="s">
        <v>98</v>
      </c>
      <c r="BJ1064" t="s">
        <v>99</v>
      </c>
      <c r="BK1064" t="s">
        <v>453</v>
      </c>
      <c r="BL1064" t="s">
        <v>645</v>
      </c>
      <c r="BR1064">
        <v>11.63</v>
      </c>
      <c r="BT1064">
        <v>8.5</v>
      </c>
      <c r="CA1064" t="s">
        <v>3352</v>
      </c>
      <c r="CB1064" t="s">
        <v>640</v>
      </c>
      <c r="CG1064">
        <v>2700</v>
      </c>
      <c r="CL1064" t="s">
        <v>98</v>
      </c>
      <c r="CM1064" t="s">
        <v>98</v>
      </c>
      <c r="CN1064" t="s">
        <v>3227</v>
      </c>
      <c r="CO1064" s="1">
        <v>40613</v>
      </c>
      <c r="CP1064" s="1">
        <v>43633</v>
      </c>
    </row>
    <row r="1065" spans="1:94" x14ac:dyDescent="0.25">
      <c r="A1065" t="s">
        <v>3353</v>
      </c>
      <c r="B1065" t="str">
        <f xml:space="preserve"> "" &amp; 747396079431</f>
        <v>747396079431</v>
      </c>
      <c r="C1065" t="s">
        <v>3354</v>
      </c>
      <c r="D1065" t="s">
        <v>6838</v>
      </c>
      <c r="E1065" t="s">
        <v>3350</v>
      </c>
      <c r="F1065" t="s">
        <v>449</v>
      </c>
      <c r="G1065">
        <v>1</v>
      </c>
      <c r="H1065">
        <v>1</v>
      </c>
      <c r="I1065" t="s">
        <v>97</v>
      </c>
      <c r="J1065" s="10">
        <v>115</v>
      </c>
      <c r="K1065" s="10">
        <v>345</v>
      </c>
      <c r="L1065" s="10">
        <v>0</v>
      </c>
      <c r="N1065" s="10">
        <v>0</v>
      </c>
      <c r="O1065" t="s">
        <v>99</v>
      </c>
      <c r="P1065" s="10">
        <v>229.95</v>
      </c>
      <c r="S1065">
        <v>18.5</v>
      </c>
      <c r="U1065">
        <v>9.5</v>
      </c>
      <c r="V1065">
        <v>6.25</v>
      </c>
      <c r="W1065">
        <v>5.84</v>
      </c>
      <c r="X1065">
        <v>1</v>
      </c>
      <c r="Y1065">
        <v>13.38</v>
      </c>
      <c r="Z1065">
        <v>21.13</v>
      </c>
      <c r="AA1065">
        <v>12</v>
      </c>
      <c r="AB1065">
        <v>1.9630000000000001</v>
      </c>
      <c r="AC1065">
        <v>8.69</v>
      </c>
      <c r="AE1065">
        <v>2</v>
      </c>
      <c r="AF1065" t="s">
        <v>3223</v>
      </c>
      <c r="AG1065">
        <v>13</v>
      </c>
      <c r="AK1065" t="s">
        <v>99</v>
      </c>
      <c r="AM1065" t="s">
        <v>98</v>
      </c>
      <c r="AN1065" t="s">
        <v>99</v>
      </c>
      <c r="AO1065" t="s">
        <v>98</v>
      </c>
      <c r="AP1065" t="s">
        <v>100</v>
      </c>
      <c r="AQ1065" t="s">
        <v>101</v>
      </c>
      <c r="AV1065" t="s">
        <v>98</v>
      </c>
      <c r="AX1065" t="s">
        <v>640</v>
      </c>
      <c r="AZ1065" t="s">
        <v>102</v>
      </c>
      <c r="BB1065" t="s">
        <v>235</v>
      </c>
      <c r="BC1065" t="s">
        <v>641</v>
      </c>
      <c r="BD1065" t="s">
        <v>7528</v>
      </c>
      <c r="BF1065" t="s">
        <v>3355</v>
      </c>
      <c r="BG1065" t="s">
        <v>98</v>
      </c>
      <c r="BH1065" t="s">
        <v>98</v>
      </c>
      <c r="BI1065" t="s">
        <v>98</v>
      </c>
      <c r="BJ1065" t="s">
        <v>99</v>
      </c>
      <c r="BK1065" t="s">
        <v>453</v>
      </c>
      <c r="BL1065" t="s">
        <v>645</v>
      </c>
      <c r="CA1065" t="s">
        <v>3356</v>
      </c>
      <c r="CB1065" t="s">
        <v>640</v>
      </c>
      <c r="CG1065">
        <v>2700</v>
      </c>
      <c r="CL1065" t="s">
        <v>98</v>
      </c>
      <c r="CM1065" t="s">
        <v>98</v>
      </c>
      <c r="CN1065" t="s">
        <v>3227</v>
      </c>
      <c r="CO1065" s="1">
        <v>40635</v>
      </c>
      <c r="CP1065" s="1">
        <v>43633</v>
      </c>
    </row>
    <row r="1066" spans="1:94" x14ac:dyDescent="0.25">
      <c r="A1066" t="s">
        <v>3357</v>
      </c>
      <c r="B1066" t="str">
        <f xml:space="preserve"> "" &amp; 747396079509</f>
        <v>747396079509</v>
      </c>
      <c r="C1066" t="s">
        <v>3349</v>
      </c>
      <c r="D1066" t="s">
        <v>6839</v>
      </c>
      <c r="E1066" t="s">
        <v>3358</v>
      </c>
      <c r="F1066" t="s">
        <v>449</v>
      </c>
      <c r="G1066">
        <v>1</v>
      </c>
      <c r="H1066">
        <v>1</v>
      </c>
      <c r="I1066" t="s">
        <v>97</v>
      </c>
      <c r="J1066" s="10">
        <v>89</v>
      </c>
      <c r="K1066" s="10">
        <v>267</v>
      </c>
      <c r="L1066" s="10">
        <v>0</v>
      </c>
      <c r="N1066" s="10">
        <v>0</v>
      </c>
      <c r="O1066" t="s">
        <v>99</v>
      </c>
      <c r="P1066" s="10">
        <v>179.95</v>
      </c>
      <c r="S1066">
        <v>14.75</v>
      </c>
      <c r="U1066">
        <v>7.5</v>
      </c>
      <c r="V1066">
        <v>4.75</v>
      </c>
      <c r="W1066">
        <v>3.97</v>
      </c>
      <c r="X1066">
        <v>1</v>
      </c>
      <c r="Y1066">
        <v>9.5</v>
      </c>
      <c r="Z1066">
        <v>17</v>
      </c>
      <c r="AA1066">
        <v>9</v>
      </c>
      <c r="AB1066">
        <v>0.84099999999999997</v>
      </c>
      <c r="AC1066">
        <v>5.1100000000000003</v>
      </c>
      <c r="AE1066">
        <v>1</v>
      </c>
      <c r="AF1066" t="s">
        <v>2784</v>
      </c>
      <c r="AG1066">
        <v>13</v>
      </c>
      <c r="AK1066" t="s">
        <v>99</v>
      </c>
      <c r="AM1066" t="s">
        <v>98</v>
      </c>
      <c r="AN1066" t="s">
        <v>99</v>
      </c>
      <c r="AO1066" t="s">
        <v>98</v>
      </c>
      <c r="AP1066" t="s">
        <v>100</v>
      </c>
      <c r="AQ1066" t="s">
        <v>101</v>
      </c>
      <c r="AV1066" t="s">
        <v>98</v>
      </c>
      <c r="AX1066" t="s">
        <v>3359</v>
      </c>
      <c r="AZ1066" t="s">
        <v>102</v>
      </c>
      <c r="BB1066" t="s">
        <v>235</v>
      </c>
      <c r="BC1066" t="s">
        <v>3371</v>
      </c>
      <c r="BD1066" t="s">
        <v>7528</v>
      </c>
      <c r="BF1066" t="s">
        <v>3360</v>
      </c>
      <c r="BG1066" t="s">
        <v>98</v>
      </c>
      <c r="BH1066" t="s">
        <v>98</v>
      </c>
      <c r="BI1066" t="s">
        <v>98</v>
      </c>
      <c r="BJ1066" t="s">
        <v>99</v>
      </c>
      <c r="BK1066" t="s">
        <v>453</v>
      </c>
      <c r="BL1066" t="s">
        <v>645</v>
      </c>
      <c r="BR1066">
        <v>13.75</v>
      </c>
      <c r="BT1066">
        <v>7.25</v>
      </c>
      <c r="CA1066" t="s">
        <v>3361</v>
      </c>
      <c r="CB1066" t="s">
        <v>3359</v>
      </c>
      <c r="CG1066">
        <v>2700</v>
      </c>
      <c r="CL1066" t="s">
        <v>98</v>
      </c>
      <c r="CM1066" t="s">
        <v>98</v>
      </c>
      <c r="CN1066" t="s">
        <v>3198</v>
      </c>
      <c r="CO1066" s="1">
        <v>40705</v>
      </c>
      <c r="CP1066" s="1">
        <v>43633</v>
      </c>
    </row>
    <row r="1067" spans="1:94" x14ac:dyDescent="0.25">
      <c r="A1067" t="s">
        <v>3362</v>
      </c>
      <c r="B1067" t="str">
        <f xml:space="preserve"> "" &amp; 747396079516</f>
        <v>747396079516</v>
      </c>
      <c r="C1067" t="s">
        <v>3349</v>
      </c>
      <c r="D1067" t="s">
        <v>6839</v>
      </c>
      <c r="E1067" t="s">
        <v>3358</v>
      </c>
      <c r="F1067" t="s">
        <v>449</v>
      </c>
      <c r="G1067">
        <v>1</v>
      </c>
      <c r="H1067">
        <v>1</v>
      </c>
      <c r="I1067" t="s">
        <v>97</v>
      </c>
      <c r="J1067" s="10">
        <v>105</v>
      </c>
      <c r="K1067" s="10">
        <v>315</v>
      </c>
      <c r="L1067" s="10">
        <v>0</v>
      </c>
      <c r="N1067" s="10">
        <v>0</v>
      </c>
      <c r="O1067" t="s">
        <v>99</v>
      </c>
      <c r="P1067" s="10">
        <v>209.95</v>
      </c>
      <c r="S1067">
        <v>17.25</v>
      </c>
      <c r="U1067">
        <v>9</v>
      </c>
      <c r="V1067">
        <v>5.5</v>
      </c>
      <c r="W1067">
        <v>5.36</v>
      </c>
      <c r="X1067">
        <v>1</v>
      </c>
      <c r="Y1067">
        <v>11</v>
      </c>
      <c r="Z1067">
        <v>19.5</v>
      </c>
      <c r="AA1067">
        <v>11</v>
      </c>
      <c r="AB1067">
        <v>1.365</v>
      </c>
      <c r="AC1067">
        <v>7.05</v>
      </c>
      <c r="AE1067">
        <v>1</v>
      </c>
      <c r="AF1067" t="s">
        <v>3363</v>
      </c>
      <c r="AG1067">
        <v>26</v>
      </c>
      <c r="AK1067" t="s">
        <v>99</v>
      </c>
      <c r="AM1067" t="s">
        <v>98</v>
      </c>
      <c r="AN1067" t="s">
        <v>99</v>
      </c>
      <c r="AO1067" t="s">
        <v>98</v>
      </c>
      <c r="AP1067" t="s">
        <v>100</v>
      </c>
      <c r="AQ1067" t="s">
        <v>101</v>
      </c>
      <c r="AV1067" t="s">
        <v>98</v>
      </c>
      <c r="AX1067" t="s">
        <v>3359</v>
      </c>
      <c r="AZ1067" t="s">
        <v>102</v>
      </c>
      <c r="BB1067" t="s">
        <v>235</v>
      </c>
      <c r="BC1067" t="s">
        <v>3371</v>
      </c>
      <c r="BD1067" t="s">
        <v>7528</v>
      </c>
      <c r="BF1067" t="s">
        <v>3364</v>
      </c>
      <c r="BG1067" t="s">
        <v>98</v>
      </c>
      <c r="BH1067" t="s">
        <v>98</v>
      </c>
      <c r="BI1067" t="s">
        <v>98</v>
      </c>
      <c r="BJ1067" t="s">
        <v>99</v>
      </c>
      <c r="BK1067" t="s">
        <v>453</v>
      </c>
      <c r="BL1067" t="s">
        <v>645</v>
      </c>
      <c r="BR1067">
        <v>16.25</v>
      </c>
      <c r="BT1067">
        <v>8.6300000000000008</v>
      </c>
      <c r="CA1067" t="s">
        <v>3365</v>
      </c>
      <c r="CB1067" t="s">
        <v>3359</v>
      </c>
      <c r="CG1067">
        <v>2700</v>
      </c>
      <c r="CL1067" t="s">
        <v>98</v>
      </c>
      <c r="CM1067" t="s">
        <v>98</v>
      </c>
      <c r="CN1067" t="s">
        <v>3198</v>
      </c>
      <c r="CO1067" s="1">
        <v>40705</v>
      </c>
      <c r="CP1067" s="1">
        <v>43633</v>
      </c>
    </row>
    <row r="1068" spans="1:94" x14ac:dyDescent="0.25">
      <c r="A1068" t="s">
        <v>3366</v>
      </c>
      <c r="B1068" t="str">
        <f xml:space="preserve"> "" &amp; 747396111889</f>
        <v>747396111889</v>
      </c>
      <c r="C1068" t="s">
        <v>3185</v>
      </c>
      <c r="D1068" t="s">
        <v>6840</v>
      </c>
      <c r="E1068" t="s">
        <v>3358</v>
      </c>
      <c r="F1068" t="s">
        <v>2823</v>
      </c>
      <c r="G1068">
        <v>1</v>
      </c>
      <c r="H1068">
        <v>1</v>
      </c>
      <c r="I1068" t="s">
        <v>97</v>
      </c>
      <c r="J1068" s="10">
        <v>93</v>
      </c>
      <c r="K1068" s="10">
        <v>279</v>
      </c>
      <c r="L1068" s="10">
        <v>0</v>
      </c>
      <c r="N1068" s="10">
        <v>0</v>
      </c>
      <c r="S1068">
        <v>12</v>
      </c>
      <c r="U1068">
        <v>6.25</v>
      </c>
      <c r="V1068">
        <v>8.75</v>
      </c>
      <c r="W1068">
        <v>3.28</v>
      </c>
      <c r="X1068">
        <v>1</v>
      </c>
      <c r="Y1068">
        <v>15.5</v>
      </c>
      <c r="Z1068">
        <v>12</v>
      </c>
      <c r="AA1068">
        <v>9</v>
      </c>
      <c r="AB1068">
        <v>0.96899999999999997</v>
      </c>
      <c r="AC1068">
        <v>4.59</v>
      </c>
      <c r="AE1068">
        <v>1</v>
      </c>
      <c r="AF1068" t="s">
        <v>1473</v>
      </c>
      <c r="AG1068">
        <v>100</v>
      </c>
      <c r="AK1068" t="s">
        <v>98</v>
      </c>
      <c r="AM1068" t="s">
        <v>98</v>
      </c>
      <c r="AN1068" t="s">
        <v>99</v>
      </c>
      <c r="AO1068" t="s">
        <v>98</v>
      </c>
      <c r="AP1068" t="s">
        <v>100</v>
      </c>
      <c r="AQ1068" t="s">
        <v>101</v>
      </c>
      <c r="AV1068" t="s">
        <v>98</v>
      </c>
      <c r="AX1068" t="s">
        <v>3359</v>
      </c>
      <c r="AZ1068" t="s">
        <v>102</v>
      </c>
      <c r="BB1068" t="s">
        <v>7528</v>
      </c>
      <c r="BC1068" t="s">
        <v>3367</v>
      </c>
      <c r="BD1068" t="s">
        <v>7528</v>
      </c>
      <c r="BF1068" t="s">
        <v>3368</v>
      </c>
      <c r="BG1068" t="s">
        <v>98</v>
      </c>
      <c r="BH1068" t="s">
        <v>98</v>
      </c>
      <c r="BI1068" t="s">
        <v>98</v>
      </c>
      <c r="BJ1068" t="s">
        <v>99</v>
      </c>
      <c r="BK1068" t="s">
        <v>453</v>
      </c>
      <c r="BL1068" t="s">
        <v>7528</v>
      </c>
      <c r="BM1068">
        <v>5</v>
      </c>
      <c r="BN1068">
        <v>7</v>
      </c>
      <c r="CA1068">
        <v>72022</v>
      </c>
      <c r="CB1068" t="s">
        <v>3359</v>
      </c>
      <c r="CL1068" t="s">
        <v>99</v>
      </c>
      <c r="CM1068" t="s">
        <v>98</v>
      </c>
      <c r="CN1068" t="s">
        <v>3369</v>
      </c>
      <c r="CO1068" s="1">
        <v>43598</v>
      </c>
      <c r="CP1068" s="1">
        <v>43598</v>
      </c>
    </row>
    <row r="1069" spans="1:94" x14ac:dyDescent="0.25">
      <c r="A1069" t="s">
        <v>3370</v>
      </c>
      <c r="B1069" t="str">
        <f xml:space="preserve"> "" &amp; 747396079523</f>
        <v>747396079523</v>
      </c>
      <c r="C1069" t="s">
        <v>1577</v>
      </c>
      <c r="D1069" t="s">
        <v>6841</v>
      </c>
      <c r="E1069" t="s">
        <v>3358</v>
      </c>
      <c r="F1069" t="s">
        <v>449</v>
      </c>
      <c r="G1069">
        <v>1</v>
      </c>
      <c r="H1069">
        <v>1</v>
      </c>
      <c r="I1069" t="s">
        <v>97</v>
      </c>
      <c r="J1069" s="10">
        <v>93</v>
      </c>
      <c r="K1069" s="10">
        <v>279</v>
      </c>
      <c r="L1069" s="10">
        <v>0</v>
      </c>
      <c r="N1069" s="10">
        <v>0</v>
      </c>
      <c r="O1069" t="s">
        <v>99</v>
      </c>
      <c r="P1069" s="10">
        <v>184.95</v>
      </c>
      <c r="S1069">
        <v>12.5</v>
      </c>
      <c r="U1069">
        <v>6.25</v>
      </c>
      <c r="V1069">
        <v>8.75</v>
      </c>
      <c r="W1069">
        <v>3.44</v>
      </c>
      <c r="X1069">
        <v>1</v>
      </c>
      <c r="Y1069">
        <v>15.5</v>
      </c>
      <c r="Z1069">
        <v>12</v>
      </c>
      <c r="AA1069">
        <v>9</v>
      </c>
      <c r="AB1069">
        <v>0.96899999999999997</v>
      </c>
      <c r="AC1069">
        <v>4.74</v>
      </c>
      <c r="AE1069">
        <v>1</v>
      </c>
      <c r="AF1069" t="s">
        <v>3223</v>
      </c>
      <c r="AG1069">
        <v>13</v>
      </c>
      <c r="AK1069" t="s">
        <v>99</v>
      </c>
      <c r="AM1069" t="s">
        <v>98</v>
      </c>
      <c r="AN1069" t="s">
        <v>99</v>
      </c>
      <c r="AO1069" t="s">
        <v>98</v>
      </c>
      <c r="AP1069" t="s">
        <v>100</v>
      </c>
      <c r="AQ1069" t="s">
        <v>101</v>
      </c>
      <c r="AV1069" t="s">
        <v>98</v>
      </c>
      <c r="AX1069" t="s">
        <v>3359</v>
      </c>
      <c r="AZ1069" t="s">
        <v>102</v>
      </c>
      <c r="BB1069" t="s">
        <v>235</v>
      </c>
      <c r="BC1069" t="s">
        <v>3371</v>
      </c>
      <c r="BD1069" t="s">
        <v>7528</v>
      </c>
      <c r="BF1069" t="s">
        <v>3372</v>
      </c>
      <c r="BG1069" t="s">
        <v>98</v>
      </c>
      <c r="BH1069" t="s">
        <v>98</v>
      </c>
      <c r="BI1069" t="s">
        <v>98</v>
      </c>
      <c r="BJ1069" t="s">
        <v>99</v>
      </c>
      <c r="BK1069" t="s">
        <v>453</v>
      </c>
      <c r="BL1069" t="s">
        <v>128</v>
      </c>
      <c r="BR1069">
        <v>7</v>
      </c>
      <c r="BT1069">
        <v>5.13</v>
      </c>
      <c r="CA1069" t="s">
        <v>3373</v>
      </c>
      <c r="CB1069" t="s">
        <v>3359</v>
      </c>
      <c r="CG1069">
        <v>2700</v>
      </c>
      <c r="CL1069" t="s">
        <v>98</v>
      </c>
      <c r="CM1069" t="s">
        <v>98</v>
      </c>
      <c r="CN1069" t="s">
        <v>3227</v>
      </c>
      <c r="CO1069" s="1">
        <v>40707</v>
      </c>
      <c r="CP1069" s="1">
        <v>43633</v>
      </c>
    </row>
    <row r="1070" spans="1:94" x14ac:dyDescent="0.25">
      <c r="A1070" t="s">
        <v>3374</v>
      </c>
      <c r="B1070" t="str">
        <f xml:space="preserve"> "" &amp; 747396079530</f>
        <v>747396079530</v>
      </c>
      <c r="C1070" t="s">
        <v>1577</v>
      </c>
      <c r="D1070" t="s">
        <v>6841</v>
      </c>
      <c r="E1070" t="s">
        <v>3358</v>
      </c>
      <c r="F1070" t="s">
        <v>449</v>
      </c>
      <c r="G1070">
        <v>1</v>
      </c>
      <c r="H1070">
        <v>1</v>
      </c>
      <c r="I1070" t="s">
        <v>97</v>
      </c>
      <c r="J1070" s="10">
        <v>116</v>
      </c>
      <c r="K1070" s="10">
        <v>348</v>
      </c>
      <c r="L1070" s="10">
        <v>0</v>
      </c>
      <c r="N1070" s="10">
        <v>0</v>
      </c>
      <c r="O1070" t="s">
        <v>99</v>
      </c>
      <c r="P1070" s="10">
        <v>229.95</v>
      </c>
      <c r="S1070">
        <v>17.5</v>
      </c>
      <c r="U1070">
        <v>7.75</v>
      </c>
      <c r="V1070">
        <v>10.75</v>
      </c>
      <c r="W1070">
        <v>5.45</v>
      </c>
      <c r="X1070">
        <v>1</v>
      </c>
      <c r="Y1070">
        <v>20.5</v>
      </c>
      <c r="Z1070">
        <v>15</v>
      </c>
      <c r="AA1070">
        <v>11.5</v>
      </c>
      <c r="AB1070">
        <v>2.0459999999999998</v>
      </c>
      <c r="AC1070">
        <v>7.45</v>
      </c>
      <c r="AE1070">
        <v>1</v>
      </c>
      <c r="AF1070" t="s">
        <v>3223</v>
      </c>
      <c r="AG1070">
        <v>13</v>
      </c>
      <c r="AK1070" t="s">
        <v>99</v>
      </c>
      <c r="AM1070" t="s">
        <v>98</v>
      </c>
      <c r="AN1070" t="s">
        <v>99</v>
      </c>
      <c r="AO1070" t="s">
        <v>98</v>
      </c>
      <c r="AP1070" t="s">
        <v>100</v>
      </c>
      <c r="AQ1070" t="s">
        <v>101</v>
      </c>
      <c r="AV1070" t="s">
        <v>98</v>
      </c>
      <c r="AX1070" t="s">
        <v>3359</v>
      </c>
      <c r="AZ1070" t="s">
        <v>102</v>
      </c>
      <c r="BB1070" t="s">
        <v>235</v>
      </c>
      <c r="BC1070" t="s">
        <v>3371</v>
      </c>
      <c r="BD1070" t="s">
        <v>7528</v>
      </c>
      <c r="BF1070" t="s">
        <v>3375</v>
      </c>
      <c r="BG1070" t="s">
        <v>98</v>
      </c>
      <c r="BH1070" t="s">
        <v>98</v>
      </c>
      <c r="BI1070" t="s">
        <v>98</v>
      </c>
      <c r="BJ1070" t="s">
        <v>99</v>
      </c>
      <c r="BK1070" t="s">
        <v>453</v>
      </c>
      <c r="BL1070" t="s">
        <v>128</v>
      </c>
      <c r="BR1070">
        <v>11</v>
      </c>
      <c r="BT1070">
        <v>6.25</v>
      </c>
      <c r="CA1070" t="s">
        <v>3376</v>
      </c>
      <c r="CB1070" t="s">
        <v>3359</v>
      </c>
      <c r="CG1070">
        <v>2700</v>
      </c>
      <c r="CL1070" t="s">
        <v>98</v>
      </c>
      <c r="CM1070" t="s">
        <v>98</v>
      </c>
      <c r="CN1070" t="s">
        <v>3227</v>
      </c>
      <c r="CO1070" s="1">
        <v>40620</v>
      </c>
      <c r="CP1070" s="1">
        <v>43633</v>
      </c>
    </row>
    <row r="1071" spans="1:94" x14ac:dyDescent="0.25">
      <c r="A1071" t="s">
        <v>3377</v>
      </c>
      <c r="B1071" t="str">
        <f xml:space="preserve"> "" &amp; 747396079554</f>
        <v>747396079554</v>
      </c>
      <c r="C1071" t="s">
        <v>447</v>
      </c>
      <c r="D1071" t="s">
        <v>6842</v>
      </c>
      <c r="E1071" t="s">
        <v>3358</v>
      </c>
      <c r="F1071" t="s">
        <v>449</v>
      </c>
      <c r="G1071">
        <v>1</v>
      </c>
      <c r="H1071">
        <v>1</v>
      </c>
      <c r="I1071" t="s">
        <v>97</v>
      </c>
      <c r="J1071" s="10">
        <v>95</v>
      </c>
      <c r="K1071" s="10">
        <v>285</v>
      </c>
      <c r="L1071" s="10">
        <v>0</v>
      </c>
      <c r="N1071" s="10">
        <v>0</v>
      </c>
      <c r="O1071" t="s">
        <v>99</v>
      </c>
      <c r="P1071" s="10">
        <v>189.95</v>
      </c>
      <c r="S1071">
        <v>20</v>
      </c>
      <c r="U1071">
        <v>7.75</v>
      </c>
      <c r="W1071">
        <v>4.37</v>
      </c>
      <c r="X1071">
        <v>1</v>
      </c>
      <c r="Y1071">
        <v>22.5</v>
      </c>
      <c r="Z1071">
        <v>10.5</v>
      </c>
      <c r="AA1071">
        <v>10.5</v>
      </c>
      <c r="AB1071">
        <v>1.4359999999999999</v>
      </c>
      <c r="AC1071">
        <v>6.06</v>
      </c>
      <c r="AE1071">
        <v>1</v>
      </c>
      <c r="AF1071" t="s">
        <v>3223</v>
      </c>
      <c r="AG1071">
        <v>13</v>
      </c>
      <c r="AK1071" t="s">
        <v>99</v>
      </c>
      <c r="AM1071" t="s">
        <v>98</v>
      </c>
      <c r="AN1071" t="s">
        <v>99</v>
      </c>
      <c r="AO1071" t="s">
        <v>98</v>
      </c>
      <c r="AP1071" t="s">
        <v>100</v>
      </c>
      <c r="AQ1071" t="s">
        <v>101</v>
      </c>
      <c r="AV1071" t="s">
        <v>98</v>
      </c>
      <c r="AX1071" t="s">
        <v>3359</v>
      </c>
      <c r="AZ1071" t="s">
        <v>102</v>
      </c>
      <c r="BB1071" t="s">
        <v>235</v>
      </c>
      <c r="BC1071" t="s">
        <v>3378</v>
      </c>
      <c r="BD1071" t="s">
        <v>7528</v>
      </c>
      <c r="BF1071" t="s">
        <v>3379</v>
      </c>
      <c r="BG1071" t="s">
        <v>98</v>
      </c>
      <c r="BH1071" t="s">
        <v>98</v>
      </c>
      <c r="BI1071" t="s">
        <v>98</v>
      </c>
      <c r="BJ1071" t="s">
        <v>99</v>
      </c>
      <c r="BK1071" t="s">
        <v>453</v>
      </c>
      <c r="BL1071" t="s">
        <v>7528</v>
      </c>
      <c r="CA1071" t="s">
        <v>3380</v>
      </c>
      <c r="CB1071" t="s">
        <v>3359</v>
      </c>
      <c r="CG1071">
        <v>2700</v>
      </c>
      <c r="CL1071" t="s">
        <v>98</v>
      </c>
      <c r="CM1071" t="s">
        <v>98</v>
      </c>
      <c r="CN1071" t="s">
        <v>3227</v>
      </c>
      <c r="CO1071" s="1">
        <v>40620</v>
      </c>
      <c r="CP1071" s="1">
        <v>43633</v>
      </c>
    </row>
    <row r="1072" spans="1:94" x14ac:dyDescent="0.25">
      <c r="A1072" t="s">
        <v>3381</v>
      </c>
      <c r="B1072" t="str">
        <f xml:space="preserve"> "" &amp; 747396079561</f>
        <v>747396079561</v>
      </c>
      <c r="C1072" t="s">
        <v>3382</v>
      </c>
      <c r="D1072" t="s">
        <v>6843</v>
      </c>
      <c r="E1072" t="s">
        <v>3358</v>
      </c>
      <c r="F1072" t="s">
        <v>449</v>
      </c>
      <c r="G1072">
        <v>1</v>
      </c>
      <c r="H1072">
        <v>1</v>
      </c>
      <c r="I1072" t="s">
        <v>97</v>
      </c>
      <c r="J1072" s="10">
        <v>85</v>
      </c>
      <c r="K1072" s="10">
        <v>255</v>
      </c>
      <c r="L1072" s="10">
        <v>0</v>
      </c>
      <c r="N1072" s="10">
        <v>0</v>
      </c>
      <c r="O1072" t="s">
        <v>99</v>
      </c>
      <c r="P1072" s="10">
        <v>169.95</v>
      </c>
      <c r="S1072">
        <v>4.75</v>
      </c>
      <c r="U1072">
        <v>11.5</v>
      </c>
      <c r="W1072">
        <v>5.1100000000000003</v>
      </c>
      <c r="X1072">
        <v>1</v>
      </c>
      <c r="Y1072">
        <v>8.5</v>
      </c>
      <c r="Z1072">
        <v>13</v>
      </c>
      <c r="AA1072">
        <v>13</v>
      </c>
      <c r="AB1072">
        <v>0.83099999999999996</v>
      </c>
      <c r="AC1072">
        <v>6.24</v>
      </c>
      <c r="AE1072">
        <v>1</v>
      </c>
      <c r="AF1072" t="s">
        <v>3223</v>
      </c>
      <c r="AG1072">
        <v>26</v>
      </c>
      <c r="AK1072" t="s">
        <v>99</v>
      </c>
      <c r="AM1072" t="s">
        <v>98</v>
      </c>
      <c r="AN1072" t="s">
        <v>99</v>
      </c>
      <c r="AO1072" t="s">
        <v>98</v>
      </c>
      <c r="AP1072" t="s">
        <v>100</v>
      </c>
      <c r="AQ1072" t="s">
        <v>101</v>
      </c>
      <c r="AV1072" t="s">
        <v>98</v>
      </c>
      <c r="AX1072" t="s">
        <v>3359</v>
      </c>
      <c r="AZ1072" t="s">
        <v>102</v>
      </c>
      <c r="BB1072" t="s">
        <v>235</v>
      </c>
      <c r="BC1072" t="s">
        <v>3371</v>
      </c>
      <c r="BD1072" t="s">
        <v>7528</v>
      </c>
      <c r="BF1072" t="s">
        <v>3383</v>
      </c>
      <c r="BG1072" t="s">
        <v>98</v>
      </c>
      <c r="BH1072" t="s">
        <v>98</v>
      </c>
      <c r="BI1072" t="s">
        <v>98</v>
      </c>
      <c r="BK1072" t="s">
        <v>127</v>
      </c>
      <c r="BL1072" t="s">
        <v>7528</v>
      </c>
      <c r="CA1072" t="s">
        <v>3384</v>
      </c>
      <c r="CB1072" t="s">
        <v>3359</v>
      </c>
      <c r="CG1072">
        <v>2700</v>
      </c>
      <c r="CL1072" t="s">
        <v>98</v>
      </c>
      <c r="CM1072" t="s">
        <v>98</v>
      </c>
      <c r="CN1072" t="s">
        <v>3227</v>
      </c>
      <c r="CO1072" s="1">
        <v>40705</v>
      </c>
      <c r="CP1072" s="1">
        <v>43633</v>
      </c>
    </row>
    <row r="1073" spans="1:94" x14ac:dyDescent="0.25">
      <c r="A1073" t="s">
        <v>3385</v>
      </c>
      <c r="B1073" t="str">
        <f xml:space="preserve"> "" &amp; 747396087238</f>
        <v>747396087238</v>
      </c>
      <c r="C1073" t="s">
        <v>1577</v>
      </c>
      <c r="D1073" t="s">
        <v>3386</v>
      </c>
      <c r="E1073" t="s">
        <v>3387</v>
      </c>
      <c r="F1073" t="s">
        <v>2823</v>
      </c>
      <c r="G1073">
        <v>1</v>
      </c>
      <c r="H1073">
        <v>1</v>
      </c>
      <c r="I1073" t="s">
        <v>97</v>
      </c>
      <c r="J1073" s="10">
        <v>65</v>
      </c>
      <c r="K1073" s="10">
        <v>195</v>
      </c>
      <c r="L1073" s="10">
        <v>0</v>
      </c>
      <c r="N1073" s="10">
        <v>0</v>
      </c>
      <c r="O1073" t="s">
        <v>99</v>
      </c>
      <c r="P1073" s="10">
        <v>129.94999999999999</v>
      </c>
      <c r="S1073">
        <v>13.75</v>
      </c>
      <c r="U1073">
        <v>6.25</v>
      </c>
      <c r="V1073">
        <v>6.25</v>
      </c>
      <c r="W1073">
        <v>3.75</v>
      </c>
      <c r="Y1073">
        <v>16.5</v>
      </c>
      <c r="Z1073">
        <v>8.75</v>
      </c>
      <c r="AA1073">
        <v>8.75</v>
      </c>
      <c r="AB1073">
        <v>0.73099999999999998</v>
      </c>
      <c r="AC1073">
        <v>4.76</v>
      </c>
      <c r="AE1073">
        <v>1</v>
      </c>
      <c r="AF1073" t="s">
        <v>282</v>
      </c>
      <c r="AG1073">
        <v>100</v>
      </c>
      <c r="AK1073" t="s">
        <v>98</v>
      </c>
      <c r="AM1073" t="s">
        <v>98</v>
      </c>
      <c r="AN1073" t="s">
        <v>99</v>
      </c>
      <c r="AO1073" t="s">
        <v>98</v>
      </c>
      <c r="AP1073" t="s">
        <v>100</v>
      </c>
      <c r="AQ1073" t="s">
        <v>101</v>
      </c>
      <c r="AV1073" t="s">
        <v>98</v>
      </c>
      <c r="AX1073" t="s">
        <v>3388</v>
      </c>
      <c r="AZ1073" t="s">
        <v>124</v>
      </c>
      <c r="BB1073" t="s">
        <v>235</v>
      </c>
      <c r="BC1073" t="s">
        <v>2569</v>
      </c>
      <c r="BD1073" t="s">
        <v>7528</v>
      </c>
      <c r="BF1073" t="s">
        <v>3389</v>
      </c>
      <c r="BG1073" t="s">
        <v>98</v>
      </c>
      <c r="BH1073" t="s">
        <v>98</v>
      </c>
      <c r="BI1073" t="s">
        <v>98</v>
      </c>
      <c r="BJ1073" t="s">
        <v>99</v>
      </c>
      <c r="BK1073" t="s">
        <v>453</v>
      </c>
      <c r="BL1073" t="s">
        <v>7528</v>
      </c>
      <c r="BR1073">
        <v>6</v>
      </c>
      <c r="BT1073">
        <v>5</v>
      </c>
      <c r="CA1073">
        <v>72111</v>
      </c>
      <c r="CB1073" t="s">
        <v>3388</v>
      </c>
      <c r="CL1073" t="s">
        <v>98</v>
      </c>
      <c r="CM1073" t="s">
        <v>98</v>
      </c>
      <c r="CN1073" t="s">
        <v>7528</v>
      </c>
      <c r="CO1073" s="1">
        <v>41234</v>
      </c>
      <c r="CP1073" s="1">
        <v>43633</v>
      </c>
    </row>
    <row r="1074" spans="1:94" x14ac:dyDescent="0.25">
      <c r="A1074" t="s">
        <v>3390</v>
      </c>
      <c r="B1074" t="str">
        <f xml:space="preserve"> "" &amp; 747396087245</f>
        <v>747396087245</v>
      </c>
      <c r="C1074" t="s">
        <v>1799</v>
      </c>
      <c r="D1074" t="s">
        <v>3391</v>
      </c>
      <c r="E1074" t="s">
        <v>3387</v>
      </c>
      <c r="F1074" t="s">
        <v>2823</v>
      </c>
      <c r="G1074">
        <v>1</v>
      </c>
      <c r="H1074">
        <v>1</v>
      </c>
      <c r="I1074" t="s">
        <v>97</v>
      </c>
      <c r="J1074" s="10">
        <v>93</v>
      </c>
      <c r="K1074" s="10">
        <v>279</v>
      </c>
      <c r="L1074" s="10">
        <v>0</v>
      </c>
      <c r="N1074" s="10">
        <v>0</v>
      </c>
      <c r="O1074" t="s">
        <v>99</v>
      </c>
      <c r="P1074" s="10">
        <v>184.95</v>
      </c>
      <c r="S1074">
        <v>18.5</v>
      </c>
      <c r="U1074">
        <v>8</v>
      </c>
      <c r="V1074">
        <v>8.75</v>
      </c>
      <c r="W1074">
        <v>6.44</v>
      </c>
      <c r="Y1074">
        <v>21.25</v>
      </c>
      <c r="Z1074">
        <v>10.75</v>
      </c>
      <c r="AA1074">
        <v>10.75</v>
      </c>
      <c r="AB1074">
        <v>1.421</v>
      </c>
      <c r="AC1074">
        <v>8.07</v>
      </c>
      <c r="AE1074">
        <v>3</v>
      </c>
      <c r="AF1074" t="s">
        <v>519</v>
      </c>
      <c r="AG1074">
        <v>60</v>
      </c>
      <c r="AK1074" t="s">
        <v>98</v>
      </c>
      <c r="AM1074" t="s">
        <v>98</v>
      </c>
      <c r="AN1074" t="s">
        <v>99</v>
      </c>
      <c r="AO1074" t="s">
        <v>98</v>
      </c>
      <c r="AP1074" t="s">
        <v>100</v>
      </c>
      <c r="AQ1074" t="s">
        <v>101</v>
      </c>
      <c r="AV1074" t="s">
        <v>98</v>
      </c>
      <c r="AX1074" t="s">
        <v>3388</v>
      </c>
      <c r="AZ1074" t="s">
        <v>124</v>
      </c>
      <c r="BB1074" t="s">
        <v>235</v>
      </c>
      <c r="BC1074" t="s">
        <v>2569</v>
      </c>
      <c r="BD1074" t="s">
        <v>7528</v>
      </c>
      <c r="BF1074" t="s">
        <v>3392</v>
      </c>
      <c r="BG1074" t="s">
        <v>98</v>
      </c>
      <c r="BH1074" t="s">
        <v>98</v>
      </c>
      <c r="BI1074" t="s">
        <v>98</v>
      </c>
      <c r="BJ1074" t="s">
        <v>99</v>
      </c>
      <c r="BK1074" t="s">
        <v>453</v>
      </c>
      <c r="BL1074" t="s">
        <v>7528</v>
      </c>
      <c r="BR1074">
        <v>7.5</v>
      </c>
      <c r="BT1074">
        <v>5</v>
      </c>
      <c r="CA1074">
        <v>72112</v>
      </c>
      <c r="CB1074" t="s">
        <v>3388</v>
      </c>
      <c r="CL1074" t="s">
        <v>98</v>
      </c>
      <c r="CM1074" t="s">
        <v>98</v>
      </c>
      <c r="CN1074" t="s">
        <v>7528</v>
      </c>
      <c r="CO1074" s="1">
        <v>41234</v>
      </c>
      <c r="CP1074" s="1">
        <v>43633</v>
      </c>
    </row>
    <row r="1075" spans="1:94" x14ac:dyDescent="0.25">
      <c r="A1075" t="s">
        <v>3393</v>
      </c>
      <c r="B1075" t="str">
        <f xml:space="preserve"> "" &amp; 747396087252</f>
        <v>747396087252</v>
      </c>
      <c r="C1075" t="s">
        <v>3394</v>
      </c>
      <c r="D1075" t="s">
        <v>3395</v>
      </c>
      <c r="E1075" t="s">
        <v>3387</v>
      </c>
      <c r="F1075" t="s">
        <v>2823</v>
      </c>
      <c r="G1075">
        <v>1</v>
      </c>
      <c r="H1075">
        <v>1</v>
      </c>
      <c r="I1075" t="s">
        <v>97</v>
      </c>
      <c r="J1075" s="10">
        <v>157</v>
      </c>
      <c r="K1075" s="10">
        <v>471</v>
      </c>
      <c r="L1075" s="10">
        <v>0</v>
      </c>
      <c r="N1075" s="10">
        <v>0</v>
      </c>
      <c r="O1075" t="s">
        <v>99</v>
      </c>
      <c r="P1075" s="10">
        <v>314.95</v>
      </c>
      <c r="S1075">
        <v>22</v>
      </c>
      <c r="U1075">
        <v>9.75</v>
      </c>
      <c r="V1075">
        <v>10.75</v>
      </c>
      <c r="W1075">
        <v>9.81</v>
      </c>
      <c r="Y1075">
        <v>24.75</v>
      </c>
      <c r="Z1075">
        <v>13.75</v>
      </c>
      <c r="AA1075">
        <v>13</v>
      </c>
      <c r="AB1075">
        <v>2.56</v>
      </c>
      <c r="AC1075">
        <v>12.26</v>
      </c>
      <c r="AE1075">
        <v>4</v>
      </c>
      <c r="AF1075" t="s">
        <v>519</v>
      </c>
      <c r="AG1075">
        <v>60</v>
      </c>
      <c r="AK1075" t="s">
        <v>98</v>
      </c>
      <c r="AM1075" t="s">
        <v>98</v>
      </c>
      <c r="AN1075" t="s">
        <v>99</v>
      </c>
      <c r="AO1075" t="s">
        <v>98</v>
      </c>
      <c r="AP1075" t="s">
        <v>100</v>
      </c>
      <c r="AQ1075" t="s">
        <v>101</v>
      </c>
      <c r="AV1075" t="s">
        <v>98</v>
      </c>
      <c r="AX1075" t="s">
        <v>3388</v>
      </c>
      <c r="AZ1075" t="s">
        <v>124</v>
      </c>
      <c r="BB1075" t="s">
        <v>235</v>
      </c>
      <c r="BC1075" t="s">
        <v>3396</v>
      </c>
      <c r="BD1075" t="s">
        <v>7528</v>
      </c>
      <c r="BF1075" t="s">
        <v>3397</v>
      </c>
      <c r="BG1075" t="s">
        <v>98</v>
      </c>
      <c r="BH1075" t="s">
        <v>98</v>
      </c>
      <c r="BI1075" t="s">
        <v>98</v>
      </c>
      <c r="BJ1075" t="s">
        <v>99</v>
      </c>
      <c r="BK1075" t="s">
        <v>453</v>
      </c>
      <c r="BL1075" t="s">
        <v>7528</v>
      </c>
      <c r="BR1075">
        <v>7.5</v>
      </c>
      <c r="BT1075">
        <v>5</v>
      </c>
      <c r="CA1075">
        <v>72113</v>
      </c>
      <c r="CB1075" t="s">
        <v>3388</v>
      </c>
      <c r="CL1075" t="s">
        <v>98</v>
      </c>
      <c r="CM1075" t="s">
        <v>98</v>
      </c>
      <c r="CN1075" t="s">
        <v>7528</v>
      </c>
      <c r="CO1075" s="1">
        <v>41234</v>
      </c>
      <c r="CP1075" s="1">
        <v>43633</v>
      </c>
    </row>
    <row r="1076" spans="1:94" x14ac:dyDescent="0.25">
      <c r="A1076" t="s">
        <v>3398</v>
      </c>
      <c r="B1076" t="str">
        <f xml:space="preserve"> "" &amp; 747396087269</f>
        <v>747396087269</v>
      </c>
      <c r="C1076" t="s">
        <v>3399</v>
      </c>
      <c r="D1076" t="s">
        <v>3400</v>
      </c>
      <c r="E1076" t="s">
        <v>3387</v>
      </c>
      <c r="F1076" t="s">
        <v>2823</v>
      </c>
      <c r="G1076">
        <v>1</v>
      </c>
      <c r="H1076">
        <v>1</v>
      </c>
      <c r="I1076" t="s">
        <v>97</v>
      </c>
      <c r="J1076" s="10">
        <v>93</v>
      </c>
      <c r="K1076" s="10">
        <v>279</v>
      </c>
      <c r="L1076" s="10">
        <v>0</v>
      </c>
      <c r="N1076" s="10">
        <v>0</v>
      </c>
      <c r="O1076" t="s">
        <v>99</v>
      </c>
      <c r="P1076" s="10">
        <v>184.95</v>
      </c>
      <c r="S1076">
        <v>16</v>
      </c>
      <c r="U1076">
        <v>8</v>
      </c>
      <c r="V1076">
        <v>6.5</v>
      </c>
      <c r="W1076">
        <v>7.05</v>
      </c>
      <c r="Y1076">
        <v>18.5</v>
      </c>
      <c r="Z1076">
        <v>10.5</v>
      </c>
      <c r="AA1076">
        <v>9</v>
      </c>
      <c r="AB1076">
        <v>1.012</v>
      </c>
      <c r="AC1076">
        <v>8.42</v>
      </c>
      <c r="AE1076">
        <v>3</v>
      </c>
      <c r="AF1076" t="s">
        <v>519</v>
      </c>
      <c r="AG1076">
        <v>60</v>
      </c>
      <c r="AK1076" t="s">
        <v>98</v>
      </c>
      <c r="AM1076" t="s">
        <v>98</v>
      </c>
      <c r="AN1076" t="s">
        <v>99</v>
      </c>
      <c r="AO1076" t="s">
        <v>98</v>
      </c>
      <c r="AP1076" t="s">
        <v>100</v>
      </c>
      <c r="AQ1076" t="s">
        <v>101</v>
      </c>
      <c r="AV1076" t="s">
        <v>98</v>
      </c>
      <c r="AX1076" t="s">
        <v>3388</v>
      </c>
      <c r="AZ1076" t="s">
        <v>124</v>
      </c>
      <c r="BB1076" t="s">
        <v>235</v>
      </c>
      <c r="BC1076" t="s">
        <v>1304</v>
      </c>
      <c r="BD1076" t="s">
        <v>7528</v>
      </c>
      <c r="BF1076" t="s">
        <v>3401</v>
      </c>
      <c r="BG1076" t="s">
        <v>98</v>
      </c>
      <c r="BH1076" t="s">
        <v>98</v>
      </c>
      <c r="BI1076" t="s">
        <v>98</v>
      </c>
      <c r="BK1076" t="s">
        <v>127</v>
      </c>
      <c r="BL1076" t="s">
        <v>7528</v>
      </c>
      <c r="BR1076">
        <v>1</v>
      </c>
      <c r="BT1076">
        <v>5</v>
      </c>
      <c r="CA1076">
        <v>72114</v>
      </c>
      <c r="CB1076" t="s">
        <v>3388</v>
      </c>
      <c r="CL1076" t="s">
        <v>98</v>
      </c>
      <c r="CM1076" t="s">
        <v>99</v>
      </c>
      <c r="CN1076" t="s">
        <v>3236</v>
      </c>
      <c r="CO1076" s="1">
        <v>41234</v>
      </c>
      <c r="CP1076" s="1">
        <v>43633</v>
      </c>
    </row>
    <row r="1077" spans="1:94" x14ac:dyDescent="0.25">
      <c r="A1077" t="s">
        <v>3402</v>
      </c>
      <c r="B1077" t="str">
        <f xml:space="preserve"> "" &amp; 747396087276</f>
        <v>747396087276</v>
      </c>
      <c r="C1077" t="s">
        <v>3403</v>
      </c>
      <c r="D1077" t="s">
        <v>3404</v>
      </c>
      <c r="E1077" t="s">
        <v>3387</v>
      </c>
      <c r="F1077" t="s">
        <v>2823</v>
      </c>
      <c r="G1077">
        <v>1</v>
      </c>
      <c r="H1077">
        <v>1</v>
      </c>
      <c r="I1077" t="s">
        <v>97</v>
      </c>
      <c r="J1077" s="10">
        <v>93</v>
      </c>
      <c r="K1077" s="10">
        <v>279</v>
      </c>
      <c r="L1077" s="10">
        <v>0</v>
      </c>
      <c r="N1077" s="10">
        <v>0</v>
      </c>
      <c r="O1077" t="s">
        <v>99</v>
      </c>
      <c r="P1077" s="10">
        <v>184.95</v>
      </c>
      <c r="S1077">
        <v>18.75</v>
      </c>
      <c r="U1077">
        <v>8</v>
      </c>
      <c r="V1077">
        <v>6.5</v>
      </c>
      <c r="W1077">
        <v>6.08</v>
      </c>
      <c r="Y1077">
        <v>17.25</v>
      </c>
      <c r="Z1077">
        <v>10.5</v>
      </c>
      <c r="AA1077">
        <v>9</v>
      </c>
      <c r="AB1077">
        <v>0.94299999999999995</v>
      </c>
      <c r="AC1077">
        <v>7.36</v>
      </c>
      <c r="AE1077">
        <v>3</v>
      </c>
      <c r="AF1077" t="s">
        <v>519</v>
      </c>
      <c r="AG1077">
        <v>60</v>
      </c>
      <c r="AK1077" t="s">
        <v>98</v>
      </c>
      <c r="AM1077" t="s">
        <v>98</v>
      </c>
      <c r="AN1077" t="s">
        <v>99</v>
      </c>
      <c r="AO1077" t="s">
        <v>98</v>
      </c>
      <c r="AP1077" t="s">
        <v>100</v>
      </c>
      <c r="AQ1077" t="s">
        <v>101</v>
      </c>
      <c r="AV1077" t="s">
        <v>98</v>
      </c>
      <c r="AX1077" t="s">
        <v>3388</v>
      </c>
      <c r="AZ1077" t="s">
        <v>124</v>
      </c>
      <c r="BB1077" t="s">
        <v>235</v>
      </c>
      <c r="BC1077" t="s">
        <v>2569</v>
      </c>
      <c r="BD1077" t="s">
        <v>7528</v>
      </c>
      <c r="BF1077" t="s">
        <v>3405</v>
      </c>
      <c r="BG1077" t="s">
        <v>98</v>
      </c>
      <c r="BH1077" t="s">
        <v>98</v>
      </c>
      <c r="BI1077" t="s">
        <v>98</v>
      </c>
      <c r="BJ1077" t="s">
        <v>99</v>
      </c>
      <c r="BK1077" t="s">
        <v>453</v>
      </c>
      <c r="BL1077" t="s">
        <v>7528</v>
      </c>
      <c r="CA1077">
        <v>72116</v>
      </c>
      <c r="CB1077" t="s">
        <v>3388</v>
      </c>
      <c r="CL1077" t="s">
        <v>99</v>
      </c>
      <c r="CM1077" t="s">
        <v>98</v>
      </c>
      <c r="CN1077" t="s">
        <v>7528</v>
      </c>
      <c r="CO1077" s="1">
        <v>41234</v>
      </c>
      <c r="CP1077" s="1">
        <v>43633</v>
      </c>
    </row>
    <row r="1078" spans="1:94" x14ac:dyDescent="0.25">
      <c r="A1078" t="s">
        <v>3406</v>
      </c>
      <c r="B1078" t="str">
        <f xml:space="preserve"> "" &amp; 747396078472</f>
        <v>747396078472</v>
      </c>
      <c r="C1078" t="s">
        <v>3349</v>
      </c>
      <c r="D1078" t="s">
        <v>3407</v>
      </c>
      <c r="E1078" t="s">
        <v>3408</v>
      </c>
      <c r="F1078" t="s">
        <v>449</v>
      </c>
      <c r="G1078">
        <v>1</v>
      </c>
      <c r="H1078">
        <v>1</v>
      </c>
      <c r="I1078" t="s">
        <v>97</v>
      </c>
      <c r="J1078" s="10">
        <v>149.94999999999999</v>
      </c>
      <c r="K1078" s="10">
        <v>449.85</v>
      </c>
      <c r="L1078" s="10">
        <v>0</v>
      </c>
      <c r="N1078" s="10">
        <v>0</v>
      </c>
      <c r="O1078" t="s">
        <v>99</v>
      </c>
      <c r="P1078" s="10">
        <v>299.89999999999998</v>
      </c>
      <c r="S1078">
        <v>12.25</v>
      </c>
      <c r="U1078">
        <v>6.5</v>
      </c>
      <c r="V1078">
        <v>3.88</v>
      </c>
      <c r="W1078">
        <v>4.87</v>
      </c>
      <c r="Y1078">
        <v>7.75</v>
      </c>
      <c r="Z1078">
        <v>15.5</v>
      </c>
      <c r="AA1078">
        <v>9.75</v>
      </c>
      <c r="AB1078">
        <v>0.67800000000000005</v>
      </c>
      <c r="AC1078">
        <v>5.84</v>
      </c>
      <c r="AE1078">
        <v>1</v>
      </c>
      <c r="AF1078" t="s">
        <v>2784</v>
      </c>
      <c r="AG1078">
        <v>13</v>
      </c>
      <c r="AK1078" t="s">
        <v>99</v>
      </c>
      <c r="AM1078" t="s">
        <v>98</v>
      </c>
      <c r="AN1078" t="s">
        <v>99</v>
      </c>
      <c r="AO1078" t="s">
        <v>98</v>
      </c>
      <c r="AP1078" t="s">
        <v>100</v>
      </c>
      <c r="AQ1078" t="s">
        <v>101</v>
      </c>
      <c r="AV1078" t="s">
        <v>98</v>
      </c>
      <c r="AX1078" t="s">
        <v>1918</v>
      </c>
      <c r="AZ1078" t="s">
        <v>392</v>
      </c>
      <c r="BB1078" t="s">
        <v>235</v>
      </c>
      <c r="BC1078" t="s">
        <v>1501</v>
      </c>
      <c r="BD1078" t="s">
        <v>7528</v>
      </c>
      <c r="BF1078" t="s">
        <v>3409</v>
      </c>
      <c r="BG1078" t="s">
        <v>98</v>
      </c>
      <c r="BH1078" t="s">
        <v>99</v>
      </c>
      <c r="BI1078" t="s">
        <v>98</v>
      </c>
      <c r="BJ1078" t="s">
        <v>99</v>
      </c>
      <c r="BK1078" t="s">
        <v>453</v>
      </c>
      <c r="BL1078" t="s">
        <v>645</v>
      </c>
      <c r="BR1078">
        <v>12</v>
      </c>
      <c r="BT1078">
        <v>5</v>
      </c>
      <c r="CA1078" t="s">
        <v>3410</v>
      </c>
      <c r="CB1078" t="s">
        <v>1918</v>
      </c>
      <c r="CG1078">
        <v>2700</v>
      </c>
      <c r="CL1078" t="s">
        <v>98</v>
      </c>
      <c r="CM1078" t="s">
        <v>98</v>
      </c>
      <c r="CN1078" t="s">
        <v>3411</v>
      </c>
      <c r="CO1078" s="1">
        <v>40611</v>
      </c>
      <c r="CP1078" s="1">
        <v>43633</v>
      </c>
    </row>
    <row r="1079" spans="1:94" x14ac:dyDescent="0.25">
      <c r="A1079" t="s">
        <v>3412</v>
      </c>
      <c r="B1079" t="str">
        <f xml:space="preserve"> "" &amp; 747396087306</f>
        <v>747396087306</v>
      </c>
      <c r="C1079" t="s">
        <v>3413</v>
      </c>
      <c r="D1079" t="s">
        <v>3414</v>
      </c>
      <c r="E1079" t="s">
        <v>3415</v>
      </c>
      <c r="F1079" t="s">
        <v>2823</v>
      </c>
      <c r="G1079">
        <v>1</v>
      </c>
      <c r="H1079">
        <v>1</v>
      </c>
      <c r="I1079" t="s">
        <v>97</v>
      </c>
      <c r="J1079" s="10">
        <v>35</v>
      </c>
      <c r="K1079" s="10">
        <v>105</v>
      </c>
      <c r="L1079" s="10">
        <v>0</v>
      </c>
      <c r="N1079" s="10">
        <v>0</v>
      </c>
      <c r="S1079">
        <v>18.5</v>
      </c>
      <c r="U1079">
        <v>9.5</v>
      </c>
      <c r="W1079">
        <v>3.84</v>
      </c>
      <c r="Y1079">
        <v>8.75</v>
      </c>
      <c r="Z1079">
        <v>19.63</v>
      </c>
      <c r="AA1079">
        <v>12</v>
      </c>
      <c r="AB1079">
        <v>1.1930000000000001</v>
      </c>
      <c r="AC1079">
        <v>5.91</v>
      </c>
      <c r="AE1079">
        <v>1</v>
      </c>
      <c r="AF1079" t="s">
        <v>282</v>
      </c>
      <c r="AG1079">
        <v>100</v>
      </c>
      <c r="AK1079" t="s">
        <v>98</v>
      </c>
      <c r="AM1079" t="s">
        <v>98</v>
      </c>
      <c r="AN1079" t="s">
        <v>99</v>
      </c>
      <c r="AO1079" t="s">
        <v>98</v>
      </c>
      <c r="AP1079" t="s">
        <v>100</v>
      </c>
      <c r="AQ1079" t="s">
        <v>101</v>
      </c>
      <c r="AV1079" t="s">
        <v>98</v>
      </c>
      <c r="AX1079" t="s">
        <v>3359</v>
      </c>
      <c r="AZ1079" t="s">
        <v>124</v>
      </c>
      <c r="BB1079" t="s">
        <v>235</v>
      </c>
      <c r="BC1079" t="s">
        <v>3416</v>
      </c>
      <c r="BD1079" t="s">
        <v>7528</v>
      </c>
      <c r="BF1079" t="s">
        <v>3417</v>
      </c>
      <c r="BG1079" t="s">
        <v>98</v>
      </c>
      <c r="BH1079" t="s">
        <v>98</v>
      </c>
      <c r="BI1079" t="s">
        <v>98</v>
      </c>
      <c r="BK1079" t="s">
        <v>127</v>
      </c>
      <c r="BL1079" t="s">
        <v>7528</v>
      </c>
      <c r="BR1079">
        <v>0.88</v>
      </c>
      <c r="BT1079">
        <v>5.5</v>
      </c>
      <c r="CA1079">
        <v>72164</v>
      </c>
      <c r="CB1079" t="s">
        <v>3359</v>
      </c>
      <c r="CL1079" t="s">
        <v>98</v>
      </c>
      <c r="CM1079" t="s">
        <v>98</v>
      </c>
      <c r="CN1079" t="s">
        <v>7528</v>
      </c>
      <c r="CO1079" s="1">
        <v>41411</v>
      </c>
      <c r="CP1079" s="1">
        <v>43633</v>
      </c>
    </row>
    <row r="1080" spans="1:94" x14ac:dyDescent="0.25">
      <c r="A1080" t="s">
        <v>3418</v>
      </c>
      <c r="B1080" t="str">
        <f xml:space="preserve"> "" &amp; 747396087351</f>
        <v>747396087351</v>
      </c>
      <c r="C1080" t="s">
        <v>3354</v>
      </c>
      <c r="D1080" t="s">
        <v>3419</v>
      </c>
      <c r="E1080" t="s">
        <v>3420</v>
      </c>
      <c r="F1080" t="s">
        <v>2823</v>
      </c>
      <c r="G1080">
        <v>1</v>
      </c>
      <c r="H1080">
        <v>1</v>
      </c>
      <c r="I1080" t="s">
        <v>97</v>
      </c>
      <c r="J1080" s="10">
        <v>92</v>
      </c>
      <c r="K1080" s="10">
        <v>276</v>
      </c>
      <c r="L1080" s="10">
        <v>0</v>
      </c>
      <c r="N1080" s="10">
        <v>0</v>
      </c>
      <c r="O1080" t="s">
        <v>99</v>
      </c>
      <c r="P1080" s="10">
        <v>179.95</v>
      </c>
      <c r="S1080">
        <v>19</v>
      </c>
      <c r="U1080">
        <v>8.5</v>
      </c>
      <c r="V1080">
        <v>7</v>
      </c>
      <c r="W1080">
        <v>4.25</v>
      </c>
      <c r="Y1080">
        <v>20.25</v>
      </c>
      <c r="Z1080">
        <v>10.75</v>
      </c>
      <c r="AA1080">
        <v>10.75</v>
      </c>
      <c r="AB1080">
        <v>1.3540000000000001</v>
      </c>
      <c r="AC1080">
        <v>6.02</v>
      </c>
      <c r="AE1080">
        <v>2</v>
      </c>
      <c r="AF1080" t="s">
        <v>519</v>
      </c>
      <c r="AG1080">
        <v>60</v>
      </c>
      <c r="AK1080" t="s">
        <v>98</v>
      </c>
      <c r="AM1080" t="s">
        <v>98</v>
      </c>
      <c r="AN1080" t="s">
        <v>99</v>
      </c>
      <c r="AO1080" t="s">
        <v>98</v>
      </c>
      <c r="AP1080" t="s">
        <v>100</v>
      </c>
      <c r="AQ1080" t="s">
        <v>101</v>
      </c>
      <c r="AR1080" s="2">
        <v>41743</v>
      </c>
      <c r="AV1080" t="s">
        <v>98</v>
      </c>
      <c r="AX1080" t="s">
        <v>3421</v>
      </c>
      <c r="AZ1080" t="s">
        <v>124</v>
      </c>
      <c r="BB1080" t="s">
        <v>235</v>
      </c>
      <c r="BC1080" t="s">
        <v>2591</v>
      </c>
      <c r="BD1080" t="s">
        <v>7528</v>
      </c>
      <c r="BF1080" t="s">
        <v>3422</v>
      </c>
      <c r="BG1080" t="s">
        <v>98</v>
      </c>
      <c r="BH1080" t="s">
        <v>98</v>
      </c>
      <c r="BI1080" t="s">
        <v>98</v>
      </c>
      <c r="BJ1080" t="s">
        <v>99</v>
      </c>
      <c r="BK1080" t="s">
        <v>453</v>
      </c>
      <c r="BL1080" t="s">
        <v>7528</v>
      </c>
      <c r="BM1080">
        <v>7.5</v>
      </c>
      <c r="BN1080">
        <v>12.5</v>
      </c>
      <c r="CA1080">
        <v>72170</v>
      </c>
      <c r="CB1080" t="s">
        <v>3421</v>
      </c>
      <c r="CL1080" t="s">
        <v>99</v>
      </c>
      <c r="CM1080" t="s">
        <v>98</v>
      </c>
      <c r="CN1080" t="s">
        <v>3448</v>
      </c>
      <c r="CO1080" s="1">
        <v>41239</v>
      </c>
      <c r="CP1080" s="1">
        <v>43633</v>
      </c>
    </row>
    <row r="1081" spans="1:94" x14ac:dyDescent="0.25">
      <c r="A1081" t="s">
        <v>3423</v>
      </c>
      <c r="B1081" t="str">
        <f xml:space="preserve"> "" &amp; 747396100975</f>
        <v>747396100975</v>
      </c>
      <c r="C1081" t="s">
        <v>3424</v>
      </c>
      <c r="D1081" t="s">
        <v>3425</v>
      </c>
      <c r="E1081" t="s">
        <v>3420</v>
      </c>
      <c r="F1081" t="s">
        <v>3188</v>
      </c>
      <c r="G1081">
        <v>1</v>
      </c>
      <c r="H1081">
        <v>1</v>
      </c>
      <c r="I1081" t="s">
        <v>97</v>
      </c>
      <c r="J1081" s="10">
        <v>105</v>
      </c>
      <c r="K1081" s="10">
        <v>315</v>
      </c>
      <c r="L1081" s="10">
        <v>0</v>
      </c>
      <c r="N1081" s="10">
        <v>0</v>
      </c>
      <c r="O1081" t="s">
        <v>99</v>
      </c>
      <c r="P1081" s="10">
        <v>219.95</v>
      </c>
      <c r="S1081">
        <v>19</v>
      </c>
      <c r="U1081">
        <v>8.5</v>
      </c>
      <c r="V1081">
        <v>7</v>
      </c>
      <c r="W1081">
        <v>3.75</v>
      </c>
      <c r="X1081">
        <v>1</v>
      </c>
      <c r="Y1081">
        <v>20.25</v>
      </c>
      <c r="Z1081">
        <v>10.75</v>
      </c>
      <c r="AA1081">
        <v>10.75</v>
      </c>
      <c r="AB1081">
        <v>1.3540000000000001</v>
      </c>
      <c r="AC1081">
        <v>5.31</v>
      </c>
      <c r="AE1081">
        <v>1</v>
      </c>
      <c r="AF1081" t="s">
        <v>559</v>
      </c>
      <c r="AG1081">
        <v>13</v>
      </c>
      <c r="AK1081" t="s">
        <v>99</v>
      </c>
      <c r="AM1081" t="s">
        <v>98</v>
      </c>
      <c r="AN1081" t="s">
        <v>99</v>
      </c>
      <c r="AO1081" t="s">
        <v>98</v>
      </c>
      <c r="AP1081" t="s">
        <v>100</v>
      </c>
      <c r="AQ1081" t="s">
        <v>101</v>
      </c>
      <c r="AV1081" t="s">
        <v>98</v>
      </c>
      <c r="AX1081" t="s">
        <v>3421</v>
      </c>
      <c r="AZ1081" t="s">
        <v>124</v>
      </c>
      <c r="BB1081" t="s">
        <v>3426</v>
      </c>
      <c r="BC1081" t="s">
        <v>1687</v>
      </c>
      <c r="BD1081" t="s">
        <v>7528</v>
      </c>
      <c r="BF1081" t="s">
        <v>3427</v>
      </c>
      <c r="BG1081" t="s">
        <v>98</v>
      </c>
      <c r="BH1081" t="s">
        <v>98</v>
      </c>
      <c r="BI1081" t="s">
        <v>98</v>
      </c>
      <c r="BJ1081" t="s">
        <v>99</v>
      </c>
      <c r="BK1081" t="s">
        <v>453</v>
      </c>
      <c r="BL1081" t="s">
        <v>7528</v>
      </c>
      <c r="BM1081">
        <v>7.5</v>
      </c>
      <c r="BN1081">
        <v>12.5</v>
      </c>
      <c r="BO1081">
        <v>5.75</v>
      </c>
      <c r="CA1081">
        <v>72170</v>
      </c>
      <c r="CB1081" t="s">
        <v>3421</v>
      </c>
      <c r="CG1081">
        <v>3000</v>
      </c>
      <c r="CH1081">
        <v>92</v>
      </c>
      <c r="CI1081">
        <v>897</v>
      </c>
      <c r="CJ1081">
        <v>427</v>
      </c>
      <c r="CK1081">
        <v>30000</v>
      </c>
      <c r="CL1081" t="s">
        <v>98</v>
      </c>
      <c r="CM1081" t="s">
        <v>98</v>
      </c>
      <c r="CN1081" t="s">
        <v>3236</v>
      </c>
      <c r="CO1081" s="1">
        <v>42762</v>
      </c>
      <c r="CP1081" s="1">
        <v>43633</v>
      </c>
    </row>
    <row r="1082" spans="1:94" x14ac:dyDescent="0.25">
      <c r="A1082" t="s">
        <v>3428</v>
      </c>
      <c r="B1082" t="str">
        <f xml:space="preserve"> "" &amp; 747396087320</f>
        <v>747396087320</v>
      </c>
      <c r="C1082" t="s">
        <v>1577</v>
      </c>
      <c r="D1082" t="s">
        <v>3429</v>
      </c>
      <c r="E1082" t="s">
        <v>3420</v>
      </c>
      <c r="F1082" t="s">
        <v>2823</v>
      </c>
      <c r="G1082">
        <v>1</v>
      </c>
      <c r="H1082">
        <v>1</v>
      </c>
      <c r="I1082" t="s">
        <v>97</v>
      </c>
      <c r="J1082" s="10">
        <v>55</v>
      </c>
      <c r="K1082" s="10">
        <v>165</v>
      </c>
      <c r="L1082" s="10">
        <v>0</v>
      </c>
      <c r="N1082" s="10">
        <v>0</v>
      </c>
      <c r="O1082" t="s">
        <v>99</v>
      </c>
      <c r="P1082" s="10">
        <v>109.95</v>
      </c>
      <c r="S1082">
        <v>12</v>
      </c>
      <c r="T1082">
        <v>10.5</v>
      </c>
      <c r="U1082">
        <v>6.5</v>
      </c>
      <c r="V1082">
        <v>7.5</v>
      </c>
      <c r="W1082">
        <v>5.73</v>
      </c>
      <c r="Y1082">
        <v>14.5</v>
      </c>
      <c r="Z1082">
        <v>10.5</v>
      </c>
      <c r="AA1082">
        <v>10</v>
      </c>
      <c r="AB1082">
        <v>0.88100000000000001</v>
      </c>
      <c r="AC1082">
        <v>9.4600000000000009</v>
      </c>
      <c r="AE1082">
        <v>1</v>
      </c>
      <c r="AF1082" t="s">
        <v>282</v>
      </c>
      <c r="AG1082">
        <v>60</v>
      </c>
      <c r="AK1082" t="s">
        <v>98</v>
      </c>
      <c r="AM1082" t="s">
        <v>98</v>
      </c>
      <c r="AN1082" t="s">
        <v>99</v>
      </c>
      <c r="AO1082" t="s">
        <v>98</v>
      </c>
      <c r="AP1082" t="s">
        <v>100</v>
      </c>
      <c r="AQ1082" t="s">
        <v>101</v>
      </c>
      <c r="AV1082" t="s">
        <v>98</v>
      </c>
      <c r="AX1082" t="s">
        <v>3421</v>
      </c>
      <c r="AZ1082" t="s">
        <v>124</v>
      </c>
      <c r="BB1082" t="s">
        <v>235</v>
      </c>
      <c r="BC1082" t="s">
        <v>2591</v>
      </c>
      <c r="BD1082" t="s">
        <v>7528</v>
      </c>
      <c r="BF1082" t="s">
        <v>3430</v>
      </c>
      <c r="BG1082" t="s">
        <v>98</v>
      </c>
      <c r="BH1082" t="s">
        <v>98</v>
      </c>
      <c r="BI1082" t="s">
        <v>98</v>
      </c>
      <c r="BJ1082" t="s">
        <v>99</v>
      </c>
      <c r="BK1082" t="s">
        <v>453</v>
      </c>
      <c r="BL1082" t="s">
        <v>128</v>
      </c>
      <c r="BR1082">
        <v>5.88</v>
      </c>
      <c r="BT1082">
        <v>4.5</v>
      </c>
      <c r="CA1082">
        <v>72171</v>
      </c>
      <c r="CB1082" t="s">
        <v>3421</v>
      </c>
      <c r="CL1082" t="s">
        <v>98</v>
      </c>
      <c r="CM1082" t="s">
        <v>98</v>
      </c>
      <c r="CN1082" t="s">
        <v>3448</v>
      </c>
      <c r="CO1082" s="1">
        <v>41239</v>
      </c>
      <c r="CP1082" s="1">
        <v>43633</v>
      </c>
    </row>
    <row r="1083" spans="1:94" x14ac:dyDescent="0.25">
      <c r="A1083" t="s">
        <v>3431</v>
      </c>
      <c r="B1083" t="str">
        <f xml:space="preserve"> "" &amp; 747396100982</f>
        <v>747396100982</v>
      </c>
      <c r="C1083" t="s">
        <v>3232</v>
      </c>
      <c r="D1083" t="s">
        <v>3432</v>
      </c>
      <c r="E1083" t="s">
        <v>3420</v>
      </c>
      <c r="F1083" t="s">
        <v>3188</v>
      </c>
      <c r="G1083">
        <v>1</v>
      </c>
      <c r="H1083">
        <v>1</v>
      </c>
      <c r="I1083" t="s">
        <v>97</v>
      </c>
      <c r="J1083" s="10">
        <v>63</v>
      </c>
      <c r="K1083" s="10">
        <v>189</v>
      </c>
      <c r="L1083" s="10">
        <v>0</v>
      </c>
      <c r="N1083" s="10">
        <v>0</v>
      </c>
      <c r="O1083" t="s">
        <v>99</v>
      </c>
      <c r="P1083" s="10">
        <v>134.94999999999999</v>
      </c>
      <c r="S1083">
        <v>12</v>
      </c>
      <c r="U1083">
        <v>6.5</v>
      </c>
      <c r="V1083">
        <v>7.5</v>
      </c>
      <c r="W1083">
        <v>5.51</v>
      </c>
      <c r="X1083">
        <v>1</v>
      </c>
      <c r="Y1083">
        <v>14.75</v>
      </c>
      <c r="Z1083">
        <v>20.25</v>
      </c>
      <c r="AA1083">
        <v>11.5</v>
      </c>
      <c r="AB1083">
        <v>1.988</v>
      </c>
      <c r="AC1083">
        <v>9.68</v>
      </c>
      <c r="AE1083">
        <v>1</v>
      </c>
      <c r="AF1083" t="s">
        <v>559</v>
      </c>
      <c r="AG1083">
        <v>13</v>
      </c>
      <c r="AK1083" t="s">
        <v>99</v>
      </c>
      <c r="AM1083" t="s">
        <v>98</v>
      </c>
      <c r="AN1083" t="s">
        <v>99</v>
      </c>
      <c r="AO1083" t="s">
        <v>98</v>
      </c>
      <c r="AP1083" t="s">
        <v>100</v>
      </c>
      <c r="AQ1083" t="s">
        <v>101</v>
      </c>
      <c r="AV1083" t="s">
        <v>98</v>
      </c>
      <c r="AX1083" t="s">
        <v>3421</v>
      </c>
      <c r="AZ1083" t="s">
        <v>124</v>
      </c>
      <c r="BB1083" t="s">
        <v>235</v>
      </c>
      <c r="BC1083" t="s">
        <v>1446</v>
      </c>
      <c r="BD1083" t="s">
        <v>7528</v>
      </c>
      <c r="BF1083" t="s">
        <v>3433</v>
      </c>
      <c r="BG1083" t="s">
        <v>98</v>
      </c>
      <c r="BH1083" t="s">
        <v>98</v>
      </c>
      <c r="BI1083" t="s">
        <v>98</v>
      </c>
      <c r="BJ1083" t="s">
        <v>99</v>
      </c>
      <c r="BK1083" t="s">
        <v>453</v>
      </c>
      <c r="BL1083" t="s">
        <v>7528</v>
      </c>
      <c r="BM1083">
        <v>4.5</v>
      </c>
      <c r="BN1083">
        <v>5.88</v>
      </c>
      <c r="CA1083">
        <v>72171</v>
      </c>
      <c r="CB1083" t="s">
        <v>3421</v>
      </c>
      <c r="CG1083">
        <v>3000</v>
      </c>
      <c r="CH1083">
        <v>92</v>
      </c>
      <c r="CI1083">
        <v>695</v>
      </c>
      <c r="CJ1083">
        <v>541</v>
      </c>
      <c r="CK1083">
        <v>30000</v>
      </c>
      <c r="CL1083" t="s">
        <v>98</v>
      </c>
      <c r="CM1083" t="s">
        <v>98</v>
      </c>
      <c r="CN1083" t="s">
        <v>3227</v>
      </c>
      <c r="CO1083" s="1">
        <v>42762</v>
      </c>
      <c r="CP1083" s="1">
        <v>43633</v>
      </c>
    </row>
    <row r="1084" spans="1:94" x14ac:dyDescent="0.25">
      <c r="A1084" t="s">
        <v>3434</v>
      </c>
      <c r="B1084" t="str">
        <f xml:space="preserve"> "" &amp; 747396087337</f>
        <v>747396087337</v>
      </c>
      <c r="C1084" t="s">
        <v>1799</v>
      </c>
      <c r="D1084" t="s">
        <v>3435</v>
      </c>
      <c r="E1084" t="s">
        <v>3420</v>
      </c>
      <c r="F1084" t="s">
        <v>2823</v>
      </c>
      <c r="G1084">
        <v>1</v>
      </c>
      <c r="H1084">
        <v>1</v>
      </c>
      <c r="I1084" t="s">
        <v>97</v>
      </c>
      <c r="J1084" s="10">
        <v>85</v>
      </c>
      <c r="K1084" s="10">
        <v>255</v>
      </c>
      <c r="L1084" s="10">
        <v>0</v>
      </c>
      <c r="N1084" s="10">
        <v>0</v>
      </c>
      <c r="O1084" t="s">
        <v>99</v>
      </c>
      <c r="P1084" s="10">
        <v>169.95</v>
      </c>
      <c r="S1084">
        <v>16.75</v>
      </c>
      <c r="U1084">
        <v>8.5</v>
      </c>
      <c r="V1084">
        <v>9.5</v>
      </c>
      <c r="W1084">
        <v>4.92</v>
      </c>
      <c r="Y1084">
        <v>19</v>
      </c>
      <c r="Z1084">
        <v>12.75</v>
      </c>
      <c r="AA1084">
        <v>11.5</v>
      </c>
      <c r="AB1084">
        <v>1.6120000000000001</v>
      </c>
      <c r="AC1084">
        <v>7.3</v>
      </c>
      <c r="AE1084">
        <v>3</v>
      </c>
      <c r="AF1084" t="s">
        <v>519</v>
      </c>
      <c r="AG1084">
        <v>60</v>
      </c>
      <c r="AK1084" t="s">
        <v>98</v>
      </c>
      <c r="AM1084" t="s">
        <v>98</v>
      </c>
      <c r="AN1084" t="s">
        <v>99</v>
      </c>
      <c r="AO1084" t="s">
        <v>98</v>
      </c>
      <c r="AP1084" t="s">
        <v>100</v>
      </c>
      <c r="AQ1084" t="s">
        <v>101</v>
      </c>
      <c r="AV1084" t="s">
        <v>98</v>
      </c>
      <c r="AX1084" t="s">
        <v>3421</v>
      </c>
      <c r="AZ1084" t="s">
        <v>124</v>
      </c>
      <c r="BB1084" t="s">
        <v>235</v>
      </c>
      <c r="BC1084" t="s">
        <v>2591</v>
      </c>
      <c r="BD1084" t="s">
        <v>7528</v>
      </c>
      <c r="BF1084" t="s">
        <v>3436</v>
      </c>
      <c r="BG1084" t="s">
        <v>98</v>
      </c>
      <c r="BH1084" t="s">
        <v>98</v>
      </c>
      <c r="BI1084" t="s">
        <v>98</v>
      </c>
      <c r="BJ1084" t="s">
        <v>99</v>
      </c>
      <c r="BK1084" t="s">
        <v>453</v>
      </c>
      <c r="BL1084" t="s">
        <v>128</v>
      </c>
      <c r="BM1084">
        <v>5</v>
      </c>
      <c r="BN1084">
        <v>7.5</v>
      </c>
      <c r="CA1084">
        <v>72172</v>
      </c>
      <c r="CB1084" t="s">
        <v>3421</v>
      </c>
      <c r="CL1084" t="s">
        <v>98</v>
      </c>
      <c r="CM1084" t="s">
        <v>98</v>
      </c>
      <c r="CN1084" t="s">
        <v>3448</v>
      </c>
      <c r="CO1084" s="1">
        <v>41239</v>
      </c>
      <c r="CP1084" s="1">
        <v>43633</v>
      </c>
    </row>
    <row r="1085" spans="1:94" x14ac:dyDescent="0.25">
      <c r="A1085" t="s">
        <v>3437</v>
      </c>
      <c r="B1085" t="str">
        <f xml:space="preserve"> "" &amp; 747396100999</f>
        <v>747396100999</v>
      </c>
      <c r="C1085" t="s">
        <v>3185</v>
      </c>
      <c r="D1085" t="s">
        <v>3432</v>
      </c>
      <c r="E1085" t="s">
        <v>3420</v>
      </c>
      <c r="F1085" t="s">
        <v>3188</v>
      </c>
      <c r="G1085">
        <v>1</v>
      </c>
      <c r="H1085">
        <v>1</v>
      </c>
      <c r="I1085" t="s">
        <v>97</v>
      </c>
      <c r="J1085" s="10">
        <v>93</v>
      </c>
      <c r="K1085" s="10">
        <v>279</v>
      </c>
      <c r="L1085" s="10">
        <v>0</v>
      </c>
      <c r="N1085" s="10">
        <v>0</v>
      </c>
      <c r="O1085" t="s">
        <v>99</v>
      </c>
      <c r="P1085" s="10">
        <v>199.95</v>
      </c>
      <c r="S1085">
        <v>16.75</v>
      </c>
      <c r="U1085">
        <v>8.5</v>
      </c>
      <c r="V1085">
        <v>9.5</v>
      </c>
      <c r="W1085">
        <v>4.4800000000000004</v>
      </c>
      <c r="X1085">
        <v>1</v>
      </c>
      <c r="Y1085">
        <v>18.75</v>
      </c>
      <c r="Z1085">
        <v>12.75</v>
      </c>
      <c r="AA1085">
        <v>12</v>
      </c>
      <c r="AB1085">
        <v>1.66</v>
      </c>
      <c r="AC1085">
        <v>6.37</v>
      </c>
      <c r="AE1085">
        <v>1</v>
      </c>
      <c r="AF1085" t="s">
        <v>559</v>
      </c>
      <c r="AG1085">
        <v>13</v>
      </c>
      <c r="AK1085" t="s">
        <v>99</v>
      </c>
      <c r="AM1085" t="s">
        <v>98</v>
      </c>
      <c r="AN1085" t="s">
        <v>99</v>
      </c>
      <c r="AO1085" t="s">
        <v>98</v>
      </c>
      <c r="AP1085" t="s">
        <v>100</v>
      </c>
      <c r="AQ1085" t="s">
        <v>101</v>
      </c>
      <c r="AV1085" t="s">
        <v>98</v>
      </c>
      <c r="AX1085" t="s">
        <v>3421</v>
      </c>
      <c r="AZ1085" t="s">
        <v>124</v>
      </c>
      <c r="BB1085" t="s">
        <v>235</v>
      </c>
      <c r="BC1085" t="s">
        <v>3416</v>
      </c>
      <c r="BD1085" t="s">
        <v>7528</v>
      </c>
      <c r="BF1085" t="s">
        <v>3438</v>
      </c>
      <c r="BG1085" t="s">
        <v>98</v>
      </c>
      <c r="BH1085" t="s">
        <v>98</v>
      </c>
      <c r="BI1085" t="s">
        <v>98</v>
      </c>
      <c r="BJ1085" t="s">
        <v>99</v>
      </c>
      <c r="BK1085" t="s">
        <v>453</v>
      </c>
      <c r="BL1085" t="s">
        <v>7528</v>
      </c>
      <c r="BM1085">
        <v>5</v>
      </c>
      <c r="BN1085">
        <v>7.5</v>
      </c>
      <c r="CA1085">
        <v>72172</v>
      </c>
      <c r="CB1085" t="s">
        <v>3421</v>
      </c>
      <c r="CG1085">
        <v>3000</v>
      </c>
      <c r="CH1085">
        <v>92</v>
      </c>
      <c r="CI1085">
        <v>695</v>
      </c>
      <c r="CJ1085">
        <v>549</v>
      </c>
      <c r="CK1085">
        <v>30000</v>
      </c>
      <c r="CL1085" t="s">
        <v>98</v>
      </c>
      <c r="CM1085" t="s">
        <v>98</v>
      </c>
      <c r="CN1085" t="s">
        <v>3236</v>
      </c>
      <c r="CO1085" s="1">
        <v>42752</v>
      </c>
      <c r="CP1085" s="1">
        <v>43633</v>
      </c>
    </row>
    <row r="1086" spans="1:94" x14ac:dyDescent="0.25">
      <c r="A1086" t="s">
        <v>3439</v>
      </c>
      <c r="B1086" t="str">
        <f xml:space="preserve"> "" &amp; 747396087344</f>
        <v>747396087344</v>
      </c>
      <c r="C1086" t="s">
        <v>3394</v>
      </c>
      <c r="D1086" t="s">
        <v>3440</v>
      </c>
      <c r="E1086" t="s">
        <v>3420</v>
      </c>
      <c r="F1086" t="s">
        <v>2823</v>
      </c>
      <c r="G1086">
        <v>1</v>
      </c>
      <c r="H1086">
        <v>1</v>
      </c>
      <c r="I1086" t="s">
        <v>97</v>
      </c>
      <c r="J1086" s="10">
        <v>117</v>
      </c>
      <c r="K1086" s="10">
        <v>351</v>
      </c>
      <c r="L1086" s="10">
        <v>0</v>
      </c>
      <c r="N1086" s="10">
        <v>0</v>
      </c>
      <c r="O1086" t="s">
        <v>99</v>
      </c>
      <c r="P1086" s="10">
        <v>234.95</v>
      </c>
      <c r="S1086">
        <v>20.75</v>
      </c>
      <c r="U1086">
        <v>10.5</v>
      </c>
      <c r="V1086">
        <v>11.75</v>
      </c>
      <c r="W1086">
        <v>7.28</v>
      </c>
      <c r="Y1086">
        <v>21.75</v>
      </c>
      <c r="Z1086">
        <v>14.5</v>
      </c>
      <c r="AA1086">
        <v>13.75</v>
      </c>
      <c r="AB1086">
        <v>2.5089999999999999</v>
      </c>
      <c r="AC1086">
        <v>10.76</v>
      </c>
      <c r="AE1086">
        <v>4</v>
      </c>
      <c r="AF1086" t="s">
        <v>772</v>
      </c>
      <c r="AG1086">
        <v>60</v>
      </c>
      <c r="AK1086" t="s">
        <v>98</v>
      </c>
      <c r="AM1086" t="s">
        <v>98</v>
      </c>
      <c r="AN1086" t="s">
        <v>99</v>
      </c>
      <c r="AO1086" t="s">
        <v>98</v>
      </c>
      <c r="AP1086" t="s">
        <v>100</v>
      </c>
      <c r="AQ1086" t="s">
        <v>101</v>
      </c>
      <c r="AV1086" t="s">
        <v>98</v>
      </c>
      <c r="AX1086" t="s">
        <v>3421</v>
      </c>
      <c r="AZ1086" t="s">
        <v>124</v>
      </c>
      <c r="BB1086" t="s">
        <v>235</v>
      </c>
      <c r="BC1086" t="s">
        <v>2591</v>
      </c>
      <c r="BD1086" t="s">
        <v>7528</v>
      </c>
      <c r="BF1086" t="s">
        <v>3441</v>
      </c>
      <c r="BG1086" t="s">
        <v>98</v>
      </c>
      <c r="BH1086" t="s">
        <v>98</v>
      </c>
      <c r="BI1086" t="s">
        <v>98</v>
      </c>
      <c r="BJ1086" t="s">
        <v>99</v>
      </c>
      <c r="BK1086" t="s">
        <v>453</v>
      </c>
      <c r="BL1086" t="s">
        <v>128</v>
      </c>
      <c r="BR1086">
        <v>9.75</v>
      </c>
      <c r="BT1086">
        <v>6.13</v>
      </c>
      <c r="CA1086">
        <v>72173</v>
      </c>
      <c r="CB1086" t="s">
        <v>3421</v>
      </c>
      <c r="CL1086" t="s">
        <v>98</v>
      </c>
      <c r="CM1086" t="s">
        <v>98</v>
      </c>
      <c r="CN1086" t="s">
        <v>3448</v>
      </c>
      <c r="CO1086" s="1">
        <v>41239</v>
      </c>
      <c r="CP1086" s="1">
        <v>43633</v>
      </c>
    </row>
    <row r="1087" spans="1:94" x14ac:dyDescent="0.25">
      <c r="A1087" t="s">
        <v>3442</v>
      </c>
      <c r="B1087" t="str">
        <f xml:space="preserve"> "" &amp; 747396101002</f>
        <v>747396101002</v>
      </c>
      <c r="C1087" t="s">
        <v>3185</v>
      </c>
      <c r="D1087" t="s">
        <v>3432</v>
      </c>
      <c r="E1087" t="s">
        <v>3420</v>
      </c>
      <c r="F1087" t="s">
        <v>3188</v>
      </c>
      <c r="G1087">
        <v>1</v>
      </c>
      <c r="H1087">
        <v>1</v>
      </c>
      <c r="I1087" t="s">
        <v>97</v>
      </c>
      <c r="J1087" s="10">
        <v>125</v>
      </c>
      <c r="K1087" s="10">
        <v>375</v>
      </c>
      <c r="L1087" s="10">
        <v>0</v>
      </c>
      <c r="N1087" s="10">
        <v>0</v>
      </c>
      <c r="O1087" t="s">
        <v>99</v>
      </c>
      <c r="P1087" s="10">
        <v>264.95</v>
      </c>
      <c r="S1087">
        <v>20.75</v>
      </c>
      <c r="U1087">
        <v>10.5</v>
      </c>
      <c r="V1087">
        <v>11.75</v>
      </c>
      <c r="W1087">
        <v>7.14</v>
      </c>
      <c r="X1087">
        <v>1</v>
      </c>
      <c r="Y1087">
        <v>21.38</v>
      </c>
      <c r="Z1087">
        <v>14.5</v>
      </c>
      <c r="AA1087">
        <v>14.25</v>
      </c>
      <c r="AB1087">
        <v>2.5569999999999999</v>
      </c>
      <c r="AC1087">
        <v>9.7899999999999991</v>
      </c>
      <c r="AE1087">
        <v>1</v>
      </c>
      <c r="AF1087" t="s">
        <v>559</v>
      </c>
      <c r="AG1087">
        <v>13</v>
      </c>
      <c r="AK1087" t="s">
        <v>99</v>
      </c>
      <c r="AM1087" t="s">
        <v>98</v>
      </c>
      <c r="AN1087" t="s">
        <v>99</v>
      </c>
      <c r="AO1087" t="s">
        <v>98</v>
      </c>
      <c r="AP1087" t="s">
        <v>100</v>
      </c>
      <c r="AQ1087" t="s">
        <v>101</v>
      </c>
      <c r="AV1087" t="s">
        <v>98</v>
      </c>
      <c r="AX1087" t="s">
        <v>3421</v>
      </c>
      <c r="AZ1087" t="s">
        <v>124</v>
      </c>
      <c r="BB1087" t="s">
        <v>235</v>
      </c>
      <c r="BC1087" t="s">
        <v>3416</v>
      </c>
      <c r="BD1087" t="s">
        <v>7528</v>
      </c>
      <c r="BF1087" t="s">
        <v>3443</v>
      </c>
      <c r="BG1087" t="s">
        <v>98</v>
      </c>
      <c r="BH1087" t="s">
        <v>98</v>
      </c>
      <c r="BI1087" t="s">
        <v>98</v>
      </c>
      <c r="BJ1087" t="s">
        <v>99</v>
      </c>
      <c r="BK1087" t="s">
        <v>453</v>
      </c>
      <c r="BL1087" t="s">
        <v>7528</v>
      </c>
      <c r="BM1087">
        <v>6.13</v>
      </c>
      <c r="BN1087">
        <v>9.3800000000000008</v>
      </c>
      <c r="CA1087">
        <v>72173</v>
      </c>
      <c r="CB1087" t="s">
        <v>3421</v>
      </c>
      <c r="CG1087">
        <v>3000</v>
      </c>
      <c r="CH1087">
        <v>92</v>
      </c>
      <c r="CI1087">
        <v>695</v>
      </c>
      <c r="CJ1087">
        <v>523</v>
      </c>
      <c r="CK1087">
        <v>30000</v>
      </c>
      <c r="CL1087" t="s">
        <v>98</v>
      </c>
      <c r="CM1087" t="s">
        <v>98</v>
      </c>
      <c r="CN1087" t="s">
        <v>3236</v>
      </c>
      <c r="CO1087" s="1">
        <v>42762</v>
      </c>
      <c r="CP1087" s="1">
        <v>43633</v>
      </c>
    </row>
    <row r="1088" spans="1:94" x14ac:dyDescent="0.25">
      <c r="A1088" t="s">
        <v>3444</v>
      </c>
      <c r="B1088" t="str">
        <f xml:space="preserve"> "" &amp; 747396087375</f>
        <v>747396087375</v>
      </c>
      <c r="C1088" t="s">
        <v>3445</v>
      </c>
      <c r="D1088" t="s">
        <v>3446</v>
      </c>
      <c r="E1088" t="s">
        <v>3420</v>
      </c>
      <c r="F1088" t="s">
        <v>2823</v>
      </c>
      <c r="G1088">
        <v>1</v>
      </c>
      <c r="H1088">
        <v>1</v>
      </c>
      <c r="I1088" t="s">
        <v>97</v>
      </c>
      <c r="J1088" s="10">
        <v>97</v>
      </c>
      <c r="K1088" s="10">
        <v>291</v>
      </c>
      <c r="L1088" s="10">
        <v>0</v>
      </c>
      <c r="N1088" s="10">
        <v>0</v>
      </c>
      <c r="O1088" t="s">
        <v>99</v>
      </c>
      <c r="P1088" s="10">
        <v>194.95</v>
      </c>
      <c r="S1088">
        <v>15.5</v>
      </c>
      <c r="T1088">
        <v>8.5</v>
      </c>
      <c r="U1088">
        <v>8.5</v>
      </c>
      <c r="W1088">
        <v>5.73</v>
      </c>
      <c r="Y1088">
        <v>20.75</v>
      </c>
      <c r="Z1088">
        <v>12.5</v>
      </c>
      <c r="AA1088">
        <v>11</v>
      </c>
      <c r="AB1088">
        <v>1.651</v>
      </c>
      <c r="AC1088">
        <v>7.98</v>
      </c>
      <c r="AE1088">
        <v>3</v>
      </c>
      <c r="AF1088" t="s">
        <v>519</v>
      </c>
      <c r="AG1088">
        <v>60</v>
      </c>
      <c r="AK1088" t="s">
        <v>98</v>
      </c>
      <c r="AM1088" t="s">
        <v>98</v>
      </c>
      <c r="AN1088" t="s">
        <v>99</v>
      </c>
      <c r="AO1088" t="s">
        <v>98</v>
      </c>
      <c r="AP1088" t="s">
        <v>100</v>
      </c>
      <c r="AQ1088" t="s">
        <v>101</v>
      </c>
      <c r="AV1088" t="s">
        <v>98</v>
      </c>
      <c r="AX1088" t="s">
        <v>3421</v>
      </c>
      <c r="AZ1088" t="s">
        <v>124</v>
      </c>
      <c r="BB1088" t="s">
        <v>235</v>
      </c>
      <c r="BC1088" t="s">
        <v>2591</v>
      </c>
      <c r="BD1088" t="s">
        <v>7528</v>
      </c>
      <c r="BF1088" t="s">
        <v>3447</v>
      </c>
      <c r="BG1088" t="s">
        <v>98</v>
      </c>
      <c r="BH1088" t="s">
        <v>98</v>
      </c>
      <c r="BI1088" t="s">
        <v>98</v>
      </c>
      <c r="BK1088" t="s">
        <v>127</v>
      </c>
      <c r="BL1088" t="s">
        <v>7528</v>
      </c>
      <c r="BR1088">
        <v>1.1000000000000001</v>
      </c>
      <c r="BT1088">
        <v>5</v>
      </c>
      <c r="CA1088">
        <v>72174</v>
      </c>
      <c r="CB1088" t="s">
        <v>3421</v>
      </c>
      <c r="CL1088" t="s">
        <v>99</v>
      </c>
      <c r="CM1088" t="s">
        <v>99</v>
      </c>
      <c r="CN1088" t="s">
        <v>3448</v>
      </c>
      <c r="CO1088" s="1">
        <v>41239</v>
      </c>
      <c r="CP1088" s="1">
        <v>43633</v>
      </c>
    </row>
    <row r="1089" spans="1:94" x14ac:dyDescent="0.25">
      <c r="A1089" t="s">
        <v>3449</v>
      </c>
      <c r="B1089" t="str">
        <f xml:space="preserve"> "" &amp; 747396101019</f>
        <v>747396101019</v>
      </c>
      <c r="C1089" t="s">
        <v>3450</v>
      </c>
      <c r="D1089" t="s">
        <v>3451</v>
      </c>
      <c r="E1089" t="s">
        <v>3420</v>
      </c>
      <c r="F1089" t="s">
        <v>3188</v>
      </c>
      <c r="G1089">
        <v>1</v>
      </c>
      <c r="H1089">
        <v>1</v>
      </c>
      <c r="I1089" t="s">
        <v>97</v>
      </c>
      <c r="J1089" s="10">
        <v>99</v>
      </c>
      <c r="K1089" s="10">
        <v>297</v>
      </c>
      <c r="L1089" s="10">
        <v>0</v>
      </c>
      <c r="N1089" s="10">
        <v>0</v>
      </c>
      <c r="O1089" t="s">
        <v>99</v>
      </c>
      <c r="P1089" s="10">
        <v>209.95</v>
      </c>
      <c r="S1089">
        <v>15.5</v>
      </c>
      <c r="T1089">
        <v>8.5</v>
      </c>
      <c r="U1089">
        <v>8.5</v>
      </c>
      <c r="W1089">
        <v>5.18</v>
      </c>
      <c r="X1089">
        <v>1</v>
      </c>
      <c r="Y1089">
        <v>20.75</v>
      </c>
      <c r="Z1089">
        <v>12.5</v>
      </c>
      <c r="AA1089">
        <v>10.75</v>
      </c>
      <c r="AB1089">
        <v>1.6140000000000001</v>
      </c>
      <c r="AC1089">
        <v>7.12</v>
      </c>
      <c r="AE1089">
        <v>1</v>
      </c>
      <c r="AF1089" t="s">
        <v>559</v>
      </c>
      <c r="AG1089">
        <v>13</v>
      </c>
      <c r="AK1089" t="s">
        <v>99</v>
      </c>
      <c r="AM1089" t="s">
        <v>98</v>
      </c>
      <c r="AN1089" t="s">
        <v>99</v>
      </c>
      <c r="AO1089" t="s">
        <v>98</v>
      </c>
      <c r="AP1089" t="s">
        <v>100</v>
      </c>
      <c r="AQ1089" t="s">
        <v>101</v>
      </c>
      <c r="AV1089" t="s">
        <v>98</v>
      </c>
      <c r="AX1089" t="s">
        <v>3421</v>
      </c>
      <c r="AZ1089" t="s">
        <v>124</v>
      </c>
      <c r="BB1089" t="s">
        <v>235</v>
      </c>
      <c r="BC1089" t="s">
        <v>3416</v>
      </c>
      <c r="BD1089" t="s">
        <v>7528</v>
      </c>
      <c r="BF1089" t="s">
        <v>3452</v>
      </c>
      <c r="BG1089" t="s">
        <v>98</v>
      </c>
      <c r="BH1089" t="s">
        <v>98</v>
      </c>
      <c r="BI1089" t="s">
        <v>98</v>
      </c>
      <c r="BK1089" t="s">
        <v>127</v>
      </c>
      <c r="BL1089" t="s">
        <v>7528</v>
      </c>
      <c r="BR1089">
        <v>1.1299999999999999</v>
      </c>
      <c r="BS1089">
        <v>5</v>
      </c>
      <c r="BT1089">
        <v>5</v>
      </c>
      <c r="CA1089">
        <v>72174</v>
      </c>
      <c r="CB1089" t="s">
        <v>3421</v>
      </c>
      <c r="CG1089">
        <v>3000</v>
      </c>
      <c r="CH1089">
        <v>92</v>
      </c>
      <c r="CI1089">
        <v>897</v>
      </c>
      <c r="CJ1089">
        <v>567</v>
      </c>
      <c r="CK1089">
        <v>3000</v>
      </c>
      <c r="CL1089" t="s">
        <v>98</v>
      </c>
      <c r="CM1089" t="s">
        <v>99</v>
      </c>
      <c r="CN1089" t="s">
        <v>3236</v>
      </c>
      <c r="CO1089" s="1">
        <v>42762</v>
      </c>
      <c r="CP1089" s="1">
        <v>43633</v>
      </c>
    </row>
    <row r="1090" spans="1:94" x14ac:dyDescent="0.25">
      <c r="A1090" t="s">
        <v>3453</v>
      </c>
      <c r="B1090" t="str">
        <f xml:space="preserve"> "" &amp; 747396108988</f>
        <v>747396108988</v>
      </c>
      <c r="C1090" t="s">
        <v>3275</v>
      </c>
      <c r="D1090" t="s">
        <v>3454</v>
      </c>
      <c r="E1090" t="s">
        <v>3420</v>
      </c>
      <c r="F1090" t="s">
        <v>2823</v>
      </c>
      <c r="G1090">
        <v>1</v>
      </c>
      <c r="H1090">
        <v>1</v>
      </c>
      <c r="I1090" t="s">
        <v>97</v>
      </c>
      <c r="J1090" s="10">
        <v>154</v>
      </c>
      <c r="K1090" s="10">
        <v>462</v>
      </c>
      <c r="L1090" s="10">
        <v>0</v>
      </c>
      <c r="N1090" s="10">
        <v>0</v>
      </c>
      <c r="O1090" t="s">
        <v>99</v>
      </c>
      <c r="P1090" s="10">
        <v>319.95</v>
      </c>
      <c r="S1090">
        <v>21.75</v>
      </c>
      <c r="T1090">
        <v>12.5</v>
      </c>
      <c r="U1090">
        <v>12.5</v>
      </c>
      <c r="W1090">
        <v>10.8</v>
      </c>
      <c r="X1090">
        <v>1</v>
      </c>
      <c r="Y1090">
        <v>26</v>
      </c>
      <c r="Z1090">
        <v>15.25</v>
      </c>
      <c r="AA1090">
        <v>15.25</v>
      </c>
      <c r="AB1090">
        <v>3.4990000000000001</v>
      </c>
      <c r="AC1090">
        <v>14.26</v>
      </c>
      <c r="AE1090">
        <v>4</v>
      </c>
      <c r="AF1090" t="s">
        <v>519</v>
      </c>
      <c r="AG1090">
        <v>60</v>
      </c>
      <c r="AK1090" t="s">
        <v>98</v>
      </c>
      <c r="AM1090" t="s">
        <v>98</v>
      </c>
      <c r="AN1090" t="s">
        <v>99</v>
      </c>
      <c r="AO1090" t="s">
        <v>98</v>
      </c>
      <c r="AP1090" t="s">
        <v>100</v>
      </c>
      <c r="AQ1090" t="s">
        <v>101</v>
      </c>
      <c r="AV1090" t="s">
        <v>98</v>
      </c>
      <c r="AX1090" t="s">
        <v>3421</v>
      </c>
      <c r="AZ1090" t="s">
        <v>102</v>
      </c>
      <c r="BB1090" t="s">
        <v>235</v>
      </c>
      <c r="BC1090" t="s">
        <v>2591</v>
      </c>
      <c r="BD1090" t="s">
        <v>7528</v>
      </c>
      <c r="BF1090" t="s">
        <v>3455</v>
      </c>
      <c r="BG1090" t="s">
        <v>98</v>
      </c>
      <c r="BH1090" t="s">
        <v>98</v>
      </c>
      <c r="BI1090" t="s">
        <v>98</v>
      </c>
      <c r="BK1090" t="s">
        <v>127</v>
      </c>
      <c r="BL1090" t="s">
        <v>7528</v>
      </c>
      <c r="BR1090">
        <v>1.1299999999999999</v>
      </c>
      <c r="BS1090">
        <v>5</v>
      </c>
      <c r="BT1090">
        <v>5</v>
      </c>
      <c r="CA1090">
        <v>72175</v>
      </c>
      <c r="CB1090" t="s">
        <v>3421</v>
      </c>
      <c r="CL1090" t="s">
        <v>99</v>
      </c>
      <c r="CM1090" t="s">
        <v>99</v>
      </c>
      <c r="CN1090" t="s">
        <v>3236</v>
      </c>
      <c r="CO1090" s="1">
        <v>43115</v>
      </c>
      <c r="CP1090" s="1">
        <v>43633</v>
      </c>
    </row>
    <row r="1091" spans="1:94" x14ac:dyDescent="0.25">
      <c r="A1091" t="s">
        <v>3456</v>
      </c>
      <c r="B1091" t="str">
        <f xml:space="preserve"> "" &amp; 747396108995</f>
        <v>747396108995</v>
      </c>
      <c r="C1091" t="s">
        <v>3457</v>
      </c>
      <c r="D1091" t="s">
        <v>3458</v>
      </c>
      <c r="E1091" t="s">
        <v>3420</v>
      </c>
      <c r="F1091" t="s">
        <v>3188</v>
      </c>
      <c r="G1091">
        <v>1</v>
      </c>
      <c r="H1091">
        <v>1</v>
      </c>
      <c r="I1091" t="s">
        <v>97</v>
      </c>
      <c r="J1091" s="10">
        <v>139</v>
      </c>
      <c r="K1091" s="10">
        <v>417</v>
      </c>
      <c r="L1091" s="10">
        <v>0</v>
      </c>
      <c r="N1091" s="10">
        <v>0</v>
      </c>
      <c r="O1091" t="s">
        <v>99</v>
      </c>
      <c r="P1091" s="10">
        <v>289.95</v>
      </c>
      <c r="S1091">
        <v>21.75</v>
      </c>
      <c r="T1091">
        <v>12.5</v>
      </c>
      <c r="U1091">
        <v>12.5</v>
      </c>
      <c r="W1091">
        <v>10.38</v>
      </c>
      <c r="X1091">
        <v>1</v>
      </c>
      <c r="Y1091">
        <v>26</v>
      </c>
      <c r="Z1091">
        <v>15.25</v>
      </c>
      <c r="AA1091">
        <v>15.25</v>
      </c>
      <c r="AB1091">
        <v>3.4990000000000001</v>
      </c>
      <c r="AC1091">
        <v>13.34</v>
      </c>
      <c r="AE1091">
        <v>1</v>
      </c>
      <c r="AF1091" t="s">
        <v>559</v>
      </c>
      <c r="AG1091">
        <v>13</v>
      </c>
      <c r="AK1091" t="s">
        <v>99</v>
      </c>
      <c r="AM1091" t="s">
        <v>98</v>
      </c>
      <c r="AN1091" t="s">
        <v>99</v>
      </c>
      <c r="AO1091" t="s">
        <v>98</v>
      </c>
      <c r="AP1091" t="s">
        <v>100</v>
      </c>
      <c r="AQ1091" t="s">
        <v>101</v>
      </c>
      <c r="AV1091" t="s">
        <v>98</v>
      </c>
      <c r="AX1091" t="s">
        <v>3421</v>
      </c>
      <c r="AZ1091" t="s">
        <v>102</v>
      </c>
      <c r="BB1091" t="s">
        <v>235</v>
      </c>
      <c r="BC1091" t="s">
        <v>2591</v>
      </c>
      <c r="BD1091" t="s">
        <v>7528</v>
      </c>
      <c r="BF1091" t="s">
        <v>3459</v>
      </c>
      <c r="BG1091" t="s">
        <v>98</v>
      </c>
      <c r="BH1091" t="s">
        <v>98</v>
      </c>
      <c r="BI1091" t="s">
        <v>98</v>
      </c>
      <c r="BK1091" t="s">
        <v>127</v>
      </c>
      <c r="BL1091" t="s">
        <v>7528</v>
      </c>
      <c r="BR1091">
        <v>1.1299999999999999</v>
      </c>
      <c r="BS1091">
        <v>5</v>
      </c>
      <c r="BT1091">
        <v>5</v>
      </c>
      <c r="CA1091">
        <v>72175</v>
      </c>
      <c r="CB1091" t="s">
        <v>3421</v>
      </c>
      <c r="CG1091">
        <v>3000</v>
      </c>
      <c r="CH1091">
        <v>92</v>
      </c>
      <c r="CI1091">
        <v>652</v>
      </c>
      <c r="CJ1091">
        <v>526</v>
      </c>
      <c r="CK1091">
        <v>30000</v>
      </c>
      <c r="CL1091" t="s">
        <v>99</v>
      </c>
      <c r="CM1091" t="s">
        <v>99</v>
      </c>
      <c r="CN1091" t="s">
        <v>3236</v>
      </c>
      <c r="CO1091" s="1">
        <v>43115</v>
      </c>
      <c r="CP1091" s="1">
        <v>43633</v>
      </c>
    </row>
    <row r="1092" spans="1:94" x14ac:dyDescent="0.25">
      <c r="A1092" t="s">
        <v>3460</v>
      </c>
      <c r="B1092" t="str">
        <f xml:space="preserve"> "" &amp; 747396087368</f>
        <v>747396087368</v>
      </c>
      <c r="C1092" t="s">
        <v>3403</v>
      </c>
      <c r="D1092" t="s">
        <v>3461</v>
      </c>
      <c r="E1092" t="s">
        <v>3420</v>
      </c>
      <c r="F1092" t="s">
        <v>2823</v>
      </c>
      <c r="G1092">
        <v>1</v>
      </c>
      <c r="H1092">
        <v>1</v>
      </c>
      <c r="I1092" t="s">
        <v>97</v>
      </c>
      <c r="J1092" s="10">
        <v>97</v>
      </c>
      <c r="K1092" s="10">
        <v>291</v>
      </c>
      <c r="L1092" s="10">
        <v>0</v>
      </c>
      <c r="N1092" s="10">
        <v>0</v>
      </c>
      <c r="O1092" t="s">
        <v>99</v>
      </c>
      <c r="P1092" s="10">
        <v>194.95</v>
      </c>
      <c r="S1092">
        <v>18</v>
      </c>
      <c r="T1092">
        <v>8.5</v>
      </c>
      <c r="U1092">
        <v>8.5</v>
      </c>
      <c r="W1092">
        <v>4.72</v>
      </c>
      <c r="Y1092">
        <v>18.5</v>
      </c>
      <c r="Z1092">
        <v>12.5</v>
      </c>
      <c r="AA1092">
        <v>10.88</v>
      </c>
      <c r="AB1092">
        <v>1.456</v>
      </c>
      <c r="AC1092">
        <v>6.83</v>
      </c>
      <c r="AE1092">
        <v>3</v>
      </c>
      <c r="AF1092" t="s">
        <v>772</v>
      </c>
      <c r="AG1092">
        <v>60</v>
      </c>
      <c r="AK1092" t="s">
        <v>98</v>
      </c>
      <c r="AM1092" t="s">
        <v>98</v>
      </c>
      <c r="AN1092" t="s">
        <v>99</v>
      </c>
      <c r="AO1092" t="s">
        <v>98</v>
      </c>
      <c r="AP1092" t="s">
        <v>100</v>
      </c>
      <c r="AQ1092" t="s">
        <v>101</v>
      </c>
      <c r="AV1092" t="s">
        <v>98</v>
      </c>
      <c r="AX1092" t="s">
        <v>3421</v>
      </c>
      <c r="AZ1092" t="s">
        <v>124</v>
      </c>
      <c r="BB1092" t="s">
        <v>235</v>
      </c>
      <c r="BC1092" t="s">
        <v>2591</v>
      </c>
      <c r="BD1092" t="s">
        <v>7528</v>
      </c>
      <c r="BF1092" t="s">
        <v>3462</v>
      </c>
      <c r="BG1092" t="s">
        <v>98</v>
      </c>
      <c r="BH1092" t="s">
        <v>98</v>
      </c>
      <c r="BI1092" t="s">
        <v>98</v>
      </c>
      <c r="BJ1092" t="s">
        <v>99</v>
      </c>
      <c r="BK1092" t="s">
        <v>453</v>
      </c>
      <c r="BL1092" t="s">
        <v>7528</v>
      </c>
      <c r="CA1092">
        <v>72176</v>
      </c>
      <c r="CB1092" t="s">
        <v>3421</v>
      </c>
      <c r="CL1092" t="s">
        <v>99</v>
      </c>
      <c r="CM1092" t="s">
        <v>98</v>
      </c>
      <c r="CN1092" t="s">
        <v>3448</v>
      </c>
      <c r="CO1092" s="1">
        <v>41239</v>
      </c>
      <c r="CP1092" s="1">
        <v>43633</v>
      </c>
    </row>
    <row r="1093" spans="1:94" x14ac:dyDescent="0.25">
      <c r="A1093" t="s">
        <v>3463</v>
      </c>
      <c r="B1093" t="str">
        <f xml:space="preserve"> "" &amp; 747396101026</f>
        <v>747396101026</v>
      </c>
      <c r="C1093" t="s">
        <v>3464</v>
      </c>
      <c r="D1093" t="s">
        <v>3465</v>
      </c>
      <c r="E1093" t="s">
        <v>3420</v>
      </c>
      <c r="F1093" t="s">
        <v>3188</v>
      </c>
      <c r="G1093">
        <v>1</v>
      </c>
      <c r="H1093">
        <v>1</v>
      </c>
      <c r="I1093" t="s">
        <v>97</v>
      </c>
      <c r="J1093" s="10">
        <v>99</v>
      </c>
      <c r="K1093" s="10">
        <v>297</v>
      </c>
      <c r="L1093" s="10">
        <v>0</v>
      </c>
      <c r="N1093" s="10">
        <v>0</v>
      </c>
      <c r="O1093" t="s">
        <v>99</v>
      </c>
      <c r="P1093" s="10">
        <v>209.95</v>
      </c>
      <c r="S1093">
        <v>18</v>
      </c>
      <c r="T1093">
        <v>8.5</v>
      </c>
      <c r="U1093">
        <v>8.5</v>
      </c>
      <c r="W1093">
        <v>4.01</v>
      </c>
      <c r="X1093">
        <v>1</v>
      </c>
      <c r="Y1093">
        <v>18.5</v>
      </c>
      <c r="Z1093">
        <v>12.5</v>
      </c>
      <c r="AA1093">
        <v>10.88</v>
      </c>
      <c r="AB1093">
        <v>1.456</v>
      </c>
      <c r="AC1093">
        <v>5.73</v>
      </c>
      <c r="AE1093">
        <v>1</v>
      </c>
      <c r="AF1093" t="s">
        <v>559</v>
      </c>
      <c r="AG1093">
        <v>13</v>
      </c>
      <c r="AK1093" t="s">
        <v>99</v>
      </c>
      <c r="AM1093" t="s">
        <v>98</v>
      </c>
      <c r="AN1093" t="s">
        <v>99</v>
      </c>
      <c r="AO1093" t="s">
        <v>98</v>
      </c>
      <c r="AP1093" t="s">
        <v>100</v>
      </c>
      <c r="AQ1093" t="s">
        <v>101</v>
      </c>
      <c r="AV1093" t="s">
        <v>98</v>
      </c>
      <c r="AX1093" t="s">
        <v>3421</v>
      </c>
      <c r="AZ1093" t="s">
        <v>124</v>
      </c>
      <c r="BB1093" t="s">
        <v>235</v>
      </c>
      <c r="BC1093" t="s">
        <v>1446</v>
      </c>
      <c r="BD1093" t="s">
        <v>7528</v>
      </c>
      <c r="BF1093" t="s">
        <v>3466</v>
      </c>
      <c r="BG1093" t="s">
        <v>98</v>
      </c>
      <c r="BH1093" t="s">
        <v>98</v>
      </c>
      <c r="BI1093" t="s">
        <v>98</v>
      </c>
      <c r="BK1093" t="s">
        <v>127</v>
      </c>
      <c r="BL1093" t="s">
        <v>7528</v>
      </c>
      <c r="CA1093">
        <v>72176</v>
      </c>
      <c r="CB1093" t="s">
        <v>3421</v>
      </c>
      <c r="CG1093">
        <v>3000</v>
      </c>
      <c r="CH1093">
        <v>91</v>
      </c>
      <c r="CI1093">
        <v>695</v>
      </c>
      <c r="CJ1093">
        <v>423</v>
      </c>
      <c r="CK1093">
        <v>30000</v>
      </c>
      <c r="CL1093" t="s">
        <v>98</v>
      </c>
      <c r="CM1093" t="s">
        <v>98</v>
      </c>
      <c r="CN1093" t="s">
        <v>3227</v>
      </c>
      <c r="CO1093" s="1">
        <v>42762</v>
      </c>
      <c r="CP1093" s="1">
        <v>43633</v>
      </c>
    </row>
    <row r="1094" spans="1:94" x14ac:dyDescent="0.25">
      <c r="A1094" t="s">
        <v>3467</v>
      </c>
      <c r="B1094" t="str">
        <f xml:space="preserve"> "" &amp; 747396109008</f>
        <v>747396109008</v>
      </c>
      <c r="C1094" t="s">
        <v>3468</v>
      </c>
      <c r="D1094" t="s">
        <v>3469</v>
      </c>
      <c r="E1094" t="s">
        <v>3420</v>
      </c>
      <c r="F1094" t="s">
        <v>2823</v>
      </c>
      <c r="G1094">
        <v>1</v>
      </c>
      <c r="H1094">
        <v>1</v>
      </c>
      <c r="I1094" t="s">
        <v>97</v>
      </c>
      <c r="J1094" s="10">
        <v>154</v>
      </c>
      <c r="K1094" s="10">
        <v>462</v>
      </c>
      <c r="L1094" s="10">
        <v>0</v>
      </c>
      <c r="N1094" s="10">
        <v>0</v>
      </c>
      <c r="O1094" t="s">
        <v>99</v>
      </c>
      <c r="P1094" s="10">
        <v>319.95</v>
      </c>
      <c r="S1094">
        <v>24.25</v>
      </c>
      <c r="T1094">
        <v>12.5</v>
      </c>
      <c r="U1094">
        <v>12.5</v>
      </c>
      <c r="W1094">
        <v>9.41</v>
      </c>
      <c r="X1094">
        <v>1</v>
      </c>
      <c r="Y1094">
        <v>25.25</v>
      </c>
      <c r="Z1094">
        <v>15.25</v>
      </c>
      <c r="AA1094">
        <v>15.25</v>
      </c>
      <c r="AB1094">
        <v>3.3980000000000001</v>
      </c>
      <c r="AC1094">
        <v>12.96</v>
      </c>
      <c r="AE1094">
        <v>4</v>
      </c>
      <c r="AF1094" t="s">
        <v>519</v>
      </c>
      <c r="AG1094">
        <v>60</v>
      </c>
      <c r="AK1094" t="s">
        <v>98</v>
      </c>
      <c r="AM1094" t="s">
        <v>98</v>
      </c>
      <c r="AN1094" t="s">
        <v>99</v>
      </c>
      <c r="AO1094" t="s">
        <v>98</v>
      </c>
      <c r="AP1094" t="s">
        <v>100</v>
      </c>
      <c r="AQ1094" t="s">
        <v>101</v>
      </c>
      <c r="AV1094" t="s">
        <v>98</v>
      </c>
      <c r="AX1094" t="s">
        <v>3421</v>
      </c>
      <c r="AZ1094" t="s">
        <v>102</v>
      </c>
      <c r="BB1094" t="s">
        <v>235</v>
      </c>
      <c r="BC1094" t="s">
        <v>2591</v>
      </c>
      <c r="BD1094" t="s">
        <v>7528</v>
      </c>
      <c r="BF1094" t="s">
        <v>3470</v>
      </c>
      <c r="BG1094" t="s">
        <v>98</v>
      </c>
      <c r="BH1094" t="s">
        <v>98</v>
      </c>
      <c r="BI1094" t="s">
        <v>98</v>
      </c>
      <c r="BJ1094" t="s">
        <v>99</v>
      </c>
      <c r="BK1094" t="s">
        <v>453</v>
      </c>
      <c r="BL1094" t="s">
        <v>7528</v>
      </c>
      <c r="CA1094">
        <v>72177</v>
      </c>
      <c r="CB1094" t="s">
        <v>3421</v>
      </c>
      <c r="CL1094" t="s">
        <v>99</v>
      </c>
      <c r="CM1094" t="s">
        <v>98</v>
      </c>
      <c r="CN1094" t="s">
        <v>3236</v>
      </c>
      <c r="CO1094" s="1">
        <v>43115</v>
      </c>
      <c r="CP1094" s="1">
        <v>43633</v>
      </c>
    </row>
    <row r="1095" spans="1:94" x14ac:dyDescent="0.25">
      <c r="A1095" t="s">
        <v>3471</v>
      </c>
      <c r="B1095" t="str">
        <f xml:space="preserve"> "" &amp; 747396109015</f>
        <v>747396109015</v>
      </c>
      <c r="C1095" t="s">
        <v>3472</v>
      </c>
      <c r="D1095" t="s">
        <v>3473</v>
      </c>
      <c r="E1095" t="s">
        <v>3420</v>
      </c>
      <c r="F1095" t="s">
        <v>3188</v>
      </c>
      <c r="G1095">
        <v>1</v>
      </c>
      <c r="H1095">
        <v>1</v>
      </c>
      <c r="I1095" t="s">
        <v>97</v>
      </c>
      <c r="J1095" s="10">
        <v>139</v>
      </c>
      <c r="K1095" s="10">
        <v>417</v>
      </c>
      <c r="L1095" s="10">
        <v>0</v>
      </c>
      <c r="N1095" s="10">
        <v>0</v>
      </c>
      <c r="O1095" t="s">
        <v>99</v>
      </c>
      <c r="P1095" s="10">
        <v>289.95</v>
      </c>
      <c r="S1095">
        <v>24.25</v>
      </c>
      <c r="U1095">
        <v>12.5</v>
      </c>
      <c r="V1095">
        <v>12.5</v>
      </c>
      <c r="W1095">
        <v>8.77</v>
      </c>
      <c r="X1095">
        <v>1</v>
      </c>
      <c r="Y1095">
        <v>25.25</v>
      </c>
      <c r="Z1095">
        <v>15.25</v>
      </c>
      <c r="AA1095">
        <v>15.25</v>
      </c>
      <c r="AB1095">
        <v>3.3980000000000001</v>
      </c>
      <c r="AC1095">
        <v>11.75</v>
      </c>
      <c r="AE1095">
        <v>1</v>
      </c>
      <c r="AF1095" t="s">
        <v>559</v>
      </c>
      <c r="AG1095">
        <v>13</v>
      </c>
      <c r="AK1095" t="s">
        <v>99</v>
      </c>
      <c r="AM1095" t="s">
        <v>98</v>
      </c>
      <c r="AN1095" t="s">
        <v>99</v>
      </c>
      <c r="AO1095" t="s">
        <v>98</v>
      </c>
      <c r="AP1095" t="s">
        <v>100</v>
      </c>
      <c r="AQ1095" t="s">
        <v>101</v>
      </c>
      <c r="AV1095" t="s">
        <v>98</v>
      </c>
      <c r="AX1095" t="s">
        <v>3421</v>
      </c>
      <c r="AZ1095" t="s">
        <v>124</v>
      </c>
      <c r="BB1095" t="s">
        <v>235</v>
      </c>
      <c r="BC1095" t="s">
        <v>2591</v>
      </c>
      <c r="BD1095" t="s">
        <v>7528</v>
      </c>
      <c r="BF1095" t="s">
        <v>3474</v>
      </c>
      <c r="BG1095" t="s">
        <v>98</v>
      </c>
      <c r="BH1095" t="s">
        <v>98</v>
      </c>
      <c r="BI1095" t="s">
        <v>98</v>
      </c>
      <c r="BJ1095" t="s">
        <v>99</v>
      </c>
      <c r="BK1095" t="s">
        <v>453</v>
      </c>
      <c r="BL1095" t="s">
        <v>7528</v>
      </c>
      <c r="CA1095">
        <v>72177</v>
      </c>
      <c r="CB1095" t="s">
        <v>3421</v>
      </c>
      <c r="CG1095">
        <v>3000</v>
      </c>
      <c r="CH1095">
        <v>92</v>
      </c>
      <c r="CI1095">
        <v>773</v>
      </c>
      <c r="CJ1095">
        <v>583</v>
      </c>
      <c r="CK1095">
        <v>30000</v>
      </c>
      <c r="CL1095" t="s">
        <v>99</v>
      </c>
      <c r="CM1095" t="s">
        <v>98</v>
      </c>
      <c r="CN1095" t="s">
        <v>3236</v>
      </c>
      <c r="CO1095" s="1">
        <v>43118</v>
      </c>
      <c r="CP1095" s="1">
        <v>43633</v>
      </c>
    </row>
    <row r="1096" spans="1:94" x14ac:dyDescent="0.25">
      <c r="A1096" t="s">
        <v>3475</v>
      </c>
      <c r="B1096" t="str">
        <f xml:space="preserve"> "" &amp; 747396109022</f>
        <v>747396109022</v>
      </c>
      <c r="C1096" t="s">
        <v>3476</v>
      </c>
      <c r="D1096" t="s">
        <v>3477</v>
      </c>
      <c r="E1096" t="s">
        <v>3420</v>
      </c>
      <c r="F1096" t="s">
        <v>2823</v>
      </c>
      <c r="G1096">
        <v>1</v>
      </c>
      <c r="H1096">
        <v>1</v>
      </c>
      <c r="I1096" t="s">
        <v>97</v>
      </c>
      <c r="J1096" s="10">
        <v>162</v>
      </c>
      <c r="K1096" s="10">
        <v>486</v>
      </c>
      <c r="L1096" s="10">
        <v>0</v>
      </c>
      <c r="N1096" s="10">
        <v>0</v>
      </c>
      <c r="O1096" t="s">
        <v>99</v>
      </c>
      <c r="P1096" s="10">
        <v>339.95</v>
      </c>
      <c r="S1096">
        <v>24.25</v>
      </c>
      <c r="U1096">
        <v>12.5</v>
      </c>
      <c r="V1096">
        <v>13.5</v>
      </c>
      <c r="W1096">
        <v>10.54</v>
      </c>
      <c r="X1096">
        <v>1</v>
      </c>
      <c r="Y1096">
        <v>26</v>
      </c>
      <c r="Z1096">
        <v>16.5</v>
      </c>
      <c r="AA1096">
        <v>15.25</v>
      </c>
      <c r="AB1096">
        <v>3.786</v>
      </c>
      <c r="AC1096">
        <v>13.76</v>
      </c>
      <c r="AE1096">
        <v>4</v>
      </c>
      <c r="AF1096" t="s">
        <v>519</v>
      </c>
      <c r="AG1096">
        <v>60</v>
      </c>
      <c r="AK1096" t="s">
        <v>98</v>
      </c>
      <c r="AM1096" t="s">
        <v>98</v>
      </c>
      <c r="AN1096" t="s">
        <v>99</v>
      </c>
      <c r="AO1096" t="s">
        <v>98</v>
      </c>
      <c r="AP1096" t="s">
        <v>100</v>
      </c>
      <c r="AQ1096" t="s">
        <v>101</v>
      </c>
      <c r="AV1096" t="s">
        <v>98</v>
      </c>
      <c r="AX1096" t="s">
        <v>3421</v>
      </c>
      <c r="AZ1096" t="s">
        <v>102</v>
      </c>
      <c r="BB1096" t="s">
        <v>235</v>
      </c>
      <c r="BC1096" t="s">
        <v>2591</v>
      </c>
      <c r="BD1096" t="s">
        <v>7528</v>
      </c>
      <c r="BF1096" t="s">
        <v>3478</v>
      </c>
      <c r="BG1096" t="s">
        <v>98</v>
      </c>
      <c r="BH1096" t="s">
        <v>98</v>
      </c>
      <c r="BI1096" t="s">
        <v>98</v>
      </c>
      <c r="BJ1096" t="s">
        <v>99</v>
      </c>
      <c r="BK1096" t="s">
        <v>453</v>
      </c>
      <c r="BL1096" t="s">
        <v>7528</v>
      </c>
      <c r="BM1096">
        <v>6.13</v>
      </c>
      <c r="BN1096">
        <v>11</v>
      </c>
      <c r="CA1096">
        <v>72178</v>
      </c>
      <c r="CB1096" t="s">
        <v>3421</v>
      </c>
      <c r="CL1096" t="s">
        <v>99</v>
      </c>
      <c r="CM1096" t="s">
        <v>98</v>
      </c>
      <c r="CN1096" t="s">
        <v>3236</v>
      </c>
      <c r="CO1096" s="1">
        <v>43115</v>
      </c>
      <c r="CP1096" s="1">
        <v>43633</v>
      </c>
    </row>
    <row r="1097" spans="1:94" x14ac:dyDescent="0.25">
      <c r="A1097" t="s">
        <v>3479</v>
      </c>
      <c r="B1097" t="str">
        <f xml:space="preserve"> "" &amp; 747396109039</f>
        <v>747396109039</v>
      </c>
      <c r="C1097" t="s">
        <v>3480</v>
      </c>
      <c r="D1097" t="s">
        <v>3481</v>
      </c>
      <c r="E1097" t="s">
        <v>3420</v>
      </c>
      <c r="F1097" t="s">
        <v>3188</v>
      </c>
      <c r="G1097">
        <v>1</v>
      </c>
      <c r="H1097">
        <v>1</v>
      </c>
      <c r="I1097" t="s">
        <v>97</v>
      </c>
      <c r="J1097" s="10">
        <v>149</v>
      </c>
      <c r="K1097" s="10">
        <v>447</v>
      </c>
      <c r="L1097" s="10">
        <v>0</v>
      </c>
      <c r="N1097" s="10">
        <v>0</v>
      </c>
      <c r="O1097" t="s">
        <v>99</v>
      </c>
      <c r="P1097" s="10">
        <v>314.95</v>
      </c>
      <c r="S1097">
        <v>24.25</v>
      </c>
      <c r="U1097">
        <v>12.5</v>
      </c>
      <c r="V1097">
        <v>13.5</v>
      </c>
      <c r="W1097">
        <v>9.74</v>
      </c>
      <c r="X1097">
        <v>1</v>
      </c>
      <c r="Y1097">
        <v>26</v>
      </c>
      <c r="Z1097">
        <v>16.5</v>
      </c>
      <c r="AA1097">
        <v>15.25</v>
      </c>
      <c r="AB1097">
        <v>3.786</v>
      </c>
      <c r="AC1097">
        <v>12.81</v>
      </c>
      <c r="AE1097">
        <v>1</v>
      </c>
      <c r="AF1097" t="s">
        <v>559</v>
      </c>
      <c r="AG1097">
        <v>13</v>
      </c>
      <c r="AK1097" t="s">
        <v>99</v>
      </c>
      <c r="AM1097" t="s">
        <v>98</v>
      </c>
      <c r="AN1097" t="s">
        <v>99</v>
      </c>
      <c r="AO1097" t="s">
        <v>98</v>
      </c>
      <c r="AP1097" t="s">
        <v>259</v>
      </c>
      <c r="AQ1097" t="s">
        <v>101</v>
      </c>
      <c r="AV1097" t="s">
        <v>98</v>
      </c>
      <c r="AX1097" t="s">
        <v>3421</v>
      </c>
      <c r="AZ1097" t="s">
        <v>102</v>
      </c>
      <c r="BB1097" t="s">
        <v>235</v>
      </c>
      <c r="BC1097" t="s">
        <v>2591</v>
      </c>
      <c r="BD1097" t="s">
        <v>7528</v>
      </c>
      <c r="BF1097" t="s">
        <v>3482</v>
      </c>
      <c r="BG1097" t="s">
        <v>98</v>
      </c>
      <c r="BH1097" t="s">
        <v>98</v>
      </c>
      <c r="BI1097" t="s">
        <v>98</v>
      </c>
      <c r="BJ1097" t="s">
        <v>99</v>
      </c>
      <c r="BK1097" t="s">
        <v>453</v>
      </c>
      <c r="BL1097" t="s">
        <v>7528</v>
      </c>
      <c r="BM1097">
        <v>6.13</v>
      </c>
      <c r="BN1097">
        <v>11</v>
      </c>
      <c r="CA1097">
        <v>72178</v>
      </c>
      <c r="CB1097" t="s">
        <v>3421</v>
      </c>
      <c r="CG1097">
        <v>3000</v>
      </c>
      <c r="CH1097">
        <v>92</v>
      </c>
      <c r="CI1097">
        <v>773</v>
      </c>
      <c r="CJ1097">
        <v>583</v>
      </c>
      <c r="CK1097">
        <v>30000</v>
      </c>
      <c r="CL1097" t="s">
        <v>99</v>
      </c>
      <c r="CM1097" t="s">
        <v>98</v>
      </c>
      <c r="CN1097" t="s">
        <v>3236</v>
      </c>
      <c r="CO1097" s="1">
        <v>43115</v>
      </c>
      <c r="CP1097" s="1">
        <v>43633</v>
      </c>
    </row>
    <row r="1098" spans="1:94" x14ac:dyDescent="0.25">
      <c r="A1098" t="s">
        <v>3483</v>
      </c>
      <c r="B1098" t="str">
        <f xml:space="preserve"> "" &amp; 747396078427</f>
        <v>747396078427</v>
      </c>
      <c r="C1098" t="s">
        <v>3484</v>
      </c>
      <c r="D1098" t="s">
        <v>3485</v>
      </c>
      <c r="E1098" t="s">
        <v>3486</v>
      </c>
      <c r="F1098" t="s">
        <v>2823</v>
      </c>
      <c r="G1098">
        <v>1</v>
      </c>
      <c r="H1098">
        <v>1</v>
      </c>
      <c r="I1098" t="s">
        <v>97</v>
      </c>
      <c r="J1098" s="10">
        <v>119.95</v>
      </c>
      <c r="K1098" s="10">
        <v>359.85</v>
      </c>
      <c r="L1098" s="10">
        <v>0</v>
      </c>
      <c r="N1098" s="10">
        <v>0</v>
      </c>
      <c r="O1098" t="s">
        <v>99</v>
      </c>
      <c r="P1098" s="10">
        <v>239.95</v>
      </c>
      <c r="S1098">
        <v>13</v>
      </c>
      <c r="U1098">
        <v>6.75</v>
      </c>
      <c r="V1098">
        <v>5.5</v>
      </c>
      <c r="W1098">
        <v>4.34</v>
      </c>
      <c r="Y1098">
        <v>17.25</v>
      </c>
      <c r="Z1098">
        <v>9.5</v>
      </c>
      <c r="AA1098">
        <v>8.25</v>
      </c>
      <c r="AB1098">
        <v>0.78200000000000003</v>
      </c>
      <c r="AC1098">
        <v>5.47</v>
      </c>
      <c r="AE1098">
        <v>1</v>
      </c>
      <c r="AF1098" t="s">
        <v>282</v>
      </c>
      <c r="AG1098">
        <v>100</v>
      </c>
      <c r="AK1098" t="s">
        <v>98</v>
      </c>
      <c r="AM1098" t="s">
        <v>98</v>
      </c>
      <c r="AN1098" t="s">
        <v>99</v>
      </c>
      <c r="AO1098" t="s">
        <v>98</v>
      </c>
      <c r="AP1098" t="s">
        <v>100</v>
      </c>
      <c r="AQ1098" t="s">
        <v>101</v>
      </c>
      <c r="AV1098" t="s">
        <v>98</v>
      </c>
      <c r="AX1098" t="s">
        <v>1918</v>
      </c>
      <c r="AZ1098" t="s">
        <v>392</v>
      </c>
      <c r="BB1098" t="s">
        <v>235</v>
      </c>
      <c r="BC1098" t="s">
        <v>1501</v>
      </c>
      <c r="BD1098" t="s">
        <v>7528</v>
      </c>
      <c r="BF1098" t="s">
        <v>3487</v>
      </c>
      <c r="BG1098" t="s">
        <v>98</v>
      </c>
      <c r="BH1098" t="s">
        <v>98</v>
      </c>
      <c r="BI1098" t="s">
        <v>98</v>
      </c>
      <c r="BJ1098" t="s">
        <v>99</v>
      </c>
      <c r="BK1098" t="s">
        <v>453</v>
      </c>
      <c r="BL1098" t="s">
        <v>128</v>
      </c>
      <c r="BR1098">
        <v>8.5</v>
      </c>
      <c r="BT1098">
        <v>4.75</v>
      </c>
      <c r="CA1098">
        <v>72191</v>
      </c>
      <c r="CB1098" t="s">
        <v>1918</v>
      </c>
      <c r="CL1098" t="s">
        <v>99</v>
      </c>
      <c r="CM1098" t="s">
        <v>98</v>
      </c>
      <c r="CN1098" t="s">
        <v>3411</v>
      </c>
      <c r="CO1098" s="1">
        <v>40610</v>
      </c>
      <c r="CP1098" s="1">
        <v>43633</v>
      </c>
    </row>
    <row r="1099" spans="1:94" x14ac:dyDescent="0.25">
      <c r="A1099" t="s">
        <v>3488</v>
      </c>
      <c r="B1099" t="str">
        <f xml:space="preserve"> "" &amp; 747396078519</f>
        <v>747396078519</v>
      </c>
      <c r="C1099" t="s">
        <v>1577</v>
      </c>
      <c r="D1099" t="s">
        <v>3489</v>
      </c>
      <c r="E1099" t="s">
        <v>3490</v>
      </c>
      <c r="F1099" t="s">
        <v>2823</v>
      </c>
      <c r="G1099">
        <v>1</v>
      </c>
      <c r="H1099">
        <v>1</v>
      </c>
      <c r="I1099" t="s">
        <v>97</v>
      </c>
      <c r="J1099" s="10">
        <v>43</v>
      </c>
      <c r="K1099" s="10">
        <v>129</v>
      </c>
      <c r="L1099" s="10">
        <v>0</v>
      </c>
      <c r="N1099" s="10">
        <v>0</v>
      </c>
      <c r="O1099" t="s">
        <v>99</v>
      </c>
      <c r="P1099" s="10">
        <v>84.95</v>
      </c>
      <c r="S1099">
        <v>8.25</v>
      </c>
      <c r="T1099">
        <v>11</v>
      </c>
      <c r="U1099">
        <v>9</v>
      </c>
      <c r="V1099">
        <v>9.5</v>
      </c>
      <c r="W1099">
        <v>0.99</v>
      </c>
      <c r="Y1099">
        <v>9</v>
      </c>
      <c r="Z1099">
        <v>11</v>
      </c>
      <c r="AA1099">
        <v>10.5</v>
      </c>
      <c r="AB1099">
        <v>0.60199999999999998</v>
      </c>
      <c r="AC1099">
        <v>2.16</v>
      </c>
      <c r="AE1099">
        <v>1</v>
      </c>
      <c r="AF1099" t="s">
        <v>282</v>
      </c>
      <c r="AG1099">
        <v>60</v>
      </c>
      <c r="AK1099" t="s">
        <v>98</v>
      </c>
      <c r="AM1099" t="s">
        <v>98</v>
      </c>
      <c r="AN1099" t="s">
        <v>99</v>
      </c>
      <c r="AO1099" t="s">
        <v>98</v>
      </c>
      <c r="AP1099" t="s">
        <v>100</v>
      </c>
      <c r="AQ1099" t="s">
        <v>101</v>
      </c>
      <c r="AV1099" t="s">
        <v>98</v>
      </c>
      <c r="AX1099" t="s">
        <v>3491</v>
      </c>
      <c r="AZ1099" t="s">
        <v>102</v>
      </c>
      <c r="BB1099" t="s">
        <v>7528</v>
      </c>
      <c r="BC1099" t="s">
        <v>7528</v>
      </c>
      <c r="BD1099" t="s">
        <v>7528</v>
      </c>
      <c r="BF1099" t="s">
        <v>3492</v>
      </c>
      <c r="BG1099" t="s">
        <v>99</v>
      </c>
      <c r="BH1099" t="s">
        <v>98</v>
      </c>
      <c r="BI1099" t="s">
        <v>98</v>
      </c>
      <c r="BJ1099" t="s">
        <v>99</v>
      </c>
      <c r="BK1099" t="s">
        <v>453</v>
      </c>
      <c r="BL1099" t="s">
        <v>128</v>
      </c>
      <c r="BM1099">
        <v>4.5</v>
      </c>
      <c r="BN1099">
        <v>1</v>
      </c>
      <c r="CA1099">
        <v>72211</v>
      </c>
      <c r="CB1099" t="s">
        <v>3491</v>
      </c>
      <c r="CL1099" t="s">
        <v>99</v>
      </c>
      <c r="CM1099" t="s">
        <v>98</v>
      </c>
      <c r="CN1099" t="s">
        <v>3227</v>
      </c>
      <c r="CO1099" s="1">
        <v>40609</v>
      </c>
      <c r="CP1099" s="1">
        <v>43633</v>
      </c>
    </row>
    <row r="1100" spans="1:94" x14ac:dyDescent="0.25">
      <c r="A1100" t="s">
        <v>3493</v>
      </c>
      <c r="B1100" t="str">
        <f xml:space="preserve"> "" &amp; 747396080710</f>
        <v>747396080710</v>
      </c>
      <c r="C1100" t="s">
        <v>1577</v>
      </c>
      <c r="D1100" t="s">
        <v>3489</v>
      </c>
      <c r="E1100" t="s">
        <v>3490</v>
      </c>
      <c r="F1100" t="s">
        <v>2823</v>
      </c>
      <c r="G1100">
        <v>1</v>
      </c>
      <c r="H1100">
        <v>1</v>
      </c>
      <c r="I1100" t="s">
        <v>97</v>
      </c>
      <c r="J1100" s="10">
        <v>43</v>
      </c>
      <c r="K1100" s="10">
        <v>129</v>
      </c>
      <c r="L1100" s="10">
        <v>0</v>
      </c>
      <c r="N1100" s="10">
        <v>0</v>
      </c>
      <c r="O1100" t="s">
        <v>99</v>
      </c>
      <c r="P1100" s="10">
        <v>84.95</v>
      </c>
      <c r="S1100">
        <v>8.25</v>
      </c>
      <c r="T1100">
        <v>11</v>
      </c>
      <c r="U1100">
        <v>9</v>
      </c>
      <c r="V1100">
        <v>9.5</v>
      </c>
      <c r="W1100">
        <v>0.99</v>
      </c>
      <c r="Y1100">
        <v>9</v>
      </c>
      <c r="Z1100">
        <v>11</v>
      </c>
      <c r="AA1100">
        <v>10.5</v>
      </c>
      <c r="AB1100">
        <v>0.60199999999999998</v>
      </c>
      <c r="AC1100">
        <v>2.16</v>
      </c>
      <c r="AE1100">
        <v>1</v>
      </c>
      <c r="AF1100" t="s">
        <v>233</v>
      </c>
      <c r="AG1100">
        <v>60</v>
      </c>
      <c r="AK1100" t="s">
        <v>98</v>
      </c>
      <c r="AM1100" t="s">
        <v>98</v>
      </c>
      <c r="AN1100" t="s">
        <v>99</v>
      </c>
      <c r="AO1100" t="s">
        <v>98</v>
      </c>
      <c r="AP1100" t="s">
        <v>100</v>
      </c>
      <c r="AQ1100" t="s">
        <v>101</v>
      </c>
      <c r="AV1100" t="s">
        <v>98</v>
      </c>
      <c r="AX1100" t="s">
        <v>1918</v>
      </c>
      <c r="AZ1100" t="s">
        <v>102</v>
      </c>
      <c r="BB1100" t="s">
        <v>7528</v>
      </c>
      <c r="BC1100" t="s">
        <v>7528</v>
      </c>
      <c r="BD1100" t="s">
        <v>7528</v>
      </c>
      <c r="BF1100" t="s">
        <v>3494</v>
      </c>
      <c r="BG1100" t="s">
        <v>99</v>
      </c>
      <c r="BH1100" t="s">
        <v>98</v>
      </c>
      <c r="BI1100" t="s">
        <v>98</v>
      </c>
      <c r="BJ1100" t="s">
        <v>99</v>
      </c>
      <c r="BK1100" t="s">
        <v>453</v>
      </c>
      <c r="BL1100" t="s">
        <v>128</v>
      </c>
      <c r="BM1100">
        <v>4.5</v>
      </c>
      <c r="BN1100">
        <v>1</v>
      </c>
      <c r="CA1100">
        <v>72211</v>
      </c>
      <c r="CB1100" t="s">
        <v>1918</v>
      </c>
      <c r="CL1100" t="s">
        <v>99</v>
      </c>
      <c r="CM1100" t="s">
        <v>98</v>
      </c>
      <c r="CN1100" t="s">
        <v>3227</v>
      </c>
      <c r="CO1100" s="1">
        <v>40609</v>
      </c>
      <c r="CP1100" s="1">
        <v>43633</v>
      </c>
    </row>
    <row r="1101" spans="1:94" x14ac:dyDescent="0.25">
      <c r="A1101" t="s">
        <v>3495</v>
      </c>
      <c r="B1101" t="str">
        <f xml:space="preserve"> "" &amp; 747396078526</f>
        <v>747396078526</v>
      </c>
      <c r="C1101" t="s">
        <v>1577</v>
      </c>
      <c r="D1101" t="s">
        <v>3489</v>
      </c>
      <c r="E1101" t="s">
        <v>3490</v>
      </c>
      <c r="F1101" t="s">
        <v>2823</v>
      </c>
      <c r="G1101">
        <v>1</v>
      </c>
      <c r="H1101">
        <v>1</v>
      </c>
      <c r="I1101" t="s">
        <v>97</v>
      </c>
      <c r="J1101" s="10">
        <v>53</v>
      </c>
      <c r="K1101" s="10">
        <v>159</v>
      </c>
      <c r="L1101" s="10">
        <v>0</v>
      </c>
      <c r="N1101" s="10">
        <v>0</v>
      </c>
      <c r="O1101" t="s">
        <v>99</v>
      </c>
      <c r="P1101" s="10">
        <v>104.95</v>
      </c>
      <c r="S1101">
        <v>10.5</v>
      </c>
      <c r="U1101">
        <v>11</v>
      </c>
      <c r="V1101">
        <v>11.75</v>
      </c>
      <c r="W1101">
        <v>1.17</v>
      </c>
      <c r="Y1101">
        <v>11.5</v>
      </c>
      <c r="Z1101">
        <v>13.5</v>
      </c>
      <c r="AA1101">
        <v>12.5</v>
      </c>
      <c r="AB1101">
        <v>1.123</v>
      </c>
      <c r="AC1101">
        <v>3.15</v>
      </c>
      <c r="AE1101">
        <v>1</v>
      </c>
      <c r="AF1101" t="s">
        <v>598</v>
      </c>
      <c r="AG1101">
        <v>100</v>
      </c>
      <c r="AK1101" t="s">
        <v>98</v>
      </c>
      <c r="AM1101" t="s">
        <v>98</v>
      </c>
      <c r="AN1101" t="s">
        <v>99</v>
      </c>
      <c r="AO1101" t="s">
        <v>98</v>
      </c>
      <c r="AP1101" t="s">
        <v>100</v>
      </c>
      <c r="AQ1101" t="s">
        <v>101</v>
      </c>
      <c r="AV1101" t="s">
        <v>98</v>
      </c>
      <c r="AX1101" t="s">
        <v>3491</v>
      </c>
      <c r="AZ1101" t="s">
        <v>102</v>
      </c>
      <c r="BB1101" t="s">
        <v>7528</v>
      </c>
      <c r="BC1101" t="s">
        <v>7528</v>
      </c>
      <c r="BD1101" t="s">
        <v>7528</v>
      </c>
      <c r="BF1101" t="s">
        <v>3496</v>
      </c>
      <c r="BG1101" t="s">
        <v>99</v>
      </c>
      <c r="BH1101" t="s">
        <v>98</v>
      </c>
      <c r="BI1101" t="s">
        <v>98</v>
      </c>
      <c r="BJ1101" t="s">
        <v>99</v>
      </c>
      <c r="BK1101" t="s">
        <v>453</v>
      </c>
      <c r="BL1101" t="s">
        <v>128</v>
      </c>
      <c r="BM1101">
        <v>5.63</v>
      </c>
      <c r="BN1101">
        <v>1.25</v>
      </c>
      <c r="CA1101">
        <v>72212</v>
      </c>
      <c r="CB1101" t="s">
        <v>3491</v>
      </c>
      <c r="CL1101" t="s">
        <v>99</v>
      </c>
      <c r="CM1101" t="s">
        <v>98</v>
      </c>
      <c r="CN1101" t="s">
        <v>3227</v>
      </c>
      <c r="CO1101" s="1">
        <v>40609</v>
      </c>
      <c r="CP1101" s="1">
        <v>43633</v>
      </c>
    </row>
    <row r="1102" spans="1:94" x14ac:dyDescent="0.25">
      <c r="A1102" t="s">
        <v>3497</v>
      </c>
      <c r="B1102" t="str">
        <f xml:space="preserve"> "" &amp; 747396080703</f>
        <v>747396080703</v>
      </c>
      <c r="C1102" t="s">
        <v>1577</v>
      </c>
      <c r="D1102" t="s">
        <v>3489</v>
      </c>
      <c r="E1102" t="s">
        <v>3490</v>
      </c>
      <c r="F1102" t="s">
        <v>2823</v>
      </c>
      <c r="G1102">
        <v>1</v>
      </c>
      <c r="H1102">
        <v>1</v>
      </c>
      <c r="I1102" t="s">
        <v>97</v>
      </c>
      <c r="J1102" s="10">
        <v>53</v>
      </c>
      <c r="K1102" s="10">
        <v>159</v>
      </c>
      <c r="L1102" s="10">
        <v>0</v>
      </c>
      <c r="N1102" s="10">
        <v>0</v>
      </c>
      <c r="O1102" t="s">
        <v>99</v>
      </c>
      <c r="P1102" s="10">
        <v>104.95</v>
      </c>
      <c r="S1102">
        <v>10.5</v>
      </c>
      <c r="U1102">
        <v>11</v>
      </c>
      <c r="V1102">
        <v>11.75</v>
      </c>
      <c r="W1102">
        <v>1.17</v>
      </c>
      <c r="X1102">
        <v>1</v>
      </c>
      <c r="Y1102">
        <v>11.5</v>
      </c>
      <c r="Z1102">
        <v>13.5</v>
      </c>
      <c r="AA1102">
        <v>12.5</v>
      </c>
      <c r="AB1102">
        <v>1.123</v>
      </c>
      <c r="AC1102">
        <v>3.35</v>
      </c>
      <c r="AE1102">
        <v>1</v>
      </c>
      <c r="AF1102" t="s">
        <v>282</v>
      </c>
      <c r="AG1102">
        <v>100</v>
      </c>
      <c r="AK1102" t="s">
        <v>98</v>
      </c>
      <c r="AM1102" t="s">
        <v>98</v>
      </c>
      <c r="AN1102" t="s">
        <v>99</v>
      </c>
      <c r="AO1102" t="s">
        <v>98</v>
      </c>
      <c r="AP1102" t="s">
        <v>100</v>
      </c>
      <c r="AQ1102" t="s">
        <v>101</v>
      </c>
      <c r="AV1102" t="s">
        <v>98</v>
      </c>
      <c r="AX1102" t="s">
        <v>1918</v>
      </c>
      <c r="AZ1102" t="s">
        <v>102</v>
      </c>
      <c r="BB1102" t="s">
        <v>7528</v>
      </c>
      <c r="BC1102" t="s">
        <v>7528</v>
      </c>
      <c r="BD1102" t="s">
        <v>7528</v>
      </c>
      <c r="BF1102" t="s">
        <v>3498</v>
      </c>
      <c r="BG1102" t="s">
        <v>99</v>
      </c>
      <c r="BH1102" t="s">
        <v>98</v>
      </c>
      <c r="BI1102" t="s">
        <v>98</v>
      </c>
      <c r="BJ1102" t="s">
        <v>99</v>
      </c>
      <c r="BK1102" t="s">
        <v>453</v>
      </c>
      <c r="BL1102" t="s">
        <v>128</v>
      </c>
      <c r="BM1102">
        <v>5.63</v>
      </c>
      <c r="BN1102">
        <v>1.25</v>
      </c>
      <c r="CA1102">
        <v>72212</v>
      </c>
      <c r="CB1102" t="s">
        <v>1918</v>
      </c>
      <c r="CL1102" t="s">
        <v>99</v>
      </c>
      <c r="CM1102" t="s">
        <v>98</v>
      </c>
      <c r="CN1102" t="s">
        <v>3227</v>
      </c>
      <c r="CO1102" s="1">
        <v>40609</v>
      </c>
      <c r="CP1102" s="1">
        <v>43633</v>
      </c>
    </row>
    <row r="1103" spans="1:94" x14ac:dyDescent="0.25">
      <c r="A1103" t="s">
        <v>3499</v>
      </c>
      <c r="B1103" t="str">
        <f xml:space="preserve"> "" &amp; 747396087382</f>
        <v>747396087382</v>
      </c>
      <c r="C1103" t="s">
        <v>1577</v>
      </c>
      <c r="D1103" t="s">
        <v>3500</v>
      </c>
      <c r="E1103" t="s">
        <v>3501</v>
      </c>
      <c r="F1103" t="s">
        <v>2823</v>
      </c>
      <c r="G1103">
        <v>1</v>
      </c>
      <c r="H1103">
        <v>1</v>
      </c>
      <c r="I1103" t="s">
        <v>97</v>
      </c>
      <c r="J1103" s="10">
        <v>64</v>
      </c>
      <c r="K1103" s="10">
        <v>192</v>
      </c>
      <c r="L1103" s="10">
        <v>0</v>
      </c>
      <c r="N1103" s="10">
        <v>0</v>
      </c>
      <c r="O1103" t="s">
        <v>99</v>
      </c>
      <c r="P1103" s="10">
        <v>129.94999999999999</v>
      </c>
      <c r="S1103">
        <v>11.5</v>
      </c>
      <c r="T1103">
        <v>12.25</v>
      </c>
      <c r="U1103">
        <v>5</v>
      </c>
      <c r="V1103">
        <v>5.75</v>
      </c>
      <c r="W1103">
        <v>2.4500000000000002</v>
      </c>
      <c r="Y1103">
        <v>9.8800000000000008</v>
      </c>
      <c r="Z1103">
        <v>12.25</v>
      </c>
      <c r="AA1103">
        <v>7.13</v>
      </c>
      <c r="AB1103">
        <v>0.499</v>
      </c>
      <c r="AC1103">
        <v>3.33</v>
      </c>
      <c r="AE1103">
        <v>1</v>
      </c>
      <c r="AF1103" t="s">
        <v>598</v>
      </c>
      <c r="AG1103">
        <v>60</v>
      </c>
      <c r="AK1103" t="s">
        <v>98</v>
      </c>
      <c r="AM1103" t="s">
        <v>98</v>
      </c>
      <c r="AN1103" t="s">
        <v>99</v>
      </c>
      <c r="AO1103" t="s">
        <v>98</v>
      </c>
      <c r="AP1103" t="s">
        <v>100</v>
      </c>
      <c r="AQ1103" t="s">
        <v>101</v>
      </c>
      <c r="AV1103" t="s">
        <v>98</v>
      </c>
      <c r="AX1103" t="s">
        <v>3182</v>
      </c>
      <c r="AZ1103" t="s">
        <v>124</v>
      </c>
      <c r="BB1103" t="s">
        <v>7528</v>
      </c>
      <c r="BC1103" t="s">
        <v>7528</v>
      </c>
      <c r="BD1103" t="s">
        <v>7528</v>
      </c>
      <c r="BF1103" t="s">
        <v>3502</v>
      </c>
      <c r="BG1103" t="s">
        <v>98</v>
      </c>
      <c r="BH1103" t="s">
        <v>98</v>
      </c>
      <c r="BI1103" t="s">
        <v>98</v>
      </c>
      <c r="BJ1103" t="s">
        <v>99</v>
      </c>
      <c r="BK1103" t="s">
        <v>453</v>
      </c>
      <c r="BL1103" t="s">
        <v>7528</v>
      </c>
      <c r="BR1103">
        <v>5.13</v>
      </c>
      <c r="BT1103">
        <v>5.13</v>
      </c>
      <c r="CA1103">
        <v>72231</v>
      </c>
      <c r="CB1103" t="s">
        <v>3182</v>
      </c>
      <c r="CL1103" t="s">
        <v>98</v>
      </c>
      <c r="CM1103" t="s">
        <v>98</v>
      </c>
      <c r="CN1103" t="s">
        <v>3503</v>
      </c>
      <c r="CO1103" s="1">
        <v>41411</v>
      </c>
      <c r="CP1103" s="1">
        <v>43633</v>
      </c>
    </row>
    <row r="1104" spans="1:94" x14ac:dyDescent="0.25">
      <c r="A1104" t="s">
        <v>3504</v>
      </c>
      <c r="B1104" t="str">
        <f xml:space="preserve"> "" &amp; 747396087399</f>
        <v>747396087399</v>
      </c>
      <c r="C1104" t="s">
        <v>1577</v>
      </c>
      <c r="D1104" t="s">
        <v>3500</v>
      </c>
      <c r="E1104" t="s">
        <v>3501</v>
      </c>
      <c r="F1104" t="s">
        <v>2823</v>
      </c>
      <c r="G1104">
        <v>1</v>
      </c>
      <c r="H1104">
        <v>1</v>
      </c>
      <c r="I1104" t="s">
        <v>97</v>
      </c>
      <c r="J1104" s="10">
        <v>85</v>
      </c>
      <c r="K1104" s="10">
        <v>255</v>
      </c>
      <c r="L1104" s="10">
        <v>0</v>
      </c>
      <c r="N1104" s="10">
        <v>0</v>
      </c>
      <c r="O1104" t="s">
        <v>99</v>
      </c>
      <c r="P1104" s="10">
        <v>169.95</v>
      </c>
      <c r="S1104">
        <v>16.5</v>
      </c>
      <c r="U1104">
        <v>6.5</v>
      </c>
      <c r="V1104">
        <v>7.25</v>
      </c>
      <c r="W1104">
        <v>3.2</v>
      </c>
      <c r="Y1104">
        <v>14.25</v>
      </c>
      <c r="Z1104">
        <v>14.25</v>
      </c>
      <c r="AA1104">
        <v>9</v>
      </c>
      <c r="AB1104">
        <v>1.0580000000000001</v>
      </c>
      <c r="AC1104">
        <v>4.72</v>
      </c>
      <c r="AE1104">
        <v>1</v>
      </c>
      <c r="AF1104" t="s">
        <v>282</v>
      </c>
      <c r="AG1104">
        <v>100</v>
      </c>
      <c r="AK1104" t="s">
        <v>98</v>
      </c>
      <c r="AM1104" t="s">
        <v>98</v>
      </c>
      <c r="AN1104" t="s">
        <v>99</v>
      </c>
      <c r="AO1104" t="s">
        <v>98</v>
      </c>
      <c r="AP1104" t="s">
        <v>100</v>
      </c>
      <c r="AQ1104" t="s">
        <v>101</v>
      </c>
      <c r="AV1104" t="s">
        <v>98</v>
      </c>
      <c r="AX1104" t="s">
        <v>3182</v>
      </c>
      <c r="AZ1104" t="s">
        <v>124</v>
      </c>
      <c r="BB1104" t="s">
        <v>235</v>
      </c>
      <c r="BC1104" t="s">
        <v>3505</v>
      </c>
      <c r="BD1104" t="s">
        <v>7528</v>
      </c>
      <c r="BF1104" t="s">
        <v>3506</v>
      </c>
      <c r="BG1104" t="s">
        <v>98</v>
      </c>
      <c r="BH1104" t="s">
        <v>98</v>
      </c>
      <c r="BI1104" t="s">
        <v>98</v>
      </c>
      <c r="BJ1104" t="s">
        <v>99</v>
      </c>
      <c r="BK1104" t="s">
        <v>453</v>
      </c>
      <c r="BL1104" t="s">
        <v>7528</v>
      </c>
      <c r="BR1104">
        <v>5.13</v>
      </c>
      <c r="BT1104">
        <v>5.13</v>
      </c>
      <c r="CA1104">
        <v>72232</v>
      </c>
      <c r="CB1104" t="s">
        <v>3182</v>
      </c>
      <c r="CL1104" t="s">
        <v>98</v>
      </c>
      <c r="CM1104" t="s">
        <v>98</v>
      </c>
      <c r="CN1104" t="s">
        <v>7528</v>
      </c>
      <c r="CO1104" s="1">
        <v>41410</v>
      </c>
      <c r="CP1104" s="1">
        <v>43633</v>
      </c>
    </row>
    <row r="1105" spans="1:94" x14ac:dyDescent="0.25">
      <c r="A1105" t="s">
        <v>3507</v>
      </c>
      <c r="B1105" t="str">
        <f xml:space="preserve"> "" &amp; 747396087405</f>
        <v>747396087405</v>
      </c>
      <c r="C1105" t="s">
        <v>1799</v>
      </c>
      <c r="D1105" t="s">
        <v>3508</v>
      </c>
      <c r="E1105" t="s">
        <v>3501</v>
      </c>
      <c r="F1105" t="s">
        <v>2823</v>
      </c>
      <c r="G1105">
        <v>1</v>
      </c>
      <c r="H1105">
        <v>1</v>
      </c>
      <c r="I1105" t="s">
        <v>97</v>
      </c>
      <c r="J1105" s="10">
        <v>105</v>
      </c>
      <c r="K1105" s="10">
        <v>315</v>
      </c>
      <c r="L1105" s="10">
        <v>0</v>
      </c>
      <c r="N1105" s="10">
        <v>0</v>
      </c>
      <c r="O1105" t="s">
        <v>99</v>
      </c>
      <c r="P1105" s="10">
        <v>209.95</v>
      </c>
      <c r="S1105">
        <v>19</v>
      </c>
      <c r="U1105">
        <v>8</v>
      </c>
      <c r="V1105">
        <v>9.25</v>
      </c>
      <c r="W1105">
        <v>4.5</v>
      </c>
      <c r="Y1105">
        <v>21.25</v>
      </c>
      <c r="Z1105">
        <v>11.38</v>
      </c>
      <c r="AA1105">
        <v>9.5</v>
      </c>
      <c r="AB1105">
        <v>1.329</v>
      </c>
      <c r="AC1105">
        <v>6.31</v>
      </c>
      <c r="AE1105">
        <v>3</v>
      </c>
      <c r="AF1105" t="s">
        <v>519</v>
      </c>
      <c r="AG1105">
        <v>60</v>
      </c>
      <c r="AK1105" t="s">
        <v>98</v>
      </c>
      <c r="AM1105" t="s">
        <v>98</v>
      </c>
      <c r="AN1105" t="s">
        <v>99</v>
      </c>
      <c r="AO1105" t="s">
        <v>98</v>
      </c>
      <c r="AP1105" t="s">
        <v>100</v>
      </c>
      <c r="AQ1105" t="s">
        <v>101</v>
      </c>
      <c r="AV1105" t="s">
        <v>98</v>
      </c>
      <c r="AX1105" t="s">
        <v>3182</v>
      </c>
      <c r="AZ1105" t="s">
        <v>124</v>
      </c>
      <c r="BB1105" t="s">
        <v>235</v>
      </c>
      <c r="BC1105" t="s">
        <v>3505</v>
      </c>
      <c r="BD1105" t="s">
        <v>7528</v>
      </c>
      <c r="BF1105" t="s">
        <v>3509</v>
      </c>
      <c r="BG1105" t="s">
        <v>98</v>
      </c>
      <c r="BH1105" t="s">
        <v>98</v>
      </c>
      <c r="BI1105" t="s">
        <v>98</v>
      </c>
      <c r="BJ1105" t="s">
        <v>99</v>
      </c>
      <c r="BK1105" t="s">
        <v>453</v>
      </c>
      <c r="BL1105" t="s">
        <v>7528</v>
      </c>
      <c r="BR1105">
        <v>7</v>
      </c>
      <c r="BT1105">
        <v>5.13</v>
      </c>
      <c r="CA1105">
        <v>72233</v>
      </c>
      <c r="CB1105" t="s">
        <v>3182</v>
      </c>
      <c r="CL1105" t="s">
        <v>98</v>
      </c>
      <c r="CM1105" t="s">
        <v>98</v>
      </c>
      <c r="CN1105" t="s">
        <v>7528</v>
      </c>
      <c r="CO1105" s="1">
        <v>41410</v>
      </c>
      <c r="CP1105" s="1">
        <v>43633</v>
      </c>
    </row>
    <row r="1106" spans="1:94" x14ac:dyDescent="0.25">
      <c r="A1106" t="s">
        <v>3510</v>
      </c>
      <c r="B1106" t="str">
        <f xml:space="preserve"> "" &amp; 747396087429</f>
        <v>747396087429</v>
      </c>
      <c r="C1106" t="s">
        <v>3413</v>
      </c>
      <c r="D1106" t="s">
        <v>3511</v>
      </c>
      <c r="E1106" t="s">
        <v>3501</v>
      </c>
      <c r="F1106" t="s">
        <v>2823</v>
      </c>
      <c r="G1106">
        <v>1</v>
      </c>
      <c r="H1106">
        <v>1</v>
      </c>
      <c r="I1106" t="s">
        <v>97</v>
      </c>
      <c r="J1106" s="10">
        <v>78</v>
      </c>
      <c r="K1106" s="10">
        <v>234</v>
      </c>
      <c r="L1106" s="10">
        <v>0</v>
      </c>
      <c r="N1106" s="10">
        <v>0</v>
      </c>
      <c r="O1106" t="s">
        <v>99</v>
      </c>
      <c r="P1106" s="10">
        <v>154.94999999999999</v>
      </c>
      <c r="S1106">
        <v>16</v>
      </c>
      <c r="T1106">
        <v>6.25</v>
      </c>
      <c r="U1106">
        <v>6.25</v>
      </c>
      <c r="W1106">
        <v>3.59</v>
      </c>
      <c r="X1106">
        <v>1</v>
      </c>
      <c r="Y1106">
        <v>12</v>
      </c>
      <c r="Z1106">
        <v>13</v>
      </c>
      <c r="AA1106">
        <v>7.88</v>
      </c>
      <c r="AB1106">
        <v>0.71099999999999997</v>
      </c>
      <c r="AC1106">
        <v>4.78</v>
      </c>
      <c r="AE1106">
        <v>1</v>
      </c>
      <c r="AF1106" t="s">
        <v>282</v>
      </c>
      <c r="AG1106">
        <v>100</v>
      </c>
      <c r="AK1106" t="s">
        <v>98</v>
      </c>
      <c r="AM1106" t="s">
        <v>98</v>
      </c>
      <c r="AN1106" t="s">
        <v>99</v>
      </c>
      <c r="AO1106" t="s">
        <v>98</v>
      </c>
      <c r="AP1106" t="s">
        <v>100</v>
      </c>
      <c r="AQ1106" t="s">
        <v>101</v>
      </c>
      <c r="AV1106" t="s">
        <v>98</v>
      </c>
      <c r="AX1106" t="s">
        <v>3182</v>
      </c>
      <c r="AZ1106" t="s">
        <v>124</v>
      </c>
      <c r="BB1106" t="s">
        <v>235</v>
      </c>
      <c r="BC1106" t="s">
        <v>3505</v>
      </c>
      <c r="BD1106" t="s">
        <v>7528</v>
      </c>
      <c r="BF1106" t="s">
        <v>3512</v>
      </c>
      <c r="BG1106" t="s">
        <v>98</v>
      </c>
      <c r="BH1106" t="s">
        <v>98</v>
      </c>
      <c r="BI1106" t="s">
        <v>98</v>
      </c>
      <c r="BK1106" t="s">
        <v>127</v>
      </c>
      <c r="BL1106" t="s">
        <v>7528</v>
      </c>
      <c r="BR1106">
        <v>0.75</v>
      </c>
      <c r="BT1106">
        <v>5.5</v>
      </c>
      <c r="CA1106">
        <v>72234</v>
      </c>
      <c r="CB1106" t="s">
        <v>3182</v>
      </c>
      <c r="CL1106" t="s">
        <v>98</v>
      </c>
      <c r="CM1106" t="s">
        <v>98</v>
      </c>
      <c r="CN1106" t="s">
        <v>7645</v>
      </c>
      <c r="CO1106" s="1">
        <v>41410</v>
      </c>
      <c r="CP1106" s="1">
        <v>43633</v>
      </c>
    </row>
    <row r="1107" spans="1:94" x14ac:dyDescent="0.25">
      <c r="A1107" t="s">
        <v>3513</v>
      </c>
      <c r="B1107" t="str">
        <f xml:space="preserve"> "" &amp; 747396087412</f>
        <v>747396087412</v>
      </c>
      <c r="C1107" t="s">
        <v>447</v>
      </c>
      <c r="D1107" t="s">
        <v>3514</v>
      </c>
      <c r="E1107" t="s">
        <v>3501</v>
      </c>
      <c r="F1107" t="s">
        <v>2823</v>
      </c>
      <c r="G1107">
        <v>1</v>
      </c>
      <c r="H1107">
        <v>1</v>
      </c>
      <c r="I1107" t="s">
        <v>97</v>
      </c>
      <c r="J1107" s="10">
        <v>64</v>
      </c>
      <c r="K1107" s="10">
        <v>192</v>
      </c>
      <c r="L1107" s="10">
        <v>0</v>
      </c>
      <c r="N1107" s="10">
        <v>0</v>
      </c>
      <c r="O1107" t="s">
        <v>99</v>
      </c>
      <c r="P1107" s="10">
        <v>129.94999999999999</v>
      </c>
      <c r="S1107">
        <v>17.75</v>
      </c>
      <c r="U1107">
        <v>6.25</v>
      </c>
      <c r="W1107">
        <v>3.11</v>
      </c>
      <c r="X1107">
        <v>1</v>
      </c>
      <c r="Y1107">
        <v>9.3800000000000008</v>
      </c>
      <c r="Z1107">
        <v>18.88</v>
      </c>
      <c r="AA1107">
        <v>7.88</v>
      </c>
      <c r="AB1107">
        <v>0.80800000000000005</v>
      </c>
      <c r="AC1107">
        <v>4.2300000000000004</v>
      </c>
      <c r="AE1107">
        <v>1</v>
      </c>
      <c r="AF1107" t="s">
        <v>282</v>
      </c>
      <c r="AG1107">
        <v>100</v>
      </c>
      <c r="AK1107" t="s">
        <v>98</v>
      </c>
      <c r="AM1107" t="s">
        <v>98</v>
      </c>
      <c r="AN1107" t="s">
        <v>99</v>
      </c>
      <c r="AO1107" t="s">
        <v>98</v>
      </c>
      <c r="AP1107" t="s">
        <v>100</v>
      </c>
      <c r="AQ1107" t="s">
        <v>101</v>
      </c>
      <c r="AV1107" t="s">
        <v>98</v>
      </c>
      <c r="AX1107" t="s">
        <v>3182</v>
      </c>
      <c r="AZ1107" t="s">
        <v>124</v>
      </c>
      <c r="BB1107" t="s">
        <v>235</v>
      </c>
      <c r="BC1107" t="s">
        <v>3505</v>
      </c>
      <c r="BD1107" t="s">
        <v>7528</v>
      </c>
      <c r="BF1107" t="s">
        <v>3515</v>
      </c>
      <c r="BG1107" t="s">
        <v>98</v>
      </c>
      <c r="BH1107" t="s">
        <v>98</v>
      </c>
      <c r="BI1107" t="s">
        <v>98</v>
      </c>
      <c r="BJ1107" t="s">
        <v>99</v>
      </c>
      <c r="BK1107" t="s">
        <v>453</v>
      </c>
      <c r="BL1107" t="s">
        <v>7528</v>
      </c>
      <c r="CA1107">
        <v>72236</v>
      </c>
      <c r="CB1107" t="s">
        <v>3182</v>
      </c>
      <c r="CL1107" t="s">
        <v>99</v>
      </c>
      <c r="CM1107" t="s">
        <v>98</v>
      </c>
      <c r="CN1107" t="s">
        <v>7528</v>
      </c>
      <c r="CO1107" s="1">
        <v>41410</v>
      </c>
      <c r="CP1107" s="1">
        <v>43633</v>
      </c>
    </row>
    <row r="1108" spans="1:94" x14ac:dyDescent="0.25">
      <c r="A1108" t="s">
        <v>3516</v>
      </c>
      <c r="B1108" t="str">
        <f xml:space="preserve"> "" &amp; 747396078571</f>
        <v>747396078571</v>
      </c>
      <c r="C1108" t="s">
        <v>3185</v>
      </c>
      <c r="D1108" t="s">
        <v>3517</v>
      </c>
      <c r="E1108" t="s">
        <v>3518</v>
      </c>
      <c r="F1108" t="s">
        <v>2823</v>
      </c>
      <c r="G1108">
        <v>1</v>
      </c>
      <c r="H1108">
        <v>1</v>
      </c>
      <c r="I1108" t="s">
        <v>97</v>
      </c>
      <c r="J1108" s="10">
        <v>69</v>
      </c>
      <c r="K1108" s="10">
        <v>207</v>
      </c>
      <c r="L1108" s="10">
        <v>0</v>
      </c>
      <c r="N1108" s="10">
        <v>0</v>
      </c>
      <c r="O1108" t="s">
        <v>99</v>
      </c>
      <c r="P1108" s="10">
        <v>139.94999999999999</v>
      </c>
      <c r="S1108">
        <v>13</v>
      </c>
      <c r="T1108">
        <v>0</v>
      </c>
      <c r="U1108">
        <v>5.5</v>
      </c>
      <c r="V1108">
        <v>4.75</v>
      </c>
      <c r="W1108">
        <v>3.09</v>
      </c>
      <c r="Y1108">
        <v>0</v>
      </c>
      <c r="Z1108">
        <v>0</v>
      </c>
      <c r="AA1108">
        <v>0</v>
      </c>
      <c r="AB1108">
        <v>0</v>
      </c>
      <c r="AC1108">
        <v>4.1399999999999997</v>
      </c>
      <c r="AE1108">
        <v>1</v>
      </c>
      <c r="AF1108" t="s">
        <v>3519</v>
      </c>
      <c r="AG1108">
        <v>35</v>
      </c>
      <c r="AK1108" t="s">
        <v>98</v>
      </c>
      <c r="AM1108" t="s">
        <v>98</v>
      </c>
      <c r="AN1108" t="s">
        <v>99</v>
      </c>
      <c r="AO1108" t="s">
        <v>98</v>
      </c>
      <c r="AP1108" t="s">
        <v>100</v>
      </c>
      <c r="AQ1108" t="s">
        <v>101</v>
      </c>
      <c r="AV1108" t="s">
        <v>98</v>
      </c>
      <c r="AX1108" t="s">
        <v>164</v>
      </c>
      <c r="AZ1108" t="s">
        <v>102</v>
      </c>
      <c r="BB1108" t="s">
        <v>235</v>
      </c>
      <c r="BC1108" t="s">
        <v>2591</v>
      </c>
      <c r="BD1108" t="s">
        <v>7528</v>
      </c>
      <c r="BF1108" t="s">
        <v>3520</v>
      </c>
      <c r="BG1108" t="s">
        <v>99</v>
      </c>
      <c r="BH1108" t="s">
        <v>98</v>
      </c>
      <c r="BI1108" t="s">
        <v>98</v>
      </c>
      <c r="BJ1108" t="s">
        <v>99</v>
      </c>
      <c r="BK1108" t="s">
        <v>453</v>
      </c>
      <c r="BL1108" t="s">
        <v>645</v>
      </c>
      <c r="BM1108">
        <v>4.75</v>
      </c>
      <c r="BN1108">
        <v>11.5</v>
      </c>
      <c r="CA1108">
        <v>72251</v>
      </c>
      <c r="CB1108" t="s">
        <v>164</v>
      </c>
      <c r="CL1108" t="s">
        <v>99</v>
      </c>
      <c r="CM1108" t="s">
        <v>98</v>
      </c>
      <c r="CN1108" t="s">
        <v>3227</v>
      </c>
      <c r="CO1108" s="1">
        <v>40427</v>
      </c>
      <c r="CP1108" s="1">
        <v>43633</v>
      </c>
    </row>
    <row r="1109" spans="1:94" x14ac:dyDescent="0.25">
      <c r="A1109" t="s">
        <v>3521</v>
      </c>
      <c r="B1109" t="str">
        <f xml:space="preserve"> "" &amp; 747396078588</f>
        <v>747396078588</v>
      </c>
      <c r="C1109" t="s">
        <v>3185</v>
      </c>
      <c r="D1109" t="s">
        <v>3517</v>
      </c>
      <c r="E1109" t="s">
        <v>3518</v>
      </c>
      <c r="F1109" t="s">
        <v>2823</v>
      </c>
      <c r="G1109">
        <v>1</v>
      </c>
      <c r="H1109">
        <v>1</v>
      </c>
      <c r="I1109" t="s">
        <v>97</v>
      </c>
      <c r="J1109" s="10">
        <v>99</v>
      </c>
      <c r="K1109" s="10">
        <v>297</v>
      </c>
      <c r="L1109" s="10">
        <v>0</v>
      </c>
      <c r="N1109" s="10">
        <v>0</v>
      </c>
      <c r="O1109" t="s">
        <v>99</v>
      </c>
      <c r="P1109" s="10">
        <v>199.95</v>
      </c>
      <c r="S1109">
        <v>18.5</v>
      </c>
      <c r="T1109">
        <v>0</v>
      </c>
      <c r="U1109">
        <v>5.5</v>
      </c>
      <c r="V1109">
        <v>4.75</v>
      </c>
      <c r="W1109">
        <v>4.28</v>
      </c>
      <c r="Y1109">
        <v>0</v>
      </c>
      <c r="Z1109">
        <v>0</v>
      </c>
      <c r="AA1109">
        <v>0</v>
      </c>
      <c r="AB1109">
        <v>0</v>
      </c>
      <c r="AC1109">
        <v>5.2</v>
      </c>
      <c r="AE1109">
        <v>1</v>
      </c>
      <c r="AF1109" t="s">
        <v>3522</v>
      </c>
      <c r="AG1109">
        <v>35</v>
      </c>
      <c r="AK1109" t="s">
        <v>98</v>
      </c>
      <c r="AM1109" t="s">
        <v>98</v>
      </c>
      <c r="AN1109" t="s">
        <v>99</v>
      </c>
      <c r="AO1109" t="s">
        <v>98</v>
      </c>
      <c r="AP1109" t="s">
        <v>100</v>
      </c>
      <c r="AQ1109" t="s">
        <v>101</v>
      </c>
      <c r="AV1109" t="s">
        <v>98</v>
      </c>
      <c r="AX1109" t="s">
        <v>164</v>
      </c>
      <c r="AZ1109" t="s">
        <v>102</v>
      </c>
      <c r="BB1109" t="s">
        <v>235</v>
      </c>
      <c r="BC1109" t="s">
        <v>2591</v>
      </c>
      <c r="BD1109" t="s">
        <v>7528</v>
      </c>
      <c r="BF1109" t="s">
        <v>3523</v>
      </c>
      <c r="BG1109" t="s">
        <v>99</v>
      </c>
      <c r="BH1109" t="s">
        <v>98</v>
      </c>
      <c r="BI1109" t="s">
        <v>98</v>
      </c>
      <c r="BJ1109" t="s">
        <v>99</v>
      </c>
      <c r="BK1109" t="s">
        <v>453</v>
      </c>
      <c r="BL1109" t="s">
        <v>645</v>
      </c>
      <c r="BM1109">
        <v>4.75</v>
      </c>
      <c r="BN1109">
        <v>17</v>
      </c>
      <c r="CA1109">
        <v>72252</v>
      </c>
      <c r="CB1109" t="s">
        <v>164</v>
      </c>
      <c r="CL1109" t="s">
        <v>99</v>
      </c>
      <c r="CM1109" t="s">
        <v>98</v>
      </c>
      <c r="CN1109" t="s">
        <v>3227</v>
      </c>
      <c r="CO1109" s="1">
        <v>40427</v>
      </c>
      <c r="CP1109" s="1">
        <v>43633</v>
      </c>
    </row>
    <row r="1110" spans="1:94" x14ac:dyDescent="0.25">
      <c r="A1110" t="s">
        <v>3524</v>
      </c>
      <c r="B1110" t="str">
        <f xml:space="preserve"> "" &amp; 747396078595</f>
        <v>747396078595</v>
      </c>
      <c r="C1110" t="s">
        <v>3525</v>
      </c>
      <c r="D1110" t="s">
        <v>3526</v>
      </c>
      <c r="E1110" t="s">
        <v>3518</v>
      </c>
      <c r="F1110" t="s">
        <v>2823</v>
      </c>
      <c r="G1110">
        <v>1</v>
      </c>
      <c r="H1110">
        <v>1</v>
      </c>
      <c r="I1110" t="s">
        <v>97</v>
      </c>
      <c r="J1110" s="10">
        <v>138</v>
      </c>
      <c r="K1110" s="10">
        <v>414</v>
      </c>
      <c r="L1110" s="10">
        <v>0</v>
      </c>
      <c r="N1110" s="10">
        <v>0</v>
      </c>
      <c r="O1110" t="s">
        <v>99</v>
      </c>
      <c r="P1110" s="10">
        <v>274.95</v>
      </c>
      <c r="S1110">
        <v>23</v>
      </c>
      <c r="T1110">
        <v>0</v>
      </c>
      <c r="U1110">
        <v>8.5</v>
      </c>
      <c r="V1110">
        <v>7.5</v>
      </c>
      <c r="W1110">
        <v>9.17</v>
      </c>
      <c r="Y1110">
        <v>0</v>
      </c>
      <c r="Z1110">
        <v>0</v>
      </c>
      <c r="AA1110">
        <v>0</v>
      </c>
      <c r="AB1110">
        <v>0</v>
      </c>
      <c r="AC1110">
        <v>11.64</v>
      </c>
      <c r="AE1110">
        <v>2</v>
      </c>
      <c r="AF1110" t="s">
        <v>3527</v>
      </c>
      <c r="AG1110">
        <v>35</v>
      </c>
      <c r="AK1110" t="s">
        <v>98</v>
      </c>
      <c r="AM1110" t="s">
        <v>98</v>
      </c>
      <c r="AN1110" t="s">
        <v>99</v>
      </c>
      <c r="AO1110" t="s">
        <v>98</v>
      </c>
      <c r="AP1110" t="s">
        <v>100</v>
      </c>
      <c r="AQ1110" t="s">
        <v>101</v>
      </c>
      <c r="AV1110" t="s">
        <v>98</v>
      </c>
      <c r="AX1110" t="s">
        <v>164</v>
      </c>
      <c r="AZ1110" t="s">
        <v>102</v>
      </c>
      <c r="BB1110" t="s">
        <v>235</v>
      </c>
      <c r="BC1110" t="s">
        <v>2591</v>
      </c>
      <c r="BD1110" t="s">
        <v>7528</v>
      </c>
      <c r="BF1110" t="s">
        <v>3528</v>
      </c>
      <c r="BG1110" t="s">
        <v>99</v>
      </c>
      <c r="BH1110" t="s">
        <v>98</v>
      </c>
      <c r="BI1110" t="s">
        <v>98</v>
      </c>
      <c r="BJ1110" t="s">
        <v>99</v>
      </c>
      <c r="BK1110" t="s">
        <v>453</v>
      </c>
      <c r="BL1110" t="s">
        <v>645</v>
      </c>
      <c r="BM1110">
        <v>6</v>
      </c>
      <c r="BN1110">
        <v>21.5</v>
      </c>
      <c r="CA1110">
        <v>72253</v>
      </c>
      <c r="CB1110" t="s">
        <v>164</v>
      </c>
      <c r="CL1110" t="s">
        <v>99</v>
      </c>
      <c r="CM1110" t="s">
        <v>98</v>
      </c>
      <c r="CN1110" t="s">
        <v>3227</v>
      </c>
      <c r="CO1110" s="1">
        <v>40427</v>
      </c>
      <c r="CP1110" s="1">
        <v>43633</v>
      </c>
    </row>
    <row r="1111" spans="1:94" x14ac:dyDescent="0.25">
      <c r="A1111" t="s">
        <v>3529</v>
      </c>
      <c r="B1111" t="str">
        <f xml:space="preserve"> "" &amp; 747396083544</f>
        <v>747396083544</v>
      </c>
      <c r="C1111" t="s">
        <v>1577</v>
      </c>
      <c r="D1111" t="s">
        <v>3530</v>
      </c>
      <c r="E1111" t="s">
        <v>3531</v>
      </c>
      <c r="F1111" t="s">
        <v>2823</v>
      </c>
      <c r="G1111">
        <v>1</v>
      </c>
      <c r="H1111">
        <v>1</v>
      </c>
      <c r="I1111" t="s">
        <v>97</v>
      </c>
      <c r="J1111" s="10">
        <v>52</v>
      </c>
      <c r="K1111" s="10">
        <v>156</v>
      </c>
      <c r="L1111" s="10">
        <v>0</v>
      </c>
      <c r="N1111" s="10">
        <v>0</v>
      </c>
      <c r="O1111" t="s">
        <v>99</v>
      </c>
      <c r="P1111" s="10">
        <v>104.95</v>
      </c>
      <c r="S1111">
        <v>10</v>
      </c>
      <c r="T1111">
        <v>8.8800000000000008</v>
      </c>
      <c r="U1111">
        <v>5.75</v>
      </c>
      <c r="V1111">
        <v>6.75</v>
      </c>
      <c r="W1111">
        <v>2.38</v>
      </c>
      <c r="Y1111">
        <v>14.75</v>
      </c>
      <c r="Z1111">
        <v>8.8800000000000008</v>
      </c>
      <c r="AA1111">
        <v>8.1300000000000008</v>
      </c>
      <c r="AB1111">
        <v>0.61599999999999999</v>
      </c>
      <c r="AC1111">
        <v>3.48</v>
      </c>
      <c r="AE1111">
        <v>1</v>
      </c>
      <c r="AF1111" t="s">
        <v>282</v>
      </c>
      <c r="AG1111">
        <v>100</v>
      </c>
      <c r="AK1111" t="s">
        <v>98</v>
      </c>
      <c r="AM1111" t="s">
        <v>98</v>
      </c>
      <c r="AN1111" t="s">
        <v>99</v>
      </c>
      <c r="AO1111" t="s">
        <v>98</v>
      </c>
      <c r="AP1111" t="s">
        <v>100</v>
      </c>
      <c r="AQ1111" t="s">
        <v>101</v>
      </c>
      <c r="AV1111" t="s">
        <v>98</v>
      </c>
      <c r="AX1111" t="s">
        <v>3491</v>
      </c>
      <c r="AZ1111" t="s">
        <v>102</v>
      </c>
      <c r="BB1111" t="s">
        <v>235</v>
      </c>
      <c r="BC1111" t="s">
        <v>460</v>
      </c>
      <c r="BD1111" t="s">
        <v>7528</v>
      </c>
      <c r="BF1111" t="s">
        <v>3532</v>
      </c>
      <c r="BG1111" t="s">
        <v>98</v>
      </c>
      <c r="BH1111" t="s">
        <v>98</v>
      </c>
      <c r="BI1111" t="s">
        <v>98</v>
      </c>
      <c r="BJ1111" t="s">
        <v>99</v>
      </c>
      <c r="BK1111" t="s">
        <v>453</v>
      </c>
      <c r="BL1111" t="s">
        <v>128</v>
      </c>
      <c r="BR1111">
        <v>6.5</v>
      </c>
      <c r="BT1111">
        <v>4.63</v>
      </c>
      <c r="CA1111">
        <v>72311</v>
      </c>
      <c r="CB1111" t="s">
        <v>3491</v>
      </c>
      <c r="CL1111" t="s">
        <v>99</v>
      </c>
      <c r="CM1111" t="s">
        <v>98</v>
      </c>
      <c r="CN1111" t="s">
        <v>3227</v>
      </c>
      <c r="CO1111" s="1">
        <v>40978</v>
      </c>
      <c r="CP1111" s="1">
        <v>43633</v>
      </c>
    </row>
    <row r="1112" spans="1:94" x14ac:dyDescent="0.25">
      <c r="A1112" t="s">
        <v>3533</v>
      </c>
      <c r="B1112" t="str">
        <f xml:space="preserve"> "" &amp; 747396083551</f>
        <v>747396083551</v>
      </c>
      <c r="C1112" t="s">
        <v>1577</v>
      </c>
      <c r="D1112" t="s">
        <v>3530</v>
      </c>
      <c r="E1112" t="s">
        <v>3531</v>
      </c>
      <c r="F1112" t="s">
        <v>2823</v>
      </c>
      <c r="G1112">
        <v>1</v>
      </c>
      <c r="H1112">
        <v>1</v>
      </c>
      <c r="I1112" t="s">
        <v>97</v>
      </c>
      <c r="J1112" s="10">
        <v>70</v>
      </c>
      <c r="K1112" s="10">
        <v>210</v>
      </c>
      <c r="L1112" s="10">
        <v>0</v>
      </c>
      <c r="N1112" s="10">
        <v>0</v>
      </c>
      <c r="O1112" t="s">
        <v>99</v>
      </c>
      <c r="P1112" s="10">
        <v>139.94999999999999</v>
      </c>
      <c r="S1112">
        <v>12.5</v>
      </c>
      <c r="U1112">
        <v>7</v>
      </c>
      <c r="V1112">
        <v>8</v>
      </c>
      <c r="W1112">
        <v>3.11</v>
      </c>
      <c r="Y1112">
        <v>18.13</v>
      </c>
      <c r="Z1112">
        <v>10.5</v>
      </c>
      <c r="AA1112">
        <v>9.6300000000000008</v>
      </c>
      <c r="AB1112">
        <v>1.0609999999999999</v>
      </c>
      <c r="AC1112">
        <v>4.76</v>
      </c>
      <c r="AE1112">
        <v>1</v>
      </c>
      <c r="AF1112" t="s">
        <v>598</v>
      </c>
      <c r="AG1112">
        <v>100</v>
      </c>
      <c r="AK1112" t="s">
        <v>98</v>
      </c>
      <c r="AM1112" t="s">
        <v>98</v>
      </c>
      <c r="AN1112" t="s">
        <v>99</v>
      </c>
      <c r="AO1112" t="s">
        <v>98</v>
      </c>
      <c r="AP1112" t="s">
        <v>100</v>
      </c>
      <c r="AQ1112" t="s">
        <v>101</v>
      </c>
      <c r="AV1112" t="s">
        <v>98</v>
      </c>
      <c r="AX1112" t="s">
        <v>3491</v>
      </c>
      <c r="AZ1112" t="s">
        <v>102</v>
      </c>
      <c r="BB1112" t="s">
        <v>235</v>
      </c>
      <c r="BC1112" t="s">
        <v>460</v>
      </c>
      <c r="BD1112" t="s">
        <v>7528</v>
      </c>
      <c r="BF1112" t="s">
        <v>3534</v>
      </c>
      <c r="BG1112" t="s">
        <v>98</v>
      </c>
      <c r="BH1112" t="s">
        <v>98</v>
      </c>
      <c r="BI1112" t="s">
        <v>98</v>
      </c>
      <c r="BJ1112" t="s">
        <v>99</v>
      </c>
      <c r="BK1112" t="s">
        <v>453</v>
      </c>
      <c r="BL1112" t="s">
        <v>128</v>
      </c>
      <c r="BR1112">
        <v>6.5</v>
      </c>
      <c r="BT1112">
        <v>4.63</v>
      </c>
      <c r="CA1112">
        <v>72312</v>
      </c>
      <c r="CB1112" t="s">
        <v>3491</v>
      </c>
      <c r="CL1112" t="s">
        <v>99</v>
      </c>
      <c r="CM1112" t="s">
        <v>98</v>
      </c>
      <c r="CN1112" t="s">
        <v>3227</v>
      </c>
      <c r="CO1112" s="1">
        <v>40806</v>
      </c>
      <c r="CP1112" s="1">
        <v>43633</v>
      </c>
    </row>
    <row r="1113" spans="1:94" x14ac:dyDescent="0.25">
      <c r="A1113" t="s">
        <v>3535</v>
      </c>
      <c r="B1113" t="str">
        <f xml:space="preserve"> "" &amp; 747396083568</f>
        <v>747396083568</v>
      </c>
      <c r="C1113" t="s">
        <v>1577</v>
      </c>
      <c r="D1113" t="s">
        <v>3530</v>
      </c>
      <c r="E1113" t="s">
        <v>3531</v>
      </c>
      <c r="F1113" t="s">
        <v>2823</v>
      </c>
      <c r="G1113">
        <v>1</v>
      </c>
      <c r="H1113">
        <v>1</v>
      </c>
      <c r="I1113" t="s">
        <v>97</v>
      </c>
      <c r="J1113" s="10">
        <v>115</v>
      </c>
      <c r="K1113" s="10">
        <v>345</v>
      </c>
      <c r="L1113" s="10">
        <v>0</v>
      </c>
      <c r="N1113" s="10">
        <v>0</v>
      </c>
      <c r="O1113" t="s">
        <v>99</v>
      </c>
      <c r="P1113" s="10">
        <v>229.95</v>
      </c>
      <c r="S1113">
        <v>16.25</v>
      </c>
      <c r="U1113">
        <v>9.5</v>
      </c>
      <c r="V1113">
        <v>10.5</v>
      </c>
      <c r="W1113">
        <v>6</v>
      </c>
      <c r="Y1113">
        <v>22.25</v>
      </c>
      <c r="Z1113">
        <v>13.25</v>
      </c>
      <c r="AA1113">
        <v>12.25</v>
      </c>
      <c r="AB1113">
        <v>2.09</v>
      </c>
      <c r="AC1113">
        <v>8.84</v>
      </c>
      <c r="AE1113">
        <v>1</v>
      </c>
      <c r="AF1113" t="s">
        <v>598</v>
      </c>
      <c r="AG1113">
        <v>100</v>
      </c>
      <c r="AK1113" t="s">
        <v>98</v>
      </c>
      <c r="AM1113" t="s">
        <v>98</v>
      </c>
      <c r="AN1113" t="s">
        <v>99</v>
      </c>
      <c r="AO1113" t="s">
        <v>98</v>
      </c>
      <c r="AP1113" t="s">
        <v>100</v>
      </c>
      <c r="AQ1113" t="s">
        <v>101</v>
      </c>
      <c r="AV1113" t="s">
        <v>98</v>
      </c>
      <c r="AX1113" t="s">
        <v>3491</v>
      </c>
      <c r="AZ1113" t="s">
        <v>102</v>
      </c>
      <c r="BB1113" t="s">
        <v>235</v>
      </c>
      <c r="BC1113" t="s">
        <v>460</v>
      </c>
      <c r="BD1113" t="s">
        <v>7528</v>
      </c>
      <c r="BF1113" t="s">
        <v>3536</v>
      </c>
      <c r="BG1113" t="s">
        <v>98</v>
      </c>
      <c r="BH1113" t="s">
        <v>98</v>
      </c>
      <c r="BI1113" t="s">
        <v>98</v>
      </c>
      <c r="BJ1113" t="s">
        <v>99</v>
      </c>
      <c r="BK1113" t="s">
        <v>453</v>
      </c>
      <c r="BL1113" t="s">
        <v>128</v>
      </c>
      <c r="CA1113">
        <v>72313</v>
      </c>
      <c r="CB1113" t="s">
        <v>3491</v>
      </c>
      <c r="CL1113" t="s">
        <v>99</v>
      </c>
      <c r="CM1113" t="s">
        <v>98</v>
      </c>
      <c r="CN1113" t="s">
        <v>3227</v>
      </c>
      <c r="CO1113" s="1">
        <v>40806</v>
      </c>
      <c r="CP1113" s="1">
        <v>43633</v>
      </c>
    </row>
    <row r="1114" spans="1:94" x14ac:dyDescent="0.25">
      <c r="A1114" t="s">
        <v>3537</v>
      </c>
      <c r="B1114" t="str">
        <f xml:space="preserve"> "" &amp; 747396083605</f>
        <v>747396083605</v>
      </c>
      <c r="C1114" t="s">
        <v>1577</v>
      </c>
      <c r="D1114" t="s">
        <v>3538</v>
      </c>
      <c r="E1114" t="s">
        <v>3539</v>
      </c>
      <c r="F1114" t="s">
        <v>2823</v>
      </c>
      <c r="G1114">
        <v>1</v>
      </c>
      <c r="H1114">
        <v>1</v>
      </c>
      <c r="I1114" t="s">
        <v>97</v>
      </c>
      <c r="J1114" s="10">
        <v>40</v>
      </c>
      <c r="K1114" s="10">
        <v>120</v>
      </c>
      <c r="L1114" s="10">
        <v>0</v>
      </c>
      <c r="N1114" s="10">
        <v>0</v>
      </c>
      <c r="S1114">
        <v>11</v>
      </c>
      <c r="T1114">
        <v>7.5</v>
      </c>
      <c r="U1114">
        <v>4.75</v>
      </c>
      <c r="V1114">
        <v>3.5</v>
      </c>
      <c r="W1114">
        <v>4.32</v>
      </c>
      <c r="Y1114">
        <v>16.5</v>
      </c>
      <c r="Z1114">
        <v>7.5</v>
      </c>
      <c r="AA1114">
        <v>6.75</v>
      </c>
      <c r="AB1114">
        <v>0.48299999999999998</v>
      </c>
      <c r="AC1114">
        <v>5.2</v>
      </c>
      <c r="AE1114">
        <v>0</v>
      </c>
      <c r="AF1114" t="s">
        <v>1917</v>
      </c>
      <c r="AG1114">
        <v>35</v>
      </c>
      <c r="AK1114" t="s">
        <v>98</v>
      </c>
      <c r="AM1114" t="s">
        <v>98</v>
      </c>
      <c r="AN1114" t="s">
        <v>99</v>
      </c>
      <c r="AO1114" t="s">
        <v>98</v>
      </c>
      <c r="AP1114" t="s">
        <v>100</v>
      </c>
      <c r="AQ1114" t="s">
        <v>101</v>
      </c>
      <c r="AV1114" t="s">
        <v>98</v>
      </c>
      <c r="AX1114" t="s">
        <v>3540</v>
      </c>
      <c r="AZ1114" t="s">
        <v>392</v>
      </c>
      <c r="BB1114" t="s">
        <v>235</v>
      </c>
      <c r="BC1114" t="s">
        <v>746</v>
      </c>
      <c r="BD1114" t="s">
        <v>7528</v>
      </c>
      <c r="BF1114" t="s">
        <v>3541</v>
      </c>
      <c r="BG1114" t="s">
        <v>99</v>
      </c>
      <c r="BH1114" t="s">
        <v>99</v>
      </c>
      <c r="BI1114" t="s">
        <v>98</v>
      </c>
      <c r="BJ1114" t="s">
        <v>99</v>
      </c>
      <c r="BK1114" t="s">
        <v>453</v>
      </c>
      <c r="BL1114" t="s">
        <v>128</v>
      </c>
      <c r="BM1114">
        <v>4.25</v>
      </c>
      <c r="BN1114">
        <v>10.25</v>
      </c>
      <c r="CA1114">
        <v>72321</v>
      </c>
      <c r="CB1114" t="s">
        <v>3540</v>
      </c>
      <c r="CL1114" t="s">
        <v>99</v>
      </c>
      <c r="CM1114" t="s">
        <v>98</v>
      </c>
      <c r="CN1114" t="s">
        <v>3227</v>
      </c>
      <c r="CO1114" s="1">
        <v>41452</v>
      </c>
      <c r="CP1114" s="1">
        <v>43633</v>
      </c>
    </row>
    <row r="1115" spans="1:94" x14ac:dyDescent="0.25">
      <c r="A1115" t="s">
        <v>3542</v>
      </c>
      <c r="B1115" t="str">
        <f xml:space="preserve"> "" &amp; 747396083629</f>
        <v>747396083629</v>
      </c>
      <c r="C1115" t="s">
        <v>1577</v>
      </c>
      <c r="D1115" t="s">
        <v>3543</v>
      </c>
      <c r="E1115" t="s">
        <v>3544</v>
      </c>
      <c r="F1115" t="s">
        <v>2823</v>
      </c>
      <c r="G1115">
        <v>1</v>
      </c>
      <c r="H1115">
        <v>1</v>
      </c>
      <c r="I1115" t="s">
        <v>97</v>
      </c>
      <c r="J1115" s="10">
        <v>69</v>
      </c>
      <c r="K1115" s="10">
        <v>207</v>
      </c>
      <c r="L1115" s="10">
        <v>0</v>
      </c>
      <c r="N1115" s="10">
        <v>0</v>
      </c>
      <c r="O1115" t="s">
        <v>99</v>
      </c>
      <c r="P1115" s="10">
        <v>139.94999999999999</v>
      </c>
      <c r="S1115">
        <v>11</v>
      </c>
      <c r="T1115">
        <v>9.8800000000000008</v>
      </c>
      <c r="U1115">
        <v>7</v>
      </c>
      <c r="V1115">
        <v>6.5</v>
      </c>
      <c r="W1115">
        <v>2.87</v>
      </c>
      <c r="Y1115">
        <v>13.75</v>
      </c>
      <c r="Z1115">
        <v>9.8800000000000008</v>
      </c>
      <c r="AA1115">
        <v>8.6300000000000008</v>
      </c>
      <c r="AB1115">
        <v>0.67800000000000005</v>
      </c>
      <c r="AC1115">
        <v>3.86</v>
      </c>
      <c r="AE1115">
        <v>1</v>
      </c>
      <c r="AF1115" t="s">
        <v>282</v>
      </c>
      <c r="AG1115">
        <v>100</v>
      </c>
      <c r="AK1115" t="s">
        <v>98</v>
      </c>
      <c r="AM1115" t="s">
        <v>98</v>
      </c>
      <c r="AN1115" t="s">
        <v>99</v>
      </c>
      <c r="AO1115" t="s">
        <v>98</v>
      </c>
      <c r="AP1115" t="s">
        <v>100</v>
      </c>
      <c r="AQ1115" t="s">
        <v>101</v>
      </c>
      <c r="AV1115" t="s">
        <v>98</v>
      </c>
      <c r="AX1115" t="s">
        <v>3545</v>
      </c>
      <c r="AZ1115" t="s">
        <v>124</v>
      </c>
      <c r="BB1115" t="s">
        <v>235</v>
      </c>
      <c r="BC1115" t="s">
        <v>3546</v>
      </c>
      <c r="BD1115" t="s">
        <v>7528</v>
      </c>
      <c r="BF1115" t="s">
        <v>3547</v>
      </c>
      <c r="BG1115" t="s">
        <v>98</v>
      </c>
      <c r="BH1115" t="s">
        <v>98</v>
      </c>
      <c r="BI1115" t="s">
        <v>98</v>
      </c>
      <c r="BJ1115" t="s">
        <v>99</v>
      </c>
      <c r="BK1115" t="s">
        <v>453</v>
      </c>
      <c r="BL1115" t="s">
        <v>128</v>
      </c>
      <c r="BR1115">
        <v>4.5</v>
      </c>
      <c r="BT1115">
        <v>4.5</v>
      </c>
      <c r="CA1115">
        <v>72331</v>
      </c>
      <c r="CB1115" t="s">
        <v>3545</v>
      </c>
      <c r="CL1115" t="s">
        <v>99</v>
      </c>
      <c r="CM1115" t="s">
        <v>98</v>
      </c>
      <c r="CN1115" t="s">
        <v>3227</v>
      </c>
      <c r="CO1115" s="1">
        <v>40806</v>
      </c>
      <c r="CP1115" s="1">
        <v>43633</v>
      </c>
    </row>
    <row r="1116" spans="1:94" x14ac:dyDescent="0.25">
      <c r="A1116" t="s">
        <v>3548</v>
      </c>
      <c r="B1116" t="str">
        <f xml:space="preserve"> "" &amp; 747396083636</f>
        <v>747396083636</v>
      </c>
      <c r="C1116" t="s">
        <v>1799</v>
      </c>
      <c r="D1116" t="s">
        <v>3549</v>
      </c>
      <c r="E1116" t="s">
        <v>3544</v>
      </c>
      <c r="F1116" t="s">
        <v>2823</v>
      </c>
      <c r="G1116">
        <v>1</v>
      </c>
      <c r="H1116">
        <v>1</v>
      </c>
      <c r="I1116" t="s">
        <v>97</v>
      </c>
      <c r="J1116" s="10">
        <v>105</v>
      </c>
      <c r="K1116" s="10">
        <v>315</v>
      </c>
      <c r="L1116" s="10">
        <v>0</v>
      </c>
      <c r="N1116" s="10">
        <v>0</v>
      </c>
      <c r="O1116" t="s">
        <v>99</v>
      </c>
      <c r="P1116" s="10">
        <v>209.95</v>
      </c>
      <c r="S1116">
        <v>16.5</v>
      </c>
      <c r="U1116">
        <v>9.5</v>
      </c>
      <c r="V1116">
        <v>8.75</v>
      </c>
      <c r="W1116">
        <v>7.05</v>
      </c>
      <c r="Y1116">
        <v>19.13</v>
      </c>
      <c r="Z1116">
        <v>12.25</v>
      </c>
      <c r="AA1116">
        <v>11.38</v>
      </c>
      <c r="AB1116">
        <v>1.5429999999999999</v>
      </c>
      <c r="AC1116">
        <v>9.11</v>
      </c>
      <c r="AE1116">
        <v>3</v>
      </c>
      <c r="AF1116" t="s">
        <v>519</v>
      </c>
      <c r="AG1116">
        <v>60</v>
      </c>
      <c r="AK1116" t="s">
        <v>98</v>
      </c>
      <c r="AM1116" t="s">
        <v>98</v>
      </c>
      <c r="AN1116" t="s">
        <v>99</v>
      </c>
      <c r="AO1116" t="s">
        <v>98</v>
      </c>
      <c r="AP1116" t="s">
        <v>100</v>
      </c>
      <c r="AQ1116" t="s">
        <v>101</v>
      </c>
      <c r="AV1116" t="s">
        <v>98</v>
      </c>
      <c r="AX1116" t="s">
        <v>3545</v>
      </c>
      <c r="AZ1116" t="s">
        <v>124</v>
      </c>
      <c r="BB1116" t="s">
        <v>235</v>
      </c>
      <c r="BC1116" t="s">
        <v>3546</v>
      </c>
      <c r="BD1116" t="s">
        <v>7528</v>
      </c>
      <c r="BF1116" t="s">
        <v>3550</v>
      </c>
      <c r="BG1116" t="s">
        <v>98</v>
      </c>
      <c r="BH1116" t="s">
        <v>98</v>
      </c>
      <c r="BI1116" t="s">
        <v>98</v>
      </c>
      <c r="BJ1116" t="s">
        <v>99</v>
      </c>
      <c r="BK1116" t="s">
        <v>453</v>
      </c>
      <c r="BL1116" t="s">
        <v>128</v>
      </c>
      <c r="BR1116">
        <v>6</v>
      </c>
      <c r="BT1116">
        <v>5.13</v>
      </c>
      <c r="CA1116">
        <v>72332</v>
      </c>
      <c r="CB1116" t="s">
        <v>3545</v>
      </c>
      <c r="CL1116" t="s">
        <v>99</v>
      </c>
      <c r="CM1116" t="s">
        <v>98</v>
      </c>
      <c r="CN1116" t="s">
        <v>3227</v>
      </c>
      <c r="CO1116" s="1">
        <v>40978</v>
      </c>
      <c r="CP1116" s="1">
        <v>43633</v>
      </c>
    </row>
    <row r="1117" spans="1:94" x14ac:dyDescent="0.25">
      <c r="A1117" t="s">
        <v>3551</v>
      </c>
      <c r="B1117" t="str">
        <f xml:space="preserve"> "" &amp; 747396085425</f>
        <v>747396085425</v>
      </c>
      <c r="C1117" t="s">
        <v>3403</v>
      </c>
      <c r="D1117" t="s">
        <v>3552</v>
      </c>
      <c r="E1117" t="s">
        <v>3544</v>
      </c>
      <c r="F1117" t="s">
        <v>2823</v>
      </c>
      <c r="G1117">
        <v>1</v>
      </c>
      <c r="H1117">
        <v>1</v>
      </c>
      <c r="I1117" t="s">
        <v>97</v>
      </c>
      <c r="J1117" s="10">
        <v>85</v>
      </c>
      <c r="K1117" s="10">
        <v>255</v>
      </c>
      <c r="L1117" s="10">
        <v>0</v>
      </c>
      <c r="N1117" s="10">
        <v>0</v>
      </c>
      <c r="O1117" t="s">
        <v>99</v>
      </c>
      <c r="P1117" s="10">
        <v>169.95</v>
      </c>
      <c r="S1117">
        <v>16.25</v>
      </c>
      <c r="U1117">
        <v>7.75</v>
      </c>
      <c r="W1117">
        <v>5.42</v>
      </c>
      <c r="Y1117">
        <v>19.13</v>
      </c>
      <c r="Z1117">
        <v>10.5</v>
      </c>
      <c r="AA1117">
        <v>10.5</v>
      </c>
      <c r="AB1117">
        <v>1.2210000000000001</v>
      </c>
      <c r="AC1117">
        <v>6.92</v>
      </c>
      <c r="AE1117">
        <v>3</v>
      </c>
      <c r="AF1117" t="s">
        <v>519</v>
      </c>
      <c r="AG1117">
        <v>60</v>
      </c>
      <c r="AK1117" t="s">
        <v>98</v>
      </c>
      <c r="AM1117" t="s">
        <v>98</v>
      </c>
      <c r="AN1117" t="s">
        <v>99</v>
      </c>
      <c r="AO1117" t="s">
        <v>98</v>
      </c>
      <c r="AP1117" t="s">
        <v>100</v>
      </c>
      <c r="AQ1117" t="s">
        <v>101</v>
      </c>
      <c r="AV1117" t="s">
        <v>98</v>
      </c>
      <c r="AX1117" t="s">
        <v>3545</v>
      </c>
      <c r="AZ1117" t="s">
        <v>124</v>
      </c>
      <c r="BB1117" t="s">
        <v>235</v>
      </c>
      <c r="BC1117" t="s">
        <v>3553</v>
      </c>
      <c r="BD1117" t="s">
        <v>7528</v>
      </c>
      <c r="BF1117" t="s">
        <v>3554</v>
      </c>
      <c r="BG1117" t="s">
        <v>98</v>
      </c>
      <c r="BH1117" t="s">
        <v>98</v>
      </c>
      <c r="BI1117" t="s">
        <v>98</v>
      </c>
      <c r="BJ1117" t="s">
        <v>99</v>
      </c>
      <c r="BK1117" t="s">
        <v>453</v>
      </c>
      <c r="BL1117" t="s">
        <v>7528</v>
      </c>
      <c r="CA1117">
        <v>72336</v>
      </c>
      <c r="CB1117" t="s">
        <v>3545</v>
      </c>
      <c r="CL1117" t="s">
        <v>99</v>
      </c>
      <c r="CM1117" t="s">
        <v>98</v>
      </c>
      <c r="CN1117" t="s">
        <v>7528</v>
      </c>
      <c r="CO1117" s="1">
        <v>41015</v>
      </c>
      <c r="CP1117" s="1">
        <v>43633</v>
      </c>
    </row>
    <row r="1118" spans="1:94" x14ac:dyDescent="0.25">
      <c r="A1118" t="s">
        <v>3555</v>
      </c>
      <c r="B1118" t="str">
        <f xml:space="preserve"> "" &amp; 747396083650</f>
        <v>747396083650</v>
      </c>
      <c r="C1118" t="s">
        <v>1577</v>
      </c>
      <c r="D1118" t="s">
        <v>3556</v>
      </c>
      <c r="E1118" t="s">
        <v>3557</v>
      </c>
      <c r="F1118" t="s">
        <v>449</v>
      </c>
      <c r="G1118">
        <v>1</v>
      </c>
      <c r="H1118">
        <v>1</v>
      </c>
      <c r="I1118" t="s">
        <v>97</v>
      </c>
      <c r="J1118" s="10">
        <v>69</v>
      </c>
      <c r="K1118" s="10">
        <v>207</v>
      </c>
      <c r="L1118" s="10">
        <v>0</v>
      </c>
      <c r="N1118" s="10">
        <v>0</v>
      </c>
      <c r="O1118" t="s">
        <v>99</v>
      </c>
      <c r="P1118" s="10">
        <v>134.94999999999999</v>
      </c>
      <c r="S1118">
        <v>12.5</v>
      </c>
      <c r="T1118">
        <v>11.88</v>
      </c>
      <c r="U1118">
        <v>4.5</v>
      </c>
      <c r="V1118">
        <v>5</v>
      </c>
      <c r="W1118">
        <v>3.04</v>
      </c>
      <c r="Y1118">
        <v>15.38</v>
      </c>
      <c r="Z1118">
        <v>11.88</v>
      </c>
      <c r="AA1118">
        <v>7.13</v>
      </c>
      <c r="AB1118">
        <v>0.754</v>
      </c>
      <c r="AC1118">
        <v>4.25</v>
      </c>
      <c r="AE1118">
        <v>1</v>
      </c>
      <c r="AF1118" t="s">
        <v>2784</v>
      </c>
      <c r="AG1118">
        <v>13</v>
      </c>
      <c r="AK1118" t="s">
        <v>99</v>
      </c>
      <c r="AM1118" t="s">
        <v>98</v>
      </c>
      <c r="AN1118" t="s">
        <v>99</v>
      </c>
      <c r="AO1118" t="s">
        <v>98</v>
      </c>
      <c r="AP1118" t="s">
        <v>100</v>
      </c>
      <c r="AQ1118" t="s">
        <v>101</v>
      </c>
      <c r="AV1118" t="s">
        <v>98</v>
      </c>
      <c r="AX1118" t="s">
        <v>3491</v>
      </c>
      <c r="AZ1118" t="s">
        <v>102</v>
      </c>
      <c r="BB1118" t="s">
        <v>235</v>
      </c>
      <c r="BC1118" t="s">
        <v>460</v>
      </c>
      <c r="BD1118" t="s">
        <v>7528</v>
      </c>
      <c r="BF1118" t="s">
        <v>3558</v>
      </c>
      <c r="BG1118" t="s">
        <v>98</v>
      </c>
      <c r="BH1118" t="s">
        <v>98</v>
      </c>
      <c r="BI1118" t="s">
        <v>98</v>
      </c>
      <c r="BJ1118" t="s">
        <v>99</v>
      </c>
      <c r="BK1118" t="s">
        <v>453</v>
      </c>
      <c r="BL1118" t="s">
        <v>236</v>
      </c>
      <c r="BR1118">
        <v>12.38</v>
      </c>
      <c r="BT1118">
        <v>4.5</v>
      </c>
      <c r="CA1118">
        <v>72352</v>
      </c>
      <c r="CB1118" t="s">
        <v>3491</v>
      </c>
      <c r="CL1118" t="s">
        <v>98</v>
      </c>
      <c r="CM1118" t="s">
        <v>98</v>
      </c>
      <c r="CN1118" t="s">
        <v>3227</v>
      </c>
      <c r="CO1118" s="1">
        <v>40978</v>
      </c>
      <c r="CP1118" s="1">
        <v>43633</v>
      </c>
    </row>
    <row r="1119" spans="1:94" x14ac:dyDescent="0.25">
      <c r="A1119" t="s">
        <v>3559</v>
      </c>
      <c r="B1119" t="str">
        <f xml:space="preserve"> "" &amp; 747396083667</f>
        <v>747396083667</v>
      </c>
      <c r="C1119" t="s">
        <v>1577</v>
      </c>
      <c r="D1119" t="s">
        <v>3556</v>
      </c>
      <c r="E1119" t="s">
        <v>3557</v>
      </c>
      <c r="F1119" t="s">
        <v>449</v>
      </c>
      <c r="G1119">
        <v>1</v>
      </c>
      <c r="H1119">
        <v>1</v>
      </c>
      <c r="I1119" t="s">
        <v>97</v>
      </c>
      <c r="J1119" s="10">
        <v>85</v>
      </c>
      <c r="K1119" s="10">
        <v>255</v>
      </c>
      <c r="L1119" s="10">
        <v>0</v>
      </c>
      <c r="N1119" s="10">
        <v>0</v>
      </c>
      <c r="O1119" t="s">
        <v>99</v>
      </c>
      <c r="P1119" s="10">
        <v>169.95</v>
      </c>
      <c r="S1119">
        <v>16.25</v>
      </c>
      <c r="U1119">
        <v>6</v>
      </c>
      <c r="V1119">
        <v>6.25</v>
      </c>
      <c r="W1119">
        <v>5.25</v>
      </c>
      <c r="Y1119">
        <v>18.88</v>
      </c>
      <c r="Z1119">
        <v>14.38</v>
      </c>
      <c r="AA1119">
        <v>8.6300000000000008</v>
      </c>
      <c r="AB1119">
        <v>1.3560000000000001</v>
      </c>
      <c r="AC1119">
        <v>7.25</v>
      </c>
      <c r="AE1119">
        <v>1</v>
      </c>
      <c r="AF1119" t="s">
        <v>3363</v>
      </c>
      <c r="AG1119">
        <v>26</v>
      </c>
      <c r="AK1119" t="s">
        <v>99</v>
      </c>
      <c r="AM1119" t="s">
        <v>98</v>
      </c>
      <c r="AN1119" t="s">
        <v>99</v>
      </c>
      <c r="AO1119" t="s">
        <v>98</v>
      </c>
      <c r="AP1119" t="s">
        <v>100</v>
      </c>
      <c r="AQ1119" t="s">
        <v>101</v>
      </c>
      <c r="AV1119" t="s">
        <v>98</v>
      </c>
      <c r="AX1119" t="s">
        <v>3491</v>
      </c>
      <c r="AZ1119" t="s">
        <v>102</v>
      </c>
      <c r="BB1119" t="s">
        <v>235</v>
      </c>
      <c r="BC1119" t="s">
        <v>460</v>
      </c>
      <c r="BD1119" t="s">
        <v>7528</v>
      </c>
      <c r="BF1119" t="s">
        <v>3560</v>
      </c>
      <c r="BG1119" t="s">
        <v>98</v>
      </c>
      <c r="BH1119" t="s">
        <v>98</v>
      </c>
      <c r="BI1119" t="s">
        <v>98</v>
      </c>
      <c r="BJ1119" t="s">
        <v>99</v>
      </c>
      <c r="BK1119" t="s">
        <v>453</v>
      </c>
      <c r="BL1119" t="s">
        <v>236</v>
      </c>
      <c r="BR1119">
        <v>6</v>
      </c>
      <c r="BT1119">
        <v>6</v>
      </c>
      <c r="CA1119">
        <v>72353</v>
      </c>
      <c r="CB1119" t="s">
        <v>3491</v>
      </c>
      <c r="CL1119" t="s">
        <v>98</v>
      </c>
      <c r="CM1119" t="s">
        <v>98</v>
      </c>
      <c r="CN1119" t="s">
        <v>3227</v>
      </c>
      <c r="CO1119" s="1">
        <v>40978</v>
      </c>
      <c r="CP1119" s="1">
        <v>43633</v>
      </c>
    </row>
    <row r="1120" spans="1:94" x14ac:dyDescent="0.25">
      <c r="A1120" t="s">
        <v>3561</v>
      </c>
      <c r="B1120" t="str">
        <f xml:space="preserve"> "" &amp; 747396083674</f>
        <v>747396083674</v>
      </c>
      <c r="C1120" t="s">
        <v>1577</v>
      </c>
      <c r="D1120" t="s">
        <v>3562</v>
      </c>
      <c r="E1120" t="s">
        <v>3557</v>
      </c>
      <c r="F1120" t="s">
        <v>449</v>
      </c>
      <c r="G1120">
        <v>1</v>
      </c>
      <c r="H1120">
        <v>1</v>
      </c>
      <c r="I1120" t="s">
        <v>97</v>
      </c>
      <c r="J1120" s="10">
        <v>75</v>
      </c>
      <c r="K1120" s="10">
        <v>225</v>
      </c>
      <c r="L1120" s="10">
        <v>0</v>
      </c>
      <c r="N1120" s="10">
        <v>0</v>
      </c>
      <c r="O1120" t="s">
        <v>99</v>
      </c>
      <c r="P1120" s="10">
        <v>149.94999999999999</v>
      </c>
      <c r="S1120">
        <v>17</v>
      </c>
      <c r="T1120">
        <v>6</v>
      </c>
      <c r="U1120">
        <v>6</v>
      </c>
      <c r="W1120">
        <v>4.17</v>
      </c>
      <c r="Y1120">
        <v>19.13</v>
      </c>
      <c r="Z1120">
        <v>13.75</v>
      </c>
      <c r="AA1120">
        <v>8.6300000000000008</v>
      </c>
      <c r="AB1120">
        <v>1.3140000000000001</v>
      </c>
      <c r="AC1120">
        <v>5.69</v>
      </c>
      <c r="AE1120">
        <v>1</v>
      </c>
      <c r="AF1120" t="s">
        <v>3363</v>
      </c>
      <c r="AG1120">
        <v>26</v>
      </c>
      <c r="AK1120" t="s">
        <v>99</v>
      </c>
      <c r="AM1120" t="s">
        <v>98</v>
      </c>
      <c r="AN1120" t="s">
        <v>99</v>
      </c>
      <c r="AO1120" t="s">
        <v>98</v>
      </c>
      <c r="AP1120" t="s">
        <v>100</v>
      </c>
      <c r="AQ1120" t="s">
        <v>101</v>
      </c>
      <c r="AV1120" t="s">
        <v>98</v>
      </c>
      <c r="AX1120" t="s">
        <v>3491</v>
      </c>
      <c r="AZ1120" t="s">
        <v>102</v>
      </c>
      <c r="BB1120" t="s">
        <v>235</v>
      </c>
      <c r="BC1120" t="s">
        <v>460</v>
      </c>
      <c r="BD1120" t="s">
        <v>7528</v>
      </c>
      <c r="BF1120" t="s">
        <v>3563</v>
      </c>
      <c r="BG1120" t="s">
        <v>98</v>
      </c>
      <c r="BH1120" t="s">
        <v>98</v>
      </c>
      <c r="BI1120" t="s">
        <v>98</v>
      </c>
      <c r="BJ1120" t="s">
        <v>99</v>
      </c>
      <c r="BK1120" t="s">
        <v>453</v>
      </c>
      <c r="BL1120" t="s">
        <v>7528</v>
      </c>
      <c r="CA1120">
        <v>72356</v>
      </c>
      <c r="CB1120" t="s">
        <v>3491</v>
      </c>
      <c r="CL1120" t="s">
        <v>98</v>
      </c>
      <c r="CM1120" t="s">
        <v>98</v>
      </c>
      <c r="CN1120" t="s">
        <v>3227</v>
      </c>
      <c r="CO1120" s="1">
        <v>40978</v>
      </c>
      <c r="CP1120" s="1">
        <v>43633</v>
      </c>
    </row>
    <row r="1121" spans="1:94" x14ac:dyDescent="0.25">
      <c r="A1121" t="s">
        <v>3564</v>
      </c>
      <c r="B1121" t="str">
        <f xml:space="preserve"> "" &amp; 747396083742</f>
        <v>747396083742</v>
      </c>
      <c r="C1121" t="s">
        <v>3354</v>
      </c>
      <c r="D1121" t="s">
        <v>3565</v>
      </c>
      <c r="E1121" t="s">
        <v>3566</v>
      </c>
      <c r="F1121" t="s">
        <v>2823</v>
      </c>
      <c r="G1121">
        <v>1</v>
      </c>
      <c r="H1121">
        <v>1</v>
      </c>
      <c r="I1121" t="s">
        <v>97</v>
      </c>
      <c r="J1121" s="10">
        <v>72</v>
      </c>
      <c r="K1121" s="10">
        <v>216</v>
      </c>
      <c r="L1121" s="10">
        <v>0</v>
      </c>
      <c r="N1121" s="10">
        <v>0</v>
      </c>
      <c r="O1121" t="s">
        <v>99</v>
      </c>
      <c r="P1121" s="10">
        <v>144.94999999999999</v>
      </c>
      <c r="S1121">
        <v>14</v>
      </c>
      <c r="T1121">
        <v>8.5</v>
      </c>
      <c r="U1121">
        <v>6</v>
      </c>
      <c r="V1121">
        <v>3</v>
      </c>
      <c r="W1121">
        <v>2.14</v>
      </c>
      <c r="Y1121">
        <v>16.5</v>
      </c>
      <c r="Z1121">
        <v>8.5</v>
      </c>
      <c r="AA1121">
        <v>5.5</v>
      </c>
      <c r="AB1121">
        <v>0.44600000000000001</v>
      </c>
      <c r="AC1121">
        <v>3</v>
      </c>
      <c r="AE1121">
        <v>0</v>
      </c>
      <c r="AF1121" t="s">
        <v>1917</v>
      </c>
      <c r="AG1121">
        <v>35</v>
      </c>
      <c r="AK1121" t="s">
        <v>98</v>
      </c>
      <c r="AM1121" t="s">
        <v>98</v>
      </c>
      <c r="AN1121" t="s">
        <v>99</v>
      </c>
      <c r="AO1121" t="s">
        <v>98</v>
      </c>
      <c r="AP1121" t="s">
        <v>100</v>
      </c>
      <c r="AQ1121" t="s">
        <v>101</v>
      </c>
      <c r="AV1121" t="s">
        <v>98</v>
      </c>
      <c r="AX1121" t="s">
        <v>3491</v>
      </c>
      <c r="AZ1121" t="s">
        <v>392</v>
      </c>
      <c r="BB1121" t="s">
        <v>7528</v>
      </c>
      <c r="BC1121" t="s">
        <v>7528</v>
      </c>
      <c r="BD1121" t="s">
        <v>7528</v>
      </c>
      <c r="BF1121" t="s">
        <v>3567</v>
      </c>
      <c r="BG1121" t="s">
        <v>98</v>
      </c>
      <c r="BH1121" t="s">
        <v>99</v>
      </c>
      <c r="BI1121" t="s">
        <v>98</v>
      </c>
      <c r="BJ1121" t="s">
        <v>99</v>
      </c>
      <c r="BK1121" t="s">
        <v>453</v>
      </c>
      <c r="BL1121" t="s">
        <v>645</v>
      </c>
      <c r="BM1121">
        <v>6</v>
      </c>
      <c r="BN1121">
        <v>14</v>
      </c>
      <c r="CA1121">
        <v>72371</v>
      </c>
      <c r="CB1121" t="s">
        <v>3491</v>
      </c>
      <c r="CL1121" t="s">
        <v>99</v>
      </c>
      <c r="CM1121" t="s">
        <v>98</v>
      </c>
      <c r="CN1121" t="s">
        <v>3227</v>
      </c>
      <c r="CO1121" s="1">
        <v>40977</v>
      </c>
      <c r="CP1121" s="1">
        <v>43633</v>
      </c>
    </row>
    <row r="1122" spans="1:94" x14ac:dyDescent="0.25">
      <c r="A1122" t="s">
        <v>3568</v>
      </c>
      <c r="B1122" t="str">
        <f xml:space="preserve"> "" &amp; 747396083759</f>
        <v>747396083759</v>
      </c>
      <c r="C1122" t="s">
        <v>3895</v>
      </c>
      <c r="D1122" t="s">
        <v>3570</v>
      </c>
      <c r="E1122" t="s">
        <v>3566</v>
      </c>
      <c r="F1122" t="s">
        <v>2823</v>
      </c>
      <c r="G1122">
        <v>1</v>
      </c>
      <c r="H1122">
        <v>1</v>
      </c>
      <c r="I1122" t="s">
        <v>97</v>
      </c>
      <c r="J1122" s="10">
        <v>92</v>
      </c>
      <c r="K1122" s="10">
        <v>276</v>
      </c>
      <c r="L1122" s="10">
        <v>0</v>
      </c>
      <c r="N1122" s="10">
        <v>0</v>
      </c>
      <c r="O1122" t="s">
        <v>99</v>
      </c>
      <c r="P1122" s="10">
        <v>184.95</v>
      </c>
      <c r="S1122">
        <v>17.25</v>
      </c>
      <c r="T1122">
        <v>10.38</v>
      </c>
      <c r="U1122">
        <v>8</v>
      </c>
      <c r="V1122">
        <v>3</v>
      </c>
      <c r="W1122">
        <v>3.11</v>
      </c>
      <c r="Y1122">
        <v>19.63</v>
      </c>
      <c r="Z1122">
        <v>10.38</v>
      </c>
      <c r="AA1122">
        <v>5.5</v>
      </c>
      <c r="AB1122">
        <v>0.64900000000000002</v>
      </c>
      <c r="AC1122">
        <v>4.2300000000000004</v>
      </c>
      <c r="AE1122">
        <v>0</v>
      </c>
      <c r="AF1122" t="s">
        <v>1917</v>
      </c>
      <c r="AG1122">
        <v>35</v>
      </c>
      <c r="AK1122" t="s">
        <v>98</v>
      </c>
      <c r="AM1122" t="s">
        <v>98</v>
      </c>
      <c r="AN1122" t="s">
        <v>99</v>
      </c>
      <c r="AO1122" t="s">
        <v>98</v>
      </c>
      <c r="AP1122" t="s">
        <v>100</v>
      </c>
      <c r="AQ1122" t="s">
        <v>101</v>
      </c>
      <c r="AV1122" t="s">
        <v>98</v>
      </c>
      <c r="AX1122" t="s">
        <v>3491</v>
      </c>
      <c r="AZ1122" t="s">
        <v>392</v>
      </c>
      <c r="BB1122" t="s">
        <v>3203</v>
      </c>
      <c r="BC1122" t="s">
        <v>7528</v>
      </c>
      <c r="BD1122" t="s">
        <v>7528</v>
      </c>
      <c r="BF1122" t="s">
        <v>3571</v>
      </c>
      <c r="BG1122" t="s">
        <v>98</v>
      </c>
      <c r="BH1122" t="s">
        <v>99</v>
      </c>
      <c r="BI1122" t="s">
        <v>98</v>
      </c>
      <c r="BJ1122" t="s">
        <v>99</v>
      </c>
      <c r="BK1122" t="s">
        <v>453</v>
      </c>
      <c r="BL1122" t="s">
        <v>645</v>
      </c>
      <c r="BM1122">
        <v>7.75</v>
      </c>
      <c r="BN1122">
        <v>17.25</v>
      </c>
      <c r="CA1122">
        <v>72372</v>
      </c>
      <c r="CB1122" t="s">
        <v>3491</v>
      </c>
      <c r="CL1122" t="s">
        <v>99</v>
      </c>
      <c r="CM1122" t="s">
        <v>98</v>
      </c>
      <c r="CN1122" t="s">
        <v>3227</v>
      </c>
      <c r="CO1122" s="1">
        <v>40977</v>
      </c>
      <c r="CP1122" s="1">
        <v>43633</v>
      </c>
    </row>
    <row r="1123" spans="1:94" x14ac:dyDescent="0.25">
      <c r="A1123" t="s">
        <v>3572</v>
      </c>
      <c r="B1123" t="str">
        <f xml:space="preserve"> "" &amp; 747396083797</f>
        <v>747396083797</v>
      </c>
      <c r="C1123" t="s">
        <v>3185</v>
      </c>
      <c r="D1123" t="s">
        <v>3573</v>
      </c>
      <c r="E1123" t="s">
        <v>3574</v>
      </c>
      <c r="F1123" t="s">
        <v>2823</v>
      </c>
      <c r="G1123">
        <v>1</v>
      </c>
      <c r="H1123">
        <v>1</v>
      </c>
      <c r="I1123" t="s">
        <v>97</v>
      </c>
      <c r="J1123" s="10">
        <v>55</v>
      </c>
      <c r="K1123" s="10">
        <v>165</v>
      </c>
      <c r="L1123" s="10">
        <v>0</v>
      </c>
      <c r="N1123" s="10">
        <v>0</v>
      </c>
      <c r="O1123" t="s">
        <v>99</v>
      </c>
      <c r="P1123" s="10">
        <v>109.95</v>
      </c>
      <c r="S1123">
        <v>13</v>
      </c>
      <c r="U1123">
        <v>4.75</v>
      </c>
      <c r="V1123">
        <v>4.25</v>
      </c>
      <c r="W1123">
        <v>1.76</v>
      </c>
      <c r="Y1123">
        <v>15.5</v>
      </c>
      <c r="Z1123">
        <v>7.13</v>
      </c>
      <c r="AA1123">
        <v>6.75</v>
      </c>
      <c r="AB1123">
        <v>0.432</v>
      </c>
      <c r="AC1123">
        <v>2.36</v>
      </c>
      <c r="AE1123">
        <v>1</v>
      </c>
      <c r="AF1123" t="s">
        <v>1917</v>
      </c>
      <c r="AG1123">
        <v>35</v>
      </c>
      <c r="AK1123" t="s">
        <v>98</v>
      </c>
      <c r="AM1123" t="s">
        <v>98</v>
      </c>
      <c r="AN1123" t="s">
        <v>99</v>
      </c>
      <c r="AO1123" t="s">
        <v>98</v>
      </c>
      <c r="AP1123" t="s">
        <v>100</v>
      </c>
      <c r="AQ1123" t="s">
        <v>101</v>
      </c>
      <c r="AV1123" t="s">
        <v>98</v>
      </c>
      <c r="AX1123" t="s">
        <v>3575</v>
      </c>
      <c r="AZ1123" t="s">
        <v>102</v>
      </c>
      <c r="BB1123" t="s">
        <v>235</v>
      </c>
      <c r="BC1123" t="s">
        <v>3576</v>
      </c>
      <c r="BD1123" t="s">
        <v>7528</v>
      </c>
      <c r="BF1123" t="s">
        <v>3577</v>
      </c>
      <c r="BG1123" t="s">
        <v>99</v>
      </c>
      <c r="BH1123" t="s">
        <v>98</v>
      </c>
      <c r="BI1123" t="s">
        <v>98</v>
      </c>
      <c r="BJ1123" t="s">
        <v>99</v>
      </c>
      <c r="BK1123" t="s">
        <v>453</v>
      </c>
      <c r="BL1123" t="s">
        <v>128</v>
      </c>
      <c r="BM1123">
        <v>4.75</v>
      </c>
      <c r="BN1123">
        <v>4.75</v>
      </c>
      <c r="CA1123">
        <v>72381</v>
      </c>
      <c r="CB1123" t="s">
        <v>3575</v>
      </c>
      <c r="CL1123" t="s">
        <v>99</v>
      </c>
      <c r="CM1123" t="s">
        <v>98</v>
      </c>
      <c r="CN1123" t="s">
        <v>3236</v>
      </c>
      <c r="CO1123" s="1">
        <v>40806</v>
      </c>
      <c r="CP1123" s="1">
        <v>43633</v>
      </c>
    </row>
    <row r="1124" spans="1:94" x14ac:dyDescent="0.25">
      <c r="A1124" t="s">
        <v>3578</v>
      </c>
      <c r="B1124" t="str">
        <f xml:space="preserve"> "" &amp; 747396083803</f>
        <v>747396083803</v>
      </c>
      <c r="C1124" t="s">
        <v>3185</v>
      </c>
      <c r="D1124" t="s">
        <v>3573</v>
      </c>
      <c r="E1124" t="s">
        <v>3574</v>
      </c>
      <c r="F1124" t="s">
        <v>2823</v>
      </c>
      <c r="G1124">
        <v>1</v>
      </c>
      <c r="H1124">
        <v>1</v>
      </c>
      <c r="I1124" t="s">
        <v>97</v>
      </c>
      <c r="J1124" s="10">
        <v>77</v>
      </c>
      <c r="K1124" s="10">
        <v>231</v>
      </c>
      <c r="L1124" s="10">
        <v>0</v>
      </c>
      <c r="N1124" s="10">
        <v>0</v>
      </c>
      <c r="O1124" t="s">
        <v>99</v>
      </c>
      <c r="P1124" s="10">
        <v>154.94999999999999</v>
      </c>
      <c r="S1124">
        <v>15.75</v>
      </c>
      <c r="U1124">
        <v>7</v>
      </c>
      <c r="V1124">
        <v>4.5</v>
      </c>
      <c r="W1124">
        <v>2.4</v>
      </c>
      <c r="Y1124">
        <v>18.38</v>
      </c>
      <c r="Z1124">
        <v>9.5</v>
      </c>
      <c r="AA1124">
        <v>7.13</v>
      </c>
      <c r="AB1124">
        <v>0.72</v>
      </c>
      <c r="AC1124">
        <v>3.44</v>
      </c>
      <c r="AE1124">
        <v>1</v>
      </c>
      <c r="AF1124" t="s">
        <v>1917</v>
      </c>
      <c r="AG1124">
        <v>35</v>
      </c>
      <c r="AK1124" t="s">
        <v>98</v>
      </c>
      <c r="AM1124" t="s">
        <v>98</v>
      </c>
      <c r="AN1124" t="s">
        <v>99</v>
      </c>
      <c r="AO1124" t="s">
        <v>98</v>
      </c>
      <c r="AP1124" t="s">
        <v>100</v>
      </c>
      <c r="AQ1124" t="s">
        <v>101</v>
      </c>
      <c r="AV1124" t="s">
        <v>98</v>
      </c>
      <c r="AX1124" t="s">
        <v>3575</v>
      </c>
      <c r="AZ1124" t="s">
        <v>102</v>
      </c>
      <c r="BB1124" t="s">
        <v>235</v>
      </c>
      <c r="BC1124" t="s">
        <v>3576</v>
      </c>
      <c r="BD1124" t="s">
        <v>7528</v>
      </c>
      <c r="BF1124" t="s">
        <v>3579</v>
      </c>
      <c r="BG1124" t="s">
        <v>99</v>
      </c>
      <c r="BH1124" t="s">
        <v>98</v>
      </c>
      <c r="BI1124" t="s">
        <v>98</v>
      </c>
      <c r="BJ1124" t="s">
        <v>99</v>
      </c>
      <c r="BK1124" t="s">
        <v>453</v>
      </c>
      <c r="BL1124" t="s">
        <v>128</v>
      </c>
      <c r="BM1124">
        <v>4.75</v>
      </c>
      <c r="BN1124">
        <v>4.75</v>
      </c>
      <c r="CA1124">
        <v>72382</v>
      </c>
      <c r="CB1124" t="s">
        <v>3575</v>
      </c>
      <c r="CL1124" t="s">
        <v>99</v>
      </c>
      <c r="CM1124" t="s">
        <v>98</v>
      </c>
      <c r="CN1124" t="s">
        <v>3236</v>
      </c>
      <c r="CO1124" s="1">
        <v>41172</v>
      </c>
      <c r="CP1124" s="1">
        <v>43633</v>
      </c>
    </row>
    <row r="1125" spans="1:94" x14ac:dyDescent="0.25">
      <c r="A1125" t="s">
        <v>3580</v>
      </c>
      <c r="B1125" t="str">
        <f xml:space="preserve"> "" &amp; 747396090955</f>
        <v>747396090955</v>
      </c>
      <c r="C1125" t="s">
        <v>3525</v>
      </c>
      <c r="D1125" t="s">
        <v>3581</v>
      </c>
      <c r="E1125" t="s">
        <v>3574</v>
      </c>
      <c r="F1125" t="s">
        <v>2823</v>
      </c>
      <c r="G1125">
        <v>1</v>
      </c>
      <c r="H1125">
        <v>1</v>
      </c>
      <c r="I1125" t="s">
        <v>97</v>
      </c>
      <c r="J1125" s="10">
        <v>85</v>
      </c>
      <c r="K1125" s="10">
        <v>255</v>
      </c>
      <c r="L1125" s="10">
        <v>0</v>
      </c>
      <c r="N1125" s="10">
        <v>0</v>
      </c>
      <c r="O1125" t="s">
        <v>99</v>
      </c>
      <c r="P1125" s="10">
        <v>169.95</v>
      </c>
      <c r="S1125">
        <v>20</v>
      </c>
      <c r="U1125">
        <v>9</v>
      </c>
      <c r="V1125">
        <v>4.5</v>
      </c>
      <c r="W1125">
        <v>3.62</v>
      </c>
      <c r="Y1125">
        <v>22.25</v>
      </c>
      <c r="Z1125">
        <v>11</v>
      </c>
      <c r="AA1125">
        <v>6.25</v>
      </c>
      <c r="AB1125">
        <v>0.88500000000000001</v>
      </c>
      <c r="AC1125">
        <v>5.03</v>
      </c>
      <c r="AE1125">
        <v>2</v>
      </c>
      <c r="AF1125" t="s">
        <v>3519</v>
      </c>
      <c r="AG1125">
        <v>35</v>
      </c>
      <c r="AK1125" t="s">
        <v>98</v>
      </c>
      <c r="AM1125" t="s">
        <v>98</v>
      </c>
      <c r="AN1125" t="s">
        <v>99</v>
      </c>
      <c r="AO1125" t="s">
        <v>98</v>
      </c>
      <c r="AP1125" t="s">
        <v>100</v>
      </c>
      <c r="AQ1125" t="s">
        <v>101</v>
      </c>
      <c r="AV1125" t="s">
        <v>98</v>
      </c>
      <c r="AX1125" t="s">
        <v>3575</v>
      </c>
      <c r="AZ1125" t="s">
        <v>102</v>
      </c>
      <c r="BB1125" t="s">
        <v>235</v>
      </c>
      <c r="BC1125" t="s">
        <v>2591</v>
      </c>
      <c r="BD1125" t="s">
        <v>7528</v>
      </c>
      <c r="BF1125" t="s">
        <v>3582</v>
      </c>
      <c r="BG1125" t="s">
        <v>99</v>
      </c>
      <c r="BH1125" t="s">
        <v>98</v>
      </c>
      <c r="BI1125" t="s">
        <v>98</v>
      </c>
      <c r="BJ1125" t="s">
        <v>99</v>
      </c>
      <c r="BK1125" t="s">
        <v>453</v>
      </c>
      <c r="BL1125" t="s">
        <v>7528</v>
      </c>
      <c r="BM1125">
        <v>7</v>
      </c>
      <c r="BN1125">
        <v>5</v>
      </c>
      <c r="CA1125">
        <v>72383</v>
      </c>
      <c r="CB1125" t="s">
        <v>3575</v>
      </c>
      <c r="CL1125" t="s">
        <v>99</v>
      </c>
      <c r="CM1125" t="s">
        <v>98</v>
      </c>
      <c r="CN1125" t="s">
        <v>3448</v>
      </c>
      <c r="CO1125" s="1">
        <v>41583</v>
      </c>
      <c r="CP1125" s="1">
        <v>43633</v>
      </c>
    </row>
    <row r="1126" spans="1:94" x14ac:dyDescent="0.25">
      <c r="A1126" t="s">
        <v>3583</v>
      </c>
      <c r="B1126" t="str">
        <f xml:space="preserve"> "" &amp; 747396083810</f>
        <v>747396083810</v>
      </c>
      <c r="C1126" t="s">
        <v>3332</v>
      </c>
      <c r="D1126" t="s">
        <v>3584</v>
      </c>
      <c r="E1126" t="s">
        <v>3585</v>
      </c>
      <c r="F1126" t="s">
        <v>3188</v>
      </c>
      <c r="G1126">
        <v>1</v>
      </c>
      <c r="H1126">
        <v>1</v>
      </c>
      <c r="I1126" t="s">
        <v>97</v>
      </c>
      <c r="J1126" s="10">
        <v>61</v>
      </c>
      <c r="K1126" s="10">
        <v>183</v>
      </c>
      <c r="L1126" s="10">
        <v>0</v>
      </c>
      <c r="N1126" s="10">
        <v>0</v>
      </c>
      <c r="O1126" t="s">
        <v>99</v>
      </c>
      <c r="P1126" s="10">
        <v>124.95</v>
      </c>
      <c r="S1126">
        <v>10</v>
      </c>
      <c r="U1126">
        <v>5.5</v>
      </c>
      <c r="V1126">
        <v>7</v>
      </c>
      <c r="W1126">
        <v>2.25</v>
      </c>
      <c r="Y1126">
        <v>13</v>
      </c>
      <c r="Z1126">
        <v>9.5</v>
      </c>
      <c r="AA1126">
        <v>8.25</v>
      </c>
      <c r="AB1126">
        <v>0.59</v>
      </c>
      <c r="AC1126">
        <v>3.22</v>
      </c>
      <c r="AE1126">
        <v>1</v>
      </c>
      <c r="AF1126" t="s">
        <v>3586</v>
      </c>
      <c r="AG1126">
        <v>10</v>
      </c>
      <c r="AK1126" t="s">
        <v>99</v>
      </c>
      <c r="AM1126" t="s">
        <v>98</v>
      </c>
      <c r="AN1126" t="s">
        <v>99</v>
      </c>
      <c r="AO1126" t="s">
        <v>98</v>
      </c>
      <c r="AP1126" t="s">
        <v>100</v>
      </c>
      <c r="AQ1126" t="s">
        <v>101</v>
      </c>
      <c r="AV1126" t="s">
        <v>98</v>
      </c>
      <c r="AX1126" t="s">
        <v>3182</v>
      </c>
      <c r="AZ1126" t="s">
        <v>124</v>
      </c>
      <c r="BB1126" t="s">
        <v>235</v>
      </c>
      <c r="BC1126" t="s">
        <v>2591</v>
      </c>
      <c r="BD1126" t="s">
        <v>7528</v>
      </c>
      <c r="BF1126" t="s">
        <v>3587</v>
      </c>
      <c r="BG1126" t="s">
        <v>98</v>
      </c>
      <c r="BH1126" t="s">
        <v>98</v>
      </c>
      <c r="BI1126" t="s">
        <v>98</v>
      </c>
      <c r="BJ1126" t="s">
        <v>99</v>
      </c>
      <c r="BK1126" t="s">
        <v>453</v>
      </c>
      <c r="BL1126" t="s">
        <v>128</v>
      </c>
      <c r="BM1126">
        <v>5</v>
      </c>
      <c r="BN1126">
        <v>7.5</v>
      </c>
      <c r="CA1126">
        <v>72391</v>
      </c>
      <c r="CB1126" t="s">
        <v>3182</v>
      </c>
      <c r="CG1126">
        <v>2700</v>
      </c>
      <c r="CH1126">
        <v>82</v>
      </c>
      <c r="CI1126">
        <v>450</v>
      </c>
      <c r="CJ1126">
        <v>241.04</v>
      </c>
      <c r="CK1126">
        <v>30000</v>
      </c>
      <c r="CL1126" t="s">
        <v>98</v>
      </c>
      <c r="CM1126" t="s">
        <v>98</v>
      </c>
      <c r="CN1126" t="s">
        <v>3588</v>
      </c>
      <c r="CO1126" s="1">
        <v>40849</v>
      </c>
      <c r="CP1126" s="1">
        <v>43633</v>
      </c>
    </row>
    <row r="1127" spans="1:94" x14ac:dyDescent="0.25">
      <c r="A1127" t="s">
        <v>3589</v>
      </c>
      <c r="B1127" t="str">
        <f xml:space="preserve"> "" &amp; 747396083827</f>
        <v>747396083827</v>
      </c>
      <c r="C1127" t="s">
        <v>3332</v>
      </c>
      <c r="D1127" t="s">
        <v>3584</v>
      </c>
      <c r="E1127" t="s">
        <v>3585</v>
      </c>
      <c r="F1127" t="s">
        <v>3188</v>
      </c>
      <c r="G1127">
        <v>1</v>
      </c>
      <c r="H1127">
        <v>1</v>
      </c>
      <c r="I1127" t="s">
        <v>97</v>
      </c>
      <c r="J1127" s="10">
        <v>77</v>
      </c>
      <c r="K1127" s="10">
        <v>231</v>
      </c>
      <c r="L1127" s="10">
        <v>0</v>
      </c>
      <c r="N1127" s="10">
        <v>0</v>
      </c>
      <c r="O1127" t="s">
        <v>99</v>
      </c>
      <c r="P1127" s="10">
        <v>154.94999999999999</v>
      </c>
      <c r="S1127">
        <v>13</v>
      </c>
      <c r="U1127">
        <v>7</v>
      </c>
      <c r="V1127">
        <v>8.75</v>
      </c>
      <c r="W1127">
        <v>3.64</v>
      </c>
      <c r="Y1127">
        <v>15.38</v>
      </c>
      <c r="Z1127">
        <v>11.25</v>
      </c>
      <c r="AA1127">
        <v>9.6300000000000008</v>
      </c>
      <c r="AB1127">
        <v>0.96399999999999997</v>
      </c>
      <c r="AC1127">
        <v>4.92</v>
      </c>
      <c r="AE1127">
        <v>1</v>
      </c>
      <c r="AF1127" t="s">
        <v>3586</v>
      </c>
      <c r="AG1127">
        <v>10</v>
      </c>
      <c r="AK1127" t="s">
        <v>99</v>
      </c>
      <c r="AM1127" t="s">
        <v>98</v>
      </c>
      <c r="AN1127" t="s">
        <v>99</v>
      </c>
      <c r="AO1127" t="s">
        <v>98</v>
      </c>
      <c r="AP1127" t="s">
        <v>100</v>
      </c>
      <c r="AQ1127" t="s">
        <v>101</v>
      </c>
      <c r="AV1127" t="s">
        <v>98</v>
      </c>
      <c r="AX1127" t="s">
        <v>3182</v>
      </c>
      <c r="AZ1127" t="s">
        <v>124</v>
      </c>
      <c r="BB1127" t="s">
        <v>235</v>
      </c>
      <c r="BC1127" t="s">
        <v>2591</v>
      </c>
      <c r="BD1127" t="s">
        <v>7528</v>
      </c>
      <c r="BF1127" t="s">
        <v>3590</v>
      </c>
      <c r="BG1127" t="s">
        <v>98</v>
      </c>
      <c r="BH1127" t="s">
        <v>98</v>
      </c>
      <c r="BI1127" t="s">
        <v>98</v>
      </c>
      <c r="BJ1127" t="s">
        <v>99</v>
      </c>
      <c r="BK1127" t="s">
        <v>453</v>
      </c>
      <c r="BL1127" t="s">
        <v>128</v>
      </c>
      <c r="BM1127">
        <v>5</v>
      </c>
      <c r="BN1127">
        <v>7.5</v>
      </c>
      <c r="CA1127">
        <v>72392</v>
      </c>
      <c r="CB1127" t="s">
        <v>3182</v>
      </c>
      <c r="CG1127">
        <v>2700</v>
      </c>
      <c r="CH1127">
        <v>79</v>
      </c>
      <c r="CI1127">
        <v>450</v>
      </c>
      <c r="CJ1127">
        <v>209.42</v>
      </c>
      <c r="CK1127">
        <v>30000</v>
      </c>
      <c r="CL1127" t="s">
        <v>98</v>
      </c>
      <c r="CM1127" t="s">
        <v>98</v>
      </c>
      <c r="CN1127" t="s">
        <v>3588</v>
      </c>
      <c r="CO1127" s="1">
        <v>40849</v>
      </c>
      <c r="CP1127" s="1">
        <v>43633</v>
      </c>
    </row>
    <row r="1128" spans="1:94" x14ac:dyDescent="0.25">
      <c r="A1128" t="s">
        <v>3591</v>
      </c>
      <c r="B1128" t="str">
        <f xml:space="preserve"> "" &amp; 747396083834</f>
        <v>747396083834</v>
      </c>
      <c r="C1128" t="s">
        <v>3332</v>
      </c>
      <c r="D1128" t="s">
        <v>3584</v>
      </c>
      <c r="E1128" t="s">
        <v>3585</v>
      </c>
      <c r="F1128" t="s">
        <v>3188</v>
      </c>
      <c r="G1128">
        <v>1</v>
      </c>
      <c r="H1128">
        <v>1</v>
      </c>
      <c r="I1128" t="s">
        <v>97</v>
      </c>
      <c r="J1128" s="10">
        <v>98</v>
      </c>
      <c r="K1128" s="10">
        <v>294</v>
      </c>
      <c r="L1128" s="10">
        <v>0</v>
      </c>
      <c r="N1128" s="10">
        <v>0</v>
      </c>
      <c r="O1128" t="s">
        <v>99</v>
      </c>
      <c r="P1128" s="10">
        <v>194.95</v>
      </c>
      <c r="S1128">
        <v>15.75</v>
      </c>
      <c r="U1128">
        <v>9</v>
      </c>
      <c r="V1128">
        <v>11</v>
      </c>
      <c r="W1128">
        <v>6</v>
      </c>
      <c r="Y1128">
        <v>18.5</v>
      </c>
      <c r="Z1128">
        <v>13.75</v>
      </c>
      <c r="AA1128">
        <v>12</v>
      </c>
      <c r="AB1128">
        <v>1.766</v>
      </c>
      <c r="AC1128">
        <v>8.64</v>
      </c>
      <c r="AE1128">
        <v>1</v>
      </c>
      <c r="AF1128" t="s">
        <v>3586</v>
      </c>
      <c r="AG1128">
        <v>10</v>
      </c>
      <c r="AK1128" t="s">
        <v>99</v>
      </c>
      <c r="AM1128" t="s">
        <v>98</v>
      </c>
      <c r="AN1128" t="s">
        <v>99</v>
      </c>
      <c r="AO1128" t="s">
        <v>98</v>
      </c>
      <c r="AP1128" t="s">
        <v>100</v>
      </c>
      <c r="AQ1128" t="s">
        <v>101</v>
      </c>
      <c r="AV1128" t="s">
        <v>98</v>
      </c>
      <c r="AX1128" t="s">
        <v>3182</v>
      </c>
      <c r="AZ1128" t="s">
        <v>124</v>
      </c>
      <c r="BB1128" t="s">
        <v>235</v>
      </c>
      <c r="BC1128" t="s">
        <v>2591</v>
      </c>
      <c r="BD1128" t="s">
        <v>7528</v>
      </c>
      <c r="BF1128" t="s">
        <v>3592</v>
      </c>
      <c r="BG1128" t="s">
        <v>98</v>
      </c>
      <c r="BH1128" t="s">
        <v>98</v>
      </c>
      <c r="BI1128" t="s">
        <v>98</v>
      </c>
      <c r="BJ1128" t="s">
        <v>99</v>
      </c>
      <c r="BK1128" t="s">
        <v>453</v>
      </c>
      <c r="BL1128" t="s">
        <v>128</v>
      </c>
      <c r="BM1128">
        <v>7.25</v>
      </c>
      <c r="BN1128">
        <v>12.25</v>
      </c>
      <c r="CA1128">
        <v>72393</v>
      </c>
      <c r="CB1128" t="s">
        <v>3182</v>
      </c>
      <c r="CG1128">
        <v>2700</v>
      </c>
      <c r="CH1128">
        <v>80</v>
      </c>
      <c r="CI1128">
        <v>450</v>
      </c>
      <c r="CJ1128">
        <v>215.51</v>
      </c>
      <c r="CK1128">
        <v>30000</v>
      </c>
      <c r="CL1128" t="s">
        <v>98</v>
      </c>
      <c r="CM1128" t="s">
        <v>98</v>
      </c>
      <c r="CN1128" t="s">
        <v>3236</v>
      </c>
      <c r="CO1128" s="1">
        <v>40849</v>
      </c>
      <c r="CP1128" s="1">
        <v>43633</v>
      </c>
    </row>
    <row r="1129" spans="1:94" x14ac:dyDescent="0.25">
      <c r="A1129" t="s">
        <v>3593</v>
      </c>
      <c r="B1129" t="str">
        <f xml:space="preserve"> "" &amp; 747396085449</f>
        <v>747396085449</v>
      </c>
      <c r="C1129" t="s">
        <v>3594</v>
      </c>
      <c r="D1129" t="s">
        <v>3595</v>
      </c>
      <c r="E1129" t="s">
        <v>3585</v>
      </c>
      <c r="F1129" t="s">
        <v>3188</v>
      </c>
      <c r="G1129">
        <v>1</v>
      </c>
      <c r="H1129">
        <v>1</v>
      </c>
      <c r="I1129" t="s">
        <v>97</v>
      </c>
      <c r="J1129" s="10">
        <v>86</v>
      </c>
      <c r="K1129" s="10">
        <v>258</v>
      </c>
      <c r="L1129" s="10">
        <v>0</v>
      </c>
      <c r="N1129" s="10">
        <v>0</v>
      </c>
      <c r="O1129" t="s">
        <v>99</v>
      </c>
      <c r="P1129" s="10">
        <v>169.95</v>
      </c>
      <c r="S1129">
        <v>15</v>
      </c>
      <c r="T1129">
        <v>7</v>
      </c>
      <c r="U1129">
        <v>7</v>
      </c>
      <c r="W1129">
        <v>3.31</v>
      </c>
      <c r="Y1129">
        <v>17.38</v>
      </c>
      <c r="Z1129">
        <v>9.25</v>
      </c>
      <c r="AA1129">
        <v>9.25</v>
      </c>
      <c r="AB1129">
        <v>0.86099999999999999</v>
      </c>
      <c r="AC1129">
        <v>4.63</v>
      </c>
      <c r="AE1129">
        <v>1</v>
      </c>
      <c r="AF1129" t="s">
        <v>3586</v>
      </c>
      <c r="AG1129">
        <v>10</v>
      </c>
      <c r="AK1129" t="s">
        <v>99</v>
      </c>
      <c r="AM1129" t="s">
        <v>98</v>
      </c>
      <c r="AN1129" t="s">
        <v>99</v>
      </c>
      <c r="AO1129" t="s">
        <v>98</v>
      </c>
      <c r="AP1129" t="s">
        <v>100</v>
      </c>
      <c r="AQ1129" t="s">
        <v>101</v>
      </c>
      <c r="AV1129" t="s">
        <v>98</v>
      </c>
      <c r="AX1129" t="s">
        <v>3182</v>
      </c>
      <c r="AZ1129" t="s">
        <v>124</v>
      </c>
      <c r="BB1129" t="s">
        <v>235</v>
      </c>
      <c r="BC1129" t="s">
        <v>1687</v>
      </c>
      <c r="BD1129" t="s">
        <v>7528</v>
      </c>
      <c r="BF1129" t="s">
        <v>3596</v>
      </c>
      <c r="BG1129" t="s">
        <v>98</v>
      </c>
      <c r="BH1129" t="s">
        <v>98</v>
      </c>
      <c r="BI1129" t="s">
        <v>98</v>
      </c>
      <c r="BJ1129" t="s">
        <v>99</v>
      </c>
      <c r="BK1129" t="s">
        <v>453</v>
      </c>
      <c r="BL1129" t="s">
        <v>7528</v>
      </c>
      <c r="CA1129">
        <v>72396</v>
      </c>
      <c r="CB1129" t="s">
        <v>3182</v>
      </c>
      <c r="CG1129">
        <v>2700</v>
      </c>
      <c r="CH1129">
        <v>80</v>
      </c>
      <c r="CI1129">
        <v>450</v>
      </c>
      <c r="CJ1129">
        <v>210.89</v>
      </c>
      <c r="CK1129">
        <v>30000</v>
      </c>
      <c r="CL1129" t="s">
        <v>98</v>
      </c>
      <c r="CM1129" t="s">
        <v>98</v>
      </c>
      <c r="CN1129" t="s">
        <v>7528</v>
      </c>
      <c r="CO1129" s="1">
        <v>41023</v>
      </c>
      <c r="CP1129" s="1">
        <v>43633</v>
      </c>
    </row>
    <row r="1130" spans="1:94" x14ac:dyDescent="0.25">
      <c r="A1130" t="s">
        <v>3597</v>
      </c>
      <c r="B1130" t="str">
        <f xml:space="preserve"> "" &amp; 747396090962</f>
        <v>747396090962</v>
      </c>
      <c r="C1130" t="s">
        <v>3332</v>
      </c>
      <c r="D1130" t="s">
        <v>3584</v>
      </c>
      <c r="E1130" t="s">
        <v>3585</v>
      </c>
      <c r="F1130" t="s">
        <v>3188</v>
      </c>
      <c r="G1130">
        <v>1</v>
      </c>
      <c r="H1130">
        <v>1</v>
      </c>
      <c r="I1130" t="s">
        <v>97</v>
      </c>
      <c r="J1130" s="10">
        <v>160</v>
      </c>
      <c r="K1130" s="10">
        <v>480</v>
      </c>
      <c r="L1130" s="10">
        <v>0</v>
      </c>
      <c r="N1130" s="10">
        <v>0</v>
      </c>
      <c r="O1130" t="s">
        <v>99</v>
      </c>
      <c r="P1130" s="10">
        <v>319.95</v>
      </c>
      <c r="S1130">
        <v>19.25</v>
      </c>
      <c r="U1130">
        <v>11</v>
      </c>
      <c r="V1130">
        <v>13.25</v>
      </c>
      <c r="W1130">
        <v>11.68</v>
      </c>
      <c r="Y1130">
        <v>22.5</v>
      </c>
      <c r="Z1130">
        <v>16.25</v>
      </c>
      <c r="AA1130">
        <v>13.75</v>
      </c>
      <c r="AB1130">
        <v>2.9089999999999998</v>
      </c>
      <c r="AC1130">
        <v>14.33</v>
      </c>
      <c r="AE1130">
        <v>1</v>
      </c>
      <c r="AF1130" t="s">
        <v>3586</v>
      </c>
      <c r="AG1130">
        <v>10</v>
      </c>
      <c r="AK1130" t="s">
        <v>99</v>
      </c>
      <c r="AM1130" t="s">
        <v>98</v>
      </c>
      <c r="AN1130" t="s">
        <v>99</v>
      </c>
      <c r="AO1130" t="s">
        <v>98</v>
      </c>
      <c r="AP1130" t="s">
        <v>100</v>
      </c>
      <c r="AQ1130" t="s">
        <v>101</v>
      </c>
      <c r="AV1130" t="s">
        <v>98</v>
      </c>
      <c r="AX1130" t="s">
        <v>3182</v>
      </c>
      <c r="AZ1130" t="s">
        <v>124</v>
      </c>
      <c r="BB1130" t="s">
        <v>235</v>
      </c>
      <c r="BC1130" t="s">
        <v>2591</v>
      </c>
      <c r="BD1130" t="s">
        <v>7528</v>
      </c>
      <c r="BF1130" t="s">
        <v>3598</v>
      </c>
      <c r="BG1130" t="s">
        <v>98</v>
      </c>
      <c r="BH1130" t="s">
        <v>98</v>
      </c>
      <c r="BI1130" t="s">
        <v>98</v>
      </c>
      <c r="BJ1130" t="s">
        <v>99</v>
      </c>
      <c r="BK1130" t="s">
        <v>453</v>
      </c>
      <c r="BL1130" t="s">
        <v>7528</v>
      </c>
      <c r="BM1130">
        <v>7.25</v>
      </c>
      <c r="BN1130">
        <v>12.25</v>
      </c>
      <c r="CA1130">
        <v>72397</v>
      </c>
      <c r="CB1130" t="s">
        <v>3182</v>
      </c>
      <c r="CG1130">
        <v>2700</v>
      </c>
      <c r="CH1130">
        <v>83</v>
      </c>
      <c r="CI1130">
        <v>450</v>
      </c>
      <c r="CJ1130">
        <v>270.3</v>
      </c>
      <c r="CK1130">
        <v>30000</v>
      </c>
      <c r="CL1130" t="s">
        <v>99</v>
      </c>
      <c r="CM1130" t="s">
        <v>98</v>
      </c>
      <c r="CN1130" t="s">
        <v>3236</v>
      </c>
      <c r="CO1130" s="1">
        <v>41583</v>
      </c>
      <c r="CP1130" s="1">
        <v>43633</v>
      </c>
    </row>
    <row r="1131" spans="1:94" x14ac:dyDescent="0.25">
      <c r="A1131" t="s">
        <v>3599</v>
      </c>
      <c r="B1131" t="str">
        <f xml:space="preserve"> "" &amp; 747396101729</f>
        <v>747396101729</v>
      </c>
      <c r="C1131" t="s">
        <v>3480</v>
      </c>
      <c r="D1131" t="s">
        <v>3600</v>
      </c>
      <c r="E1131" t="s">
        <v>3601</v>
      </c>
      <c r="F1131" t="s">
        <v>3188</v>
      </c>
      <c r="G1131">
        <v>1</v>
      </c>
      <c r="H1131">
        <v>1</v>
      </c>
      <c r="I1131" t="s">
        <v>97</v>
      </c>
      <c r="J1131" s="10">
        <v>32</v>
      </c>
      <c r="K1131" s="10">
        <v>96</v>
      </c>
      <c r="L1131" s="10">
        <v>0</v>
      </c>
      <c r="N1131" s="10">
        <v>0</v>
      </c>
      <c r="O1131" t="s">
        <v>99</v>
      </c>
      <c r="P1131" s="10">
        <v>69.95</v>
      </c>
      <c r="S1131">
        <v>5.75</v>
      </c>
      <c r="U1131">
        <v>7.5</v>
      </c>
      <c r="V1131">
        <v>3</v>
      </c>
      <c r="W1131">
        <v>3.17</v>
      </c>
      <c r="X1131">
        <v>1</v>
      </c>
      <c r="Y1131">
        <v>11.13</v>
      </c>
      <c r="Z1131">
        <v>15.75</v>
      </c>
      <c r="AA1131">
        <v>12.75</v>
      </c>
      <c r="AB1131">
        <v>1.2929999999999999</v>
      </c>
      <c r="AC1131">
        <v>5.86</v>
      </c>
      <c r="AE1131">
        <v>1</v>
      </c>
      <c r="AF1131" t="s">
        <v>559</v>
      </c>
      <c r="AG1131">
        <v>13</v>
      </c>
      <c r="AK1131" t="s">
        <v>99</v>
      </c>
      <c r="AM1131" t="s">
        <v>98</v>
      </c>
      <c r="AN1131" t="s">
        <v>99</v>
      </c>
      <c r="AO1131" t="s">
        <v>98</v>
      </c>
      <c r="AP1131" t="s">
        <v>100</v>
      </c>
      <c r="AQ1131" t="s">
        <v>101</v>
      </c>
      <c r="AV1131" t="s">
        <v>98</v>
      </c>
      <c r="AX1131" t="s">
        <v>3029</v>
      </c>
      <c r="AZ1131" t="s">
        <v>102</v>
      </c>
      <c r="BB1131" t="s">
        <v>3227</v>
      </c>
      <c r="BC1131" t="s">
        <v>3602</v>
      </c>
      <c r="BD1131" t="s">
        <v>7528</v>
      </c>
      <c r="BF1131" t="s">
        <v>3603</v>
      </c>
      <c r="BG1131" t="s">
        <v>98</v>
      </c>
      <c r="BH1131" t="s">
        <v>99</v>
      </c>
      <c r="BI1131" t="s">
        <v>98</v>
      </c>
      <c r="BJ1131" t="s">
        <v>99</v>
      </c>
      <c r="BK1131" t="s">
        <v>453</v>
      </c>
      <c r="BL1131" t="s">
        <v>7528</v>
      </c>
      <c r="BM1131">
        <v>4.5</v>
      </c>
      <c r="BN1131">
        <v>4.13</v>
      </c>
      <c r="CA1131">
        <v>72398</v>
      </c>
      <c r="CB1131" t="s">
        <v>3029</v>
      </c>
      <c r="CG1131">
        <v>3000</v>
      </c>
      <c r="CH1131">
        <v>91</v>
      </c>
      <c r="CI1131">
        <v>897</v>
      </c>
      <c r="CJ1131">
        <v>350</v>
      </c>
      <c r="CK1131">
        <v>30000</v>
      </c>
      <c r="CL1131" t="s">
        <v>99</v>
      </c>
      <c r="CM1131" t="s">
        <v>98</v>
      </c>
      <c r="CN1131" t="s">
        <v>3227</v>
      </c>
      <c r="CO1131" s="1">
        <v>42765</v>
      </c>
      <c r="CP1131" s="1">
        <v>43633</v>
      </c>
    </row>
    <row r="1132" spans="1:94" x14ac:dyDescent="0.25">
      <c r="A1132" t="s">
        <v>3604</v>
      </c>
      <c r="B1132" t="str">
        <f xml:space="preserve"> "" &amp; 747396803142</f>
        <v>747396803142</v>
      </c>
      <c r="C1132" t="s">
        <v>559</v>
      </c>
      <c r="D1132" t="s">
        <v>6844</v>
      </c>
      <c r="E1132" t="s">
        <v>3601</v>
      </c>
      <c r="F1132" t="s">
        <v>3188</v>
      </c>
      <c r="G1132">
        <v>1</v>
      </c>
      <c r="H1132">
        <v>1</v>
      </c>
      <c r="I1132" t="s">
        <v>97</v>
      </c>
      <c r="J1132" s="10">
        <v>32</v>
      </c>
      <c r="K1132" s="10">
        <v>96</v>
      </c>
      <c r="L1132" s="10">
        <v>0</v>
      </c>
      <c r="N1132" s="10">
        <v>0</v>
      </c>
      <c r="O1132" t="s">
        <v>99</v>
      </c>
      <c r="P1132" s="10">
        <v>69.95</v>
      </c>
      <c r="S1132">
        <v>5.75</v>
      </c>
      <c r="U1132">
        <v>7.5</v>
      </c>
      <c r="V1132">
        <v>3</v>
      </c>
      <c r="W1132">
        <v>3.17</v>
      </c>
      <c r="X1132">
        <v>1</v>
      </c>
      <c r="Y1132">
        <v>11.13</v>
      </c>
      <c r="Z1132">
        <v>15.75</v>
      </c>
      <c r="AA1132">
        <v>12.75</v>
      </c>
      <c r="AB1132">
        <v>1.2929999999999999</v>
      </c>
      <c r="AC1132">
        <v>5.86</v>
      </c>
      <c r="AE1132">
        <v>1</v>
      </c>
      <c r="AF1132" t="s">
        <v>559</v>
      </c>
      <c r="AG1132">
        <v>13</v>
      </c>
      <c r="AK1132" t="s">
        <v>99</v>
      </c>
      <c r="AM1132" t="s">
        <v>98</v>
      </c>
      <c r="AN1132" t="s">
        <v>99</v>
      </c>
      <c r="AO1132" t="s">
        <v>98</v>
      </c>
      <c r="AP1132" t="s">
        <v>100</v>
      </c>
      <c r="AQ1132" t="s">
        <v>101</v>
      </c>
      <c r="AV1132" t="s">
        <v>98</v>
      </c>
      <c r="AX1132" t="s">
        <v>164</v>
      </c>
      <c r="AZ1132" t="s">
        <v>102</v>
      </c>
      <c r="BB1132" t="s">
        <v>3227</v>
      </c>
      <c r="BC1132" t="s">
        <v>3605</v>
      </c>
      <c r="BD1132" t="s">
        <v>7528</v>
      </c>
      <c r="BF1132" t="s">
        <v>3606</v>
      </c>
      <c r="BG1132" t="s">
        <v>98</v>
      </c>
      <c r="BH1132" t="s">
        <v>99</v>
      </c>
      <c r="BI1132" t="s">
        <v>98</v>
      </c>
      <c r="BJ1132" t="s">
        <v>99</v>
      </c>
      <c r="BK1132" t="s">
        <v>453</v>
      </c>
      <c r="BL1132" t="s">
        <v>7528</v>
      </c>
      <c r="BM1132">
        <v>4.5</v>
      </c>
      <c r="BN1132">
        <v>4.13</v>
      </c>
      <c r="CA1132">
        <v>72398</v>
      </c>
      <c r="CB1132" t="s">
        <v>164</v>
      </c>
      <c r="CG1132">
        <v>3000</v>
      </c>
      <c r="CH1132">
        <v>91</v>
      </c>
      <c r="CI1132">
        <v>897</v>
      </c>
      <c r="CJ1132">
        <v>310</v>
      </c>
      <c r="CK1132">
        <v>30000</v>
      </c>
      <c r="CL1132" t="s">
        <v>99</v>
      </c>
      <c r="CM1132" t="s">
        <v>98</v>
      </c>
      <c r="CN1132" t="s">
        <v>3285</v>
      </c>
      <c r="CO1132" s="1">
        <v>42725</v>
      </c>
      <c r="CP1132" s="1">
        <v>43633</v>
      </c>
    </row>
    <row r="1133" spans="1:94" x14ac:dyDescent="0.25">
      <c r="A1133" t="s">
        <v>3607</v>
      </c>
      <c r="B1133" t="str">
        <f xml:space="preserve"> "" &amp; 747396097862</f>
        <v>747396097862</v>
      </c>
      <c r="C1133" t="s">
        <v>3424</v>
      </c>
      <c r="D1133" t="s">
        <v>3608</v>
      </c>
      <c r="E1133" t="s">
        <v>3609</v>
      </c>
      <c r="F1133" t="s">
        <v>3188</v>
      </c>
      <c r="G1133">
        <v>1</v>
      </c>
      <c r="H1133">
        <v>1</v>
      </c>
      <c r="I1133" t="s">
        <v>97</v>
      </c>
      <c r="J1133" s="10">
        <v>95</v>
      </c>
      <c r="K1133" s="10">
        <v>285</v>
      </c>
      <c r="L1133" s="10">
        <v>0</v>
      </c>
      <c r="N1133" s="10">
        <v>0</v>
      </c>
      <c r="O1133" t="s">
        <v>99</v>
      </c>
      <c r="P1133" s="10">
        <v>194.95</v>
      </c>
      <c r="S1133">
        <v>14.5</v>
      </c>
      <c r="U1133">
        <v>7.5</v>
      </c>
      <c r="V1133">
        <v>3.75</v>
      </c>
      <c r="W1133">
        <v>3.79</v>
      </c>
      <c r="Y1133">
        <v>16.5</v>
      </c>
      <c r="Z1133">
        <v>10.5</v>
      </c>
      <c r="AA1133">
        <v>7.75</v>
      </c>
      <c r="AB1133">
        <v>0.77700000000000002</v>
      </c>
      <c r="AC1133">
        <v>4.45</v>
      </c>
      <c r="AE1133">
        <v>2</v>
      </c>
      <c r="AF1133" t="s">
        <v>3212</v>
      </c>
      <c r="AG1133">
        <v>14</v>
      </c>
      <c r="AK1133" t="s">
        <v>99</v>
      </c>
      <c r="AM1133" t="s">
        <v>98</v>
      </c>
      <c r="AN1133" t="s">
        <v>99</v>
      </c>
      <c r="AO1133" t="s">
        <v>98</v>
      </c>
      <c r="AP1133" t="s">
        <v>100</v>
      </c>
      <c r="AQ1133" t="s">
        <v>101</v>
      </c>
      <c r="AV1133" t="s">
        <v>98</v>
      </c>
      <c r="AX1133" t="s">
        <v>3491</v>
      </c>
      <c r="AZ1133" t="s">
        <v>392</v>
      </c>
      <c r="BB1133" t="s">
        <v>235</v>
      </c>
      <c r="BC1133" t="s">
        <v>3610</v>
      </c>
      <c r="BD1133" t="s">
        <v>7528</v>
      </c>
      <c r="BF1133" t="s">
        <v>3611</v>
      </c>
      <c r="BG1133" t="s">
        <v>98</v>
      </c>
      <c r="BH1133" t="s">
        <v>99</v>
      </c>
      <c r="BI1133" t="s">
        <v>98</v>
      </c>
      <c r="BJ1133" t="s">
        <v>99</v>
      </c>
      <c r="BK1133" t="s">
        <v>453</v>
      </c>
      <c r="BL1133" t="s">
        <v>645</v>
      </c>
      <c r="BM1133">
        <v>5.5</v>
      </c>
      <c r="BN1133">
        <v>14</v>
      </c>
      <c r="CA1133" t="s">
        <v>3612</v>
      </c>
      <c r="CB1133" t="s">
        <v>3491</v>
      </c>
      <c r="CG1133">
        <v>2700</v>
      </c>
      <c r="CH1133">
        <v>90</v>
      </c>
      <c r="CI1133">
        <v>1960</v>
      </c>
      <c r="CJ1133">
        <v>709.9</v>
      </c>
      <c r="CK1133">
        <v>30000</v>
      </c>
      <c r="CL1133" t="s">
        <v>99</v>
      </c>
      <c r="CM1133" t="s">
        <v>98</v>
      </c>
      <c r="CN1133" t="s">
        <v>3448</v>
      </c>
      <c r="CO1133" s="1">
        <v>42395</v>
      </c>
      <c r="CP1133" s="1">
        <v>43633</v>
      </c>
    </row>
    <row r="1134" spans="1:94" x14ac:dyDescent="0.25">
      <c r="A1134" t="s">
        <v>3613</v>
      </c>
      <c r="B1134" t="str">
        <f xml:space="preserve"> "" &amp; 747396083841</f>
        <v>747396083841</v>
      </c>
      <c r="C1134" t="s">
        <v>3614</v>
      </c>
      <c r="D1134" t="s">
        <v>3615</v>
      </c>
      <c r="E1134" t="s">
        <v>3609</v>
      </c>
      <c r="F1134" t="s">
        <v>2823</v>
      </c>
      <c r="G1134">
        <v>1</v>
      </c>
      <c r="H1134">
        <v>1</v>
      </c>
      <c r="I1134" t="s">
        <v>97</v>
      </c>
      <c r="J1134" s="10">
        <v>35</v>
      </c>
      <c r="K1134" s="10">
        <v>105</v>
      </c>
      <c r="L1134" s="10">
        <v>0</v>
      </c>
      <c r="N1134" s="10">
        <v>0</v>
      </c>
      <c r="O1134" t="s">
        <v>99</v>
      </c>
      <c r="P1134" s="10">
        <v>69.95</v>
      </c>
      <c r="S1134">
        <v>4.75</v>
      </c>
      <c r="U1134">
        <v>7</v>
      </c>
      <c r="V1134">
        <v>3.75</v>
      </c>
      <c r="W1134">
        <v>1.76</v>
      </c>
      <c r="Y1134">
        <v>8.75</v>
      </c>
      <c r="Z1134">
        <v>10.75</v>
      </c>
      <c r="AA1134">
        <v>7.25</v>
      </c>
      <c r="AB1134">
        <v>0.39500000000000002</v>
      </c>
      <c r="AC1134">
        <v>2.31</v>
      </c>
      <c r="AE1134">
        <v>2</v>
      </c>
      <c r="AF1134" t="s">
        <v>1917</v>
      </c>
      <c r="AG1134">
        <v>35</v>
      </c>
      <c r="AK1134" t="s">
        <v>98</v>
      </c>
      <c r="AM1134" t="s">
        <v>98</v>
      </c>
      <c r="AN1134" t="s">
        <v>99</v>
      </c>
      <c r="AO1134" t="s">
        <v>98</v>
      </c>
      <c r="AP1134" t="s">
        <v>100</v>
      </c>
      <c r="AQ1134" t="s">
        <v>101</v>
      </c>
      <c r="AV1134" t="s">
        <v>98</v>
      </c>
      <c r="AX1134" t="s">
        <v>3491</v>
      </c>
      <c r="AZ1134" t="s">
        <v>102</v>
      </c>
      <c r="BB1134" t="s">
        <v>7528</v>
      </c>
      <c r="BC1134" t="s">
        <v>7528</v>
      </c>
      <c r="BD1134" t="s">
        <v>7528</v>
      </c>
      <c r="BF1134" t="s">
        <v>3616</v>
      </c>
      <c r="BG1134" t="s">
        <v>99</v>
      </c>
      <c r="BH1134" t="s">
        <v>99</v>
      </c>
      <c r="BI1134" t="s">
        <v>98</v>
      </c>
      <c r="BJ1134" t="s">
        <v>99</v>
      </c>
      <c r="BK1134" t="s">
        <v>453</v>
      </c>
      <c r="BL1134" t="s">
        <v>993</v>
      </c>
      <c r="BM1134">
        <v>5</v>
      </c>
      <c r="BN1134">
        <v>4.63</v>
      </c>
      <c r="CA1134">
        <v>72400</v>
      </c>
      <c r="CB1134" t="s">
        <v>3491</v>
      </c>
      <c r="CL1134" t="s">
        <v>98</v>
      </c>
      <c r="CM1134" t="s">
        <v>98</v>
      </c>
      <c r="CN1134" t="s">
        <v>3227</v>
      </c>
      <c r="CO1134" s="1">
        <v>40805</v>
      </c>
      <c r="CP1134" s="1">
        <v>43633</v>
      </c>
    </row>
    <row r="1135" spans="1:94" x14ac:dyDescent="0.25">
      <c r="A1135" t="s">
        <v>3617</v>
      </c>
      <c r="B1135" t="str">
        <f xml:space="preserve"> "" &amp; 747396097879</f>
        <v>747396097879</v>
      </c>
      <c r="C1135" t="s">
        <v>3618</v>
      </c>
      <c r="D1135" t="s">
        <v>3608</v>
      </c>
      <c r="E1135" t="s">
        <v>3609</v>
      </c>
      <c r="F1135" t="s">
        <v>3188</v>
      </c>
      <c r="G1135">
        <v>1</v>
      </c>
      <c r="H1135">
        <v>1</v>
      </c>
      <c r="I1135" t="s">
        <v>97</v>
      </c>
      <c r="J1135" s="10">
        <v>48</v>
      </c>
      <c r="K1135" s="10">
        <v>144</v>
      </c>
      <c r="L1135" s="10">
        <v>0</v>
      </c>
      <c r="N1135" s="10">
        <v>0</v>
      </c>
      <c r="O1135" t="s">
        <v>99</v>
      </c>
      <c r="P1135" s="10">
        <v>84.95</v>
      </c>
      <c r="S1135">
        <v>4.75</v>
      </c>
      <c r="U1135">
        <v>7.5</v>
      </c>
      <c r="V1135">
        <v>3.75</v>
      </c>
      <c r="W1135">
        <v>1.54</v>
      </c>
      <c r="Y1135">
        <v>9</v>
      </c>
      <c r="Z1135">
        <v>11</v>
      </c>
      <c r="AA1135">
        <v>7.5</v>
      </c>
      <c r="AB1135">
        <v>0.43</v>
      </c>
      <c r="AC1135">
        <v>2.12</v>
      </c>
      <c r="AE1135">
        <v>1</v>
      </c>
      <c r="AF1135" t="s">
        <v>3212</v>
      </c>
      <c r="AG1135">
        <v>14</v>
      </c>
      <c r="AK1135" t="s">
        <v>99</v>
      </c>
      <c r="AM1135" t="s">
        <v>98</v>
      </c>
      <c r="AN1135" t="s">
        <v>99</v>
      </c>
      <c r="AO1135" t="s">
        <v>98</v>
      </c>
      <c r="AP1135" t="s">
        <v>100</v>
      </c>
      <c r="AQ1135" t="s">
        <v>101</v>
      </c>
      <c r="AV1135" t="s">
        <v>98</v>
      </c>
      <c r="AX1135" t="s">
        <v>3491</v>
      </c>
      <c r="AZ1135" t="s">
        <v>392</v>
      </c>
      <c r="BB1135" t="s">
        <v>7528</v>
      </c>
      <c r="BC1135" t="s">
        <v>7528</v>
      </c>
      <c r="BD1135" t="s">
        <v>7528</v>
      </c>
      <c r="BF1135" t="s">
        <v>3619</v>
      </c>
      <c r="BG1135" t="s">
        <v>99</v>
      </c>
      <c r="BH1135" t="s">
        <v>99</v>
      </c>
      <c r="BI1135" t="s">
        <v>98</v>
      </c>
      <c r="BJ1135" t="s">
        <v>99</v>
      </c>
      <c r="BK1135" t="s">
        <v>453</v>
      </c>
      <c r="BL1135" t="s">
        <v>645</v>
      </c>
      <c r="BM1135">
        <v>5</v>
      </c>
      <c r="BN1135">
        <v>4.58</v>
      </c>
      <c r="CA1135">
        <v>72400</v>
      </c>
      <c r="CB1135" t="s">
        <v>3491</v>
      </c>
      <c r="CG1135">
        <v>2700</v>
      </c>
      <c r="CH1135">
        <v>91</v>
      </c>
      <c r="CI1135">
        <v>980</v>
      </c>
      <c r="CJ1135">
        <v>395</v>
      </c>
      <c r="CK1135">
        <v>30000</v>
      </c>
      <c r="CL1135" t="s">
        <v>99</v>
      </c>
      <c r="CM1135" t="s">
        <v>98</v>
      </c>
      <c r="CN1135" t="s">
        <v>3227</v>
      </c>
      <c r="CO1135" s="1">
        <v>42395</v>
      </c>
      <c r="CP1135" s="1">
        <v>43633</v>
      </c>
    </row>
    <row r="1136" spans="1:94" x14ac:dyDescent="0.25">
      <c r="A1136" t="s">
        <v>3620</v>
      </c>
      <c r="B1136" t="str">
        <f xml:space="preserve"> "" &amp; 747396110943</f>
        <v>747396110943</v>
      </c>
      <c r="C1136" t="s">
        <v>3621</v>
      </c>
      <c r="D1136" t="s">
        <v>3622</v>
      </c>
      <c r="E1136" t="s">
        <v>3623</v>
      </c>
      <c r="F1136" t="s">
        <v>3188</v>
      </c>
      <c r="G1136">
        <v>1</v>
      </c>
      <c r="H1136">
        <v>1</v>
      </c>
      <c r="I1136" t="s">
        <v>97</v>
      </c>
      <c r="J1136" s="10">
        <v>59</v>
      </c>
      <c r="K1136" s="10">
        <v>177</v>
      </c>
      <c r="L1136" s="10">
        <v>0</v>
      </c>
      <c r="N1136" s="10">
        <v>0</v>
      </c>
      <c r="O1136" t="s">
        <v>99</v>
      </c>
      <c r="P1136" s="10">
        <v>124.95</v>
      </c>
      <c r="S1136">
        <v>9</v>
      </c>
      <c r="U1136">
        <v>9</v>
      </c>
      <c r="V1136">
        <v>3.5</v>
      </c>
      <c r="W1136">
        <v>2.38</v>
      </c>
      <c r="X1136">
        <v>1</v>
      </c>
      <c r="Y1136">
        <v>6.25</v>
      </c>
      <c r="Z1136">
        <v>11.75</v>
      </c>
      <c r="AA1136">
        <v>11.75</v>
      </c>
      <c r="AB1136">
        <v>0.499</v>
      </c>
      <c r="AC1136">
        <v>3.42</v>
      </c>
      <c r="AE1136">
        <v>1</v>
      </c>
      <c r="AF1136" t="s">
        <v>559</v>
      </c>
      <c r="AG1136">
        <v>8</v>
      </c>
      <c r="AK1136" t="s">
        <v>99</v>
      </c>
      <c r="AM1136" t="s">
        <v>98</v>
      </c>
      <c r="AN1136" t="s">
        <v>99</v>
      </c>
      <c r="AO1136" t="s">
        <v>98</v>
      </c>
      <c r="AP1136" t="s">
        <v>100</v>
      </c>
      <c r="AQ1136" t="s">
        <v>101</v>
      </c>
      <c r="AV1136" t="s">
        <v>98</v>
      </c>
      <c r="AX1136" t="s">
        <v>3624</v>
      </c>
      <c r="AZ1136" t="s">
        <v>392</v>
      </c>
      <c r="BB1136" t="s">
        <v>941</v>
      </c>
      <c r="BC1136" t="s">
        <v>7528</v>
      </c>
      <c r="BD1136" t="s">
        <v>7528</v>
      </c>
      <c r="BF1136" t="s">
        <v>3625</v>
      </c>
      <c r="BG1136" t="s">
        <v>98</v>
      </c>
      <c r="BH1136" t="s">
        <v>98</v>
      </c>
      <c r="BI1136" t="s">
        <v>98</v>
      </c>
      <c r="BJ1136" t="s">
        <v>99</v>
      </c>
      <c r="BK1136" t="s">
        <v>453</v>
      </c>
      <c r="BL1136" t="s">
        <v>7528</v>
      </c>
      <c r="BM1136">
        <v>6.25</v>
      </c>
      <c r="BN1136">
        <v>0.75</v>
      </c>
      <c r="BP1136">
        <v>6.25</v>
      </c>
      <c r="CA1136" t="s">
        <v>3626</v>
      </c>
      <c r="CB1136" t="s">
        <v>3624</v>
      </c>
      <c r="CG1136">
        <v>3000</v>
      </c>
      <c r="CH1136">
        <v>91</v>
      </c>
      <c r="CI1136">
        <v>248</v>
      </c>
      <c r="CJ1136">
        <v>167</v>
      </c>
      <c r="CK1136">
        <v>30000</v>
      </c>
      <c r="CL1136" t="s">
        <v>99</v>
      </c>
      <c r="CM1136" t="s">
        <v>98</v>
      </c>
      <c r="CN1136" t="s">
        <v>3227</v>
      </c>
      <c r="CO1136" s="1">
        <v>43539</v>
      </c>
      <c r="CP1136" s="1">
        <v>43633</v>
      </c>
    </row>
    <row r="1137" spans="1:94" x14ac:dyDescent="0.25">
      <c r="A1137" t="s">
        <v>3627</v>
      </c>
      <c r="B1137" t="str">
        <f xml:space="preserve"> "" &amp; 747396110950</f>
        <v>747396110950</v>
      </c>
      <c r="C1137" t="s">
        <v>3621</v>
      </c>
      <c r="D1137" t="s">
        <v>3622</v>
      </c>
      <c r="E1137" t="s">
        <v>3623</v>
      </c>
      <c r="F1137" t="s">
        <v>3188</v>
      </c>
      <c r="G1137">
        <v>1</v>
      </c>
      <c r="H1137">
        <v>1</v>
      </c>
      <c r="I1137" t="s">
        <v>97</v>
      </c>
      <c r="J1137" s="10">
        <v>69</v>
      </c>
      <c r="K1137" s="10">
        <v>207</v>
      </c>
      <c r="L1137" s="10">
        <v>0</v>
      </c>
      <c r="N1137" s="10">
        <v>0</v>
      </c>
      <c r="O1137" t="s">
        <v>99</v>
      </c>
      <c r="P1137" s="10">
        <v>144.94999999999999</v>
      </c>
      <c r="S1137">
        <v>11</v>
      </c>
      <c r="U1137">
        <v>11</v>
      </c>
      <c r="V1137">
        <v>4</v>
      </c>
      <c r="W1137">
        <v>3.59</v>
      </c>
      <c r="X1137">
        <v>1</v>
      </c>
      <c r="Y1137">
        <v>7.25</v>
      </c>
      <c r="Z1137">
        <v>13.75</v>
      </c>
      <c r="AA1137">
        <v>13.75</v>
      </c>
      <c r="AB1137">
        <v>0.79300000000000004</v>
      </c>
      <c r="AC1137">
        <v>4.96</v>
      </c>
      <c r="AE1137">
        <v>1</v>
      </c>
      <c r="AF1137" t="s">
        <v>559</v>
      </c>
      <c r="AG1137">
        <v>8</v>
      </c>
      <c r="AK1137" t="s">
        <v>99</v>
      </c>
      <c r="AM1137" t="s">
        <v>98</v>
      </c>
      <c r="AN1137" t="s">
        <v>99</v>
      </c>
      <c r="AO1137" t="s">
        <v>98</v>
      </c>
      <c r="AP1137" t="s">
        <v>100</v>
      </c>
      <c r="AQ1137" t="s">
        <v>101</v>
      </c>
      <c r="AV1137" t="s">
        <v>98</v>
      </c>
      <c r="AX1137" t="s">
        <v>3624</v>
      </c>
      <c r="AZ1137" t="s">
        <v>392</v>
      </c>
      <c r="BB1137" t="s">
        <v>941</v>
      </c>
      <c r="BC1137" t="s">
        <v>7528</v>
      </c>
      <c r="BD1137" t="s">
        <v>7528</v>
      </c>
      <c r="BF1137" t="s">
        <v>3628</v>
      </c>
      <c r="BG1137" t="s">
        <v>98</v>
      </c>
      <c r="BH1137" t="s">
        <v>98</v>
      </c>
      <c r="BI1137" t="s">
        <v>98</v>
      </c>
      <c r="BJ1137" t="s">
        <v>99</v>
      </c>
      <c r="BK1137" t="s">
        <v>453</v>
      </c>
      <c r="BL1137" t="s">
        <v>7528</v>
      </c>
      <c r="BM1137">
        <v>7.75</v>
      </c>
      <c r="BN1137">
        <v>0.75</v>
      </c>
      <c r="BP1137">
        <v>7.75</v>
      </c>
      <c r="CA1137" t="s">
        <v>3629</v>
      </c>
      <c r="CB1137" t="s">
        <v>3624</v>
      </c>
      <c r="CG1137">
        <v>3000</v>
      </c>
      <c r="CH1137">
        <v>91</v>
      </c>
      <c r="CI1137">
        <v>229</v>
      </c>
      <c r="CJ1137">
        <v>157</v>
      </c>
      <c r="CK1137">
        <v>30000</v>
      </c>
      <c r="CL1137" t="s">
        <v>99</v>
      </c>
      <c r="CM1137" t="s">
        <v>98</v>
      </c>
      <c r="CN1137" t="s">
        <v>3227</v>
      </c>
      <c r="CO1137" s="1">
        <v>43539</v>
      </c>
      <c r="CP1137" s="1">
        <v>43633</v>
      </c>
    </row>
    <row r="1138" spans="1:94" x14ac:dyDescent="0.25">
      <c r="A1138" t="s">
        <v>3630</v>
      </c>
      <c r="B1138" t="str">
        <f xml:space="preserve"> "" &amp; 747396087436</f>
        <v>747396087436</v>
      </c>
      <c r="C1138" t="s">
        <v>3332</v>
      </c>
      <c r="D1138" t="s">
        <v>3631</v>
      </c>
      <c r="E1138" t="s">
        <v>3632</v>
      </c>
      <c r="F1138" t="s">
        <v>3188</v>
      </c>
      <c r="G1138">
        <v>1</v>
      </c>
      <c r="H1138">
        <v>1</v>
      </c>
      <c r="I1138" t="s">
        <v>97</v>
      </c>
      <c r="J1138" s="10">
        <v>64</v>
      </c>
      <c r="K1138" s="10">
        <v>192</v>
      </c>
      <c r="L1138" s="10">
        <v>0</v>
      </c>
      <c r="N1138" s="10">
        <v>0</v>
      </c>
      <c r="O1138" t="s">
        <v>99</v>
      </c>
      <c r="P1138" s="10">
        <v>129.94999999999999</v>
      </c>
      <c r="S1138">
        <v>15.5</v>
      </c>
      <c r="U1138">
        <v>6.75</v>
      </c>
      <c r="V1138">
        <v>8.25</v>
      </c>
      <c r="W1138">
        <v>2.8</v>
      </c>
      <c r="Y1138">
        <v>17.75</v>
      </c>
      <c r="Z1138">
        <v>9.85</v>
      </c>
      <c r="AA1138">
        <v>8.75</v>
      </c>
      <c r="AB1138">
        <v>0.88500000000000001</v>
      </c>
      <c r="AC1138">
        <v>4.1900000000000004</v>
      </c>
      <c r="AE1138">
        <v>1</v>
      </c>
      <c r="AF1138" t="s">
        <v>3586</v>
      </c>
      <c r="AG1138">
        <v>10</v>
      </c>
      <c r="AK1138" t="s">
        <v>99</v>
      </c>
      <c r="AM1138" t="s">
        <v>98</v>
      </c>
      <c r="AN1138" t="s">
        <v>99</v>
      </c>
      <c r="AO1138" t="s">
        <v>98</v>
      </c>
      <c r="AP1138" t="s">
        <v>100</v>
      </c>
      <c r="AQ1138" t="s">
        <v>101</v>
      </c>
      <c r="AV1138" t="s">
        <v>98</v>
      </c>
      <c r="AX1138" t="s">
        <v>3633</v>
      </c>
      <c r="AZ1138" t="s">
        <v>124</v>
      </c>
      <c r="BB1138" t="s">
        <v>235</v>
      </c>
      <c r="BC1138" t="s">
        <v>1446</v>
      </c>
      <c r="BD1138" t="s">
        <v>7528</v>
      </c>
      <c r="BF1138" t="s">
        <v>3634</v>
      </c>
      <c r="BG1138" t="s">
        <v>98</v>
      </c>
      <c r="BH1138" t="s">
        <v>98</v>
      </c>
      <c r="BI1138" t="s">
        <v>98</v>
      </c>
      <c r="BJ1138" t="s">
        <v>99</v>
      </c>
      <c r="BK1138" t="s">
        <v>453</v>
      </c>
      <c r="BL1138" t="s">
        <v>7528</v>
      </c>
      <c r="BM1138">
        <v>6</v>
      </c>
      <c r="BN1138">
        <v>11</v>
      </c>
      <c r="CA1138" t="s">
        <v>3635</v>
      </c>
      <c r="CB1138" t="s">
        <v>3633</v>
      </c>
      <c r="CG1138">
        <v>2700</v>
      </c>
      <c r="CH1138">
        <v>80</v>
      </c>
      <c r="CI1138">
        <v>450</v>
      </c>
      <c r="CJ1138">
        <v>163.03</v>
      </c>
      <c r="CK1138">
        <v>30000</v>
      </c>
      <c r="CL1138" t="s">
        <v>98</v>
      </c>
      <c r="CM1138" t="s">
        <v>98</v>
      </c>
      <c r="CN1138" t="s">
        <v>3448</v>
      </c>
      <c r="CO1138" s="1">
        <v>41233</v>
      </c>
      <c r="CP1138" s="1">
        <v>43633</v>
      </c>
    </row>
    <row r="1139" spans="1:94" x14ac:dyDescent="0.25">
      <c r="A1139" t="s">
        <v>3636</v>
      </c>
      <c r="B1139" t="str">
        <f xml:space="preserve"> "" &amp; 747396087443</f>
        <v>747396087443</v>
      </c>
      <c r="C1139" t="s">
        <v>3332</v>
      </c>
      <c r="D1139" t="s">
        <v>3631</v>
      </c>
      <c r="E1139" t="s">
        <v>3632</v>
      </c>
      <c r="F1139" t="s">
        <v>3188</v>
      </c>
      <c r="G1139">
        <v>1</v>
      </c>
      <c r="H1139">
        <v>1</v>
      </c>
      <c r="I1139" t="s">
        <v>97</v>
      </c>
      <c r="J1139" s="10">
        <v>85</v>
      </c>
      <c r="K1139" s="10">
        <v>255</v>
      </c>
      <c r="L1139" s="10">
        <v>0</v>
      </c>
      <c r="N1139" s="10">
        <v>0</v>
      </c>
      <c r="O1139" t="s">
        <v>99</v>
      </c>
      <c r="P1139" s="10">
        <v>169.95</v>
      </c>
      <c r="S1139">
        <v>19</v>
      </c>
      <c r="U1139">
        <v>8.5</v>
      </c>
      <c r="V1139">
        <v>9.75</v>
      </c>
      <c r="W1139">
        <v>4.3899999999999997</v>
      </c>
      <c r="Y1139">
        <v>22</v>
      </c>
      <c r="Z1139">
        <v>12.25</v>
      </c>
      <c r="AA1139">
        <v>11</v>
      </c>
      <c r="AB1139">
        <v>1.716</v>
      </c>
      <c r="AC1139">
        <v>6.77</v>
      </c>
      <c r="AE1139">
        <v>1</v>
      </c>
      <c r="AF1139" t="s">
        <v>3586</v>
      </c>
      <c r="AG1139">
        <v>10</v>
      </c>
      <c r="AK1139" t="s">
        <v>99</v>
      </c>
      <c r="AM1139" t="s">
        <v>98</v>
      </c>
      <c r="AN1139" t="s">
        <v>99</v>
      </c>
      <c r="AO1139" t="s">
        <v>98</v>
      </c>
      <c r="AP1139" t="s">
        <v>100</v>
      </c>
      <c r="AQ1139" t="s">
        <v>101</v>
      </c>
      <c r="AV1139" t="s">
        <v>98</v>
      </c>
      <c r="AX1139" t="s">
        <v>3633</v>
      </c>
      <c r="AZ1139" t="s">
        <v>124</v>
      </c>
      <c r="BB1139" t="s">
        <v>235</v>
      </c>
      <c r="BC1139" t="s">
        <v>1446</v>
      </c>
      <c r="BD1139" t="s">
        <v>7528</v>
      </c>
      <c r="BF1139" t="s">
        <v>3637</v>
      </c>
      <c r="BG1139" t="s">
        <v>98</v>
      </c>
      <c r="BH1139" t="s">
        <v>98</v>
      </c>
      <c r="BI1139" t="s">
        <v>98</v>
      </c>
      <c r="BJ1139" t="s">
        <v>99</v>
      </c>
      <c r="BK1139" t="s">
        <v>453</v>
      </c>
      <c r="BL1139" t="s">
        <v>7528</v>
      </c>
      <c r="BM1139">
        <v>6</v>
      </c>
      <c r="BN1139">
        <v>11</v>
      </c>
      <c r="CA1139">
        <v>72412</v>
      </c>
      <c r="CB1139" t="s">
        <v>3633</v>
      </c>
      <c r="CG1139">
        <v>2700</v>
      </c>
      <c r="CH1139">
        <v>80</v>
      </c>
      <c r="CI1139">
        <v>450</v>
      </c>
      <c r="CJ1139">
        <v>176.85</v>
      </c>
      <c r="CK1139">
        <v>30000</v>
      </c>
      <c r="CL1139" t="s">
        <v>98</v>
      </c>
      <c r="CM1139" t="s">
        <v>98</v>
      </c>
      <c r="CN1139" t="s">
        <v>3448</v>
      </c>
      <c r="CO1139" s="1">
        <v>41234</v>
      </c>
      <c r="CP1139" s="1">
        <v>43633</v>
      </c>
    </row>
    <row r="1140" spans="1:94" x14ac:dyDescent="0.25">
      <c r="A1140" t="s">
        <v>3638</v>
      </c>
      <c r="B1140" t="str">
        <f xml:space="preserve"> "" &amp; 747396087450</f>
        <v>747396087450</v>
      </c>
      <c r="C1140" t="s">
        <v>3332</v>
      </c>
      <c r="D1140" t="s">
        <v>3631</v>
      </c>
      <c r="E1140" t="s">
        <v>3632</v>
      </c>
      <c r="F1140" t="s">
        <v>3188</v>
      </c>
      <c r="G1140">
        <v>1</v>
      </c>
      <c r="H1140">
        <v>1</v>
      </c>
      <c r="I1140" t="s">
        <v>97</v>
      </c>
      <c r="J1140" s="10">
        <v>129</v>
      </c>
      <c r="K1140" s="10">
        <v>387</v>
      </c>
      <c r="L1140" s="10">
        <v>0</v>
      </c>
      <c r="N1140" s="10">
        <v>0</v>
      </c>
      <c r="O1140" t="s">
        <v>99</v>
      </c>
      <c r="P1140" s="10">
        <v>259.95</v>
      </c>
      <c r="S1140">
        <v>22.25</v>
      </c>
      <c r="U1140">
        <v>10</v>
      </c>
      <c r="V1140">
        <v>11.75</v>
      </c>
      <c r="W1140">
        <v>7.61</v>
      </c>
      <c r="Y1140">
        <v>25.5</v>
      </c>
      <c r="Z1140">
        <v>14.25</v>
      </c>
      <c r="AA1140">
        <v>12.5</v>
      </c>
      <c r="AB1140">
        <v>2.629</v>
      </c>
      <c r="AC1140">
        <v>10.36</v>
      </c>
      <c r="AE1140">
        <v>1</v>
      </c>
      <c r="AF1140" t="s">
        <v>3586</v>
      </c>
      <c r="AG1140">
        <v>10</v>
      </c>
      <c r="AK1140" t="s">
        <v>99</v>
      </c>
      <c r="AM1140" t="s">
        <v>98</v>
      </c>
      <c r="AN1140" t="s">
        <v>99</v>
      </c>
      <c r="AO1140" t="s">
        <v>98</v>
      </c>
      <c r="AP1140" t="s">
        <v>100</v>
      </c>
      <c r="AQ1140" t="s">
        <v>101</v>
      </c>
      <c r="AV1140" t="s">
        <v>98</v>
      </c>
      <c r="AX1140" t="s">
        <v>3633</v>
      </c>
      <c r="AZ1140" t="s">
        <v>124</v>
      </c>
      <c r="BB1140" t="s">
        <v>235</v>
      </c>
      <c r="BC1140" t="s">
        <v>1446</v>
      </c>
      <c r="BD1140" t="s">
        <v>7528</v>
      </c>
      <c r="BF1140" t="s">
        <v>3639</v>
      </c>
      <c r="BG1140" t="s">
        <v>98</v>
      </c>
      <c r="BH1140" t="s">
        <v>98</v>
      </c>
      <c r="BI1140" t="s">
        <v>98</v>
      </c>
      <c r="BJ1140" t="s">
        <v>99</v>
      </c>
      <c r="BK1140" t="s">
        <v>453</v>
      </c>
      <c r="BL1140" t="s">
        <v>7528</v>
      </c>
      <c r="BM1140">
        <v>6.5</v>
      </c>
      <c r="BN1140">
        <v>13.75</v>
      </c>
      <c r="CA1140" t="s">
        <v>3640</v>
      </c>
      <c r="CB1140" t="s">
        <v>3633</v>
      </c>
      <c r="CG1140">
        <v>2700</v>
      </c>
      <c r="CH1140">
        <v>79</v>
      </c>
      <c r="CI1140">
        <v>450</v>
      </c>
      <c r="CJ1140">
        <v>181.39</v>
      </c>
      <c r="CK1140">
        <v>30000</v>
      </c>
      <c r="CL1140" t="s">
        <v>98</v>
      </c>
      <c r="CM1140" t="s">
        <v>98</v>
      </c>
      <c r="CN1140" t="s">
        <v>3236</v>
      </c>
      <c r="CO1140" s="1">
        <v>41234</v>
      </c>
      <c r="CP1140" s="1">
        <v>43633</v>
      </c>
    </row>
    <row r="1141" spans="1:94" x14ac:dyDescent="0.25">
      <c r="A1141" t="s">
        <v>3641</v>
      </c>
      <c r="B1141" t="str">
        <f xml:space="preserve"> "" &amp; 747396087474</f>
        <v>747396087474</v>
      </c>
      <c r="C1141" t="s">
        <v>3642</v>
      </c>
      <c r="D1141" t="s">
        <v>3643</v>
      </c>
      <c r="E1141" t="s">
        <v>3632</v>
      </c>
      <c r="F1141" t="s">
        <v>3188</v>
      </c>
      <c r="G1141">
        <v>1</v>
      </c>
      <c r="H1141">
        <v>1</v>
      </c>
      <c r="I1141" t="s">
        <v>97</v>
      </c>
      <c r="J1141" s="10">
        <v>85</v>
      </c>
      <c r="K1141" s="10">
        <v>255</v>
      </c>
      <c r="L1141" s="10">
        <v>0</v>
      </c>
      <c r="N1141" s="10">
        <v>0</v>
      </c>
      <c r="O1141" t="s">
        <v>99</v>
      </c>
      <c r="P1141" s="10">
        <v>169.95</v>
      </c>
      <c r="S1141">
        <v>19</v>
      </c>
      <c r="U1141">
        <v>8.5</v>
      </c>
      <c r="W1141">
        <v>5.49</v>
      </c>
      <c r="Y1141">
        <v>22.75</v>
      </c>
      <c r="Z1141">
        <v>11.25</v>
      </c>
      <c r="AA1141">
        <v>11.25</v>
      </c>
      <c r="AB1141">
        <v>1.6659999999999999</v>
      </c>
      <c r="AC1141">
        <v>7.32</v>
      </c>
      <c r="AE1141">
        <v>1</v>
      </c>
      <c r="AF1141" t="s">
        <v>3586</v>
      </c>
      <c r="AG1141">
        <v>10</v>
      </c>
      <c r="AK1141" t="s">
        <v>99</v>
      </c>
      <c r="AM1141" t="s">
        <v>98</v>
      </c>
      <c r="AN1141" t="s">
        <v>99</v>
      </c>
      <c r="AO1141" t="s">
        <v>98</v>
      </c>
      <c r="AP1141" t="s">
        <v>100</v>
      </c>
      <c r="AQ1141" t="s">
        <v>101</v>
      </c>
      <c r="AV1141" t="s">
        <v>98</v>
      </c>
      <c r="AX1141" t="s">
        <v>3633</v>
      </c>
      <c r="AZ1141" t="s">
        <v>124</v>
      </c>
      <c r="BB1141" t="s">
        <v>235</v>
      </c>
      <c r="BC1141" t="s">
        <v>3416</v>
      </c>
      <c r="BD1141" t="s">
        <v>7528</v>
      </c>
      <c r="BF1141" t="s">
        <v>3644</v>
      </c>
      <c r="BG1141" t="s">
        <v>98</v>
      </c>
      <c r="BH1141" t="s">
        <v>98</v>
      </c>
      <c r="BI1141" t="s">
        <v>98</v>
      </c>
      <c r="BK1141" t="s">
        <v>127</v>
      </c>
      <c r="BL1141" t="s">
        <v>7528</v>
      </c>
      <c r="BR1141">
        <v>1</v>
      </c>
      <c r="BT1141">
        <v>5</v>
      </c>
      <c r="CA1141">
        <v>72414</v>
      </c>
      <c r="CB1141" t="s">
        <v>3633</v>
      </c>
      <c r="CG1141">
        <v>2700</v>
      </c>
      <c r="CH1141">
        <v>80</v>
      </c>
      <c r="CI1141">
        <v>450</v>
      </c>
      <c r="CJ1141">
        <v>208.48</v>
      </c>
      <c r="CK1141">
        <v>30000</v>
      </c>
      <c r="CL1141" t="s">
        <v>98</v>
      </c>
      <c r="CM1141" t="s">
        <v>98</v>
      </c>
      <c r="CN1141" t="s">
        <v>7528</v>
      </c>
      <c r="CO1141" s="1">
        <v>41234</v>
      </c>
      <c r="CP1141" s="1">
        <v>43633</v>
      </c>
    </row>
    <row r="1142" spans="1:94" x14ac:dyDescent="0.25">
      <c r="A1142" t="s">
        <v>3645</v>
      </c>
      <c r="B1142" t="str">
        <f xml:space="preserve"> "" &amp; 747396087504</f>
        <v>747396087504</v>
      </c>
      <c r="C1142" t="s">
        <v>3354</v>
      </c>
      <c r="D1142" t="s">
        <v>3646</v>
      </c>
      <c r="E1142" t="s">
        <v>3647</v>
      </c>
      <c r="F1142" t="s">
        <v>2823</v>
      </c>
      <c r="G1142">
        <v>1</v>
      </c>
      <c r="H1142">
        <v>1</v>
      </c>
      <c r="I1142" t="s">
        <v>97</v>
      </c>
      <c r="J1142" s="10">
        <v>149.94999999999999</v>
      </c>
      <c r="K1142" s="10">
        <v>449.85</v>
      </c>
      <c r="L1142" s="10">
        <v>0</v>
      </c>
      <c r="N1142" s="10">
        <v>0</v>
      </c>
      <c r="S1142">
        <v>15.5</v>
      </c>
      <c r="U1142">
        <v>8.25</v>
      </c>
      <c r="V1142">
        <v>4.75</v>
      </c>
      <c r="W1142">
        <v>4.59</v>
      </c>
      <c r="Y1142">
        <v>18.13</v>
      </c>
      <c r="Z1142">
        <v>10.63</v>
      </c>
      <c r="AA1142">
        <v>7.13</v>
      </c>
      <c r="AB1142">
        <v>0.79500000000000004</v>
      </c>
      <c r="AC1142">
        <v>5.91</v>
      </c>
      <c r="AE1142">
        <v>2</v>
      </c>
      <c r="AF1142" t="s">
        <v>519</v>
      </c>
      <c r="AG1142">
        <v>60</v>
      </c>
      <c r="AK1142" t="s">
        <v>98</v>
      </c>
      <c r="AM1142" t="s">
        <v>98</v>
      </c>
      <c r="AN1142" t="s">
        <v>99</v>
      </c>
      <c r="AO1142" t="s">
        <v>98</v>
      </c>
      <c r="AP1142" t="s">
        <v>100</v>
      </c>
      <c r="AQ1142" t="s">
        <v>101</v>
      </c>
      <c r="AV1142" t="s">
        <v>98</v>
      </c>
      <c r="AX1142" t="s">
        <v>3648</v>
      </c>
      <c r="AZ1142" t="s">
        <v>124</v>
      </c>
      <c r="BB1142" t="s">
        <v>235</v>
      </c>
      <c r="BC1142" t="s">
        <v>1687</v>
      </c>
      <c r="BD1142" t="s">
        <v>7528</v>
      </c>
      <c r="BF1142" t="s">
        <v>3649</v>
      </c>
      <c r="BG1142" t="s">
        <v>98</v>
      </c>
      <c r="BH1142" t="s">
        <v>98</v>
      </c>
      <c r="BI1142" t="s">
        <v>98</v>
      </c>
      <c r="BJ1142" t="s">
        <v>99</v>
      </c>
      <c r="BK1142" t="s">
        <v>453</v>
      </c>
      <c r="BL1142" t="s">
        <v>7528</v>
      </c>
      <c r="BR1142">
        <v>8</v>
      </c>
      <c r="BT1142">
        <v>7</v>
      </c>
      <c r="CA1142">
        <v>72420</v>
      </c>
      <c r="CB1142" t="s">
        <v>3648</v>
      </c>
      <c r="CL1142" t="s">
        <v>98</v>
      </c>
      <c r="CM1142" t="s">
        <v>98</v>
      </c>
      <c r="CN1142" t="s">
        <v>7528</v>
      </c>
      <c r="CO1142" s="1">
        <v>41412</v>
      </c>
      <c r="CP1142" s="1">
        <v>43633</v>
      </c>
    </row>
    <row r="1143" spans="1:94" x14ac:dyDescent="0.25">
      <c r="A1143" t="s">
        <v>3650</v>
      </c>
      <c r="B1143" t="str">
        <f xml:space="preserve"> "" &amp; 747396087481</f>
        <v>747396087481</v>
      </c>
      <c r="C1143" t="s">
        <v>1577</v>
      </c>
      <c r="D1143" t="s">
        <v>3651</v>
      </c>
      <c r="E1143" t="s">
        <v>3647</v>
      </c>
      <c r="F1143" t="s">
        <v>2823</v>
      </c>
      <c r="G1143">
        <v>1</v>
      </c>
      <c r="H1143">
        <v>1</v>
      </c>
      <c r="I1143" t="s">
        <v>97</v>
      </c>
      <c r="J1143" s="10">
        <v>154.94999999999999</v>
      </c>
      <c r="K1143" s="10">
        <v>464.85</v>
      </c>
      <c r="L1143" s="10">
        <v>0</v>
      </c>
      <c r="N1143" s="10">
        <v>0</v>
      </c>
      <c r="S1143">
        <v>14</v>
      </c>
      <c r="U1143">
        <v>6</v>
      </c>
      <c r="V1143">
        <v>7.75</v>
      </c>
      <c r="W1143">
        <v>4.9800000000000004</v>
      </c>
      <c r="Y1143">
        <v>16.63</v>
      </c>
      <c r="Z1143">
        <v>10</v>
      </c>
      <c r="AA1143">
        <v>8.5</v>
      </c>
      <c r="AB1143">
        <v>0.81799999999999995</v>
      </c>
      <c r="AC1143">
        <v>6.37</v>
      </c>
      <c r="AE1143">
        <v>1</v>
      </c>
      <c r="AF1143" t="s">
        <v>282</v>
      </c>
      <c r="AG1143">
        <v>60</v>
      </c>
      <c r="AK1143" t="s">
        <v>98</v>
      </c>
      <c r="AM1143" t="s">
        <v>98</v>
      </c>
      <c r="AN1143" t="s">
        <v>99</v>
      </c>
      <c r="AO1143" t="s">
        <v>98</v>
      </c>
      <c r="AP1143" t="s">
        <v>100</v>
      </c>
      <c r="AQ1143" t="s">
        <v>101</v>
      </c>
      <c r="AV1143" t="s">
        <v>98</v>
      </c>
      <c r="AX1143" t="s">
        <v>3648</v>
      </c>
      <c r="AZ1143" t="s">
        <v>124</v>
      </c>
      <c r="BB1143" t="s">
        <v>235</v>
      </c>
      <c r="BC1143" t="s">
        <v>1687</v>
      </c>
      <c r="BD1143" t="s">
        <v>7528</v>
      </c>
      <c r="BF1143" t="s">
        <v>3652</v>
      </c>
      <c r="BG1143" t="s">
        <v>98</v>
      </c>
      <c r="BH1143" t="s">
        <v>98</v>
      </c>
      <c r="BI1143" t="s">
        <v>98</v>
      </c>
      <c r="BJ1143" t="s">
        <v>99</v>
      </c>
      <c r="BK1143" t="s">
        <v>453</v>
      </c>
      <c r="BL1143" t="s">
        <v>7528</v>
      </c>
      <c r="BR1143">
        <v>5</v>
      </c>
      <c r="BT1143">
        <v>4.38</v>
      </c>
      <c r="CA1143">
        <v>72421</v>
      </c>
      <c r="CB1143" t="s">
        <v>3648</v>
      </c>
      <c r="CL1143" t="s">
        <v>99</v>
      </c>
      <c r="CM1143" t="s">
        <v>98</v>
      </c>
      <c r="CN1143" t="s">
        <v>7646</v>
      </c>
      <c r="CO1143" s="1">
        <v>41414</v>
      </c>
      <c r="CP1143" s="1">
        <v>42242</v>
      </c>
    </row>
    <row r="1144" spans="1:94" x14ac:dyDescent="0.25">
      <c r="A1144" t="s">
        <v>3653</v>
      </c>
      <c r="B1144" t="str">
        <f xml:space="preserve"> "" &amp; 747396087498</f>
        <v>747396087498</v>
      </c>
      <c r="C1144" t="s">
        <v>1799</v>
      </c>
      <c r="D1144" t="s">
        <v>3654</v>
      </c>
      <c r="E1144" t="s">
        <v>3647</v>
      </c>
      <c r="F1144" t="s">
        <v>2823</v>
      </c>
      <c r="G1144">
        <v>1</v>
      </c>
      <c r="H1144">
        <v>1</v>
      </c>
      <c r="I1144" t="s">
        <v>97</v>
      </c>
      <c r="J1144" s="10">
        <v>199.95</v>
      </c>
      <c r="K1144" s="10">
        <v>599.85</v>
      </c>
      <c r="L1144" s="10">
        <v>0</v>
      </c>
      <c r="N1144" s="10">
        <v>0</v>
      </c>
      <c r="S1144">
        <v>18.75</v>
      </c>
      <c r="U1144">
        <v>8.25</v>
      </c>
      <c r="V1144">
        <v>10</v>
      </c>
      <c r="W1144">
        <v>8.49</v>
      </c>
      <c r="Y1144">
        <v>22.5</v>
      </c>
      <c r="Z1144">
        <v>13.5</v>
      </c>
      <c r="AA1144">
        <v>11.63</v>
      </c>
      <c r="AB1144">
        <v>2.044</v>
      </c>
      <c r="AC1144">
        <v>11.05</v>
      </c>
      <c r="AE1144">
        <v>3</v>
      </c>
      <c r="AF1144" t="s">
        <v>519</v>
      </c>
      <c r="AG1144">
        <v>60</v>
      </c>
      <c r="AK1144" t="s">
        <v>98</v>
      </c>
      <c r="AM1144" t="s">
        <v>98</v>
      </c>
      <c r="AN1144" t="s">
        <v>99</v>
      </c>
      <c r="AO1144" t="s">
        <v>98</v>
      </c>
      <c r="AP1144" t="s">
        <v>100</v>
      </c>
      <c r="AQ1144" t="s">
        <v>101</v>
      </c>
      <c r="AV1144" t="s">
        <v>98</v>
      </c>
      <c r="AX1144" t="s">
        <v>3648</v>
      </c>
      <c r="AZ1144" t="s">
        <v>124</v>
      </c>
      <c r="BB1144" t="s">
        <v>235</v>
      </c>
      <c r="BC1144" t="s">
        <v>1687</v>
      </c>
      <c r="BD1144" t="s">
        <v>7528</v>
      </c>
      <c r="BF1144" t="s">
        <v>3655</v>
      </c>
      <c r="BG1144" t="s">
        <v>98</v>
      </c>
      <c r="BH1144" t="s">
        <v>98</v>
      </c>
      <c r="BI1144" t="s">
        <v>98</v>
      </c>
      <c r="BJ1144" t="s">
        <v>99</v>
      </c>
      <c r="BK1144" t="s">
        <v>453</v>
      </c>
      <c r="BL1144" t="s">
        <v>7528</v>
      </c>
      <c r="BR1144">
        <v>6.13</v>
      </c>
      <c r="BT1144">
        <v>5</v>
      </c>
      <c r="CA1144">
        <v>72422</v>
      </c>
      <c r="CB1144" t="s">
        <v>3648</v>
      </c>
      <c r="CL1144" t="s">
        <v>98</v>
      </c>
      <c r="CM1144" t="s">
        <v>98</v>
      </c>
      <c r="CN1144" t="s">
        <v>7528</v>
      </c>
      <c r="CO1144" s="1">
        <v>41414</v>
      </c>
      <c r="CP1144" s="1">
        <v>43633</v>
      </c>
    </row>
    <row r="1145" spans="1:94" x14ac:dyDescent="0.25">
      <c r="A1145" t="s">
        <v>3656</v>
      </c>
      <c r="B1145" t="str">
        <f xml:space="preserve"> "" &amp; 747396087511</f>
        <v>747396087511</v>
      </c>
      <c r="C1145" t="s">
        <v>3394</v>
      </c>
      <c r="D1145" t="s">
        <v>3657</v>
      </c>
      <c r="E1145" t="s">
        <v>3647</v>
      </c>
      <c r="F1145" t="s">
        <v>2823</v>
      </c>
      <c r="G1145">
        <v>1</v>
      </c>
      <c r="H1145">
        <v>1</v>
      </c>
      <c r="I1145" t="s">
        <v>97</v>
      </c>
      <c r="J1145" s="10">
        <v>249.95</v>
      </c>
      <c r="K1145" s="10">
        <v>749.85</v>
      </c>
      <c r="L1145" s="10">
        <v>0</v>
      </c>
      <c r="N1145" s="10">
        <v>0</v>
      </c>
      <c r="S1145">
        <v>22.25</v>
      </c>
      <c r="U1145">
        <v>10</v>
      </c>
      <c r="V1145">
        <v>12</v>
      </c>
      <c r="W1145">
        <v>12.08</v>
      </c>
      <c r="Y1145">
        <v>26</v>
      </c>
      <c r="Z1145">
        <v>15.25</v>
      </c>
      <c r="AA1145">
        <v>13.5</v>
      </c>
      <c r="AB1145">
        <v>3.0979999999999999</v>
      </c>
      <c r="AC1145">
        <v>15.7</v>
      </c>
      <c r="AE1145">
        <v>4</v>
      </c>
      <c r="AF1145" t="s">
        <v>519</v>
      </c>
      <c r="AG1145">
        <v>60</v>
      </c>
      <c r="AK1145" t="s">
        <v>98</v>
      </c>
      <c r="AM1145" t="s">
        <v>98</v>
      </c>
      <c r="AN1145" t="s">
        <v>99</v>
      </c>
      <c r="AO1145" t="s">
        <v>98</v>
      </c>
      <c r="AP1145" t="s">
        <v>100</v>
      </c>
      <c r="AQ1145" t="s">
        <v>101</v>
      </c>
      <c r="AV1145" t="s">
        <v>98</v>
      </c>
      <c r="AX1145" t="s">
        <v>3648</v>
      </c>
      <c r="AZ1145" t="s">
        <v>124</v>
      </c>
      <c r="BB1145" t="s">
        <v>235</v>
      </c>
      <c r="BC1145" t="s">
        <v>2591</v>
      </c>
      <c r="BD1145" t="s">
        <v>7528</v>
      </c>
      <c r="BF1145" t="s">
        <v>3658</v>
      </c>
      <c r="BG1145" t="s">
        <v>98</v>
      </c>
      <c r="BH1145" t="s">
        <v>98</v>
      </c>
      <c r="BI1145" t="s">
        <v>98</v>
      </c>
      <c r="BJ1145" t="s">
        <v>99</v>
      </c>
      <c r="BK1145" t="s">
        <v>453</v>
      </c>
      <c r="BL1145" t="s">
        <v>7528</v>
      </c>
      <c r="BR1145">
        <v>8.3800000000000008</v>
      </c>
      <c r="BT1145">
        <v>5</v>
      </c>
      <c r="CA1145">
        <v>72423</v>
      </c>
      <c r="CB1145" t="s">
        <v>3648</v>
      </c>
      <c r="CL1145" t="s">
        <v>99</v>
      </c>
      <c r="CM1145" t="s">
        <v>98</v>
      </c>
      <c r="CN1145" t="s">
        <v>7646</v>
      </c>
      <c r="CO1145" s="1">
        <v>41478</v>
      </c>
      <c r="CP1145" s="1">
        <v>42242</v>
      </c>
    </row>
    <row r="1146" spans="1:94" x14ac:dyDescent="0.25">
      <c r="A1146" t="s">
        <v>3659</v>
      </c>
      <c r="B1146" t="str">
        <f xml:space="preserve"> "" &amp; 747396087535</f>
        <v>747396087535</v>
      </c>
      <c r="C1146" t="s">
        <v>3399</v>
      </c>
      <c r="D1146" t="s">
        <v>3660</v>
      </c>
      <c r="E1146" t="s">
        <v>3647</v>
      </c>
      <c r="F1146" t="s">
        <v>2823</v>
      </c>
      <c r="G1146">
        <v>1</v>
      </c>
      <c r="H1146">
        <v>1</v>
      </c>
      <c r="I1146" t="s">
        <v>97</v>
      </c>
      <c r="J1146" s="10">
        <v>199.95</v>
      </c>
      <c r="K1146" s="10">
        <v>599.85</v>
      </c>
      <c r="L1146" s="10">
        <v>0</v>
      </c>
      <c r="N1146" s="10">
        <v>0</v>
      </c>
      <c r="S1146">
        <v>18.5</v>
      </c>
      <c r="U1146">
        <v>8.25</v>
      </c>
      <c r="W1146">
        <v>8.16</v>
      </c>
      <c r="Y1146">
        <v>22.25</v>
      </c>
      <c r="Z1146">
        <v>11.63</v>
      </c>
      <c r="AA1146">
        <v>11.63</v>
      </c>
      <c r="AB1146">
        <v>1.742</v>
      </c>
      <c r="AC1146">
        <v>10.36</v>
      </c>
      <c r="AE1146">
        <v>3</v>
      </c>
      <c r="AF1146" t="s">
        <v>519</v>
      </c>
      <c r="AG1146">
        <v>60</v>
      </c>
      <c r="AK1146" t="s">
        <v>98</v>
      </c>
      <c r="AM1146" t="s">
        <v>98</v>
      </c>
      <c r="AN1146" t="s">
        <v>99</v>
      </c>
      <c r="AO1146" t="s">
        <v>98</v>
      </c>
      <c r="AP1146" t="s">
        <v>100</v>
      </c>
      <c r="AQ1146" t="s">
        <v>101</v>
      </c>
      <c r="AV1146" t="s">
        <v>98</v>
      </c>
      <c r="AX1146" t="s">
        <v>3648</v>
      </c>
      <c r="AZ1146" t="s">
        <v>124</v>
      </c>
      <c r="BB1146" t="s">
        <v>235</v>
      </c>
      <c r="BC1146" t="s">
        <v>1687</v>
      </c>
      <c r="BD1146" t="s">
        <v>7528</v>
      </c>
      <c r="BF1146" t="s">
        <v>3661</v>
      </c>
      <c r="BG1146" t="s">
        <v>98</v>
      </c>
      <c r="BH1146" t="s">
        <v>98</v>
      </c>
      <c r="BI1146" t="s">
        <v>98</v>
      </c>
      <c r="BK1146" t="s">
        <v>127</v>
      </c>
      <c r="BL1146" t="s">
        <v>7528</v>
      </c>
      <c r="BR1146">
        <v>0.88</v>
      </c>
      <c r="BT1146">
        <v>5.5</v>
      </c>
      <c r="CA1146">
        <v>72424</v>
      </c>
      <c r="CB1146" t="s">
        <v>3648</v>
      </c>
      <c r="CL1146" t="s">
        <v>98</v>
      </c>
      <c r="CM1146" t="s">
        <v>98</v>
      </c>
      <c r="CN1146" t="s">
        <v>7528</v>
      </c>
      <c r="CO1146" s="1">
        <v>41478</v>
      </c>
      <c r="CP1146" s="1">
        <v>43633</v>
      </c>
    </row>
    <row r="1147" spans="1:94" x14ac:dyDescent="0.25">
      <c r="A1147" t="s">
        <v>3662</v>
      </c>
      <c r="B1147" t="str">
        <f xml:space="preserve"> "" &amp; 747396090856</f>
        <v>747396090856</v>
      </c>
      <c r="C1147" t="s">
        <v>3663</v>
      </c>
      <c r="D1147" t="s">
        <v>3657</v>
      </c>
      <c r="E1147" t="s">
        <v>3647</v>
      </c>
      <c r="F1147" t="s">
        <v>2823</v>
      </c>
      <c r="G1147">
        <v>1</v>
      </c>
      <c r="H1147">
        <v>1</v>
      </c>
      <c r="I1147" t="s">
        <v>97</v>
      </c>
      <c r="J1147" s="10">
        <v>339.95</v>
      </c>
      <c r="K1147" s="10">
        <v>1019.85</v>
      </c>
      <c r="L1147" s="10">
        <v>0</v>
      </c>
      <c r="N1147" s="10">
        <v>0</v>
      </c>
      <c r="S1147">
        <v>26</v>
      </c>
      <c r="T1147">
        <v>12</v>
      </c>
      <c r="U1147">
        <v>12</v>
      </c>
      <c r="W1147">
        <v>14.7</v>
      </c>
      <c r="Y1147">
        <v>14.38</v>
      </c>
      <c r="Z1147">
        <v>28.13</v>
      </c>
      <c r="AA1147">
        <v>14.5</v>
      </c>
      <c r="AB1147">
        <v>3.3940000000000001</v>
      </c>
      <c r="AC1147">
        <v>19.489999999999998</v>
      </c>
      <c r="AE1147">
        <v>4</v>
      </c>
      <c r="AF1147" t="s">
        <v>308</v>
      </c>
      <c r="AG1147">
        <v>60</v>
      </c>
      <c r="AK1147" t="s">
        <v>98</v>
      </c>
      <c r="AM1147" t="s">
        <v>98</v>
      </c>
      <c r="AN1147" t="s">
        <v>99</v>
      </c>
      <c r="AO1147" t="s">
        <v>98</v>
      </c>
      <c r="AP1147" t="s">
        <v>100</v>
      </c>
      <c r="AQ1147" t="s">
        <v>101</v>
      </c>
      <c r="AV1147" t="s">
        <v>98</v>
      </c>
      <c r="AX1147" t="s">
        <v>3648</v>
      </c>
      <c r="AZ1147" t="s">
        <v>124</v>
      </c>
      <c r="BB1147" t="s">
        <v>235</v>
      </c>
      <c r="BC1147" t="s">
        <v>7617</v>
      </c>
      <c r="BD1147" t="s">
        <v>7528</v>
      </c>
      <c r="BF1147" t="s">
        <v>3664</v>
      </c>
      <c r="BG1147" t="s">
        <v>98</v>
      </c>
      <c r="BH1147" t="s">
        <v>98</v>
      </c>
      <c r="BI1147" t="s">
        <v>98</v>
      </c>
      <c r="BK1147" t="s">
        <v>127</v>
      </c>
      <c r="BL1147" t="s">
        <v>7528</v>
      </c>
      <c r="BR1147">
        <v>0.88</v>
      </c>
      <c r="BT1147">
        <v>5.5</v>
      </c>
      <c r="CA1147">
        <v>72425</v>
      </c>
      <c r="CB1147" t="s">
        <v>3648</v>
      </c>
      <c r="CL1147" t="s">
        <v>99</v>
      </c>
      <c r="CM1147" t="s">
        <v>98</v>
      </c>
      <c r="CN1147" t="s">
        <v>3670</v>
      </c>
      <c r="CO1147" s="1">
        <v>41401</v>
      </c>
      <c r="CP1147" s="1">
        <v>42718</v>
      </c>
    </row>
    <row r="1148" spans="1:94" x14ac:dyDescent="0.25">
      <c r="A1148" t="s">
        <v>3665</v>
      </c>
      <c r="B1148" t="str">
        <f xml:space="preserve"> "" &amp; 747396087528</f>
        <v>747396087528</v>
      </c>
      <c r="C1148" t="s">
        <v>3403</v>
      </c>
      <c r="D1148" t="s">
        <v>3666</v>
      </c>
      <c r="E1148" t="s">
        <v>3647</v>
      </c>
      <c r="F1148" t="s">
        <v>2823</v>
      </c>
      <c r="G1148">
        <v>1</v>
      </c>
      <c r="H1148">
        <v>1</v>
      </c>
      <c r="I1148" t="s">
        <v>97</v>
      </c>
      <c r="J1148" s="10">
        <v>199.95</v>
      </c>
      <c r="K1148" s="10">
        <v>599.85</v>
      </c>
      <c r="L1148" s="10">
        <v>0</v>
      </c>
      <c r="N1148" s="10">
        <v>0</v>
      </c>
      <c r="S1148">
        <v>19</v>
      </c>
      <c r="U1148">
        <v>8.25</v>
      </c>
      <c r="W1148">
        <v>6.53</v>
      </c>
      <c r="Y1148">
        <v>21.75</v>
      </c>
      <c r="Z1148">
        <v>11.63</v>
      </c>
      <c r="AA1148">
        <v>11.63</v>
      </c>
      <c r="AB1148">
        <v>1.702</v>
      </c>
      <c r="AC1148">
        <v>8.84</v>
      </c>
      <c r="AE1148">
        <v>3</v>
      </c>
      <c r="AF1148" t="s">
        <v>519</v>
      </c>
      <c r="AG1148">
        <v>60</v>
      </c>
      <c r="AK1148" t="s">
        <v>98</v>
      </c>
      <c r="AM1148" t="s">
        <v>98</v>
      </c>
      <c r="AN1148" t="s">
        <v>99</v>
      </c>
      <c r="AO1148" t="s">
        <v>98</v>
      </c>
      <c r="AP1148" t="s">
        <v>100</v>
      </c>
      <c r="AQ1148" t="s">
        <v>101</v>
      </c>
      <c r="AV1148" t="s">
        <v>98</v>
      </c>
      <c r="AX1148" t="s">
        <v>3648</v>
      </c>
      <c r="AZ1148" t="s">
        <v>124</v>
      </c>
      <c r="BB1148" t="s">
        <v>235</v>
      </c>
      <c r="BC1148" t="s">
        <v>3576</v>
      </c>
      <c r="BD1148" t="s">
        <v>7528</v>
      </c>
      <c r="BF1148" t="s">
        <v>3667</v>
      </c>
      <c r="BG1148" t="s">
        <v>98</v>
      </c>
      <c r="BH1148" t="s">
        <v>98</v>
      </c>
      <c r="BI1148" t="s">
        <v>98</v>
      </c>
      <c r="BJ1148" t="s">
        <v>99</v>
      </c>
      <c r="BK1148" t="s">
        <v>453</v>
      </c>
      <c r="BL1148" t="s">
        <v>7528</v>
      </c>
      <c r="CA1148">
        <v>72426</v>
      </c>
      <c r="CB1148" t="s">
        <v>3648</v>
      </c>
      <c r="CL1148" t="s">
        <v>98</v>
      </c>
      <c r="CM1148" t="s">
        <v>98</v>
      </c>
      <c r="CN1148" t="s">
        <v>7528</v>
      </c>
      <c r="CO1148" s="1">
        <v>41414</v>
      </c>
      <c r="CP1148" s="1">
        <v>43633</v>
      </c>
    </row>
    <row r="1149" spans="1:94" x14ac:dyDescent="0.25">
      <c r="A1149" t="s">
        <v>3668</v>
      </c>
      <c r="B1149" t="str">
        <f xml:space="preserve"> "" &amp; 747396090849</f>
        <v>747396090849</v>
      </c>
      <c r="C1149" t="s">
        <v>3394</v>
      </c>
      <c r="D1149" t="s">
        <v>3657</v>
      </c>
      <c r="E1149" t="s">
        <v>3647</v>
      </c>
      <c r="F1149" t="s">
        <v>2823</v>
      </c>
      <c r="G1149">
        <v>1</v>
      </c>
      <c r="H1149">
        <v>1</v>
      </c>
      <c r="I1149" t="s">
        <v>97</v>
      </c>
      <c r="J1149" s="10">
        <v>339.95</v>
      </c>
      <c r="K1149" s="10">
        <v>1019.85</v>
      </c>
      <c r="L1149" s="10">
        <v>0</v>
      </c>
      <c r="N1149" s="10">
        <v>0</v>
      </c>
      <c r="S1149">
        <v>26</v>
      </c>
      <c r="U1149">
        <v>12</v>
      </c>
      <c r="V1149">
        <v>14</v>
      </c>
      <c r="W1149">
        <v>17.13</v>
      </c>
      <c r="Y1149">
        <v>14.25</v>
      </c>
      <c r="Z1149">
        <v>28.5</v>
      </c>
      <c r="AA1149">
        <v>16.75</v>
      </c>
      <c r="AB1149">
        <v>3.9369999999999998</v>
      </c>
      <c r="AC1149">
        <v>22.11</v>
      </c>
      <c r="AE1149">
        <v>4</v>
      </c>
      <c r="AF1149" t="s">
        <v>7546</v>
      </c>
      <c r="AG1149">
        <v>60</v>
      </c>
      <c r="AK1149" t="s">
        <v>98</v>
      </c>
      <c r="AM1149" t="s">
        <v>98</v>
      </c>
      <c r="AN1149" t="s">
        <v>99</v>
      </c>
      <c r="AO1149" t="s">
        <v>98</v>
      </c>
      <c r="AP1149" t="s">
        <v>100</v>
      </c>
      <c r="AQ1149" t="s">
        <v>101</v>
      </c>
      <c r="AV1149" t="s">
        <v>98</v>
      </c>
      <c r="AX1149" t="s">
        <v>3648</v>
      </c>
      <c r="AZ1149" t="s">
        <v>124</v>
      </c>
      <c r="BB1149" t="s">
        <v>235</v>
      </c>
      <c r="BC1149" t="s">
        <v>7618</v>
      </c>
      <c r="BD1149" t="s">
        <v>7528</v>
      </c>
      <c r="BF1149" t="s">
        <v>3669</v>
      </c>
      <c r="BG1149" t="s">
        <v>98</v>
      </c>
      <c r="BH1149" t="s">
        <v>98</v>
      </c>
      <c r="BI1149" t="s">
        <v>98</v>
      </c>
      <c r="BJ1149" t="s">
        <v>99</v>
      </c>
      <c r="BK1149" t="s">
        <v>453</v>
      </c>
      <c r="BL1149" t="s">
        <v>7528</v>
      </c>
      <c r="BR1149">
        <v>9.6300000000000008</v>
      </c>
      <c r="BT1149">
        <v>6</v>
      </c>
      <c r="CA1149">
        <v>72427</v>
      </c>
      <c r="CB1149" t="s">
        <v>3648</v>
      </c>
      <c r="CL1149" t="s">
        <v>99</v>
      </c>
      <c r="CM1149" t="s">
        <v>98</v>
      </c>
      <c r="CN1149" t="s">
        <v>3670</v>
      </c>
      <c r="CO1149" s="1">
        <v>41401</v>
      </c>
      <c r="CP1149" s="1">
        <v>42242</v>
      </c>
    </row>
    <row r="1150" spans="1:94" x14ac:dyDescent="0.25">
      <c r="A1150" t="s">
        <v>3671</v>
      </c>
      <c r="B1150" t="str">
        <f xml:space="preserve"> "" &amp; 747396090771</f>
        <v>747396090771</v>
      </c>
      <c r="C1150" t="s">
        <v>3663</v>
      </c>
      <c r="D1150" t="s">
        <v>3672</v>
      </c>
      <c r="E1150" t="s">
        <v>3673</v>
      </c>
      <c r="F1150" t="s">
        <v>2823</v>
      </c>
      <c r="G1150">
        <v>1</v>
      </c>
      <c r="H1150">
        <v>1</v>
      </c>
      <c r="I1150" t="s">
        <v>97</v>
      </c>
      <c r="J1150" s="10">
        <v>100</v>
      </c>
      <c r="K1150" s="10">
        <v>300</v>
      </c>
      <c r="L1150" s="10">
        <v>0</v>
      </c>
      <c r="N1150" s="10">
        <v>0</v>
      </c>
      <c r="S1150">
        <v>18.75</v>
      </c>
      <c r="T1150">
        <v>9</v>
      </c>
      <c r="U1150">
        <v>7.5</v>
      </c>
      <c r="W1150">
        <v>10.16</v>
      </c>
      <c r="Y1150">
        <v>11.63</v>
      </c>
      <c r="Z1150">
        <v>22</v>
      </c>
      <c r="AA1150">
        <v>12.63</v>
      </c>
      <c r="AB1150">
        <v>1.87</v>
      </c>
      <c r="AC1150">
        <v>12.59</v>
      </c>
      <c r="AE1150">
        <v>4</v>
      </c>
      <c r="AF1150" t="s">
        <v>2557</v>
      </c>
      <c r="AG1150">
        <v>60</v>
      </c>
      <c r="AK1150" t="s">
        <v>98</v>
      </c>
      <c r="AM1150" t="s">
        <v>98</v>
      </c>
      <c r="AN1150" t="s">
        <v>98</v>
      </c>
      <c r="AO1150" t="s">
        <v>98</v>
      </c>
      <c r="AP1150" t="s">
        <v>100</v>
      </c>
      <c r="AQ1150" t="s">
        <v>101</v>
      </c>
      <c r="AV1150" t="s">
        <v>98</v>
      </c>
      <c r="AX1150" t="s">
        <v>3674</v>
      </c>
      <c r="AZ1150" t="s">
        <v>124</v>
      </c>
      <c r="BB1150" t="s">
        <v>235</v>
      </c>
      <c r="BC1150" t="s">
        <v>746</v>
      </c>
      <c r="BD1150" t="s">
        <v>7528</v>
      </c>
      <c r="BF1150" t="s">
        <v>3675</v>
      </c>
      <c r="BG1150" t="s">
        <v>98</v>
      </c>
      <c r="BH1150" t="s">
        <v>98</v>
      </c>
      <c r="BI1150" t="s">
        <v>98</v>
      </c>
      <c r="BK1150" t="s">
        <v>127</v>
      </c>
      <c r="BL1150" t="s">
        <v>7528</v>
      </c>
      <c r="BR1150">
        <v>1</v>
      </c>
      <c r="BT1150">
        <v>5.13</v>
      </c>
      <c r="CA1150">
        <v>72434</v>
      </c>
      <c r="CB1150" t="s">
        <v>3674</v>
      </c>
      <c r="CL1150" t="s">
        <v>98</v>
      </c>
      <c r="CM1150" t="s">
        <v>98</v>
      </c>
      <c r="CN1150" t="s">
        <v>7647</v>
      </c>
      <c r="CO1150" s="1">
        <v>41775</v>
      </c>
      <c r="CP1150" s="1">
        <v>43633</v>
      </c>
    </row>
    <row r="1151" spans="1:94" x14ac:dyDescent="0.25">
      <c r="A1151" t="s">
        <v>3676</v>
      </c>
      <c r="B1151" t="str">
        <f xml:space="preserve"> "" &amp; 747396090788</f>
        <v>747396090788</v>
      </c>
      <c r="C1151" t="s">
        <v>3677</v>
      </c>
      <c r="D1151" t="s">
        <v>3678</v>
      </c>
      <c r="E1151" t="s">
        <v>3673</v>
      </c>
      <c r="F1151" t="s">
        <v>2823</v>
      </c>
      <c r="G1151">
        <v>1</v>
      </c>
      <c r="H1151">
        <v>1</v>
      </c>
      <c r="I1151" t="s">
        <v>97</v>
      </c>
      <c r="J1151" s="10">
        <v>100</v>
      </c>
      <c r="K1151" s="10">
        <v>300</v>
      </c>
      <c r="L1151" s="10">
        <v>0</v>
      </c>
      <c r="N1151" s="10">
        <v>0</v>
      </c>
      <c r="S1151">
        <v>22.25</v>
      </c>
      <c r="T1151">
        <v>9</v>
      </c>
      <c r="U1151">
        <v>7.5</v>
      </c>
      <c r="W1151">
        <v>9.33</v>
      </c>
      <c r="Y1151">
        <v>11.63</v>
      </c>
      <c r="Z1151">
        <v>23.63</v>
      </c>
      <c r="AA1151">
        <v>12.63</v>
      </c>
      <c r="AB1151">
        <v>2.0089999999999999</v>
      </c>
      <c r="AC1151">
        <v>11.57</v>
      </c>
      <c r="AE1151">
        <v>4</v>
      </c>
      <c r="AF1151" t="s">
        <v>2557</v>
      </c>
      <c r="AG1151">
        <v>60</v>
      </c>
      <c r="AK1151" t="s">
        <v>98</v>
      </c>
      <c r="AM1151" t="s">
        <v>98</v>
      </c>
      <c r="AN1151" t="s">
        <v>99</v>
      </c>
      <c r="AO1151" t="s">
        <v>98</v>
      </c>
      <c r="AP1151" t="s">
        <v>100</v>
      </c>
      <c r="AQ1151" t="s">
        <v>101</v>
      </c>
      <c r="AV1151" t="s">
        <v>98</v>
      </c>
      <c r="AX1151" t="s">
        <v>3674</v>
      </c>
      <c r="AZ1151" t="s">
        <v>124</v>
      </c>
      <c r="BB1151" t="s">
        <v>235</v>
      </c>
      <c r="BC1151" t="s">
        <v>746</v>
      </c>
      <c r="BD1151" t="s">
        <v>7528</v>
      </c>
      <c r="BF1151" t="s">
        <v>3679</v>
      </c>
      <c r="BG1151" t="s">
        <v>98</v>
      </c>
      <c r="BH1151" t="s">
        <v>98</v>
      </c>
      <c r="BI1151" t="s">
        <v>98</v>
      </c>
      <c r="BJ1151" t="s">
        <v>99</v>
      </c>
      <c r="BK1151" t="s">
        <v>453</v>
      </c>
      <c r="BL1151" t="s">
        <v>7528</v>
      </c>
      <c r="CA1151">
        <v>72436</v>
      </c>
      <c r="CB1151" t="s">
        <v>3674</v>
      </c>
      <c r="CL1151" t="s">
        <v>99</v>
      </c>
      <c r="CM1151" t="s">
        <v>98</v>
      </c>
      <c r="CN1151" t="s">
        <v>7648</v>
      </c>
      <c r="CO1151" s="1">
        <v>41702</v>
      </c>
      <c r="CP1151" s="1">
        <v>43633</v>
      </c>
    </row>
    <row r="1152" spans="1:94" x14ac:dyDescent="0.25">
      <c r="A1152" t="s">
        <v>3680</v>
      </c>
      <c r="B1152" t="str">
        <f xml:space="preserve"> "" &amp; 747396094427</f>
        <v>747396094427</v>
      </c>
      <c r="C1152" t="s">
        <v>3332</v>
      </c>
      <c r="D1152" t="s">
        <v>3681</v>
      </c>
      <c r="E1152" t="s">
        <v>3682</v>
      </c>
      <c r="F1152" t="s">
        <v>3188</v>
      </c>
      <c r="G1152">
        <v>1</v>
      </c>
      <c r="H1152">
        <v>1</v>
      </c>
      <c r="I1152" t="s">
        <v>97</v>
      </c>
      <c r="J1152" s="10">
        <v>69</v>
      </c>
      <c r="K1152" s="10">
        <v>207</v>
      </c>
      <c r="L1152" s="10">
        <v>0</v>
      </c>
      <c r="N1152" s="10">
        <v>0</v>
      </c>
      <c r="O1152" t="s">
        <v>99</v>
      </c>
      <c r="P1152" s="10">
        <v>146.9</v>
      </c>
      <c r="S1152">
        <v>12</v>
      </c>
      <c r="U1152">
        <v>6</v>
      </c>
      <c r="V1152">
        <v>6</v>
      </c>
      <c r="W1152">
        <v>10.23</v>
      </c>
      <c r="Y1152">
        <v>18.13</v>
      </c>
      <c r="Z1152">
        <v>17.5</v>
      </c>
      <c r="AA1152">
        <v>15</v>
      </c>
      <c r="AB1152">
        <v>2.754</v>
      </c>
      <c r="AC1152">
        <v>15.9</v>
      </c>
      <c r="AE1152">
        <v>1</v>
      </c>
      <c r="AF1152" t="s">
        <v>3683</v>
      </c>
      <c r="AG1152">
        <v>14</v>
      </c>
      <c r="AK1152" t="s">
        <v>99</v>
      </c>
      <c r="AM1152" t="s">
        <v>98</v>
      </c>
      <c r="AN1152" t="s">
        <v>99</v>
      </c>
      <c r="AO1152" t="s">
        <v>98</v>
      </c>
      <c r="AP1152" t="s">
        <v>100</v>
      </c>
      <c r="AQ1152" t="s">
        <v>101</v>
      </c>
      <c r="AV1152" t="s">
        <v>98</v>
      </c>
      <c r="AX1152" t="s">
        <v>3545</v>
      </c>
      <c r="AZ1152" t="s">
        <v>102</v>
      </c>
      <c r="BB1152" t="s">
        <v>235</v>
      </c>
      <c r="BC1152" t="s">
        <v>2591</v>
      </c>
      <c r="BD1152" t="s">
        <v>7528</v>
      </c>
      <c r="BF1152" t="s">
        <v>3684</v>
      </c>
      <c r="BG1152" t="s">
        <v>98</v>
      </c>
      <c r="BH1152" t="s">
        <v>98</v>
      </c>
      <c r="BI1152" t="s">
        <v>98</v>
      </c>
      <c r="BJ1152" t="s">
        <v>99</v>
      </c>
      <c r="BK1152" t="s">
        <v>453</v>
      </c>
      <c r="BL1152" t="s">
        <v>7528</v>
      </c>
      <c r="BM1152">
        <v>6</v>
      </c>
      <c r="BN1152">
        <v>0.75</v>
      </c>
      <c r="CA1152">
        <v>72440</v>
      </c>
      <c r="CB1152" t="s">
        <v>3545</v>
      </c>
      <c r="CG1152">
        <v>2700</v>
      </c>
      <c r="CH1152">
        <v>78</v>
      </c>
      <c r="CI1152">
        <v>471.5</v>
      </c>
      <c r="CJ1152">
        <v>980</v>
      </c>
      <c r="CK1152">
        <v>30000</v>
      </c>
      <c r="CL1152" t="s">
        <v>98</v>
      </c>
      <c r="CM1152" t="s">
        <v>98</v>
      </c>
      <c r="CN1152" t="s">
        <v>3685</v>
      </c>
      <c r="CO1152" s="1">
        <v>42079</v>
      </c>
      <c r="CP1152" s="1">
        <v>43633</v>
      </c>
    </row>
    <row r="1153" spans="1:94" x14ac:dyDescent="0.25">
      <c r="A1153" t="s">
        <v>3686</v>
      </c>
      <c r="B1153" t="str">
        <f xml:space="preserve"> "" &amp; 747396094434</f>
        <v>747396094434</v>
      </c>
      <c r="C1153" t="s">
        <v>3332</v>
      </c>
      <c r="D1153" t="s">
        <v>3681</v>
      </c>
      <c r="E1153" t="s">
        <v>3682</v>
      </c>
      <c r="F1153" t="s">
        <v>3188</v>
      </c>
      <c r="G1153">
        <v>1</v>
      </c>
      <c r="H1153">
        <v>1</v>
      </c>
      <c r="I1153" t="s">
        <v>97</v>
      </c>
      <c r="J1153" s="10">
        <v>79</v>
      </c>
      <c r="K1153" s="10">
        <v>237</v>
      </c>
      <c r="L1153" s="10">
        <v>0</v>
      </c>
      <c r="N1153" s="10">
        <v>0</v>
      </c>
      <c r="O1153" t="s">
        <v>99</v>
      </c>
      <c r="P1153" s="10">
        <v>167.9</v>
      </c>
      <c r="S1153">
        <v>14.5</v>
      </c>
      <c r="U1153">
        <v>6</v>
      </c>
      <c r="V1153">
        <v>6</v>
      </c>
      <c r="W1153">
        <v>2.76</v>
      </c>
      <c r="Y1153">
        <v>8.5</v>
      </c>
      <c r="Z1153">
        <v>17</v>
      </c>
      <c r="AA1153">
        <v>8.3800000000000008</v>
      </c>
      <c r="AB1153">
        <v>0.70099999999999996</v>
      </c>
      <c r="AC1153">
        <v>3.92</v>
      </c>
      <c r="AE1153">
        <v>1</v>
      </c>
      <c r="AF1153" t="s">
        <v>3683</v>
      </c>
      <c r="AG1153">
        <v>14</v>
      </c>
      <c r="AK1153" t="s">
        <v>99</v>
      </c>
      <c r="AM1153" t="s">
        <v>98</v>
      </c>
      <c r="AN1153" t="s">
        <v>99</v>
      </c>
      <c r="AO1153" t="s">
        <v>98</v>
      </c>
      <c r="AP1153" t="s">
        <v>100</v>
      </c>
      <c r="AQ1153" t="s">
        <v>101</v>
      </c>
      <c r="AV1153" t="s">
        <v>98</v>
      </c>
      <c r="AX1153" t="s">
        <v>3545</v>
      </c>
      <c r="AZ1153" t="s">
        <v>102</v>
      </c>
      <c r="BB1153" t="s">
        <v>235</v>
      </c>
      <c r="BC1153" t="s">
        <v>2591</v>
      </c>
      <c r="BD1153" t="s">
        <v>7528</v>
      </c>
      <c r="BF1153" t="s">
        <v>3687</v>
      </c>
      <c r="BG1153" t="s">
        <v>98</v>
      </c>
      <c r="BH1153" t="s">
        <v>98</v>
      </c>
      <c r="BI1153" t="s">
        <v>98</v>
      </c>
      <c r="BJ1153" t="s">
        <v>99</v>
      </c>
      <c r="BK1153" t="s">
        <v>453</v>
      </c>
      <c r="BL1153" t="s">
        <v>7528</v>
      </c>
      <c r="BM1153">
        <v>6</v>
      </c>
      <c r="BN1153">
        <v>0.75</v>
      </c>
      <c r="CA1153">
        <v>72441</v>
      </c>
      <c r="CB1153" t="s">
        <v>3545</v>
      </c>
      <c r="CG1153">
        <v>2700</v>
      </c>
      <c r="CH1153">
        <v>78</v>
      </c>
      <c r="CI1153">
        <v>980</v>
      </c>
      <c r="CJ1153">
        <v>471.2</v>
      </c>
      <c r="CK1153">
        <v>30000</v>
      </c>
      <c r="CL1153" t="s">
        <v>98</v>
      </c>
      <c r="CM1153" t="s">
        <v>98</v>
      </c>
      <c r="CN1153" t="s">
        <v>3685</v>
      </c>
      <c r="CO1153" s="1">
        <v>42079</v>
      </c>
      <c r="CP1153" s="1">
        <v>43633</v>
      </c>
    </row>
    <row r="1154" spans="1:94" x14ac:dyDescent="0.25">
      <c r="A1154" t="s">
        <v>3688</v>
      </c>
      <c r="B1154" t="str">
        <f xml:space="preserve"> "" &amp; 747396105895</f>
        <v>747396105895</v>
      </c>
      <c r="C1154" t="s">
        <v>3185</v>
      </c>
      <c r="D1154" t="s">
        <v>3689</v>
      </c>
      <c r="E1154" t="s">
        <v>3690</v>
      </c>
      <c r="F1154" t="s">
        <v>2823</v>
      </c>
      <c r="G1154">
        <v>1</v>
      </c>
      <c r="H1154">
        <v>1</v>
      </c>
      <c r="I1154" t="s">
        <v>97</v>
      </c>
      <c r="J1154" s="10">
        <v>74</v>
      </c>
      <c r="K1154" s="10">
        <v>222</v>
      </c>
      <c r="L1154" s="10">
        <v>0</v>
      </c>
      <c r="N1154" s="10">
        <v>0</v>
      </c>
      <c r="O1154" t="s">
        <v>99</v>
      </c>
      <c r="P1154" s="10">
        <v>154.94999999999999</v>
      </c>
      <c r="S1154">
        <v>13.5</v>
      </c>
      <c r="U1154">
        <v>6.75</v>
      </c>
      <c r="V1154">
        <v>6.25</v>
      </c>
      <c r="W1154">
        <v>4.2300000000000004</v>
      </c>
      <c r="X1154">
        <v>1</v>
      </c>
      <c r="Y1154">
        <v>17</v>
      </c>
      <c r="Z1154">
        <v>12.25</v>
      </c>
      <c r="AA1154">
        <v>9.75</v>
      </c>
      <c r="AB1154">
        <v>1.175</v>
      </c>
      <c r="AC1154">
        <v>5.86</v>
      </c>
      <c r="AE1154">
        <v>1</v>
      </c>
      <c r="AF1154" t="s">
        <v>1050</v>
      </c>
      <c r="AG1154">
        <v>60</v>
      </c>
      <c r="AK1154" t="s">
        <v>98</v>
      </c>
      <c r="AL1154">
        <v>1</v>
      </c>
      <c r="AM1154" t="s">
        <v>98</v>
      </c>
      <c r="AN1154" t="s">
        <v>99</v>
      </c>
      <c r="AO1154" t="s">
        <v>98</v>
      </c>
      <c r="AP1154" t="s">
        <v>100</v>
      </c>
      <c r="AQ1154" t="s">
        <v>101</v>
      </c>
      <c r="AV1154" t="s">
        <v>98</v>
      </c>
      <c r="AX1154" t="s">
        <v>3190</v>
      </c>
      <c r="AZ1154" t="s">
        <v>102</v>
      </c>
      <c r="BB1154" t="s">
        <v>235</v>
      </c>
      <c r="BC1154" t="s">
        <v>1687</v>
      </c>
      <c r="BD1154" t="s">
        <v>7528</v>
      </c>
      <c r="BF1154" t="s">
        <v>3691</v>
      </c>
      <c r="BG1154" t="s">
        <v>98</v>
      </c>
      <c r="BH1154" t="s">
        <v>98</v>
      </c>
      <c r="BI1154" t="s">
        <v>98</v>
      </c>
      <c r="BJ1154" t="s">
        <v>99</v>
      </c>
      <c r="BK1154" t="s">
        <v>453</v>
      </c>
      <c r="BL1154" t="s">
        <v>128</v>
      </c>
      <c r="BM1154">
        <v>4.75</v>
      </c>
      <c r="BN1154">
        <v>6.25</v>
      </c>
      <c r="CA1154">
        <v>72451</v>
      </c>
      <c r="CB1154" t="s">
        <v>3190</v>
      </c>
      <c r="CL1154" t="s">
        <v>98</v>
      </c>
      <c r="CM1154" t="s">
        <v>98</v>
      </c>
      <c r="CN1154" t="s">
        <v>3236</v>
      </c>
      <c r="CP1154" s="1">
        <v>43633</v>
      </c>
    </row>
    <row r="1155" spans="1:94" x14ac:dyDescent="0.25">
      <c r="A1155" t="s">
        <v>3692</v>
      </c>
      <c r="B1155" t="str">
        <f xml:space="preserve"> "" &amp; 747396105901</f>
        <v>747396105901</v>
      </c>
      <c r="C1155" t="s">
        <v>3185</v>
      </c>
      <c r="D1155" t="s">
        <v>3689</v>
      </c>
      <c r="E1155" t="s">
        <v>3690</v>
      </c>
      <c r="F1155" t="s">
        <v>2823</v>
      </c>
      <c r="G1155">
        <v>1</v>
      </c>
      <c r="H1155">
        <v>1</v>
      </c>
      <c r="I1155" t="s">
        <v>97</v>
      </c>
      <c r="J1155" s="10">
        <v>84</v>
      </c>
      <c r="K1155" s="10">
        <v>252</v>
      </c>
      <c r="L1155" s="10">
        <v>0</v>
      </c>
      <c r="N1155" s="10">
        <v>0</v>
      </c>
      <c r="O1155" t="s">
        <v>99</v>
      </c>
      <c r="P1155" s="10">
        <v>174.95</v>
      </c>
      <c r="S1155">
        <v>16.5</v>
      </c>
      <c r="U1155">
        <v>6.75</v>
      </c>
      <c r="V1155">
        <v>6.25</v>
      </c>
      <c r="W1155">
        <v>4.72</v>
      </c>
      <c r="X1155">
        <v>1</v>
      </c>
      <c r="Y1155">
        <v>20.13</v>
      </c>
      <c r="Z1155">
        <v>12.25</v>
      </c>
      <c r="AA1155">
        <v>9</v>
      </c>
      <c r="AB1155">
        <v>1.284</v>
      </c>
      <c r="AC1155">
        <v>6.66</v>
      </c>
      <c r="AE1155">
        <v>1</v>
      </c>
      <c r="AF1155" t="s">
        <v>1050</v>
      </c>
      <c r="AG1155">
        <v>60</v>
      </c>
      <c r="AK1155" t="s">
        <v>98</v>
      </c>
      <c r="AL1155">
        <v>1</v>
      </c>
      <c r="AM1155" t="s">
        <v>98</v>
      </c>
      <c r="AN1155" t="s">
        <v>99</v>
      </c>
      <c r="AO1155" t="s">
        <v>98</v>
      </c>
      <c r="AP1155" t="s">
        <v>100</v>
      </c>
      <c r="AQ1155" t="s">
        <v>101</v>
      </c>
      <c r="AV1155" t="s">
        <v>98</v>
      </c>
      <c r="AX1155" t="s">
        <v>3190</v>
      </c>
      <c r="AZ1155" t="s">
        <v>102</v>
      </c>
      <c r="BB1155" t="s">
        <v>235</v>
      </c>
      <c r="BC1155" t="s">
        <v>1687</v>
      </c>
      <c r="BD1155" t="s">
        <v>7528</v>
      </c>
      <c r="BF1155" t="s">
        <v>3693</v>
      </c>
      <c r="BG1155" t="s">
        <v>98</v>
      </c>
      <c r="BH1155" t="s">
        <v>98</v>
      </c>
      <c r="BI1155" t="s">
        <v>98</v>
      </c>
      <c r="BJ1155" t="s">
        <v>99</v>
      </c>
      <c r="BK1155" t="s">
        <v>453</v>
      </c>
      <c r="BL1155" t="s">
        <v>128</v>
      </c>
      <c r="BM1155">
        <v>4.75</v>
      </c>
      <c r="BN1155">
        <v>6.25</v>
      </c>
      <c r="CA1155">
        <v>72452</v>
      </c>
      <c r="CB1155" t="s">
        <v>3190</v>
      </c>
      <c r="CL1155" t="s">
        <v>98</v>
      </c>
      <c r="CM1155" t="s">
        <v>98</v>
      </c>
      <c r="CN1155" t="s">
        <v>3694</v>
      </c>
      <c r="CO1155" s="1">
        <v>43047</v>
      </c>
      <c r="CP1155" s="1">
        <v>43633</v>
      </c>
    </row>
    <row r="1156" spans="1:94" x14ac:dyDescent="0.25">
      <c r="A1156" t="s">
        <v>3695</v>
      </c>
      <c r="B1156" t="str">
        <f xml:space="preserve"> "" &amp; 747396105918</f>
        <v>747396105918</v>
      </c>
      <c r="C1156" t="s">
        <v>3185</v>
      </c>
      <c r="D1156" t="s">
        <v>3689</v>
      </c>
      <c r="E1156" t="s">
        <v>3690</v>
      </c>
      <c r="F1156" t="s">
        <v>2823</v>
      </c>
      <c r="G1156">
        <v>1</v>
      </c>
      <c r="H1156">
        <v>1</v>
      </c>
      <c r="I1156" t="s">
        <v>97</v>
      </c>
      <c r="J1156" s="10">
        <v>95</v>
      </c>
      <c r="K1156" s="10">
        <v>285</v>
      </c>
      <c r="L1156" s="10">
        <v>0</v>
      </c>
      <c r="N1156" s="10">
        <v>0</v>
      </c>
      <c r="O1156" t="s">
        <v>99</v>
      </c>
      <c r="P1156" s="10">
        <v>194.95</v>
      </c>
      <c r="S1156">
        <v>20.75</v>
      </c>
      <c r="U1156">
        <v>6.75</v>
      </c>
      <c r="V1156">
        <v>6.25</v>
      </c>
      <c r="W1156">
        <v>5.25</v>
      </c>
      <c r="X1156">
        <v>1</v>
      </c>
      <c r="Y1156">
        <v>24.5</v>
      </c>
      <c r="Z1156">
        <v>12.25</v>
      </c>
      <c r="AA1156">
        <v>9.75</v>
      </c>
      <c r="AB1156">
        <v>1.6930000000000001</v>
      </c>
      <c r="AC1156">
        <v>7.32</v>
      </c>
      <c r="AE1156">
        <v>1</v>
      </c>
      <c r="AF1156" t="s">
        <v>1050</v>
      </c>
      <c r="AG1156">
        <v>60</v>
      </c>
      <c r="AK1156" t="s">
        <v>98</v>
      </c>
      <c r="AL1156">
        <v>1</v>
      </c>
      <c r="AM1156" t="s">
        <v>98</v>
      </c>
      <c r="AN1156" t="s">
        <v>99</v>
      </c>
      <c r="AO1156" t="s">
        <v>98</v>
      </c>
      <c r="AP1156" t="s">
        <v>100</v>
      </c>
      <c r="AQ1156" t="s">
        <v>101</v>
      </c>
      <c r="AV1156" t="s">
        <v>98</v>
      </c>
      <c r="AX1156" t="s">
        <v>3190</v>
      </c>
      <c r="AZ1156" t="s">
        <v>102</v>
      </c>
      <c r="BB1156" t="s">
        <v>235</v>
      </c>
      <c r="BC1156" t="s">
        <v>1687</v>
      </c>
      <c r="BD1156" t="s">
        <v>7528</v>
      </c>
      <c r="BF1156" t="s">
        <v>3696</v>
      </c>
      <c r="BG1156" t="s">
        <v>98</v>
      </c>
      <c r="BH1156" t="s">
        <v>98</v>
      </c>
      <c r="BI1156" t="s">
        <v>98</v>
      </c>
      <c r="BJ1156" t="s">
        <v>99</v>
      </c>
      <c r="BK1156" t="s">
        <v>453</v>
      </c>
      <c r="BL1156" t="s">
        <v>128</v>
      </c>
      <c r="BM1156">
        <v>4.75</v>
      </c>
      <c r="BN1156">
        <v>6.25</v>
      </c>
      <c r="CA1156">
        <v>72453</v>
      </c>
      <c r="CB1156" t="s">
        <v>3190</v>
      </c>
      <c r="CL1156" t="s">
        <v>98</v>
      </c>
      <c r="CM1156" t="s">
        <v>98</v>
      </c>
      <c r="CN1156" t="s">
        <v>3236</v>
      </c>
      <c r="CO1156" s="1">
        <v>43047</v>
      </c>
      <c r="CP1156" s="1">
        <v>43633</v>
      </c>
    </row>
    <row r="1157" spans="1:94" x14ac:dyDescent="0.25">
      <c r="A1157" t="s">
        <v>3697</v>
      </c>
      <c r="B1157" t="str">
        <f xml:space="preserve"> "" &amp; 747396105932</f>
        <v>747396105932</v>
      </c>
      <c r="C1157" t="s">
        <v>3698</v>
      </c>
      <c r="D1157" t="s">
        <v>3699</v>
      </c>
      <c r="E1157" t="s">
        <v>3690</v>
      </c>
      <c r="F1157" t="s">
        <v>2823</v>
      </c>
      <c r="G1157">
        <v>1</v>
      </c>
      <c r="H1157">
        <v>1</v>
      </c>
      <c r="I1157" t="s">
        <v>97</v>
      </c>
      <c r="J1157" s="10">
        <v>95</v>
      </c>
      <c r="K1157" s="10">
        <v>285</v>
      </c>
      <c r="L1157" s="10">
        <v>0</v>
      </c>
      <c r="N1157" s="10">
        <v>0</v>
      </c>
      <c r="O1157" t="s">
        <v>99</v>
      </c>
      <c r="P1157" s="10">
        <v>194.95</v>
      </c>
      <c r="S1157">
        <v>20.75</v>
      </c>
      <c r="U1157">
        <v>6.75</v>
      </c>
      <c r="V1157">
        <v>5.25</v>
      </c>
      <c r="W1157">
        <v>5.91</v>
      </c>
      <c r="X1157">
        <v>1</v>
      </c>
      <c r="Y1157">
        <v>24.88</v>
      </c>
      <c r="Z1157">
        <v>11</v>
      </c>
      <c r="AA1157">
        <v>8.25</v>
      </c>
      <c r="AB1157">
        <v>1.3069999999999999</v>
      </c>
      <c r="AC1157">
        <v>7.89</v>
      </c>
      <c r="AE1157">
        <v>1</v>
      </c>
      <c r="AF1157" t="s">
        <v>1050</v>
      </c>
      <c r="AG1157">
        <v>60</v>
      </c>
      <c r="AK1157" t="s">
        <v>98</v>
      </c>
      <c r="AM1157" t="s">
        <v>98</v>
      </c>
      <c r="AN1157" t="s">
        <v>99</v>
      </c>
      <c r="AO1157" t="s">
        <v>98</v>
      </c>
      <c r="AP1157" t="s">
        <v>100</v>
      </c>
      <c r="AQ1157" t="s">
        <v>101</v>
      </c>
      <c r="AV1157" t="s">
        <v>98</v>
      </c>
      <c r="AX1157" t="s">
        <v>3190</v>
      </c>
      <c r="AZ1157" t="s">
        <v>102</v>
      </c>
      <c r="BB1157" t="s">
        <v>235</v>
      </c>
      <c r="BC1157" t="s">
        <v>1687</v>
      </c>
      <c r="BD1157" t="s">
        <v>7528</v>
      </c>
      <c r="BF1157" t="s">
        <v>3700</v>
      </c>
      <c r="BG1157" t="s">
        <v>98</v>
      </c>
      <c r="BH1157" t="s">
        <v>98</v>
      </c>
      <c r="BI1157" t="s">
        <v>98</v>
      </c>
      <c r="BK1157" t="s">
        <v>127</v>
      </c>
      <c r="BL1157" t="s">
        <v>7528</v>
      </c>
      <c r="BR1157">
        <v>1.5</v>
      </c>
      <c r="BS1157">
        <v>4.88</v>
      </c>
      <c r="BT1157">
        <v>4.88</v>
      </c>
      <c r="CA1157">
        <v>72454</v>
      </c>
      <c r="CB1157" t="s">
        <v>3190</v>
      </c>
      <c r="CL1157" t="s">
        <v>98</v>
      </c>
      <c r="CM1157" t="s">
        <v>99</v>
      </c>
      <c r="CN1157" t="s">
        <v>3236</v>
      </c>
      <c r="CO1157" s="1">
        <v>43047</v>
      </c>
      <c r="CP1157" s="1">
        <v>43633</v>
      </c>
    </row>
    <row r="1158" spans="1:94" x14ac:dyDescent="0.25">
      <c r="A1158" t="s">
        <v>3701</v>
      </c>
      <c r="B1158" t="str">
        <f xml:space="preserve"> "" &amp; 747396105925</f>
        <v>747396105925</v>
      </c>
      <c r="C1158" t="s">
        <v>447</v>
      </c>
      <c r="D1158" t="s">
        <v>3702</v>
      </c>
      <c r="E1158" t="s">
        <v>3690</v>
      </c>
      <c r="F1158" t="s">
        <v>2823</v>
      </c>
      <c r="G1158">
        <v>1</v>
      </c>
      <c r="H1158">
        <v>1</v>
      </c>
      <c r="I1158" t="s">
        <v>97</v>
      </c>
      <c r="J1158" s="10">
        <v>95</v>
      </c>
      <c r="K1158" s="10">
        <v>285</v>
      </c>
      <c r="L1158" s="10">
        <v>0</v>
      </c>
      <c r="N1158" s="10">
        <v>0</v>
      </c>
      <c r="O1158" t="s">
        <v>99</v>
      </c>
      <c r="P1158" s="10">
        <v>194.95</v>
      </c>
      <c r="S1158">
        <v>23.5</v>
      </c>
      <c r="T1158">
        <v>6.75</v>
      </c>
      <c r="U1158">
        <v>5.25</v>
      </c>
      <c r="W1158">
        <v>4.67</v>
      </c>
      <c r="X1158">
        <v>1</v>
      </c>
      <c r="Y1158">
        <v>27.25</v>
      </c>
      <c r="Z1158">
        <v>11</v>
      </c>
      <c r="AA1158">
        <v>8.25</v>
      </c>
      <c r="AB1158">
        <v>1.431</v>
      </c>
      <c r="AC1158">
        <v>6.66</v>
      </c>
      <c r="AE1158">
        <v>1</v>
      </c>
      <c r="AF1158" t="s">
        <v>1050</v>
      </c>
      <c r="AG1158">
        <v>60</v>
      </c>
      <c r="AK1158" t="s">
        <v>98</v>
      </c>
      <c r="AM1158" t="s">
        <v>98</v>
      </c>
      <c r="AN1158" t="s">
        <v>99</v>
      </c>
      <c r="AO1158" t="s">
        <v>98</v>
      </c>
      <c r="AP1158" t="s">
        <v>100</v>
      </c>
      <c r="AQ1158" t="s">
        <v>101</v>
      </c>
      <c r="AV1158" t="s">
        <v>98</v>
      </c>
      <c r="AX1158" t="s">
        <v>3190</v>
      </c>
      <c r="AZ1158" t="s">
        <v>102</v>
      </c>
      <c r="BB1158" t="s">
        <v>235</v>
      </c>
      <c r="BC1158" t="s">
        <v>1687</v>
      </c>
      <c r="BD1158" t="s">
        <v>7528</v>
      </c>
      <c r="BF1158" t="s">
        <v>3703</v>
      </c>
      <c r="BG1158" t="s">
        <v>98</v>
      </c>
      <c r="BH1158" t="s">
        <v>98</v>
      </c>
      <c r="BI1158" t="s">
        <v>98</v>
      </c>
      <c r="BJ1158" t="s">
        <v>99</v>
      </c>
      <c r="BK1158" t="s">
        <v>453</v>
      </c>
      <c r="BL1158" t="s">
        <v>7528</v>
      </c>
      <c r="CA1158">
        <v>72456</v>
      </c>
      <c r="CB1158" t="s">
        <v>3190</v>
      </c>
      <c r="CL1158" t="s">
        <v>98</v>
      </c>
      <c r="CM1158" t="s">
        <v>98</v>
      </c>
      <c r="CN1158" t="s">
        <v>3236</v>
      </c>
      <c r="CO1158" s="1">
        <v>43047</v>
      </c>
      <c r="CP1158" s="1">
        <v>43633</v>
      </c>
    </row>
    <row r="1159" spans="1:94" x14ac:dyDescent="0.25">
      <c r="A1159" t="s">
        <v>3704</v>
      </c>
      <c r="B1159" t="str">
        <f xml:space="preserve"> "" &amp; 747396105949</f>
        <v>747396105949</v>
      </c>
      <c r="C1159" t="s">
        <v>3185</v>
      </c>
      <c r="D1159" t="s">
        <v>3705</v>
      </c>
      <c r="E1159" t="s">
        <v>3706</v>
      </c>
      <c r="F1159" t="s">
        <v>2823</v>
      </c>
      <c r="G1159">
        <v>1</v>
      </c>
      <c r="H1159">
        <v>1</v>
      </c>
      <c r="I1159" t="s">
        <v>97</v>
      </c>
      <c r="J1159" s="10">
        <v>42</v>
      </c>
      <c r="K1159" s="10">
        <v>126</v>
      </c>
      <c r="L1159" s="10">
        <v>0</v>
      </c>
      <c r="N1159" s="10">
        <v>0</v>
      </c>
      <c r="O1159" t="s">
        <v>99</v>
      </c>
      <c r="P1159" s="10">
        <v>84.95</v>
      </c>
      <c r="S1159">
        <v>9.75</v>
      </c>
      <c r="U1159">
        <v>6.25</v>
      </c>
      <c r="V1159">
        <v>7.75</v>
      </c>
      <c r="W1159">
        <v>2.98</v>
      </c>
      <c r="X1159">
        <v>1</v>
      </c>
      <c r="Y1159">
        <v>13.38</v>
      </c>
      <c r="Z1159">
        <v>10.75</v>
      </c>
      <c r="AA1159">
        <v>9.25</v>
      </c>
      <c r="AB1159">
        <v>0.77</v>
      </c>
      <c r="AC1159">
        <v>3.88</v>
      </c>
      <c r="AE1159">
        <v>1</v>
      </c>
      <c r="AF1159" t="s">
        <v>282</v>
      </c>
      <c r="AG1159">
        <v>100</v>
      </c>
      <c r="AK1159" t="s">
        <v>98</v>
      </c>
      <c r="AL1159">
        <v>1</v>
      </c>
      <c r="AM1159" t="s">
        <v>98</v>
      </c>
      <c r="AN1159" t="s">
        <v>99</v>
      </c>
      <c r="AO1159" t="s">
        <v>98</v>
      </c>
      <c r="AP1159" t="s">
        <v>100</v>
      </c>
      <c r="AQ1159" t="s">
        <v>101</v>
      </c>
      <c r="AV1159" t="s">
        <v>98</v>
      </c>
      <c r="AX1159" t="s">
        <v>164</v>
      </c>
      <c r="AZ1159" t="s">
        <v>102</v>
      </c>
      <c r="BB1159" t="s">
        <v>235</v>
      </c>
      <c r="BC1159" t="s">
        <v>1304</v>
      </c>
      <c r="BD1159" t="s">
        <v>7528</v>
      </c>
      <c r="BF1159" t="s">
        <v>3707</v>
      </c>
      <c r="BG1159" t="s">
        <v>98</v>
      </c>
      <c r="BH1159" t="s">
        <v>98</v>
      </c>
      <c r="BI1159" t="s">
        <v>98</v>
      </c>
      <c r="BJ1159" t="s">
        <v>99</v>
      </c>
      <c r="BK1159" t="s">
        <v>453</v>
      </c>
      <c r="BL1159" t="s">
        <v>128</v>
      </c>
      <c r="BM1159">
        <v>5</v>
      </c>
      <c r="BN1159">
        <v>7</v>
      </c>
      <c r="CA1159">
        <v>72461</v>
      </c>
      <c r="CB1159" t="s">
        <v>164</v>
      </c>
      <c r="CL1159" t="s">
        <v>98</v>
      </c>
      <c r="CM1159" t="s">
        <v>98</v>
      </c>
      <c r="CN1159" t="s">
        <v>3236</v>
      </c>
      <c r="CO1159" s="1">
        <v>43047</v>
      </c>
      <c r="CP1159" s="1">
        <v>43633</v>
      </c>
    </row>
    <row r="1160" spans="1:94" x14ac:dyDescent="0.25">
      <c r="A1160" t="s">
        <v>3708</v>
      </c>
      <c r="B1160" t="str">
        <f xml:space="preserve"> "" &amp; 747396105956</f>
        <v>747396105956</v>
      </c>
      <c r="C1160" t="s">
        <v>3525</v>
      </c>
      <c r="D1160" t="s">
        <v>3709</v>
      </c>
      <c r="E1160" t="s">
        <v>3706</v>
      </c>
      <c r="F1160" t="s">
        <v>2823</v>
      </c>
      <c r="G1160">
        <v>1</v>
      </c>
      <c r="H1160">
        <v>1</v>
      </c>
      <c r="I1160" t="s">
        <v>97</v>
      </c>
      <c r="J1160" s="10">
        <v>64</v>
      </c>
      <c r="K1160" s="10">
        <v>192</v>
      </c>
      <c r="L1160" s="10">
        <v>0</v>
      </c>
      <c r="N1160" s="10">
        <v>0</v>
      </c>
      <c r="O1160" t="s">
        <v>99</v>
      </c>
      <c r="P1160" s="10">
        <v>134.94999999999999</v>
      </c>
      <c r="S1160">
        <v>12.75</v>
      </c>
      <c r="U1160">
        <v>8.25</v>
      </c>
      <c r="V1160">
        <v>9.75</v>
      </c>
      <c r="W1160">
        <v>5.51</v>
      </c>
      <c r="X1160">
        <v>1</v>
      </c>
      <c r="Y1160">
        <v>15.75</v>
      </c>
      <c r="Z1160">
        <v>12.25</v>
      </c>
      <c r="AA1160">
        <v>11</v>
      </c>
      <c r="AB1160">
        <v>1.228</v>
      </c>
      <c r="AC1160">
        <v>7.05</v>
      </c>
      <c r="AE1160">
        <v>2</v>
      </c>
      <c r="AF1160" t="s">
        <v>519</v>
      </c>
      <c r="AG1160">
        <v>60</v>
      </c>
      <c r="AK1160" t="s">
        <v>98</v>
      </c>
      <c r="AL1160">
        <v>1</v>
      </c>
      <c r="AM1160" t="s">
        <v>98</v>
      </c>
      <c r="AN1160" t="s">
        <v>99</v>
      </c>
      <c r="AO1160" t="s">
        <v>98</v>
      </c>
      <c r="AP1160" t="s">
        <v>100</v>
      </c>
      <c r="AQ1160" t="s">
        <v>101</v>
      </c>
      <c r="AV1160" t="s">
        <v>98</v>
      </c>
      <c r="AX1160" t="s">
        <v>164</v>
      </c>
      <c r="AZ1160" t="s">
        <v>102</v>
      </c>
      <c r="BB1160" t="s">
        <v>235</v>
      </c>
      <c r="BC1160" t="s">
        <v>1304</v>
      </c>
      <c r="BD1160" t="s">
        <v>7528</v>
      </c>
      <c r="BF1160" t="s">
        <v>3710</v>
      </c>
      <c r="BG1160" t="s">
        <v>98</v>
      </c>
      <c r="BH1160" t="s">
        <v>98</v>
      </c>
      <c r="BI1160" t="s">
        <v>98</v>
      </c>
      <c r="BJ1160" t="s">
        <v>99</v>
      </c>
      <c r="BK1160" t="s">
        <v>453</v>
      </c>
      <c r="BL1160" t="s">
        <v>128</v>
      </c>
      <c r="BM1160">
        <v>5</v>
      </c>
      <c r="BN1160">
        <v>7</v>
      </c>
      <c r="CA1160">
        <v>72462</v>
      </c>
      <c r="CB1160" t="s">
        <v>164</v>
      </c>
      <c r="CL1160" t="s">
        <v>98</v>
      </c>
      <c r="CM1160" t="s">
        <v>98</v>
      </c>
      <c r="CN1160" t="s">
        <v>3236</v>
      </c>
      <c r="CO1160" s="1">
        <v>43047</v>
      </c>
      <c r="CP1160" s="1">
        <v>43633</v>
      </c>
    </row>
    <row r="1161" spans="1:94" x14ac:dyDescent="0.25">
      <c r="A1161" t="s">
        <v>3711</v>
      </c>
      <c r="B1161" t="str">
        <f xml:space="preserve"> "" &amp; 747396105963</f>
        <v>747396105963</v>
      </c>
      <c r="C1161" t="s">
        <v>3712</v>
      </c>
      <c r="D1161" t="s">
        <v>6845</v>
      </c>
      <c r="E1161" t="s">
        <v>3706</v>
      </c>
      <c r="F1161" t="s">
        <v>2823</v>
      </c>
      <c r="G1161">
        <v>1</v>
      </c>
      <c r="H1161">
        <v>1</v>
      </c>
      <c r="I1161" t="s">
        <v>97</v>
      </c>
      <c r="J1161" s="10">
        <v>85</v>
      </c>
      <c r="K1161" s="10">
        <v>255</v>
      </c>
      <c r="L1161" s="10">
        <v>0</v>
      </c>
      <c r="N1161" s="10">
        <v>0</v>
      </c>
      <c r="O1161" t="s">
        <v>99</v>
      </c>
      <c r="P1161" s="10">
        <v>174.95</v>
      </c>
      <c r="S1161">
        <v>15.5</v>
      </c>
      <c r="U1161">
        <v>10.25</v>
      </c>
      <c r="V1161">
        <v>12.25</v>
      </c>
      <c r="W1161">
        <v>8.3800000000000008</v>
      </c>
      <c r="X1161">
        <v>1</v>
      </c>
      <c r="Y1161">
        <v>18.88</v>
      </c>
      <c r="Z1161">
        <v>14.5</v>
      </c>
      <c r="AA1161">
        <v>13.5</v>
      </c>
      <c r="AB1161">
        <v>2.1389999999999998</v>
      </c>
      <c r="AC1161">
        <v>10.93</v>
      </c>
      <c r="AE1161">
        <v>3</v>
      </c>
      <c r="AF1161" t="s">
        <v>519</v>
      </c>
      <c r="AG1161">
        <v>60</v>
      </c>
      <c r="AK1161" t="s">
        <v>98</v>
      </c>
      <c r="AL1161">
        <v>1</v>
      </c>
      <c r="AM1161" t="s">
        <v>98</v>
      </c>
      <c r="AN1161" t="s">
        <v>99</v>
      </c>
      <c r="AO1161" t="s">
        <v>98</v>
      </c>
      <c r="AP1161" t="s">
        <v>100</v>
      </c>
      <c r="AQ1161" t="s">
        <v>101</v>
      </c>
      <c r="AV1161" t="s">
        <v>98</v>
      </c>
      <c r="AX1161" t="s">
        <v>164</v>
      </c>
      <c r="AZ1161" t="s">
        <v>102</v>
      </c>
      <c r="BB1161" t="s">
        <v>235</v>
      </c>
      <c r="BC1161" t="s">
        <v>1304</v>
      </c>
      <c r="BD1161" t="s">
        <v>7528</v>
      </c>
      <c r="BF1161" t="s">
        <v>3713</v>
      </c>
      <c r="BG1161" t="s">
        <v>98</v>
      </c>
      <c r="BH1161" t="s">
        <v>98</v>
      </c>
      <c r="BI1161" t="s">
        <v>98</v>
      </c>
      <c r="BJ1161" t="s">
        <v>99</v>
      </c>
      <c r="BK1161" t="s">
        <v>453</v>
      </c>
      <c r="BL1161" t="s">
        <v>128</v>
      </c>
      <c r="BM1161">
        <v>5.75</v>
      </c>
      <c r="BN1161">
        <v>8.25</v>
      </c>
      <c r="CA1161">
        <v>72463</v>
      </c>
      <c r="CB1161" t="s">
        <v>164</v>
      </c>
      <c r="CL1161" t="s">
        <v>98</v>
      </c>
      <c r="CM1161" t="s">
        <v>98</v>
      </c>
      <c r="CN1161" t="s">
        <v>3236</v>
      </c>
      <c r="CO1161" s="1">
        <v>43047</v>
      </c>
      <c r="CP1161" s="1">
        <v>43633</v>
      </c>
    </row>
    <row r="1162" spans="1:94" x14ac:dyDescent="0.25">
      <c r="A1162" t="s">
        <v>3714</v>
      </c>
      <c r="B1162" t="str">
        <f xml:space="preserve"> "" &amp; 747396105987</f>
        <v>747396105987</v>
      </c>
      <c r="C1162" t="s">
        <v>3715</v>
      </c>
      <c r="D1162" t="s">
        <v>3716</v>
      </c>
      <c r="E1162" t="s">
        <v>3706</v>
      </c>
      <c r="F1162" t="s">
        <v>2823</v>
      </c>
      <c r="G1162">
        <v>1</v>
      </c>
      <c r="H1162">
        <v>1</v>
      </c>
      <c r="I1162" t="s">
        <v>97</v>
      </c>
      <c r="J1162" s="10">
        <v>85</v>
      </c>
      <c r="K1162" s="10">
        <v>255</v>
      </c>
      <c r="L1162" s="10">
        <v>0</v>
      </c>
      <c r="N1162" s="10">
        <v>0</v>
      </c>
      <c r="O1162" t="s">
        <v>99</v>
      </c>
      <c r="P1162" s="10">
        <v>174.95</v>
      </c>
      <c r="S1162">
        <v>15.25</v>
      </c>
      <c r="T1162">
        <v>10.25</v>
      </c>
      <c r="U1162">
        <v>10.25</v>
      </c>
      <c r="W1162">
        <v>9.26</v>
      </c>
      <c r="X1162">
        <v>1</v>
      </c>
      <c r="Y1162">
        <v>19</v>
      </c>
      <c r="Z1162">
        <v>13.5</v>
      </c>
      <c r="AA1162">
        <v>13.5</v>
      </c>
      <c r="AB1162">
        <v>2.004</v>
      </c>
      <c r="AC1162">
        <v>11.6</v>
      </c>
      <c r="AE1162">
        <v>4</v>
      </c>
      <c r="AF1162" t="s">
        <v>519</v>
      </c>
      <c r="AG1162">
        <v>60</v>
      </c>
      <c r="AK1162" t="s">
        <v>98</v>
      </c>
      <c r="AM1162" t="s">
        <v>98</v>
      </c>
      <c r="AN1162" t="s">
        <v>99</v>
      </c>
      <c r="AO1162" t="s">
        <v>98</v>
      </c>
      <c r="AP1162" t="s">
        <v>100</v>
      </c>
      <c r="AQ1162" t="s">
        <v>101</v>
      </c>
      <c r="AV1162" t="s">
        <v>98</v>
      </c>
      <c r="AX1162" t="s">
        <v>164</v>
      </c>
      <c r="AZ1162" t="s">
        <v>102</v>
      </c>
      <c r="BB1162" t="s">
        <v>235</v>
      </c>
      <c r="BC1162" t="s">
        <v>1304</v>
      </c>
      <c r="BD1162" t="s">
        <v>7528</v>
      </c>
      <c r="BF1162" t="s">
        <v>3717</v>
      </c>
      <c r="BG1162" t="s">
        <v>98</v>
      </c>
      <c r="BH1162" t="s">
        <v>98</v>
      </c>
      <c r="BI1162" t="s">
        <v>98</v>
      </c>
      <c r="BK1162" t="s">
        <v>127</v>
      </c>
      <c r="BL1162" t="s">
        <v>7528</v>
      </c>
      <c r="BR1162">
        <v>1.5</v>
      </c>
      <c r="BT1162">
        <v>4.88</v>
      </c>
      <c r="CA1162">
        <v>72464</v>
      </c>
      <c r="CB1162" t="s">
        <v>164</v>
      </c>
      <c r="CL1162" t="s">
        <v>99</v>
      </c>
      <c r="CM1162" t="s">
        <v>99</v>
      </c>
      <c r="CN1162" t="s">
        <v>3236</v>
      </c>
      <c r="CO1162" s="1">
        <v>43047</v>
      </c>
      <c r="CP1162" s="1">
        <v>43633</v>
      </c>
    </row>
    <row r="1163" spans="1:94" x14ac:dyDescent="0.25">
      <c r="A1163" t="s">
        <v>3718</v>
      </c>
      <c r="B1163" t="str">
        <f xml:space="preserve"> "" &amp; 747396105970</f>
        <v>747396105970</v>
      </c>
      <c r="C1163" t="s">
        <v>3403</v>
      </c>
      <c r="D1163" t="s">
        <v>3719</v>
      </c>
      <c r="E1163" t="s">
        <v>3706</v>
      </c>
      <c r="F1163" t="s">
        <v>2823</v>
      </c>
      <c r="G1163">
        <v>1</v>
      </c>
      <c r="H1163">
        <v>1</v>
      </c>
      <c r="I1163" t="s">
        <v>97</v>
      </c>
      <c r="J1163" s="10">
        <v>85</v>
      </c>
      <c r="K1163" s="10">
        <v>255</v>
      </c>
      <c r="L1163" s="10">
        <v>0</v>
      </c>
      <c r="N1163" s="10">
        <v>0</v>
      </c>
      <c r="O1163" t="s">
        <v>99</v>
      </c>
      <c r="P1163" s="10">
        <v>174.95</v>
      </c>
      <c r="S1163">
        <v>18.75</v>
      </c>
      <c r="T1163">
        <v>10.25</v>
      </c>
      <c r="U1163">
        <v>10.25</v>
      </c>
      <c r="W1163">
        <v>8.42</v>
      </c>
      <c r="X1163">
        <v>1</v>
      </c>
      <c r="Y1163">
        <v>21.52</v>
      </c>
      <c r="Z1163">
        <v>13</v>
      </c>
      <c r="AA1163">
        <v>13</v>
      </c>
      <c r="AB1163">
        <v>2.105</v>
      </c>
      <c r="AC1163">
        <v>11.07</v>
      </c>
      <c r="AE1163">
        <v>3</v>
      </c>
      <c r="AF1163" t="s">
        <v>519</v>
      </c>
      <c r="AG1163">
        <v>60</v>
      </c>
      <c r="AK1163" t="s">
        <v>98</v>
      </c>
      <c r="AM1163" t="s">
        <v>98</v>
      </c>
      <c r="AN1163" t="s">
        <v>99</v>
      </c>
      <c r="AO1163" t="s">
        <v>98</v>
      </c>
      <c r="AP1163" t="s">
        <v>100</v>
      </c>
      <c r="AQ1163" t="s">
        <v>101</v>
      </c>
      <c r="AV1163" t="s">
        <v>98</v>
      </c>
      <c r="AX1163" t="s">
        <v>164</v>
      </c>
      <c r="AZ1163" t="s">
        <v>102</v>
      </c>
      <c r="BB1163" t="s">
        <v>235</v>
      </c>
      <c r="BC1163" t="s">
        <v>1304</v>
      </c>
      <c r="BD1163" t="s">
        <v>7528</v>
      </c>
      <c r="BF1163" t="s">
        <v>3720</v>
      </c>
      <c r="BG1163" t="s">
        <v>98</v>
      </c>
      <c r="BH1163" t="s">
        <v>98</v>
      </c>
      <c r="BI1163" t="s">
        <v>98</v>
      </c>
      <c r="BJ1163" t="s">
        <v>99</v>
      </c>
      <c r="BK1163" t="s">
        <v>453</v>
      </c>
      <c r="BL1163" t="s">
        <v>7528</v>
      </c>
      <c r="CA1163">
        <v>72466</v>
      </c>
      <c r="CB1163" t="s">
        <v>164</v>
      </c>
      <c r="CL1163" t="s">
        <v>98</v>
      </c>
      <c r="CM1163" t="s">
        <v>98</v>
      </c>
      <c r="CN1163" t="s">
        <v>3236</v>
      </c>
      <c r="CO1163" s="1">
        <v>43047</v>
      </c>
      <c r="CP1163" s="1">
        <v>43633</v>
      </c>
    </row>
    <row r="1164" spans="1:94" x14ac:dyDescent="0.25">
      <c r="A1164" t="s">
        <v>3721</v>
      </c>
      <c r="B1164" t="str">
        <f xml:space="preserve"> "" &amp; 747396105994</f>
        <v>747396105994</v>
      </c>
      <c r="C1164" t="s">
        <v>3185</v>
      </c>
      <c r="D1164" t="s">
        <v>3722</v>
      </c>
      <c r="E1164" t="s">
        <v>3723</v>
      </c>
      <c r="F1164" t="s">
        <v>2823</v>
      </c>
      <c r="G1164">
        <v>1</v>
      </c>
      <c r="H1164">
        <v>1</v>
      </c>
      <c r="I1164" t="s">
        <v>97</v>
      </c>
      <c r="J1164" s="10">
        <v>48</v>
      </c>
      <c r="K1164" s="10">
        <v>144</v>
      </c>
      <c r="L1164" s="10">
        <v>0</v>
      </c>
      <c r="N1164" s="10">
        <v>0</v>
      </c>
      <c r="O1164" t="s">
        <v>99</v>
      </c>
      <c r="P1164" s="10">
        <v>99.95</v>
      </c>
      <c r="S1164">
        <v>11.5</v>
      </c>
      <c r="U1164">
        <v>7</v>
      </c>
      <c r="V1164">
        <v>8.75</v>
      </c>
      <c r="W1164">
        <v>3.09</v>
      </c>
      <c r="X1164">
        <v>1</v>
      </c>
      <c r="Y1164">
        <v>14.63</v>
      </c>
      <c r="Z1164">
        <v>11.88</v>
      </c>
      <c r="AA1164">
        <v>10</v>
      </c>
      <c r="AB1164">
        <v>1.006</v>
      </c>
      <c r="AC1164">
        <v>4.41</v>
      </c>
      <c r="AE1164">
        <v>1</v>
      </c>
      <c r="AF1164" t="s">
        <v>1050</v>
      </c>
      <c r="AG1164">
        <v>60</v>
      </c>
      <c r="AK1164" t="s">
        <v>98</v>
      </c>
      <c r="AL1164">
        <v>1</v>
      </c>
      <c r="AM1164" t="s">
        <v>98</v>
      </c>
      <c r="AN1164" t="s">
        <v>99</v>
      </c>
      <c r="AO1164" t="s">
        <v>98</v>
      </c>
      <c r="AP1164" t="s">
        <v>100</v>
      </c>
      <c r="AQ1164" t="s">
        <v>101</v>
      </c>
      <c r="AV1164" t="s">
        <v>98</v>
      </c>
      <c r="AX1164" t="s">
        <v>164</v>
      </c>
      <c r="AZ1164" t="s">
        <v>102</v>
      </c>
      <c r="BB1164" t="s">
        <v>235</v>
      </c>
      <c r="BC1164" t="s">
        <v>746</v>
      </c>
      <c r="BD1164" t="s">
        <v>7528</v>
      </c>
      <c r="BF1164" t="s">
        <v>3724</v>
      </c>
      <c r="BG1164" t="s">
        <v>98</v>
      </c>
      <c r="BH1164" t="s">
        <v>98</v>
      </c>
      <c r="BI1164" t="s">
        <v>98</v>
      </c>
      <c r="BJ1164" t="s">
        <v>99</v>
      </c>
      <c r="BK1164" t="s">
        <v>453</v>
      </c>
      <c r="BL1164" t="s">
        <v>128</v>
      </c>
      <c r="BM1164">
        <v>5</v>
      </c>
      <c r="BN1164">
        <v>7</v>
      </c>
      <c r="CA1164">
        <v>72461</v>
      </c>
      <c r="CB1164" t="s">
        <v>164</v>
      </c>
      <c r="CL1164" t="s">
        <v>98</v>
      </c>
      <c r="CM1164" t="s">
        <v>98</v>
      </c>
      <c r="CN1164" t="s">
        <v>3236</v>
      </c>
      <c r="CO1164" s="1">
        <v>43047</v>
      </c>
      <c r="CP1164" s="1">
        <v>43633</v>
      </c>
    </row>
    <row r="1165" spans="1:94" x14ac:dyDescent="0.25">
      <c r="A1165" t="s">
        <v>3725</v>
      </c>
      <c r="B1165" t="str">
        <f xml:space="preserve"> "" &amp; 747396106007</f>
        <v>747396106007</v>
      </c>
      <c r="C1165" t="s">
        <v>3232</v>
      </c>
      <c r="D1165" t="s">
        <v>3722</v>
      </c>
      <c r="E1165" t="s">
        <v>3723</v>
      </c>
      <c r="F1165" t="s">
        <v>2823</v>
      </c>
      <c r="G1165">
        <v>1</v>
      </c>
      <c r="H1165">
        <v>1</v>
      </c>
      <c r="I1165" t="s">
        <v>97</v>
      </c>
      <c r="J1165" s="10">
        <v>58</v>
      </c>
      <c r="K1165" s="10">
        <v>174</v>
      </c>
      <c r="L1165" s="10">
        <v>0</v>
      </c>
      <c r="N1165" s="10">
        <v>0</v>
      </c>
      <c r="O1165" t="s">
        <v>99</v>
      </c>
      <c r="P1165" s="10">
        <v>124.95</v>
      </c>
      <c r="S1165">
        <v>14.25</v>
      </c>
      <c r="U1165">
        <v>7</v>
      </c>
      <c r="V1165">
        <v>9</v>
      </c>
      <c r="W1165">
        <v>3.44</v>
      </c>
      <c r="X1165">
        <v>1</v>
      </c>
      <c r="Y1165">
        <v>18.13</v>
      </c>
      <c r="Z1165">
        <v>11.875</v>
      </c>
      <c r="AA1165">
        <v>10</v>
      </c>
      <c r="AB1165">
        <v>1.246</v>
      </c>
      <c r="AC1165">
        <v>4.63</v>
      </c>
      <c r="AE1165">
        <v>1</v>
      </c>
      <c r="AF1165" t="s">
        <v>1050</v>
      </c>
      <c r="AG1165">
        <v>60</v>
      </c>
      <c r="AK1165" t="s">
        <v>98</v>
      </c>
      <c r="AM1165" t="s">
        <v>98</v>
      </c>
      <c r="AN1165" t="s">
        <v>99</v>
      </c>
      <c r="AO1165" t="s">
        <v>98</v>
      </c>
      <c r="AP1165" t="s">
        <v>100</v>
      </c>
      <c r="AQ1165" t="s">
        <v>101</v>
      </c>
      <c r="AV1165" t="s">
        <v>98</v>
      </c>
      <c r="AX1165" t="s">
        <v>164</v>
      </c>
      <c r="AZ1165" t="s">
        <v>102</v>
      </c>
      <c r="BB1165" t="s">
        <v>7528</v>
      </c>
      <c r="BC1165" t="s">
        <v>746</v>
      </c>
      <c r="BD1165" t="s">
        <v>7528</v>
      </c>
      <c r="BF1165" t="s">
        <v>3726</v>
      </c>
      <c r="BG1165" t="s">
        <v>98</v>
      </c>
      <c r="BH1165" t="s">
        <v>98</v>
      </c>
      <c r="BI1165" t="s">
        <v>98</v>
      </c>
      <c r="BJ1165" t="s">
        <v>99</v>
      </c>
      <c r="BK1165" t="s">
        <v>453</v>
      </c>
      <c r="BL1165" t="s">
        <v>7528</v>
      </c>
      <c r="BM1165">
        <v>5.5</v>
      </c>
      <c r="BN1165">
        <v>8.25</v>
      </c>
      <c r="CA1165">
        <v>72472</v>
      </c>
      <c r="CB1165" t="s">
        <v>164</v>
      </c>
      <c r="CL1165" t="s">
        <v>99</v>
      </c>
      <c r="CM1165" t="s">
        <v>98</v>
      </c>
      <c r="CN1165" t="s">
        <v>3727</v>
      </c>
      <c r="CO1165" s="1">
        <v>43048</v>
      </c>
      <c r="CP1165" s="1">
        <v>43633</v>
      </c>
    </row>
    <row r="1166" spans="1:94" x14ac:dyDescent="0.25">
      <c r="A1166" t="s">
        <v>3728</v>
      </c>
      <c r="B1166" t="str">
        <f xml:space="preserve"> "" &amp; 747396106014</f>
        <v>747396106014</v>
      </c>
      <c r="C1166" t="s">
        <v>3185</v>
      </c>
      <c r="D1166" t="s">
        <v>3722</v>
      </c>
      <c r="E1166" t="s">
        <v>3723</v>
      </c>
      <c r="F1166" t="s">
        <v>2823</v>
      </c>
      <c r="G1166">
        <v>1</v>
      </c>
      <c r="H1166">
        <v>1</v>
      </c>
      <c r="I1166" t="s">
        <v>97</v>
      </c>
      <c r="J1166" s="10">
        <v>75</v>
      </c>
      <c r="K1166" s="10">
        <v>225</v>
      </c>
      <c r="L1166" s="10">
        <v>0</v>
      </c>
      <c r="N1166" s="10">
        <v>0</v>
      </c>
      <c r="O1166" t="s">
        <v>99</v>
      </c>
      <c r="P1166" s="10">
        <v>159.94999999999999</v>
      </c>
      <c r="S1166">
        <v>17.25</v>
      </c>
      <c r="U1166">
        <v>7</v>
      </c>
      <c r="V1166">
        <v>9</v>
      </c>
      <c r="W1166">
        <v>3.77</v>
      </c>
      <c r="X1166">
        <v>1</v>
      </c>
      <c r="Y1166">
        <v>20.5</v>
      </c>
      <c r="Z1166">
        <v>11.5</v>
      </c>
      <c r="AA1166">
        <v>9.5</v>
      </c>
      <c r="AB1166">
        <v>1.296</v>
      </c>
      <c r="AC1166">
        <v>5.07</v>
      </c>
      <c r="AE1166">
        <v>1</v>
      </c>
      <c r="AF1166" t="s">
        <v>1050</v>
      </c>
      <c r="AG1166">
        <v>60</v>
      </c>
      <c r="AK1166" t="s">
        <v>98</v>
      </c>
      <c r="AL1166">
        <v>1</v>
      </c>
      <c r="AM1166" t="s">
        <v>98</v>
      </c>
      <c r="AN1166" t="s">
        <v>99</v>
      </c>
      <c r="AO1166" t="s">
        <v>98</v>
      </c>
      <c r="AP1166" t="s">
        <v>100</v>
      </c>
      <c r="AQ1166" t="s">
        <v>101</v>
      </c>
      <c r="AV1166" t="s">
        <v>98</v>
      </c>
      <c r="AX1166" t="s">
        <v>164</v>
      </c>
      <c r="AZ1166" t="s">
        <v>102</v>
      </c>
      <c r="BB1166" t="s">
        <v>235</v>
      </c>
      <c r="BC1166" t="s">
        <v>746</v>
      </c>
      <c r="BD1166" t="s">
        <v>7528</v>
      </c>
      <c r="BF1166" t="s">
        <v>3729</v>
      </c>
      <c r="BG1166" t="s">
        <v>98</v>
      </c>
      <c r="BH1166" t="s">
        <v>98</v>
      </c>
      <c r="BI1166" t="s">
        <v>98</v>
      </c>
      <c r="BJ1166" t="s">
        <v>99</v>
      </c>
      <c r="BK1166" t="s">
        <v>453</v>
      </c>
      <c r="BL1166" t="s">
        <v>128</v>
      </c>
      <c r="BM1166">
        <v>5.5</v>
      </c>
      <c r="BN1166">
        <v>8.25</v>
      </c>
      <c r="CA1166">
        <v>72473</v>
      </c>
      <c r="CB1166" t="s">
        <v>164</v>
      </c>
      <c r="CL1166" t="s">
        <v>98</v>
      </c>
      <c r="CM1166" t="s">
        <v>98</v>
      </c>
      <c r="CN1166" t="s">
        <v>3236</v>
      </c>
      <c r="CO1166" s="1">
        <v>43048</v>
      </c>
      <c r="CP1166" s="1">
        <v>43633</v>
      </c>
    </row>
    <row r="1167" spans="1:94" x14ac:dyDescent="0.25">
      <c r="A1167" t="s">
        <v>3730</v>
      </c>
      <c r="B1167" t="str">
        <f xml:space="preserve"> "" &amp; 747396106038</f>
        <v>747396106038</v>
      </c>
      <c r="C1167" t="s">
        <v>3698</v>
      </c>
      <c r="D1167" t="s">
        <v>3731</v>
      </c>
      <c r="E1167" t="s">
        <v>3723</v>
      </c>
      <c r="F1167" t="s">
        <v>2823</v>
      </c>
      <c r="G1167">
        <v>1</v>
      </c>
      <c r="H1167">
        <v>1</v>
      </c>
      <c r="I1167" t="s">
        <v>97</v>
      </c>
      <c r="J1167" s="10">
        <v>75</v>
      </c>
      <c r="K1167" s="10">
        <v>225</v>
      </c>
      <c r="L1167" s="10">
        <v>0</v>
      </c>
      <c r="N1167" s="10">
        <v>0</v>
      </c>
      <c r="O1167" t="s">
        <v>99</v>
      </c>
      <c r="P1167" s="10">
        <v>159.94999999999999</v>
      </c>
      <c r="S1167">
        <v>17.25</v>
      </c>
      <c r="T1167">
        <v>7</v>
      </c>
      <c r="U1167">
        <v>7</v>
      </c>
      <c r="W1167">
        <v>4.34</v>
      </c>
      <c r="X1167">
        <v>1</v>
      </c>
      <c r="Y1167">
        <v>22</v>
      </c>
      <c r="Z1167">
        <v>10</v>
      </c>
      <c r="AA1167">
        <v>10</v>
      </c>
      <c r="AB1167">
        <v>1.2729999999999999</v>
      </c>
      <c r="AC1167">
        <v>6.04</v>
      </c>
      <c r="AE1167">
        <v>1</v>
      </c>
      <c r="AF1167" t="s">
        <v>1050</v>
      </c>
      <c r="AG1167">
        <v>60</v>
      </c>
      <c r="AK1167" t="s">
        <v>98</v>
      </c>
      <c r="AM1167" t="s">
        <v>98</v>
      </c>
      <c r="AN1167" t="s">
        <v>99</v>
      </c>
      <c r="AO1167" t="s">
        <v>98</v>
      </c>
      <c r="AP1167" t="s">
        <v>100</v>
      </c>
      <c r="AQ1167" t="s">
        <v>101</v>
      </c>
      <c r="AV1167" t="s">
        <v>98</v>
      </c>
      <c r="AX1167" t="s">
        <v>164</v>
      </c>
      <c r="AZ1167" t="s">
        <v>102</v>
      </c>
      <c r="BB1167" t="s">
        <v>235</v>
      </c>
      <c r="BC1167" t="s">
        <v>746</v>
      </c>
      <c r="BD1167" t="s">
        <v>7528</v>
      </c>
      <c r="BF1167" t="s">
        <v>3732</v>
      </c>
      <c r="BG1167" t="s">
        <v>98</v>
      </c>
      <c r="BH1167" t="s">
        <v>98</v>
      </c>
      <c r="BI1167" t="s">
        <v>98</v>
      </c>
      <c r="BK1167" t="s">
        <v>127</v>
      </c>
      <c r="BL1167" t="s">
        <v>7528</v>
      </c>
      <c r="BR1167">
        <v>1</v>
      </c>
      <c r="BS1167">
        <v>5</v>
      </c>
      <c r="BT1167">
        <v>5</v>
      </c>
      <c r="CA1167">
        <v>72474</v>
      </c>
      <c r="CB1167" t="s">
        <v>164</v>
      </c>
      <c r="CL1167" t="s">
        <v>98</v>
      </c>
      <c r="CM1167" t="s">
        <v>99</v>
      </c>
      <c r="CN1167" t="s">
        <v>3236</v>
      </c>
      <c r="CO1167" s="1">
        <v>43048</v>
      </c>
      <c r="CP1167" s="1">
        <v>43633</v>
      </c>
    </row>
    <row r="1168" spans="1:94" x14ac:dyDescent="0.25">
      <c r="A1168" t="s">
        <v>3733</v>
      </c>
      <c r="B1168" t="str">
        <f xml:space="preserve"> "" &amp; 747396106021</f>
        <v>747396106021</v>
      </c>
      <c r="C1168" t="s">
        <v>447</v>
      </c>
      <c r="D1168" t="s">
        <v>3734</v>
      </c>
      <c r="E1168" t="s">
        <v>3723</v>
      </c>
      <c r="F1168" t="s">
        <v>2823</v>
      </c>
      <c r="G1168">
        <v>1</v>
      </c>
      <c r="H1168">
        <v>1</v>
      </c>
      <c r="I1168" t="s">
        <v>97</v>
      </c>
      <c r="J1168" s="10">
        <v>75</v>
      </c>
      <c r="K1168" s="10">
        <v>225</v>
      </c>
      <c r="L1168" s="10">
        <v>0</v>
      </c>
      <c r="N1168" s="10">
        <v>0</v>
      </c>
      <c r="O1168" t="s">
        <v>99</v>
      </c>
      <c r="P1168" s="10">
        <v>159.94999999999999</v>
      </c>
      <c r="S1168">
        <v>20</v>
      </c>
      <c r="U1168">
        <v>7</v>
      </c>
      <c r="V1168">
        <v>7</v>
      </c>
      <c r="W1168">
        <v>3.68</v>
      </c>
      <c r="X1168">
        <v>1</v>
      </c>
      <c r="Y1168">
        <v>23.22</v>
      </c>
      <c r="Z1168">
        <v>9.8000000000000007</v>
      </c>
      <c r="AA1168">
        <v>9.8000000000000007</v>
      </c>
      <c r="AB1168">
        <v>1.2909999999999999</v>
      </c>
      <c r="AC1168">
        <v>5.42</v>
      </c>
      <c r="AE1168">
        <v>1</v>
      </c>
      <c r="AF1168" t="s">
        <v>1050</v>
      </c>
      <c r="AG1168">
        <v>60</v>
      </c>
      <c r="AK1168" t="s">
        <v>98</v>
      </c>
      <c r="AM1168" t="s">
        <v>98</v>
      </c>
      <c r="AN1168" t="s">
        <v>99</v>
      </c>
      <c r="AO1168" t="s">
        <v>98</v>
      </c>
      <c r="AP1168" t="s">
        <v>100</v>
      </c>
      <c r="AQ1168" t="s">
        <v>101</v>
      </c>
      <c r="AV1168" t="s">
        <v>98</v>
      </c>
      <c r="AX1168" t="s">
        <v>164</v>
      </c>
      <c r="AZ1168" t="s">
        <v>102</v>
      </c>
      <c r="BB1168" t="s">
        <v>235</v>
      </c>
      <c r="BC1168" t="s">
        <v>746</v>
      </c>
      <c r="BD1168" t="s">
        <v>7528</v>
      </c>
      <c r="BF1168" t="s">
        <v>3735</v>
      </c>
      <c r="BG1168" t="s">
        <v>98</v>
      </c>
      <c r="BH1168" t="s">
        <v>98</v>
      </c>
      <c r="BI1168" t="s">
        <v>98</v>
      </c>
      <c r="BJ1168" t="s">
        <v>99</v>
      </c>
      <c r="BK1168" t="s">
        <v>453</v>
      </c>
      <c r="BL1168" t="s">
        <v>7528</v>
      </c>
      <c r="CA1168">
        <v>72476</v>
      </c>
      <c r="CB1168" t="s">
        <v>164</v>
      </c>
      <c r="CL1168" t="s">
        <v>98</v>
      </c>
      <c r="CM1168" t="s">
        <v>98</v>
      </c>
      <c r="CN1168" t="s">
        <v>3236</v>
      </c>
      <c r="CO1168" s="1">
        <v>43048</v>
      </c>
      <c r="CP1168" s="1">
        <v>43633</v>
      </c>
    </row>
    <row r="1169" spans="1:94" x14ac:dyDescent="0.25">
      <c r="A1169" t="s">
        <v>3736</v>
      </c>
      <c r="B1169" t="str">
        <f xml:space="preserve"> "" &amp; 747396109053</f>
        <v>747396109053</v>
      </c>
      <c r="C1169" t="s">
        <v>3476</v>
      </c>
      <c r="D1169" t="s">
        <v>6846</v>
      </c>
      <c r="E1169" t="s">
        <v>3723</v>
      </c>
      <c r="F1169" t="s">
        <v>2823</v>
      </c>
      <c r="G1169">
        <v>1</v>
      </c>
      <c r="H1169">
        <v>1</v>
      </c>
      <c r="I1169" t="s">
        <v>97</v>
      </c>
      <c r="J1169" s="10">
        <v>95</v>
      </c>
      <c r="K1169" s="10">
        <v>285</v>
      </c>
      <c r="L1169" s="10">
        <v>0</v>
      </c>
      <c r="N1169" s="10">
        <v>0</v>
      </c>
      <c r="O1169" t="s">
        <v>99</v>
      </c>
      <c r="P1169" s="10">
        <v>194.95</v>
      </c>
      <c r="S1169">
        <v>20</v>
      </c>
      <c r="U1169">
        <v>7</v>
      </c>
      <c r="V1169">
        <v>9</v>
      </c>
      <c r="W1169">
        <v>5</v>
      </c>
      <c r="X1169">
        <v>1</v>
      </c>
      <c r="Y1169">
        <v>23.38</v>
      </c>
      <c r="Z1169">
        <v>11.88</v>
      </c>
      <c r="AA1169">
        <v>10.25</v>
      </c>
      <c r="AB1169">
        <v>1.6479999999999999</v>
      </c>
      <c r="AC1169">
        <v>7.05</v>
      </c>
      <c r="AE1169">
        <v>1</v>
      </c>
      <c r="AF1169" t="s">
        <v>1050</v>
      </c>
      <c r="AG1169">
        <v>60</v>
      </c>
      <c r="AK1169" t="s">
        <v>98</v>
      </c>
      <c r="AM1169" t="s">
        <v>98</v>
      </c>
      <c r="AN1169" t="s">
        <v>99</v>
      </c>
      <c r="AO1169" t="s">
        <v>98</v>
      </c>
      <c r="AP1169" t="s">
        <v>100</v>
      </c>
      <c r="AQ1169" t="s">
        <v>101</v>
      </c>
      <c r="AV1169" t="s">
        <v>98</v>
      </c>
      <c r="AX1169" t="s">
        <v>164</v>
      </c>
      <c r="AZ1169" t="s">
        <v>102</v>
      </c>
      <c r="BB1169" t="s">
        <v>235</v>
      </c>
      <c r="BC1169" t="s">
        <v>746</v>
      </c>
      <c r="BD1169" t="s">
        <v>7528</v>
      </c>
      <c r="BF1169" t="s">
        <v>3737</v>
      </c>
      <c r="BG1169" t="s">
        <v>98</v>
      </c>
      <c r="BH1169" t="s">
        <v>98</v>
      </c>
      <c r="BI1169" t="s">
        <v>98</v>
      </c>
      <c r="BJ1169" t="s">
        <v>99</v>
      </c>
      <c r="BK1169" t="s">
        <v>453</v>
      </c>
      <c r="BL1169" t="s">
        <v>7528</v>
      </c>
      <c r="BM1169">
        <v>5.63</v>
      </c>
      <c r="BN1169">
        <v>10</v>
      </c>
      <c r="CA1169">
        <v>72477</v>
      </c>
      <c r="CB1169" t="s">
        <v>164</v>
      </c>
      <c r="CL1169" t="s">
        <v>99</v>
      </c>
      <c r="CM1169" t="s">
        <v>98</v>
      </c>
      <c r="CN1169" t="s">
        <v>3738</v>
      </c>
      <c r="CO1169" s="1">
        <v>43115</v>
      </c>
      <c r="CP1169" s="1">
        <v>43633</v>
      </c>
    </row>
    <row r="1170" spans="1:94" x14ac:dyDescent="0.25">
      <c r="A1170" t="s">
        <v>3739</v>
      </c>
      <c r="B1170" t="str">
        <f xml:space="preserve"> "" &amp; 747396106045</f>
        <v>747396106045</v>
      </c>
      <c r="C1170" t="s">
        <v>3232</v>
      </c>
      <c r="D1170" t="s">
        <v>3740</v>
      </c>
      <c r="E1170" t="s">
        <v>3741</v>
      </c>
      <c r="F1170" t="s">
        <v>2823</v>
      </c>
      <c r="G1170">
        <v>1</v>
      </c>
      <c r="H1170">
        <v>1</v>
      </c>
      <c r="I1170" t="s">
        <v>97</v>
      </c>
      <c r="J1170" s="10">
        <v>74</v>
      </c>
      <c r="K1170" s="10">
        <v>222</v>
      </c>
      <c r="L1170" s="10">
        <v>0</v>
      </c>
      <c r="N1170" s="10">
        <v>0</v>
      </c>
      <c r="O1170" t="s">
        <v>99</v>
      </c>
      <c r="P1170" s="10">
        <v>154.94999999999999</v>
      </c>
      <c r="S1170">
        <v>16.25</v>
      </c>
      <c r="U1170">
        <v>8</v>
      </c>
      <c r="V1170">
        <v>9.5</v>
      </c>
      <c r="W1170">
        <v>6.35</v>
      </c>
      <c r="X1170">
        <v>1</v>
      </c>
      <c r="Y1170">
        <v>19.75</v>
      </c>
      <c r="Z1170">
        <v>12.75</v>
      </c>
      <c r="AA1170">
        <v>11.5</v>
      </c>
      <c r="AB1170">
        <v>1.6759999999999999</v>
      </c>
      <c r="AC1170">
        <v>8.6</v>
      </c>
      <c r="AE1170">
        <v>1</v>
      </c>
      <c r="AF1170" t="s">
        <v>282</v>
      </c>
      <c r="AG1170">
        <v>100</v>
      </c>
      <c r="AK1170" t="s">
        <v>98</v>
      </c>
      <c r="AM1170" t="s">
        <v>98</v>
      </c>
      <c r="AN1170" t="s">
        <v>99</v>
      </c>
      <c r="AO1170" t="s">
        <v>98</v>
      </c>
      <c r="AP1170" t="s">
        <v>100</v>
      </c>
      <c r="AQ1170" t="s">
        <v>101</v>
      </c>
      <c r="AV1170" t="s">
        <v>98</v>
      </c>
      <c r="AX1170" t="s">
        <v>3190</v>
      </c>
      <c r="AZ1170" t="s">
        <v>102</v>
      </c>
      <c r="BB1170" t="s">
        <v>235</v>
      </c>
      <c r="BC1170" t="s">
        <v>2591</v>
      </c>
      <c r="BD1170" t="s">
        <v>7528</v>
      </c>
      <c r="BF1170" t="s">
        <v>3742</v>
      </c>
      <c r="BG1170" t="s">
        <v>98</v>
      </c>
      <c r="BH1170" t="s">
        <v>98</v>
      </c>
      <c r="BI1170" t="s">
        <v>98</v>
      </c>
      <c r="BJ1170" t="s">
        <v>99</v>
      </c>
      <c r="BK1170" t="s">
        <v>453</v>
      </c>
      <c r="BL1170" t="s">
        <v>7528</v>
      </c>
      <c r="BM1170">
        <v>5.88</v>
      </c>
      <c r="BN1170">
        <v>7.75</v>
      </c>
      <c r="CA1170">
        <v>72481</v>
      </c>
      <c r="CB1170" t="s">
        <v>3190</v>
      </c>
      <c r="CL1170" t="s">
        <v>99</v>
      </c>
      <c r="CM1170" t="s">
        <v>98</v>
      </c>
      <c r="CN1170" t="s">
        <v>3738</v>
      </c>
      <c r="CO1170" s="1">
        <v>43048</v>
      </c>
      <c r="CP1170" s="1">
        <v>43633</v>
      </c>
    </row>
    <row r="1171" spans="1:94" x14ac:dyDescent="0.25">
      <c r="A1171" t="s">
        <v>3743</v>
      </c>
      <c r="B1171" t="str">
        <f xml:space="preserve"> "" &amp; 747396106052</f>
        <v>747396106052</v>
      </c>
      <c r="C1171" t="s">
        <v>3232</v>
      </c>
      <c r="D1171" t="s">
        <v>3744</v>
      </c>
      <c r="E1171" t="s">
        <v>3741</v>
      </c>
      <c r="F1171" t="s">
        <v>2823</v>
      </c>
      <c r="G1171">
        <v>1</v>
      </c>
      <c r="H1171">
        <v>1</v>
      </c>
      <c r="I1171" t="s">
        <v>97</v>
      </c>
      <c r="J1171" s="10">
        <v>98</v>
      </c>
      <c r="K1171" s="10">
        <v>294</v>
      </c>
      <c r="L1171" s="10">
        <v>0</v>
      </c>
      <c r="N1171" s="10">
        <v>0</v>
      </c>
      <c r="O1171" t="s">
        <v>99</v>
      </c>
      <c r="P1171" s="10">
        <v>204.95</v>
      </c>
      <c r="S1171">
        <v>21</v>
      </c>
      <c r="U1171">
        <v>10</v>
      </c>
      <c r="V1171">
        <v>11.5</v>
      </c>
      <c r="W1171">
        <v>10.32</v>
      </c>
      <c r="X1171">
        <v>1</v>
      </c>
      <c r="Y1171">
        <v>24.75</v>
      </c>
      <c r="Z1171">
        <v>15.38</v>
      </c>
      <c r="AA1171">
        <v>13.38</v>
      </c>
      <c r="AB1171">
        <v>2.9470000000000001</v>
      </c>
      <c r="AC1171">
        <v>13.49</v>
      </c>
      <c r="AE1171">
        <v>60</v>
      </c>
      <c r="AF1171" t="s">
        <v>519</v>
      </c>
      <c r="AG1171">
        <v>4</v>
      </c>
      <c r="AK1171" t="s">
        <v>98</v>
      </c>
      <c r="AM1171" t="s">
        <v>98</v>
      </c>
      <c r="AN1171" t="s">
        <v>99</v>
      </c>
      <c r="AO1171" t="s">
        <v>98</v>
      </c>
      <c r="AP1171" t="s">
        <v>100</v>
      </c>
      <c r="AQ1171" t="s">
        <v>101</v>
      </c>
      <c r="AV1171" t="s">
        <v>98</v>
      </c>
      <c r="AX1171" t="s">
        <v>3190</v>
      </c>
      <c r="AZ1171" t="s">
        <v>102</v>
      </c>
      <c r="BB1171" t="s">
        <v>235</v>
      </c>
      <c r="BC1171" t="s">
        <v>1687</v>
      </c>
      <c r="BD1171" t="s">
        <v>7528</v>
      </c>
      <c r="BF1171" t="s">
        <v>3745</v>
      </c>
      <c r="BG1171" t="s">
        <v>98</v>
      </c>
      <c r="BH1171" t="s">
        <v>98</v>
      </c>
      <c r="BI1171" t="s">
        <v>98</v>
      </c>
      <c r="BJ1171" t="s">
        <v>99</v>
      </c>
      <c r="BK1171" t="s">
        <v>453</v>
      </c>
      <c r="BL1171" t="s">
        <v>7528</v>
      </c>
      <c r="BM1171">
        <v>5.88</v>
      </c>
      <c r="BN1171">
        <v>9.6300000000000008</v>
      </c>
      <c r="CA1171">
        <v>72482</v>
      </c>
      <c r="CB1171" t="s">
        <v>3190</v>
      </c>
      <c r="CL1171" t="s">
        <v>99</v>
      </c>
      <c r="CM1171" t="s">
        <v>98</v>
      </c>
      <c r="CN1171" t="s">
        <v>3738</v>
      </c>
      <c r="CO1171" s="1">
        <v>43048</v>
      </c>
      <c r="CP1171" s="1">
        <v>43633</v>
      </c>
    </row>
    <row r="1172" spans="1:94" x14ac:dyDescent="0.25">
      <c r="A1172" t="s">
        <v>3746</v>
      </c>
      <c r="B1172" t="str">
        <f xml:space="preserve"> "" &amp; 747396106069</f>
        <v>747396106069</v>
      </c>
      <c r="C1172" t="s">
        <v>3232</v>
      </c>
      <c r="D1172" t="s">
        <v>3744</v>
      </c>
      <c r="E1172" t="s">
        <v>3741</v>
      </c>
      <c r="F1172" t="s">
        <v>2823</v>
      </c>
      <c r="G1172">
        <v>1</v>
      </c>
      <c r="H1172">
        <v>1</v>
      </c>
      <c r="I1172" t="s">
        <v>97</v>
      </c>
      <c r="J1172" s="10">
        <v>119</v>
      </c>
      <c r="K1172" s="10">
        <v>357</v>
      </c>
      <c r="L1172" s="10">
        <v>0</v>
      </c>
      <c r="N1172" s="10">
        <v>0</v>
      </c>
      <c r="O1172" t="s">
        <v>99</v>
      </c>
      <c r="P1172" s="10">
        <v>249.95</v>
      </c>
      <c r="S1172">
        <v>25</v>
      </c>
      <c r="U1172">
        <v>12</v>
      </c>
      <c r="V1172">
        <v>14.25</v>
      </c>
      <c r="W1172">
        <v>14.42</v>
      </c>
      <c r="X1172">
        <v>1</v>
      </c>
      <c r="Y1172">
        <v>29</v>
      </c>
      <c r="Z1172">
        <v>17.38</v>
      </c>
      <c r="AA1172">
        <v>15.75</v>
      </c>
      <c r="AB1172">
        <v>4.5940000000000003</v>
      </c>
      <c r="AC1172">
        <v>18.170000000000002</v>
      </c>
      <c r="AE1172">
        <v>4</v>
      </c>
      <c r="AF1172" t="s">
        <v>519</v>
      </c>
      <c r="AG1172">
        <v>60</v>
      </c>
      <c r="AK1172" t="s">
        <v>98</v>
      </c>
      <c r="AM1172" t="s">
        <v>98</v>
      </c>
      <c r="AN1172" t="s">
        <v>99</v>
      </c>
      <c r="AO1172" t="s">
        <v>98</v>
      </c>
      <c r="AP1172" t="s">
        <v>100</v>
      </c>
      <c r="AQ1172" t="s">
        <v>101</v>
      </c>
      <c r="AV1172" t="s">
        <v>98</v>
      </c>
      <c r="AX1172" t="s">
        <v>3190</v>
      </c>
      <c r="AZ1172" t="s">
        <v>102</v>
      </c>
      <c r="BB1172" t="s">
        <v>235</v>
      </c>
      <c r="BC1172" t="s">
        <v>2591</v>
      </c>
      <c r="BD1172" t="s">
        <v>7528</v>
      </c>
      <c r="BF1172" t="s">
        <v>3747</v>
      </c>
      <c r="BG1172" t="s">
        <v>98</v>
      </c>
      <c r="BH1172" t="s">
        <v>98</v>
      </c>
      <c r="BI1172" t="s">
        <v>98</v>
      </c>
      <c r="BJ1172" t="s">
        <v>99</v>
      </c>
      <c r="BK1172" t="s">
        <v>453</v>
      </c>
      <c r="BL1172" t="s">
        <v>7528</v>
      </c>
      <c r="BM1172">
        <v>5.88</v>
      </c>
      <c r="BN1172">
        <v>9.6300000000000008</v>
      </c>
      <c r="CA1172">
        <v>72483</v>
      </c>
      <c r="CB1172" t="s">
        <v>3190</v>
      </c>
      <c r="CL1172" t="s">
        <v>99</v>
      </c>
      <c r="CM1172" t="s">
        <v>98</v>
      </c>
      <c r="CN1172" t="s">
        <v>3738</v>
      </c>
      <c r="CO1172" s="1">
        <v>43048</v>
      </c>
      <c r="CP1172" s="1">
        <v>43633</v>
      </c>
    </row>
    <row r="1173" spans="1:94" x14ac:dyDescent="0.25">
      <c r="A1173" t="s">
        <v>3748</v>
      </c>
      <c r="B1173" t="str">
        <f xml:space="preserve"> "" &amp; 747396106083</f>
        <v>747396106083</v>
      </c>
      <c r="C1173" t="s">
        <v>3253</v>
      </c>
      <c r="D1173" t="s">
        <v>3749</v>
      </c>
      <c r="E1173" t="s">
        <v>3741</v>
      </c>
      <c r="F1173" t="s">
        <v>2823</v>
      </c>
      <c r="G1173">
        <v>1</v>
      </c>
      <c r="H1173">
        <v>1</v>
      </c>
      <c r="I1173" t="s">
        <v>97</v>
      </c>
      <c r="J1173" s="10">
        <v>98</v>
      </c>
      <c r="K1173" s="10">
        <v>294</v>
      </c>
      <c r="L1173" s="10">
        <v>0</v>
      </c>
      <c r="N1173" s="10">
        <v>0</v>
      </c>
      <c r="O1173" t="s">
        <v>99</v>
      </c>
      <c r="P1173" s="10">
        <v>204.95</v>
      </c>
      <c r="S1173">
        <v>20</v>
      </c>
      <c r="T1173">
        <v>10</v>
      </c>
      <c r="U1173">
        <v>10</v>
      </c>
      <c r="W1173">
        <v>10.58</v>
      </c>
      <c r="X1173">
        <v>1</v>
      </c>
      <c r="Y1173">
        <v>26.75</v>
      </c>
      <c r="Z1173">
        <v>13.75</v>
      </c>
      <c r="AA1173">
        <v>13.75</v>
      </c>
      <c r="AB1173">
        <v>2.927</v>
      </c>
      <c r="AC1173">
        <v>13.45</v>
      </c>
      <c r="AE1173">
        <v>4</v>
      </c>
      <c r="AF1173" t="s">
        <v>519</v>
      </c>
      <c r="AG1173">
        <v>60</v>
      </c>
      <c r="AK1173" t="s">
        <v>98</v>
      </c>
      <c r="AM1173" t="s">
        <v>98</v>
      </c>
      <c r="AN1173" t="s">
        <v>99</v>
      </c>
      <c r="AO1173" t="s">
        <v>98</v>
      </c>
      <c r="AP1173" t="s">
        <v>100</v>
      </c>
      <c r="AQ1173" t="s">
        <v>101</v>
      </c>
      <c r="AV1173" t="s">
        <v>98</v>
      </c>
      <c r="AX1173" t="s">
        <v>3190</v>
      </c>
      <c r="AZ1173" t="s">
        <v>102</v>
      </c>
      <c r="BB1173" t="s">
        <v>235</v>
      </c>
      <c r="BC1173" t="s">
        <v>2591</v>
      </c>
      <c r="BD1173" t="s">
        <v>7528</v>
      </c>
      <c r="BF1173" t="s">
        <v>3750</v>
      </c>
      <c r="BG1173" t="s">
        <v>98</v>
      </c>
      <c r="BH1173" t="s">
        <v>98</v>
      </c>
      <c r="BI1173" t="s">
        <v>98</v>
      </c>
      <c r="BK1173" t="s">
        <v>127</v>
      </c>
      <c r="BL1173" t="s">
        <v>7528</v>
      </c>
      <c r="BR1173">
        <v>1.5</v>
      </c>
      <c r="BS1173">
        <v>5</v>
      </c>
      <c r="BT1173">
        <v>5</v>
      </c>
      <c r="CA1173">
        <v>72484</v>
      </c>
      <c r="CB1173" t="s">
        <v>3190</v>
      </c>
      <c r="CL1173" t="s">
        <v>99</v>
      </c>
      <c r="CM1173" t="s">
        <v>99</v>
      </c>
      <c r="CN1173" t="s">
        <v>3738</v>
      </c>
      <c r="CO1173" s="1">
        <v>43048</v>
      </c>
      <c r="CP1173" s="1">
        <v>43633</v>
      </c>
    </row>
    <row r="1174" spans="1:94" x14ac:dyDescent="0.25">
      <c r="A1174" t="s">
        <v>3751</v>
      </c>
      <c r="B1174" t="str">
        <f xml:space="preserve"> "" &amp; 747396106076</f>
        <v>747396106076</v>
      </c>
      <c r="C1174" t="s">
        <v>3468</v>
      </c>
      <c r="D1174" t="s">
        <v>3752</v>
      </c>
      <c r="E1174" t="s">
        <v>3741</v>
      </c>
      <c r="F1174" t="s">
        <v>2823</v>
      </c>
      <c r="G1174">
        <v>1</v>
      </c>
      <c r="H1174">
        <v>1</v>
      </c>
      <c r="I1174" t="s">
        <v>97</v>
      </c>
      <c r="J1174" s="10">
        <v>98</v>
      </c>
      <c r="K1174" s="10">
        <v>294</v>
      </c>
      <c r="L1174" s="10">
        <v>0</v>
      </c>
      <c r="N1174" s="10">
        <v>0</v>
      </c>
      <c r="O1174" t="s">
        <v>99</v>
      </c>
      <c r="P1174" s="10">
        <v>204.95</v>
      </c>
      <c r="S1174">
        <v>22</v>
      </c>
      <c r="U1174">
        <v>10</v>
      </c>
      <c r="V1174">
        <v>10</v>
      </c>
      <c r="W1174">
        <v>9.6999999999999993</v>
      </c>
      <c r="X1174">
        <v>1</v>
      </c>
      <c r="Y1174">
        <v>23</v>
      </c>
      <c r="Z1174">
        <v>13</v>
      </c>
      <c r="AA1174">
        <v>13</v>
      </c>
      <c r="AB1174">
        <v>2.2490000000000001</v>
      </c>
      <c r="AC1174">
        <v>11.86</v>
      </c>
      <c r="AE1174">
        <v>4</v>
      </c>
      <c r="AF1174" t="s">
        <v>519</v>
      </c>
      <c r="AG1174">
        <v>60</v>
      </c>
      <c r="AK1174" t="s">
        <v>98</v>
      </c>
      <c r="AM1174" t="s">
        <v>98</v>
      </c>
      <c r="AN1174" t="s">
        <v>99</v>
      </c>
      <c r="AO1174" t="s">
        <v>98</v>
      </c>
      <c r="AP1174" t="s">
        <v>100</v>
      </c>
      <c r="AQ1174" t="s">
        <v>101</v>
      </c>
      <c r="AV1174" t="s">
        <v>98</v>
      </c>
      <c r="AX1174" t="s">
        <v>3190</v>
      </c>
      <c r="AZ1174" t="s">
        <v>102</v>
      </c>
      <c r="BB1174" t="s">
        <v>235</v>
      </c>
      <c r="BC1174" t="s">
        <v>1687</v>
      </c>
      <c r="BD1174" t="s">
        <v>7528</v>
      </c>
      <c r="BF1174" t="s">
        <v>3753</v>
      </c>
      <c r="BG1174" t="s">
        <v>98</v>
      </c>
      <c r="BH1174" t="s">
        <v>98</v>
      </c>
      <c r="BI1174" t="s">
        <v>98</v>
      </c>
      <c r="BJ1174" t="s">
        <v>99</v>
      </c>
      <c r="BK1174" t="s">
        <v>453</v>
      </c>
      <c r="BL1174" t="s">
        <v>7528</v>
      </c>
      <c r="CA1174">
        <v>72486</v>
      </c>
      <c r="CB1174" t="s">
        <v>3190</v>
      </c>
      <c r="CL1174" t="s">
        <v>99</v>
      </c>
      <c r="CM1174" t="s">
        <v>98</v>
      </c>
      <c r="CN1174" t="s">
        <v>3738</v>
      </c>
      <c r="CO1174" s="1">
        <v>43048</v>
      </c>
      <c r="CP1174" s="1">
        <v>43633</v>
      </c>
    </row>
    <row r="1175" spans="1:94" x14ac:dyDescent="0.25">
      <c r="A1175" t="s">
        <v>3754</v>
      </c>
      <c r="B1175" t="str">
        <f xml:space="preserve"> "" &amp; 747396109060</f>
        <v>747396109060</v>
      </c>
      <c r="C1175" t="s">
        <v>3476</v>
      </c>
      <c r="D1175" t="s">
        <v>6846</v>
      </c>
      <c r="E1175" t="s">
        <v>3755</v>
      </c>
      <c r="F1175" t="s">
        <v>2823</v>
      </c>
      <c r="G1175">
        <v>1</v>
      </c>
      <c r="H1175">
        <v>1</v>
      </c>
      <c r="I1175" t="s">
        <v>97</v>
      </c>
      <c r="J1175" s="10">
        <v>199</v>
      </c>
      <c r="K1175" s="10">
        <v>597</v>
      </c>
      <c r="L1175" s="10">
        <v>0</v>
      </c>
      <c r="N1175" s="10">
        <v>0</v>
      </c>
      <c r="O1175" t="s">
        <v>99</v>
      </c>
      <c r="P1175" s="10">
        <v>419.95</v>
      </c>
      <c r="S1175">
        <v>29</v>
      </c>
      <c r="U1175">
        <v>14</v>
      </c>
      <c r="V1175">
        <v>16</v>
      </c>
      <c r="W1175">
        <v>21.25</v>
      </c>
      <c r="X1175">
        <v>1</v>
      </c>
      <c r="Y1175">
        <v>32.75</v>
      </c>
      <c r="Z1175">
        <v>18.88</v>
      </c>
      <c r="AA1175">
        <v>17</v>
      </c>
      <c r="AB1175">
        <v>6.0830000000000002</v>
      </c>
      <c r="AC1175">
        <v>26.46</v>
      </c>
      <c r="AE1175">
        <v>4</v>
      </c>
      <c r="AF1175" t="s">
        <v>519</v>
      </c>
      <c r="AG1175">
        <v>60</v>
      </c>
      <c r="AK1175" t="s">
        <v>98</v>
      </c>
      <c r="AM1175" t="s">
        <v>98</v>
      </c>
      <c r="AN1175" t="s">
        <v>99</v>
      </c>
      <c r="AO1175" t="s">
        <v>98</v>
      </c>
      <c r="AP1175" t="s">
        <v>100</v>
      </c>
      <c r="AQ1175" t="s">
        <v>101</v>
      </c>
      <c r="AV1175" t="s">
        <v>98</v>
      </c>
      <c r="AX1175" t="s">
        <v>3190</v>
      </c>
      <c r="AZ1175" t="s">
        <v>102</v>
      </c>
      <c r="BB1175" t="s">
        <v>235</v>
      </c>
      <c r="BC1175" t="s">
        <v>2591</v>
      </c>
      <c r="BD1175" t="s">
        <v>7528</v>
      </c>
      <c r="BF1175" t="s">
        <v>3756</v>
      </c>
      <c r="BG1175" t="s">
        <v>98</v>
      </c>
      <c r="BH1175" t="s">
        <v>98</v>
      </c>
      <c r="BI1175" t="s">
        <v>98</v>
      </c>
      <c r="BJ1175" t="s">
        <v>99</v>
      </c>
      <c r="BK1175" t="s">
        <v>453</v>
      </c>
      <c r="BL1175" t="s">
        <v>7528</v>
      </c>
      <c r="BM1175">
        <v>8.25</v>
      </c>
      <c r="BN1175">
        <v>11.75</v>
      </c>
      <c r="CA1175">
        <v>72487</v>
      </c>
      <c r="CB1175" t="s">
        <v>3190</v>
      </c>
      <c r="CL1175" t="s">
        <v>99</v>
      </c>
      <c r="CM1175" t="s">
        <v>98</v>
      </c>
      <c r="CN1175" t="s">
        <v>3236</v>
      </c>
      <c r="CO1175" s="1">
        <v>43115</v>
      </c>
      <c r="CP1175" s="1">
        <v>43633</v>
      </c>
    </row>
    <row r="1176" spans="1:94" x14ac:dyDescent="0.25">
      <c r="A1176" t="s">
        <v>3757</v>
      </c>
      <c r="B1176" t="str">
        <f xml:space="preserve"> "" &amp; 747396106090</f>
        <v>747396106090</v>
      </c>
      <c r="C1176" t="s">
        <v>3185</v>
      </c>
      <c r="D1176" t="s">
        <v>3758</v>
      </c>
      <c r="E1176" t="s">
        <v>3759</v>
      </c>
      <c r="F1176" t="s">
        <v>2823</v>
      </c>
      <c r="G1176">
        <v>1</v>
      </c>
      <c r="H1176">
        <v>1</v>
      </c>
      <c r="I1176" t="s">
        <v>97</v>
      </c>
      <c r="J1176" s="10">
        <v>64</v>
      </c>
      <c r="K1176" s="10">
        <v>192</v>
      </c>
      <c r="L1176" s="10">
        <v>0</v>
      </c>
      <c r="N1176" s="10">
        <v>0</v>
      </c>
      <c r="O1176" t="s">
        <v>99</v>
      </c>
      <c r="P1176" s="10">
        <v>134.94999999999999</v>
      </c>
      <c r="S1176">
        <v>11.25</v>
      </c>
      <c r="U1176">
        <v>6.5</v>
      </c>
      <c r="V1176">
        <v>7.75</v>
      </c>
      <c r="W1176">
        <v>4.74</v>
      </c>
      <c r="X1176">
        <v>1</v>
      </c>
      <c r="Y1176">
        <v>14.5</v>
      </c>
      <c r="Z1176">
        <v>11</v>
      </c>
      <c r="AA1176">
        <v>9.8800000000000008</v>
      </c>
      <c r="AB1176">
        <v>0.91200000000000003</v>
      </c>
      <c r="AC1176">
        <v>5.84</v>
      </c>
      <c r="AE1176">
        <v>1</v>
      </c>
      <c r="AF1176" t="s">
        <v>1673</v>
      </c>
      <c r="AG1176">
        <v>60</v>
      </c>
      <c r="AK1176" t="s">
        <v>98</v>
      </c>
      <c r="AL1176">
        <v>1</v>
      </c>
      <c r="AM1176" t="s">
        <v>98</v>
      </c>
      <c r="AN1176" t="s">
        <v>99</v>
      </c>
      <c r="AO1176" t="s">
        <v>98</v>
      </c>
      <c r="AP1176" t="s">
        <v>100</v>
      </c>
      <c r="AQ1176" t="s">
        <v>101</v>
      </c>
      <c r="AV1176" t="s">
        <v>98</v>
      </c>
      <c r="AX1176" t="s">
        <v>3760</v>
      </c>
      <c r="AZ1176" t="s">
        <v>102</v>
      </c>
      <c r="BB1176" t="s">
        <v>235</v>
      </c>
      <c r="BC1176" t="s">
        <v>2591</v>
      </c>
      <c r="BD1176" t="s">
        <v>7528</v>
      </c>
      <c r="BF1176" t="s">
        <v>3761</v>
      </c>
      <c r="BG1176" t="s">
        <v>98</v>
      </c>
      <c r="BH1176" t="s">
        <v>98</v>
      </c>
      <c r="BI1176" t="s">
        <v>98</v>
      </c>
      <c r="BJ1176" t="s">
        <v>99</v>
      </c>
      <c r="BK1176" t="s">
        <v>453</v>
      </c>
      <c r="BL1176" t="s">
        <v>128</v>
      </c>
      <c r="BM1176">
        <v>4.5</v>
      </c>
      <c r="BN1176">
        <v>7.13</v>
      </c>
      <c r="CA1176">
        <v>72491</v>
      </c>
      <c r="CB1176" t="s">
        <v>3760</v>
      </c>
      <c r="CL1176" t="s">
        <v>99</v>
      </c>
      <c r="CM1176" t="s">
        <v>98</v>
      </c>
      <c r="CN1176" t="s">
        <v>3227</v>
      </c>
      <c r="CO1176" s="1">
        <v>43048</v>
      </c>
      <c r="CP1176" s="1">
        <v>43633</v>
      </c>
    </row>
    <row r="1177" spans="1:94" x14ac:dyDescent="0.25">
      <c r="A1177" t="s">
        <v>3762</v>
      </c>
      <c r="B1177" t="str">
        <f xml:space="preserve"> "" &amp; 747396106106</f>
        <v>747396106106</v>
      </c>
      <c r="C1177" t="s">
        <v>3185</v>
      </c>
      <c r="D1177" t="s">
        <v>6847</v>
      </c>
      <c r="E1177" t="s">
        <v>3759</v>
      </c>
      <c r="F1177" t="s">
        <v>2823</v>
      </c>
      <c r="G1177">
        <v>1</v>
      </c>
      <c r="H1177">
        <v>1</v>
      </c>
      <c r="I1177" t="s">
        <v>97</v>
      </c>
      <c r="J1177" s="10">
        <v>79</v>
      </c>
      <c r="K1177" s="10">
        <v>237</v>
      </c>
      <c r="L1177" s="10">
        <v>0</v>
      </c>
      <c r="N1177" s="10">
        <v>0</v>
      </c>
      <c r="O1177" t="s">
        <v>99</v>
      </c>
      <c r="P1177" s="10">
        <v>169.95</v>
      </c>
      <c r="S1177">
        <v>14.75</v>
      </c>
      <c r="U1177">
        <v>6.5</v>
      </c>
      <c r="V1177">
        <v>7.75</v>
      </c>
      <c r="W1177">
        <v>5.29</v>
      </c>
      <c r="X1177">
        <v>1</v>
      </c>
      <c r="Y1177">
        <v>18.5</v>
      </c>
      <c r="Z1177">
        <v>11.5</v>
      </c>
      <c r="AA1177">
        <v>10.25</v>
      </c>
      <c r="AB1177">
        <v>1.262</v>
      </c>
      <c r="AC1177">
        <v>7.28</v>
      </c>
      <c r="AE1177">
        <v>1</v>
      </c>
      <c r="AF1177" t="s">
        <v>3763</v>
      </c>
      <c r="AG1177">
        <v>60</v>
      </c>
      <c r="AK1177" t="s">
        <v>98</v>
      </c>
      <c r="AL1177">
        <v>1</v>
      </c>
      <c r="AM1177" t="s">
        <v>98</v>
      </c>
      <c r="AN1177" t="s">
        <v>99</v>
      </c>
      <c r="AO1177" t="s">
        <v>98</v>
      </c>
      <c r="AP1177" t="s">
        <v>100</v>
      </c>
      <c r="AQ1177" t="s">
        <v>101</v>
      </c>
      <c r="AV1177" t="s">
        <v>98</v>
      </c>
      <c r="AX1177" t="s">
        <v>3760</v>
      </c>
      <c r="AZ1177" t="s">
        <v>102</v>
      </c>
      <c r="BB1177" t="s">
        <v>235</v>
      </c>
      <c r="BC1177" t="s">
        <v>2591</v>
      </c>
      <c r="BD1177" t="s">
        <v>7528</v>
      </c>
      <c r="BF1177" t="s">
        <v>3764</v>
      </c>
      <c r="BG1177" t="s">
        <v>98</v>
      </c>
      <c r="BH1177" t="s">
        <v>98</v>
      </c>
      <c r="BI1177" t="s">
        <v>98</v>
      </c>
      <c r="BJ1177" t="s">
        <v>99</v>
      </c>
      <c r="BK1177" t="s">
        <v>453</v>
      </c>
      <c r="BL1177" t="s">
        <v>128</v>
      </c>
      <c r="BM1177">
        <v>4.5</v>
      </c>
      <c r="BN1177">
        <v>7.13</v>
      </c>
      <c r="CA1177">
        <v>72492</v>
      </c>
      <c r="CB1177" t="s">
        <v>3760</v>
      </c>
      <c r="CL1177" t="s">
        <v>99</v>
      </c>
      <c r="CM1177" t="s">
        <v>98</v>
      </c>
      <c r="CN1177" t="s">
        <v>3227</v>
      </c>
      <c r="CO1177" s="1">
        <v>43048</v>
      </c>
      <c r="CP1177" s="1">
        <v>43633</v>
      </c>
    </row>
    <row r="1178" spans="1:94" x14ac:dyDescent="0.25">
      <c r="A1178" t="s">
        <v>3765</v>
      </c>
      <c r="B1178" t="str">
        <f xml:space="preserve"> "" &amp; 747396106113</f>
        <v>747396106113</v>
      </c>
      <c r="C1178" t="s">
        <v>3185</v>
      </c>
      <c r="D1178" t="s">
        <v>3758</v>
      </c>
      <c r="E1178" t="s">
        <v>3759</v>
      </c>
      <c r="F1178" t="s">
        <v>2823</v>
      </c>
      <c r="G1178">
        <v>1</v>
      </c>
      <c r="H1178">
        <v>1</v>
      </c>
      <c r="I1178" t="s">
        <v>97</v>
      </c>
      <c r="J1178" s="10">
        <v>95</v>
      </c>
      <c r="K1178" s="10">
        <v>285</v>
      </c>
      <c r="L1178" s="10">
        <v>0</v>
      </c>
      <c r="N1178" s="10">
        <v>0</v>
      </c>
      <c r="O1178" t="s">
        <v>99</v>
      </c>
      <c r="P1178" s="10">
        <v>194.95</v>
      </c>
      <c r="S1178">
        <v>18.25</v>
      </c>
      <c r="U1178">
        <v>6.5</v>
      </c>
      <c r="V1178">
        <v>7.75</v>
      </c>
      <c r="W1178">
        <v>6.28</v>
      </c>
      <c r="X1178">
        <v>1</v>
      </c>
      <c r="Y1178">
        <v>22.25</v>
      </c>
      <c r="Z1178">
        <v>11.63</v>
      </c>
      <c r="AA1178">
        <v>10.38</v>
      </c>
      <c r="AB1178">
        <v>1.554</v>
      </c>
      <c r="AC1178">
        <v>8.6</v>
      </c>
      <c r="AE1178">
        <v>1</v>
      </c>
      <c r="AF1178" t="s">
        <v>3763</v>
      </c>
      <c r="AG1178">
        <v>60</v>
      </c>
      <c r="AK1178" t="s">
        <v>98</v>
      </c>
      <c r="AL1178">
        <v>1</v>
      </c>
      <c r="AM1178" t="s">
        <v>98</v>
      </c>
      <c r="AN1178" t="s">
        <v>99</v>
      </c>
      <c r="AO1178" t="s">
        <v>98</v>
      </c>
      <c r="AP1178" t="s">
        <v>100</v>
      </c>
      <c r="AQ1178" t="s">
        <v>101</v>
      </c>
      <c r="AV1178" t="s">
        <v>98</v>
      </c>
      <c r="AX1178" t="s">
        <v>3760</v>
      </c>
      <c r="AZ1178" t="s">
        <v>102</v>
      </c>
      <c r="BB1178" t="s">
        <v>235</v>
      </c>
      <c r="BC1178" t="s">
        <v>2591</v>
      </c>
      <c r="BD1178" t="s">
        <v>7528</v>
      </c>
      <c r="BF1178" t="s">
        <v>3766</v>
      </c>
      <c r="BG1178" t="s">
        <v>98</v>
      </c>
      <c r="BH1178" t="s">
        <v>98</v>
      </c>
      <c r="BI1178" t="s">
        <v>98</v>
      </c>
      <c r="BJ1178" t="s">
        <v>99</v>
      </c>
      <c r="BK1178" t="s">
        <v>453</v>
      </c>
      <c r="BL1178" t="s">
        <v>128</v>
      </c>
      <c r="BM1178">
        <v>4.5</v>
      </c>
      <c r="BN1178">
        <v>7.13</v>
      </c>
      <c r="CA1178">
        <v>72493</v>
      </c>
      <c r="CB1178" t="s">
        <v>3760</v>
      </c>
      <c r="CL1178" t="s">
        <v>99</v>
      </c>
      <c r="CM1178" t="s">
        <v>98</v>
      </c>
      <c r="CN1178" t="s">
        <v>3227</v>
      </c>
      <c r="CO1178" s="1">
        <v>43048</v>
      </c>
      <c r="CP1178" s="1">
        <v>43633</v>
      </c>
    </row>
    <row r="1179" spans="1:94" x14ac:dyDescent="0.25">
      <c r="A1179" t="s">
        <v>3767</v>
      </c>
      <c r="B1179" t="str">
        <f xml:space="preserve"> "" &amp; 747396106137</f>
        <v>747396106137</v>
      </c>
      <c r="C1179" t="s">
        <v>3808</v>
      </c>
      <c r="D1179" t="s">
        <v>3768</v>
      </c>
      <c r="E1179" t="s">
        <v>3759</v>
      </c>
      <c r="F1179" t="s">
        <v>2823</v>
      </c>
      <c r="G1179">
        <v>1</v>
      </c>
      <c r="H1179">
        <v>1</v>
      </c>
      <c r="I1179" t="s">
        <v>97</v>
      </c>
      <c r="J1179" s="10">
        <v>95</v>
      </c>
      <c r="K1179" s="10">
        <v>285</v>
      </c>
      <c r="L1179" s="10">
        <v>0</v>
      </c>
      <c r="N1179" s="10">
        <v>0</v>
      </c>
      <c r="O1179" t="s">
        <v>99</v>
      </c>
      <c r="P1179" s="10">
        <v>194.95</v>
      </c>
      <c r="S1179">
        <v>17.5</v>
      </c>
      <c r="T1179">
        <v>6.5</v>
      </c>
      <c r="U1179">
        <v>6.5</v>
      </c>
      <c r="W1179">
        <v>7.39</v>
      </c>
      <c r="X1179">
        <v>1</v>
      </c>
      <c r="Y1179">
        <v>22.25</v>
      </c>
      <c r="Z1179">
        <v>10.5</v>
      </c>
      <c r="AA1179">
        <v>10.5</v>
      </c>
      <c r="AB1179">
        <v>1.42</v>
      </c>
      <c r="AC1179">
        <v>8.93</v>
      </c>
      <c r="AE1179">
        <v>1</v>
      </c>
      <c r="AF1179" t="s">
        <v>3763</v>
      </c>
      <c r="AG1179">
        <v>60</v>
      </c>
      <c r="AK1179" t="s">
        <v>98</v>
      </c>
      <c r="AM1179" t="s">
        <v>98</v>
      </c>
      <c r="AN1179" t="s">
        <v>99</v>
      </c>
      <c r="AO1179" t="s">
        <v>98</v>
      </c>
      <c r="AP1179" t="s">
        <v>100</v>
      </c>
      <c r="AQ1179" t="s">
        <v>101</v>
      </c>
      <c r="AV1179" t="s">
        <v>98</v>
      </c>
      <c r="AX1179" t="s">
        <v>3760</v>
      </c>
      <c r="AZ1179" t="s">
        <v>102</v>
      </c>
      <c r="BB1179" t="s">
        <v>235</v>
      </c>
      <c r="BC1179" t="s">
        <v>2591</v>
      </c>
      <c r="BD1179" t="s">
        <v>7528</v>
      </c>
      <c r="BF1179" t="s">
        <v>3769</v>
      </c>
      <c r="BG1179" t="s">
        <v>98</v>
      </c>
      <c r="BH1179" t="s">
        <v>98</v>
      </c>
      <c r="BI1179" t="s">
        <v>98</v>
      </c>
      <c r="BK1179" t="s">
        <v>127</v>
      </c>
      <c r="BL1179" t="s">
        <v>7528</v>
      </c>
      <c r="BR1179">
        <v>1</v>
      </c>
      <c r="BT1179">
        <v>5.25</v>
      </c>
      <c r="CB1179" t="s">
        <v>3760</v>
      </c>
      <c r="CL1179" t="s">
        <v>99</v>
      </c>
      <c r="CM1179" t="s">
        <v>99</v>
      </c>
      <c r="CN1179" t="s">
        <v>3227</v>
      </c>
      <c r="CO1179" s="1">
        <v>43048</v>
      </c>
      <c r="CP1179" s="1">
        <v>43633</v>
      </c>
    </row>
    <row r="1180" spans="1:94" x14ac:dyDescent="0.25">
      <c r="A1180" t="s">
        <v>3770</v>
      </c>
      <c r="B1180" t="str">
        <f xml:space="preserve"> "" &amp; 747396106120</f>
        <v>747396106120</v>
      </c>
      <c r="C1180" t="s">
        <v>447</v>
      </c>
      <c r="D1180" t="s">
        <v>6848</v>
      </c>
      <c r="E1180" t="s">
        <v>3759</v>
      </c>
      <c r="F1180" t="s">
        <v>2823</v>
      </c>
      <c r="G1180">
        <v>1</v>
      </c>
      <c r="H1180">
        <v>1</v>
      </c>
      <c r="I1180" t="s">
        <v>97</v>
      </c>
      <c r="J1180" s="10">
        <v>95</v>
      </c>
      <c r="K1180" s="10">
        <v>285</v>
      </c>
      <c r="L1180" s="10">
        <v>0</v>
      </c>
      <c r="N1180" s="10">
        <v>0</v>
      </c>
      <c r="O1180" t="s">
        <v>99</v>
      </c>
      <c r="P1180" s="10">
        <v>194.95</v>
      </c>
      <c r="S1180">
        <v>20.5</v>
      </c>
      <c r="T1180">
        <v>6.5</v>
      </c>
      <c r="U1180">
        <v>6.5</v>
      </c>
      <c r="W1180">
        <v>5.84</v>
      </c>
      <c r="X1180">
        <v>1</v>
      </c>
      <c r="Y1180">
        <v>23.25</v>
      </c>
      <c r="Z1180">
        <v>10.5</v>
      </c>
      <c r="AA1180">
        <v>10.5</v>
      </c>
      <c r="AB1180">
        <v>1.4830000000000001</v>
      </c>
      <c r="AC1180">
        <v>7.72</v>
      </c>
      <c r="AE1180">
        <v>1</v>
      </c>
      <c r="AF1180" t="s">
        <v>3763</v>
      </c>
      <c r="AG1180">
        <v>60</v>
      </c>
      <c r="AK1180" t="s">
        <v>98</v>
      </c>
      <c r="AM1180" t="s">
        <v>98</v>
      </c>
      <c r="AN1180" t="s">
        <v>99</v>
      </c>
      <c r="AO1180" t="s">
        <v>98</v>
      </c>
      <c r="AP1180" t="s">
        <v>100</v>
      </c>
      <c r="AQ1180" t="s">
        <v>101</v>
      </c>
      <c r="AV1180" t="s">
        <v>98</v>
      </c>
      <c r="AX1180" t="s">
        <v>3760</v>
      </c>
      <c r="AZ1180" t="s">
        <v>102</v>
      </c>
      <c r="BB1180" t="s">
        <v>235</v>
      </c>
      <c r="BC1180" t="s">
        <v>2591</v>
      </c>
      <c r="BD1180" t="s">
        <v>7528</v>
      </c>
      <c r="BF1180" t="s">
        <v>3772</v>
      </c>
      <c r="BG1180" t="s">
        <v>98</v>
      </c>
      <c r="BH1180" t="s">
        <v>98</v>
      </c>
      <c r="BI1180" t="s">
        <v>98</v>
      </c>
      <c r="BJ1180" t="s">
        <v>99</v>
      </c>
      <c r="BK1180" t="s">
        <v>453</v>
      </c>
      <c r="BL1180" t="s">
        <v>7528</v>
      </c>
      <c r="CA1180">
        <v>72496</v>
      </c>
      <c r="CB1180" t="s">
        <v>3760</v>
      </c>
      <c r="CL1180" t="s">
        <v>99</v>
      </c>
      <c r="CM1180" t="s">
        <v>98</v>
      </c>
      <c r="CN1180" t="s">
        <v>3227</v>
      </c>
      <c r="CO1180" s="1">
        <v>43048</v>
      </c>
      <c r="CP1180" s="1">
        <v>43633</v>
      </c>
    </row>
    <row r="1181" spans="1:94" x14ac:dyDescent="0.25">
      <c r="A1181" t="s">
        <v>3773</v>
      </c>
      <c r="B1181" t="str">
        <f xml:space="preserve"> "" &amp; 747396092324</f>
        <v>747396092324</v>
      </c>
      <c r="C1181" t="s">
        <v>3332</v>
      </c>
      <c r="D1181" t="s">
        <v>3774</v>
      </c>
      <c r="E1181" t="s">
        <v>3775</v>
      </c>
      <c r="F1181" t="s">
        <v>3188</v>
      </c>
      <c r="G1181">
        <v>1</v>
      </c>
      <c r="H1181">
        <v>1</v>
      </c>
      <c r="I1181" t="s">
        <v>97</v>
      </c>
      <c r="J1181" s="10">
        <v>69</v>
      </c>
      <c r="K1181" s="10">
        <v>207</v>
      </c>
      <c r="L1181" s="10">
        <v>0</v>
      </c>
      <c r="N1181" s="10">
        <v>0</v>
      </c>
      <c r="O1181" t="s">
        <v>99</v>
      </c>
      <c r="P1181" s="10">
        <v>134.94999999999999</v>
      </c>
      <c r="S1181">
        <v>7.75</v>
      </c>
      <c r="T1181">
        <v>7.25</v>
      </c>
      <c r="U1181">
        <v>5</v>
      </c>
      <c r="V1181">
        <v>4</v>
      </c>
      <c r="W1181">
        <v>1.7</v>
      </c>
      <c r="Y1181">
        <v>11</v>
      </c>
      <c r="Z1181">
        <v>7.25</v>
      </c>
      <c r="AA1181">
        <v>6.5</v>
      </c>
      <c r="AB1181">
        <v>0.3</v>
      </c>
      <c r="AC1181">
        <v>2.14</v>
      </c>
      <c r="AE1181">
        <v>1</v>
      </c>
      <c r="AF1181" t="s">
        <v>3776</v>
      </c>
      <c r="AG1181">
        <v>13</v>
      </c>
      <c r="AK1181" t="s">
        <v>99</v>
      </c>
      <c r="AM1181" t="s">
        <v>98</v>
      </c>
      <c r="AN1181" t="s">
        <v>99</v>
      </c>
      <c r="AO1181" t="s">
        <v>98</v>
      </c>
      <c r="AP1181" t="s">
        <v>100</v>
      </c>
      <c r="AQ1181" t="s">
        <v>101</v>
      </c>
      <c r="AV1181" t="s">
        <v>98</v>
      </c>
      <c r="AX1181" t="s">
        <v>3491</v>
      </c>
      <c r="AZ1181" t="s">
        <v>392</v>
      </c>
      <c r="BB1181" t="s">
        <v>235</v>
      </c>
      <c r="BC1181" t="s">
        <v>7528</v>
      </c>
      <c r="BD1181" t="s">
        <v>7528</v>
      </c>
      <c r="BF1181" t="s">
        <v>3777</v>
      </c>
      <c r="BG1181" t="s">
        <v>99</v>
      </c>
      <c r="BH1181" t="s">
        <v>99</v>
      </c>
      <c r="BI1181" t="s">
        <v>98</v>
      </c>
      <c r="BJ1181" t="s">
        <v>99</v>
      </c>
      <c r="BK1181" t="s">
        <v>453</v>
      </c>
      <c r="BL1181" t="s">
        <v>7528</v>
      </c>
      <c r="BM1181">
        <v>5</v>
      </c>
      <c r="BN1181">
        <v>5</v>
      </c>
      <c r="CA1181">
        <v>72501</v>
      </c>
      <c r="CB1181" t="s">
        <v>3491</v>
      </c>
      <c r="CG1181">
        <v>3000</v>
      </c>
      <c r="CH1181">
        <v>92</v>
      </c>
      <c r="CI1181">
        <v>727.8</v>
      </c>
      <c r="CJ1181">
        <v>463.6</v>
      </c>
      <c r="CK1181">
        <v>30000</v>
      </c>
      <c r="CL1181" t="s">
        <v>99</v>
      </c>
      <c r="CM1181" t="s">
        <v>98</v>
      </c>
      <c r="CN1181" t="s">
        <v>3227</v>
      </c>
      <c r="CO1181" s="1">
        <v>41783</v>
      </c>
      <c r="CP1181" s="1">
        <v>43633</v>
      </c>
    </row>
    <row r="1182" spans="1:94" x14ac:dyDescent="0.25">
      <c r="A1182" t="s">
        <v>3778</v>
      </c>
      <c r="B1182" t="str">
        <f xml:space="preserve"> "" &amp; 747396092287</f>
        <v>747396092287</v>
      </c>
      <c r="C1182" t="s">
        <v>1577</v>
      </c>
      <c r="D1182" t="s">
        <v>3779</v>
      </c>
      <c r="E1182" t="s">
        <v>3775</v>
      </c>
      <c r="F1182" t="s">
        <v>2823</v>
      </c>
      <c r="G1182">
        <v>1</v>
      </c>
      <c r="H1182">
        <v>1</v>
      </c>
      <c r="I1182" t="s">
        <v>97</v>
      </c>
      <c r="J1182" s="10">
        <v>44</v>
      </c>
      <c r="K1182" s="10">
        <v>132</v>
      </c>
      <c r="L1182" s="10">
        <v>0</v>
      </c>
      <c r="N1182" s="10">
        <v>0</v>
      </c>
      <c r="O1182" t="s">
        <v>99</v>
      </c>
      <c r="P1182" s="10">
        <v>89.95</v>
      </c>
      <c r="S1182">
        <v>7.75</v>
      </c>
      <c r="U1182">
        <v>5</v>
      </c>
      <c r="V1182">
        <v>6.75</v>
      </c>
      <c r="W1182">
        <v>1.98</v>
      </c>
      <c r="Y1182">
        <v>11</v>
      </c>
      <c r="Z1182">
        <v>9</v>
      </c>
      <c r="AA1182">
        <v>7.75</v>
      </c>
      <c r="AB1182">
        <v>0.44400000000000001</v>
      </c>
      <c r="AC1182">
        <v>2.65</v>
      </c>
      <c r="AE1182">
        <v>1</v>
      </c>
      <c r="AF1182" t="s">
        <v>7547</v>
      </c>
      <c r="AG1182">
        <v>26</v>
      </c>
      <c r="AK1182" t="s">
        <v>99</v>
      </c>
      <c r="AM1182" t="s">
        <v>98</v>
      </c>
      <c r="AN1182" t="s">
        <v>99</v>
      </c>
      <c r="AO1182" t="s">
        <v>98</v>
      </c>
      <c r="AP1182" t="s">
        <v>100</v>
      </c>
      <c r="AQ1182" t="s">
        <v>101</v>
      </c>
      <c r="AV1182" t="s">
        <v>98</v>
      </c>
      <c r="AX1182" t="s">
        <v>3491</v>
      </c>
      <c r="AZ1182" t="s">
        <v>392</v>
      </c>
      <c r="BB1182" t="s">
        <v>7528</v>
      </c>
      <c r="BC1182" t="s">
        <v>7528</v>
      </c>
      <c r="BD1182" t="s">
        <v>7528</v>
      </c>
      <c r="BF1182" t="s">
        <v>3780</v>
      </c>
      <c r="BG1182" t="s">
        <v>99</v>
      </c>
      <c r="BH1182" t="s">
        <v>98</v>
      </c>
      <c r="BI1182" t="s">
        <v>99</v>
      </c>
      <c r="BJ1182" t="s">
        <v>99</v>
      </c>
      <c r="BK1182" t="s">
        <v>453</v>
      </c>
      <c r="BL1182" t="s">
        <v>7528</v>
      </c>
      <c r="BM1182">
        <v>5</v>
      </c>
      <c r="BN1182">
        <v>7</v>
      </c>
      <c r="CA1182">
        <v>72501</v>
      </c>
      <c r="CB1182" t="s">
        <v>3491</v>
      </c>
      <c r="CL1182" t="s">
        <v>98</v>
      </c>
      <c r="CM1182" t="s">
        <v>98</v>
      </c>
      <c r="CN1182" t="s">
        <v>3227</v>
      </c>
      <c r="CO1182" s="1">
        <v>41771</v>
      </c>
      <c r="CP1182" s="1">
        <v>43633</v>
      </c>
    </row>
    <row r="1183" spans="1:94" x14ac:dyDescent="0.25">
      <c r="A1183" t="s">
        <v>3781</v>
      </c>
      <c r="B1183" t="str">
        <f xml:space="preserve"> "" &amp; 747396092317</f>
        <v>747396092317</v>
      </c>
      <c r="C1183" t="s">
        <v>3332</v>
      </c>
      <c r="D1183" t="s">
        <v>3774</v>
      </c>
      <c r="E1183" t="s">
        <v>3775</v>
      </c>
      <c r="F1183" t="s">
        <v>3188</v>
      </c>
      <c r="G1183">
        <v>1</v>
      </c>
      <c r="H1183">
        <v>1</v>
      </c>
      <c r="I1183" t="s">
        <v>97</v>
      </c>
      <c r="J1183" s="10">
        <v>69</v>
      </c>
      <c r="K1183" s="10">
        <v>207</v>
      </c>
      <c r="L1183" s="10">
        <v>0</v>
      </c>
      <c r="N1183" s="10">
        <v>0</v>
      </c>
      <c r="O1183" t="s">
        <v>99</v>
      </c>
      <c r="P1183" s="10">
        <v>134.94999999999999</v>
      </c>
      <c r="S1183">
        <v>7.75</v>
      </c>
      <c r="T1183">
        <v>7.25</v>
      </c>
      <c r="U1183">
        <v>5</v>
      </c>
      <c r="V1183">
        <v>4</v>
      </c>
      <c r="W1183">
        <v>1.7</v>
      </c>
      <c r="Y1183">
        <v>11</v>
      </c>
      <c r="Z1183">
        <v>7.25</v>
      </c>
      <c r="AA1183">
        <v>6.5</v>
      </c>
      <c r="AB1183">
        <v>0.3</v>
      </c>
      <c r="AC1183">
        <v>2.14</v>
      </c>
      <c r="AE1183">
        <v>1</v>
      </c>
      <c r="AF1183" t="s">
        <v>3776</v>
      </c>
      <c r="AG1183">
        <v>13</v>
      </c>
      <c r="AK1183" t="s">
        <v>99</v>
      </c>
      <c r="AM1183" t="s">
        <v>98</v>
      </c>
      <c r="AN1183" t="s">
        <v>99</v>
      </c>
      <c r="AO1183" t="s">
        <v>98</v>
      </c>
      <c r="AP1183" t="s">
        <v>100</v>
      </c>
      <c r="AQ1183" t="s">
        <v>101</v>
      </c>
      <c r="AV1183" t="s">
        <v>98</v>
      </c>
      <c r="AX1183" t="s">
        <v>3200</v>
      </c>
      <c r="AZ1183" t="s">
        <v>392</v>
      </c>
      <c r="BB1183" t="s">
        <v>235</v>
      </c>
      <c r="BC1183" t="s">
        <v>7528</v>
      </c>
      <c r="BD1183" t="s">
        <v>7528</v>
      </c>
      <c r="BF1183" t="s">
        <v>3782</v>
      </c>
      <c r="BG1183" t="s">
        <v>99</v>
      </c>
      <c r="BH1183" t="s">
        <v>99</v>
      </c>
      <c r="BI1183" t="s">
        <v>98</v>
      </c>
      <c r="BJ1183" t="s">
        <v>99</v>
      </c>
      <c r="BK1183" t="s">
        <v>453</v>
      </c>
      <c r="BL1183" t="s">
        <v>7528</v>
      </c>
      <c r="BM1183">
        <v>5</v>
      </c>
      <c r="BN1183">
        <v>5</v>
      </c>
      <c r="CA1183">
        <v>72501</v>
      </c>
      <c r="CB1183" t="s">
        <v>3200</v>
      </c>
      <c r="CG1183">
        <v>3000</v>
      </c>
      <c r="CH1183">
        <v>92</v>
      </c>
      <c r="CI1183">
        <v>727.8</v>
      </c>
      <c r="CJ1183">
        <v>463.6</v>
      </c>
      <c r="CK1183">
        <v>30000</v>
      </c>
      <c r="CL1183" t="s">
        <v>99</v>
      </c>
      <c r="CM1183" t="s">
        <v>98</v>
      </c>
      <c r="CN1183" t="s">
        <v>3227</v>
      </c>
      <c r="CO1183" s="1">
        <v>41783</v>
      </c>
      <c r="CP1183" s="1">
        <v>43633</v>
      </c>
    </row>
    <row r="1184" spans="1:94" x14ac:dyDescent="0.25">
      <c r="A1184" t="s">
        <v>3783</v>
      </c>
      <c r="B1184" t="str">
        <f xml:space="preserve"> "" &amp; 747396092270</f>
        <v>747396092270</v>
      </c>
      <c r="C1184" t="s">
        <v>1577</v>
      </c>
      <c r="D1184" t="s">
        <v>3779</v>
      </c>
      <c r="E1184" t="s">
        <v>3775</v>
      </c>
      <c r="F1184" t="s">
        <v>2823</v>
      </c>
      <c r="G1184">
        <v>1</v>
      </c>
      <c r="H1184">
        <v>1</v>
      </c>
      <c r="I1184" t="s">
        <v>97</v>
      </c>
      <c r="J1184" s="10">
        <v>44</v>
      </c>
      <c r="K1184" s="10">
        <v>132</v>
      </c>
      <c r="L1184" s="10">
        <v>0</v>
      </c>
      <c r="N1184" s="10">
        <v>0</v>
      </c>
      <c r="O1184" t="s">
        <v>99</v>
      </c>
      <c r="P1184" s="10">
        <v>89.95</v>
      </c>
      <c r="S1184">
        <v>7.5</v>
      </c>
      <c r="U1184">
        <v>5</v>
      </c>
      <c r="V1184">
        <v>6.75</v>
      </c>
      <c r="W1184">
        <v>1.98</v>
      </c>
      <c r="Y1184">
        <v>11</v>
      </c>
      <c r="Z1184">
        <v>9</v>
      </c>
      <c r="AA1184">
        <v>7.75</v>
      </c>
      <c r="AB1184">
        <v>0.44400000000000001</v>
      </c>
      <c r="AC1184">
        <v>2.65</v>
      </c>
      <c r="AE1184">
        <v>1</v>
      </c>
      <c r="AF1184" t="s">
        <v>7547</v>
      </c>
      <c r="AG1184">
        <v>26</v>
      </c>
      <c r="AK1184" t="s">
        <v>99</v>
      </c>
      <c r="AM1184" t="s">
        <v>98</v>
      </c>
      <c r="AN1184" t="s">
        <v>99</v>
      </c>
      <c r="AO1184" t="s">
        <v>98</v>
      </c>
      <c r="AP1184" t="s">
        <v>100</v>
      </c>
      <c r="AQ1184" t="s">
        <v>101</v>
      </c>
      <c r="AV1184" t="s">
        <v>98</v>
      </c>
      <c r="AX1184" t="s">
        <v>1918</v>
      </c>
      <c r="AZ1184" t="s">
        <v>392</v>
      </c>
      <c r="BB1184" t="s">
        <v>7528</v>
      </c>
      <c r="BC1184" t="s">
        <v>7528</v>
      </c>
      <c r="BD1184" t="s">
        <v>7528</v>
      </c>
      <c r="BF1184" t="s">
        <v>3784</v>
      </c>
      <c r="BG1184" t="s">
        <v>99</v>
      </c>
      <c r="BH1184" t="s">
        <v>98</v>
      </c>
      <c r="BI1184" t="s">
        <v>98</v>
      </c>
      <c r="BJ1184" t="s">
        <v>99</v>
      </c>
      <c r="BK1184" t="s">
        <v>453</v>
      </c>
      <c r="BL1184" t="s">
        <v>7528</v>
      </c>
      <c r="BM1184">
        <v>5</v>
      </c>
      <c r="BN1184">
        <v>7</v>
      </c>
      <c r="CA1184">
        <v>72501</v>
      </c>
      <c r="CB1184" t="s">
        <v>1918</v>
      </c>
      <c r="CL1184" t="s">
        <v>98</v>
      </c>
      <c r="CM1184" t="s">
        <v>98</v>
      </c>
      <c r="CN1184" t="s">
        <v>3227</v>
      </c>
      <c r="CO1184" s="1">
        <v>41771</v>
      </c>
      <c r="CP1184" s="1">
        <v>43633</v>
      </c>
    </row>
    <row r="1185" spans="1:94" x14ac:dyDescent="0.25">
      <c r="A1185" t="s">
        <v>3785</v>
      </c>
      <c r="B1185" t="str">
        <f xml:space="preserve"> "" &amp; 747396092348</f>
        <v>747396092348</v>
      </c>
      <c r="C1185" t="s">
        <v>3786</v>
      </c>
      <c r="D1185" t="s">
        <v>3774</v>
      </c>
      <c r="E1185" t="s">
        <v>3775</v>
      </c>
      <c r="F1185" t="s">
        <v>3188</v>
      </c>
      <c r="G1185">
        <v>1</v>
      </c>
      <c r="H1185">
        <v>1</v>
      </c>
      <c r="I1185" t="s">
        <v>97</v>
      </c>
      <c r="J1185" s="10">
        <v>98</v>
      </c>
      <c r="K1185" s="10">
        <v>294</v>
      </c>
      <c r="L1185" s="10">
        <v>0</v>
      </c>
      <c r="N1185" s="10">
        <v>0</v>
      </c>
      <c r="O1185" t="s">
        <v>99</v>
      </c>
      <c r="P1185" s="10">
        <v>194.95</v>
      </c>
      <c r="S1185">
        <v>14.5</v>
      </c>
      <c r="T1185">
        <v>7.25</v>
      </c>
      <c r="U1185">
        <v>5</v>
      </c>
      <c r="V1185">
        <v>4</v>
      </c>
      <c r="W1185">
        <v>2.8</v>
      </c>
      <c r="Y1185">
        <v>17</v>
      </c>
      <c r="Z1185">
        <v>7.25</v>
      </c>
      <c r="AA1185">
        <v>6.5</v>
      </c>
      <c r="AB1185">
        <v>0.46400000000000002</v>
      </c>
      <c r="AC1185">
        <v>3.7</v>
      </c>
      <c r="AE1185">
        <v>2</v>
      </c>
      <c r="AF1185" t="s">
        <v>3776</v>
      </c>
      <c r="AG1185">
        <v>13</v>
      </c>
      <c r="AK1185" t="s">
        <v>99</v>
      </c>
      <c r="AM1185" t="s">
        <v>98</v>
      </c>
      <c r="AN1185" t="s">
        <v>99</v>
      </c>
      <c r="AO1185" t="s">
        <v>98</v>
      </c>
      <c r="AP1185" t="s">
        <v>100</v>
      </c>
      <c r="AQ1185" t="s">
        <v>101</v>
      </c>
      <c r="AV1185" t="s">
        <v>98</v>
      </c>
      <c r="AX1185" t="s">
        <v>3491</v>
      </c>
      <c r="AZ1185" t="s">
        <v>392</v>
      </c>
      <c r="BB1185" t="s">
        <v>235</v>
      </c>
      <c r="BC1185" t="s">
        <v>7528</v>
      </c>
      <c r="BD1185" t="s">
        <v>7528</v>
      </c>
      <c r="BF1185" t="s">
        <v>3787</v>
      </c>
      <c r="BG1185" t="s">
        <v>98</v>
      </c>
      <c r="BH1185" t="s">
        <v>99</v>
      </c>
      <c r="BI1185" t="s">
        <v>98</v>
      </c>
      <c r="BJ1185" t="s">
        <v>99</v>
      </c>
      <c r="BK1185" t="s">
        <v>453</v>
      </c>
      <c r="BL1185" t="s">
        <v>7528</v>
      </c>
      <c r="BM1185">
        <v>5</v>
      </c>
      <c r="BN1185">
        <v>5</v>
      </c>
      <c r="CA1185" t="s">
        <v>3788</v>
      </c>
      <c r="CB1185" t="s">
        <v>3491</v>
      </c>
      <c r="CG1185">
        <v>3000</v>
      </c>
      <c r="CH1185">
        <v>92</v>
      </c>
      <c r="CI1185">
        <v>1582.1</v>
      </c>
      <c r="CJ1185">
        <v>990.8</v>
      </c>
      <c r="CK1185">
        <v>30000</v>
      </c>
      <c r="CL1185" t="s">
        <v>99</v>
      </c>
      <c r="CM1185" t="s">
        <v>98</v>
      </c>
      <c r="CN1185" t="s">
        <v>3227</v>
      </c>
      <c r="CO1185" s="1">
        <v>41783</v>
      </c>
      <c r="CP1185" s="1">
        <v>43633</v>
      </c>
    </row>
    <row r="1186" spans="1:94" x14ac:dyDescent="0.25">
      <c r="A1186" t="s">
        <v>3789</v>
      </c>
      <c r="B1186" t="str">
        <f xml:space="preserve"> "" &amp; 747396092300</f>
        <v>747396092300</v>
      </c>
      <c r="C1186" t="s">
        <v>1550</v>
      </c>
      <c r="D1186" t="s">
        <v>3790</v>
      </c>
      <c r="E1186" t="s">
        <v>3775</v>
      </c>
      <c r="F1186" t="s">
        <v>2823</v>
      </c>
      <c r="G1186">
        <v>1</v>
      </c>
      <c r="H1186">
        <v>1</v>
      </c>
      <c r="I1186" t="s">
        <v>97</v>
      </c>
      <c r="J1186" s="10">
        <v>68</v>
      </c>
      <c r="K1186" s="10">
        <v>204</v>
      </c>
      <c r="L1186" s="10">
        <v>0</v>
      </c>
      <c r="N1186" s="10">
        <v>0</v>
      </c>
      <c r="O1186" t="s">
        <v>99</v>
      </c>
      <c r="P1186" s="10">
        <v>134.94999999999999</v>
      </c>
      <c r="S1186">
        <v>14.5</v>
      </c>
      <c r="U1186">
        <v>5</v>
      </c>
      <c r="V1186">
        <v>6.75</v>
      </c>
      <c r="W1186">
        <v>3.4</v>
      </c>
      <c r="Y1186">
        <v>18</v>
      </c>
      <c r="Z1186">
        <v>10.75</v>
      </c>
      <c r="AA1186">
        <v>8.25</v>
      </c>
      <c r="AB1186">
        <v>0.92400000000000004</v>
      </c>
      <c r="AC1186">
        <v>4.6100000000000003</v>
      </c>
      <c r="AE1186">
        <v>2</v>
      </c>
      <c r="AF1186" t="s">
        <v>7547</v>
      </c>
      <c r="AG1186">
        <v>26</v>
      </c>
      <c r="AK1186" t="s">
        <v>99</v>
      </c>
      <c r="AM1186" t="s">
        <v>98</v>
      </c>
      <c r="AN1186" t="s">
        <v>99</v>
      </c>
      <c r="AO1186" t="s">
        <v>98</v>
      </c>
      <c r="AP1186" t="s">
        <v>100</v>
      </c>
      <c r="AQ1186" t="s">
        <v>101</v>
      </c>
      <c r="AV1186" t="s">
        <v>98</v>
      </c>
      <c r="AX1186" t="s">
        <v>3491</v>
      </c>
      <c r="AZ1186" t="s">
        <v>392</v>
      </c>
      <c r="BB1186" t="s">
        <v>235</v>
      </c>
      <c r="BC1186" t="s">
        <v>746</v>
      </c>
      <c r="BD1186" t="s">
        <v>7528</v>
      </c>
      <c r="BF1186" t="s">
        <v>3791</v>
      </c>
      <c r="BG1186" t="s">
        <v>98</v>
      </c>
      <c r="BH1186" t="s">
        <v>98</v>
      </c>
      <c r="BI1186" t="s">
        <v>99</v>
      </c>
      <c r="BJ1186" t="s">
        <v>99</v>
      </c>
      <c r="BK1186" t="s">
        <v>453</v>
      </c>
      <c r="BL1186" t="s">
        <v>7528</v>
      </c>
      <c r="BR1186">
        <v>7</v>
      </c>
      <c r="BT1186">
        <v>5</v>
      </c>
      <c r="CA1186">
        <v>72502</v>
      </c>
      <c r="CB1186" t="s">
        <v>3491</v>
      </c>
      <c r="CL1186" t="s">
        <v>98</v>
      </c>
      <c r="CM1186" t="s">
        <v>98</v>
      </c>
      <c r="CN1186" t="s">
        <v>3227</v>
      </c>
      <c r="CO1186" s="1">
        <v>41771</v>
      </c>
      <c r="CP1186" s="1">
        <v>43633</v>
      </c>
    </row>
    <row r="1187" spans="1:94" x14ac:dyDescent="0.25">
      <c r="A1187" t="s">
        <v>3792</v>
      </c>
      <c r="B1187" t="str">
        <f xml:space="preserve"> "" &amp; 747396092331</f>
        <v>747396092331</v>
      </c>
      <c r="C1187" t="s">
        <v>3786</v>
      </c>
      <c r="D1187" t="s">
        <v>3774</v>
      </c>
      <c r="E1187" t="s">
        <v>3775</v>
      </c>
      <c r="F1187" t="s">
        <v>3188</v>
      </c>
      <c r="G1187">
        <v>1</v>
      </c>
      <c r="H1187">
        <v>1</v>
      </c>
      <c r="I1187" t="s">
        <v>97</v>
      </c>
      <c r="J1187" s="10">
        <v>98</v>
      </c>
      <c r="K1187" s="10">
        <v>294</v>
      </c>
      <c r="L1187" s="10">
        <v>0</v>
      </c>
      <c r="N1187" s="10">
        <v>0</v>
      </c>
      <c r="O1187" t="s">
        <v>99</v>
      </c>
      <c r="P1187" s="10">
        <v>194.95</v>
      </c>
      <c r="S1187">
        <v>14.5</v>
      </c>
      <c r="T1187">
        <v>7.25</v>
      </c>
      <c r="U1187">
        <v>5</v>
      </c>
      <c r="V1187">
        <v>4</v>
      </c>
      <c r="W1187">
        <v>2.8</v>
      </c>
      <c r="Y1187">
        <v>17</v>
      </c>
      <c r="Z1187">
        <v>7.25</v>
      </c>
      <c r="AA1187">
        <v>6.5</v>
      </c>
      <c r="AB1187">
        <v>0.46400000000000002</v>
      </c>
      <c r="AC1187">
        <v>3.7</v>
      </c>
      <c r="AE1187">
        <v>2</v>
      </c>
      <c r="AF1187" t="s">
        <v>3776</v>
      </c>
      <c r="AG1187">
        <v>13</v>
      </c>
      <c r="AK1187" t="s">
        <v>99</v>
      </c>
      <c r="AM1187" t="s">
        <v>98</v>
      </c>
      <c r="AN1187" t="s">
        <v>99</v>
      </c>
      <c r="AO1187" t="s">
        <v>98</v>
      </c>
      <c r="AP1187" t="s">
        <v>100</v>
      </c>
      <c r="AQ1187" t="s">
        <v>101</v>
      </c>
      <c r="AV1187" t="s">
        <v>98</v>
      </c>
      <c r="AX1187" t="s">
        <v>3200</v>
      </c>
      <c r="AZ1187" t="s">
        <v>392</v>
      </c>
      <c r="BB1187" t="s">
        <v>235</v>
      </c>
      <c r="BC1187" t="s">
        <v>7528</v>
      </c>
      <c r="BD1187" t="s">
        <v>7528</v>
      </c>
      <c r="BF1187" t="s">
        <v>3793</v>
      </c>
      <c r="BG1187" t="s">
        <v>98</v>
      </c>
      <c r="BH1187" t="s">
        <v>99</v>
      </c>
      <c r="BI1187" t="s">
        <v>98</v>
      </c>
      <c r="BJ1187" t="s">
        <v>99</v>
      </c>
      <c r="BK1187" t="s">
        <v>453</v>
      </c>
      <c r="BL1187" t="s">
        <v>7528</v>
      </c>
      <c r="BM1187">
        <v>5</v>
      </c>
      <c r="BN1187">
        <v>5</v>
      </c>
      <c r="CA1187" t="s">
        <v>3788</v>
      </c>
      <c r="CB1187" t="s">
        <v>3200</v>
      </c>
      <c r="CG1187">
        <v>3000</v>
      </c>
      <c r="CH1187">
        <v>92</v>
      </c>
      <c r="CI1187">
        <v>1582.1</v>
      </c>
      <c r="CJ1187">
        <v>990.8</v>
      </c>
      <c r="CK1187">
        <v>30000</v>
      </c>
      <c r="CL1187" t="s">
        <v>99</v>
      </c>
      <c r="CM1187" t="s">
        <v>98</v>
      </c>
      <c r="CN1187" t="s">
        <v>3227</v>
      </c>
      <c r="CO1187" s="1">
        <v>41783</v>
      </c>
      <c r="CP1187" s="1">
        <v>43633</v>
      </c>
    </row>
    <row r="1188" spans="1:94" x14ac:dyDescent="0.25">
      <c r="A1188" t="s">
        <v>3794</v>
      </c>
      <c r="B1188" t="str">
        <f xml:space="preserve"> "" &amp; 747396092294</f>
        <v>747396092294</v>
      </c>
      <c r="C1188" t="s">
        <v>1550</v>
      </c>
      <c r="D1188" t="s">
        <v>3790</v>
      </c>
      <c r="E1188" t="s">
        <v>3775</v>
      </c>
      <c r="F1188" t="s">
        <v>2823</v>
      </c>
      <c r="G1188">
        <v>1</v>
      </c>
      <c r="H1188">
        <v>1</v>
      </c>
      <c r="I1188" t="s">
        <v>97</v>
      </c>
      <c r="J1188" s="10">
        <v>68</v>
      </c>
      <c r="K1188" s="10">
        <v>204</v>
      </c>
      <c r="L1188" s="10">
        <v>0</v>
      </c>
      <c r="N1188" s="10">
        <v>0</v>
      </c>
      <c r="O1188" t="s">
        <v>99</v>
      </c>
      <c r="P1188" s="10">
        <v>134.94999999999999</v>
      </c>
      <c r="S1188">
        <v>14.5</v>
      </c>
      <c r="U1188">
        <v>5</v>
      </c>
      <c r="V1188">
        <v>6.75</v>
      </c>
      <c r="W1188">
        <v>3.4</v>
      </c>
      <c r="Y1188">
        <v>18</v>
      </c>
      <c r="Z1188">
        <v>10.75</v>
      </c>
      <c r="AA1188">
        <v>8.25</v>
      </c>
      <c r="AB1188">
        <v>0.92400000000000004</v>
      </c>
      <c r="AC1188">
        <v>4.6100000000000003</v>
      </c>
      <c r="AE1188">
        <v>2</v>
      </c>
      <c r="AF1188" t="s">
        <v>7547</v>
      </c>
      <c r="AG1188">
        <v>26</v>
      </c>
      <c r="AK1188" t="s">
        <v>99</v>
      </c>
      <c r="AM1188" t="s">
        <v>98</v>
      </c>
      <c r="AN1188" t="s">
        <v>99</v>
      </c>
      <c r="AO1188" t="s">
        <v>98</v>
      </c>
      <c r="AP1188" t="s">
        <v>100</v>
      </c>
      <c r="AQ1188" t="s">
        <v>101</v>
      </c>
      <c r="AV1188" t="s">
        <v>98</v>
      </c>
      <c r="AX1188" t="s">
        <v>1918</v>
      </c>
      <c r="AZ1188" t="s">
        <v>392</v>
      </c>
      <c r="BB1188" t="s">
        <v>235</v>
      </c>
      <c r="BC1188" t="s">
        <v>746</v>
      </c>
      <c r="BD1188" t="s">
        <v>7528</v>
      </c>
      <c r="BF1188" t="s">
        <v>3795</v>
      </c>
      <c r="BG1188" t="s">
        <v>98</v>
      </c>
      <c r="BH1188" t="s">
        <v>98</v>
      </c>
      <c r="BI1188" t="s">
        <v>99</v>
      </c>
      <c r="BJ1188" t="s">
        <v>99</v>
      </c>
      <c r="BK1188" t="s">
        <v>453</v>
      </c>
      <c r="BL1188" t="s">
        <v>7528</v>
      </c>
      <c r="BR1188">
        <v>7</v>
      </c>
      <c r="BT1188">
        <v>5</v>
      </c>
      <c r="CA1188">
        <v>72502</v>
      </c>
      <c r="CB1188" t="s">
        <v>1918</v>
      </c>
      <c r="CL1188" t="s">
        <v>98</v>
      </c>
      <c r="CM1188" t="s">
        <v>98</v>
      </c>
      <c r="CN1188" t="s">
        <v>3227</v>
      </c>
      <c r="CO1188" s="1">
        <v>41771</v>
      </c>
      <c r="CP1188" s="1">
        <v>43633</v>
      </c>
    </row>
    <row r="1189" spans="1:94" x14ac:dyDescent="0.25">
      <c r="A1189" t="s">
        <v>3796</v>
      </c>
      <c r="B1189" t="str">
        <f xml:space="preserve"> "" &amp; 747396097558</f>
        <v>747396097558</v>
      </c>
      <c r="C1189" t="s">
        <v>3797</v>
      </c>
      <c r="D1189" t="s">
        <v>3798</v>
      </c>
      <c r="E1189" t="s">
        <v>3799</v>
      </c>
      <c r="F1189" t="s">
        <v>2823</v>
      </c>
      <c r="G1189">
        <v>1</v>
      </c>
      <c r="H1189">
        <v>1</v>
      </c>
      <c r="I1189" t="s">
        <v>97</v>
      </c>
      <c r="J1189" s="10">
        <v>44</v>
      </c>
      <c r="K1189" s="10">
        <v>132</v>
      </c>
      <c r="L1189" s="10">
        <v>0</v>
      </c>
      <c r="N1189" s="10">
        <v>0</v>
      </c>
      <c r="O1189" t="s">
        <v>99</v>
      </c>
      <c r="P1189" s="10">
        <v>79.95</v>
      </c>
      <c r="S1189">
        <v>11.25</v>
      </c>
      <c r="U1189">
        <v>6.5</v>
      </c>
      <c r="V1189">
        <v>7.5</v>
      </c>
      <c r="W1189">
        <v>2.4900000000000002</v>
      </c>
      <c r="Y1189">
        <v>14</v>
      </c>
      <c r="Z1189">
        <v>10</v>
      </c>
      <c r="AA1189">
        <v>9</v>
      </c>
      <c r="AB1189">
        <v>0.72899999999999998</v>
      </c>
      <c r="AC1189">
        <v>3.46</v>
      </c>
      <c r="AE1189">
        <v>1</v>
      </c>
      <c r="AF1189" t="s">
        <v>282</v>
      </c>
      <c r="AG1189">
        <v>60</v>
      </c>
      <c r="AK1189" t="s">
        <v>98</v>
      </c>
      <c r="AM1189" t="s">
        <v>98</v>
      </c>
      <c r="AN1189" t="s">
        <v>99</v>
      </c>
      <c r="AO1189" t="s">
        <v>98</v>
      </c>
      <c r="AP1189" t="s">
        <v>100</v>
      </c>
      <c r="AQ1189" t="s">
        <v>101</v>
      </c>
      <c r="AV1189" t="s">
        <v>98</v>
      </c>
      <c r="AX1189" t="s">
        <v>3575</v>
      </c>
      <c r="AZ1189" t="s">
        <v>124</v>
      </c>
      <c r="BB1189" t="s">
        <v>235</v>
      </c>
      <c r="BC1189" t="s">
        <v>2607</v>
      </c>
      <c r="BD1189" t="s">
        <v>7528</v>
      </c>
      <c r="BF1189" t="s">
        <v>3800</v>
      </c>
      <c r="BG1189" t="s">
        <v>98</v>
      </c>
      <c r="BH1189" t="s">
        <v>98</v>
      </c>
      <c r="BI1189" t="s">
        <v>98</v>
      </c>
      <c r="BJ1189" t="s">
        <v>99</v>
      </c>
      <c r="BK1189" t="s">
        <v>453</v>
      </c>
      <c r="BL1189" t="s">
        <v>128</v>
      </c>
      <c r="BM1189">
        <v>5</v>
      </c>
      <c r="BN1189">
        <v>8</v>
      </c>
      <c r="CA1189">
        <v>72521</v>
      </c>
      <c r="CB1189" t="s">
        <v>3575</v>
      </c>
      <c r="CL1189" t="s">
        <v>99</v>
      </c>
      <c r="CM1189" t="s">
        <v>99</v>
      </c>
      <c r="CN1189" t="s">
        <v>3236</v>
      </c>
      <c r="CO1189" s="1">
        <v>42364</v>
      </c>
      <c r="CP1189" s="1">
        <v>43633</v>
      </c>
    </row>
    <row r="1190" spans="1:94" x14ac:dyDescent="0.25">
      <c r="A1190" t="s">
        <v>3801</v>
      </c>
      <c r="B1190" t="str">
        <f xml:space="preserve"> "" &amp; 747396097565</f>
        <v>747396097565</v>
      </c>
      <c r="C1190" t="s">
        <v>3802</v>
      </c>
      <c r="D1190" t="s">
        <v>3803</v>
      </c>
      <c r="E1190" t="s">
        <v>3799</v>
      </c>
      <c r="F1190" t="s">
        <v>2823</v>
      </c>
      <c r="G1190">
        <v>1</v>
      </c>
      <c r="H1190">
        <v>1</v>
      </c>
      <c r="I1190" t="s">
        <v>97</v>
      </c>
      <c r="J1190" s="10">
        <v>89</v>
      </c>
      <c r="K1190" s="10">
        <v>267</v>
      </c>
      <c r="L1190" s="10">
        <v>0</v>
      </c>
      <c r="N1190" s="10">
        <v>0</v>
      </c>
      <c r="O1190" t="s">
        <v>99</v>
      </c>
      <c r="P1190" s="10">
        <v>159.94999999999999</v>
      </c>
      <c r="S1190">
        <v>17.25</v>
      </c>
      <c r="U1190">
        <v>8.5</v>
      </c>
      <c r="V1190">
        <v>10</v>
      </c>
      <c r="W1190">
        <v>5.84</v>
      </c>
      <c r="Y1190">
        <v>20.13</v>
      </c>
      <c r="Z1190">
        <v>12.75</v>
      </c>
      <c r="AA1190">
        <v>11.5</v>
      </c>
      <c r="AB1190">
        <v>1.708</v>
      </c>
      <c r="AC1190">
        <v>7.61</v>
      </c>
      <c r="AE1190">
        <v>4</v>
      </c>
      <c r="AF1190" t="s">
        <v>519</v>
      </c>
      <c r="AG1190">
        <v>60</v>
      </c>
      <c r="AK1190" t="s">
        <v>98</v>
      </c>
      <c r="AM1190" t="s">
        <v>98</v>
      </c>
      <c r="AN1190" t="s">
        <v>99</v>
      </c>
      <c r="AO1190" t="s">
        <v>98</v>
      </c>
      <c r="AP1190" t="s">
        <v>100</v>
      </c>
      <c r="AQ1190" t="s">
        <v>101</v>
      </c>
      <c r="AV1190" t="s">
        <v>98</v>
      </c>
      <c r="AX1190" t="s">
        <v>3575</v>
      </c>
      <c r="AZ1190" t="s">
        <v>124</v>
      </c>
      <c r="BB1190" t="s">
        <v>235</v>
      </c>
      <c r="BC1190" t="s">
        <v>2607</v>
      </c>
      <c r="BD1190" t="s">
        <v>7528</v>
      </c>
      <c r="BF1190" t="s">
        <v>3804</v>
      </c>
      <c r="BG1190" t="s">
        <v>98</v>
      </c>
      <c r="BH1190" t="s">
        <v>98</v>
      </c>
      <c r="BI1190" t="s">
        <v>98</v>
      </c>
      <c r="BJ1190" t="s">
        <v>99</v>
      </c>
      <c r="BK1190" t="s">
        <v>453</v>
      </c>
      <c r="BL1190" t="s">
        <v>128</v>
      </c>
      <c r="BM1190">
        <v>5.5</v>
      </c>
      <c r="BN1190">
        <v>9.5</v>
      </c>
      <c r="CA1190">
        <v>72522</v>
      </c>
      <c r="CB1190" t="s">
        <v>3575</v>
      </c>
      <c r="CL1190" t="s">
        <v>99</v>
      </c>
      <c r="CM1190" t="s">
        <v>98</v>
      </c>
      <c r="CN1190" t="s">
        <v>3236</v>
      </c>
      <c r="CO1190" s="1">
        <v>42364</v>
      </c>
      <c r="CP1190" s="1">
        <v>43633</v>
      </c>
    </row>
    <row r="1191" spans="1:94" x14ac:dyDescent="0.25">
      <c r="A1191" t="s">
        <v>3805</v>
      </c>
      <c r="B1191" t="str">
        <f xml:space="preserve"> "" &amp; 747396097572</f>
        <v>747396097572</v>
      </c>
      <c r="C1191" t="s">
        <v>3199</v>
      </c>
      <c r="D1191" t="s">
        <v>3803</v>
      </c>
      <c r="E1191" t="s">
        <v>3799</v>
      </c>
      <c r="F1191" t="s">
        <v>2823</v>
      </c>
      <c r="G1191">
        <v>1</v>
      </c>
      <c r="H1191">
        <v>1</v>
      </c>
      <c r="I1191" t="s">
        <v>97</v>
      </c>
      <c r="J1191" s="10">
        <v>99</v>
      </c>
      <c r="K1191" s="10">
        <v>297</v>
      </c>
      <c r="L1191" s="10">
        <v>0</v>
      </c>
      <c r="N1191" s="10">
        <v>0</v>
      </c>
      <c r="O1191" t="s">
        <v>99</v>
      </c>
      <c r="P1191" s="10">
        <v>179.95</v>
      </c>
      <c r="S1191">
        <v>19.25</v>
      </c>
      <c r="U1191">
        <v>10</v>
      </c>
      <c r="V1191">
        <v>11.75</v>
      </c>
      <c r="W1191">
        <v>6.88</v>
      </c>
      <c r="Y1191">
        <v>22.13</v>
      </c>
      <c r="Z1191">
        <v>14.25</v>
      </c>
      <c r="AA1191">
        <v>13.5</v>
      </c>
      <c r="AB1191">
        <v>2.464</v>
      </c>
      <c r="AC1191">
        <v>9.41</v>
      </c>
      <c r="AE1191">
        <v>4</v>
      </c>
      <c r="AF1191" t="s">
        <v>519</v>
      </c>
      <c r="AG1191">
        <v>60</v>
      </c>
      <c r="AK1191" t="s">
        <v>98</v>
      </c>
      <c r="AM1191" t="s">
        <v>98</v>
      </c>
      <c r="AN1191" t="s">
        <v>99</v>
      </c>
      <c r="AO1191" t="s">
        <v>98</v>
      </c>
      <c r="AP1191" t="s">
        <v>100</v>
      </c>
      <c r="AQ1191" t="s">
        <v>101</v>
      </c>
      <c r="AV1191" t="s">
        <v>98</v>
      </c>
      <c r="AX1191" t="s">
        <v>3575</v>
      </c>
      <c r="AZ1191" t="s">
        <v>124</v>
      </c>
      <c r="BB1191" t="s">
        <v>235</v>
      </c>
      <c r="BC1191" t="s">
        <v>2607</v>
      </c>
      <c r="BD1191" t="s">
        <v>7528</v>
      </c>
      <c r="BF1191" t="s">
        <v>3806</v>
      </c>
      <c r="BG1191" t="s">
        <v>98</v>
      </c>
      <c r="BH1191" t="s">
        <v>98</v>
      </c>
      <c r="BI1191" t="s">
        <v>98</v>
      </c>
      <c r="BJ1191" t="s">
        <v>99</v>
      </c>
      <c r="BK1191" t="s">
        <v>453</v>
      </c>
      <c r="BL1191" t="s">
        <v>128</v>
      </c>
      <c r="BM1191">
        <v>5.5</v>
      </c>
      <c r="BN1191">
        <v>9.5</v>
      </c>
      <c r="BR1191">
        <v>9.5</v>
      </c>
      <c r="BT1191">
        <v>5.5</v>
      </c>
      <c r="CA1191">
        <v>72523</v>
      </c>
      <c r="CB1191" t="s">
        <v>3575</v>
      </c>
      <c r="CL1191" t="s">
        <v>99</v>
      </c>
      <c r="CM1191" t="s">
        <v>98</v>
      </c>
      <c r="CN1191" t="s">
        <v>3236</v>
      </c>
      <c r="CO1191" s="1">
        <v>42364</v>
      </c>
      <c r="CP1191" s="1">
        <v>43633</v>
      </c>
    </row>
    <row r="1192" spans="1:94" x14ac:dyDescent="0.25">
      <c r="A1192" t="s">
        <v>3807</v>
      </c>
      <c r="B1192" t="str">
        <f xml:space="preserve"> "" &amp; 747396097589</f>
        <v>747396097589</v>
      </c>
      <c r="C1192" t="s">
        <v>3808</v>
      </c>
      <c r="D1192" t="s">
        <v>3809</v>
      </c>
      <c r="E1192" t="s">
        <v>3799</v>
      </c>
      <c r="F1192" t="s">
        <v>2823</v>
      </c>
      <c r="G1192">
        <v>1</v>
      </c>
      <c r="H1192">
        <v>1</v>
      </c>
      <c r="I1192" t="s">
        <v>97</v>
      </c>
      <c r="J1192" s="10">
        <v>89</v>
      </c>
      <c r="K1192" s="10">
        <v>267</v>
      </c>
      <c r="L1192" s="10">
        <v>0</v>
      </c>
      <c r="N1192" s="10">
        <v>0</v>
      </c>
      <c r="O1192" t="s">
        <v>99</v>
      </c>
      <c r="P1192" s="10">
        <v>159.94999999999999</v>
      </c>
      <c r="S1192">
        <v>14.75</v>
      </c>
      <c r="T1192">
        <v>8.5</v>
      </c>
      <c r="U1192">
        <v>8.5</v>
      </c>
      <c r="W1192">
        <v>5.78</v>
      </c>
      <c r="Y1192">
        <v>17.63</v>
      </c>
      <c r="Z1192">
        <v>11.75</v>
      </c>
      <c r="AA1192">
        <v>11.13</v>
      </c>
      <c r="AB1192">
        <v>1.3340000000000001</v>
      </c>
      <c r="AC1192">
        <v>7.56</v>
      </c>
      <c r="AE1192">
        <v>4</v>
      </c>
      <c r="AF1192" t="s">
        <v>519</v>
      </c>
      <c r="AG1192">
        <v>60</v>
      </c>
      <c r="AK1192" t="s">
        <v>98</v>
      </c>
      <c r="AM1192" t="s">
        <v>98</v>
      </c>
      <c r="AN1192" t="s">
        <v>99</v>
      </c>
      <c r="AO1192" t="s">
        <v>98</v>
      </c>
      <c r="AP1192" t="s">
        <v>100</v>
      </c>
      <c r="AQ1192" t="s">
        <v>101</v>
      </c>
      <c r="AV1192" t="s">
        <v>98</v>
      </c>
      <c r="AX1192" t="s">
        <v>3575</v>
      </c>
      <c r="AZ1192" t="s">
        <v>124</v>
      </c>
      <c r="BB1192" t="s">
        <v>235</v>
      </c>
      <c r="BC1192" t="s">
        <v>2607</v>
      </c>
      <c r="BD1192" t="s">
        <v>7528</v>
      </c>
      <c r="BF1192" t="s">
        <v>3810</v>
      </c>
      <c r="BG1192" t="s">
        <v>98</v>
      </c>
      <c r="BH1192" t="s">
        <v>98</v>
      </c>
      <c r="BI1192" t="s">
        <v>98</v>
      </c>
      <c r="BK1192" t="s">
        <v>127</v>
      </c>
      <c r="BL1192" t="s">
        <v>7528</v>
      </c>
      <c r="BR1192">
        <v>1.1299999999999999</v>
      </c>
      <c r="BT1192">
        <v>4.88</v>
      </c>
      <c r="CA1192">
        <v>72524</v>
      </c>
      <c r="CB1192" t="s">
        <v>3575</v>
      </c>
      <c r="CL1192" t="s">
        <v>99</v>
      </c>
      <c r="CM1192" t="s">
        <v>99</v>
      </c>
      <c r="CN1192" t="s">
        <v>3575</v>
      </c>
      <c r="CO1192" s="1">
        <v>42364</v>
      </c>
      <c r="CP1192" s="1">
        <v>43633</v>
      </c>
    </row>
    <row r="1193" spans="1:94" x14ac:dyDescent="0.25">
      <c r="A1193" t="s">
        <v>3811</v>
      </c>
      <c r="B1193" t="str">
        <f xml:space="preserve"> "" &amp; 747396109077</f>
        <v>747396109077</v>
      </c>
      <c r="C1193" t="s">
        <v>3812</v>
      </c>
      <c r="D1193" t="s">
        <v>3813</v>
      </c>
      <c r="E1193" t="s">
        <v>3799</v>
      </c>
      <c r="F1193" t="s">
        <v>2823</v>
      </c>
      <c r="G1193">
        <v>1</v>
      </c>
      <c r="H1193">
        <v>1</v>
      </c>
      <c r="I1193" t="s">
        <v>97</v>
      </c>
      <c r="J1193" s="10">
        <v>159</v>
      </c>
      <c r="K1193" s="10">
        <v>477</v>
      </c>
      <c r="L1193" s="10">
        <v>0</v>
      </c>
      <c r="N1193" s="10">
        <v>0</v>
      </c>
      <c r="O1193" t="s">
        <v>99</v>
      </c>
      <c r="P1193" s="10">
        <v>284.95</v>
      </c>
      <c r="S1193">
        <v>19.25</v>
      </c>
      <c r="T1193">
        <v>12</v>
      </c>
      <c r="U1193">
        <v>12</v>
      </c>
      <c r="W1193">
        <v>8.86</v>
      </c>
      <c r="X1193">
        <v>1</v>
      </c>
      <c r="Y1193">
        <v>22.25</v>
      </c>
      <c r="Z1193">
        <v>14.75</v>
      </c>
      <c r="AA1193">
        <v>14.75</v>
      </c>
      <c r="AB1193">
        <v>2.8010000000000002</v>
      </c>
      <c r="AC1193">
        <v>11.84</v>
      </c>
      <c r="AE1193">
        <v>4</v>
      </c>
      <c r="AF1193" t="s">
        <v>519</v>
      </c>
      <c r="AG1193">
        <v>60</v>
      </c>
      <c r="AK1193" t="s">
        <v>98</v>
      </c>
      <c r="AM1193" t="s">
        <v>98</v>
      </c>
      <c r="AN1193" t="s">
        <v>99</v>
      </c>
      <c r="AO1193" t="s">
        <v>98</v>
      </c>
      <c r="AP1193" t="s">
        <v>100</v>
      </c>
      <c r="AQ1193" t="s">
        <v>101</v>
      </c>
      <c r="AV1193" t="s">
        <v>98</v>
      </c>
      <c r="AX1193" t="s">
        <v>3575</v>
      </c>
      <c r="AZ1193" t="s">
        <v>102</v>
      </c>
      <c r="BB1193" t="s">
        <v>235</v>
      </c>
      <c r="BC1193" t="s">
        <v>2591</v>
      </c>
      <c r="BD1193" t="s">
        <v>7528</v>
      </c>
      <c r="BF1193" t="s">
        <v>3814</v>
      </c>
      <c r="BG1193" t="s">
        <v>98</v>
      </c>
      <c r="BH1193" t="s">
        <v>98</v>
      </c>
      <c r="BI1193" t="s">
        <v>98</v>
      </c>
      <c r="BK1193" t="s">
        <v>127</v>
      </c>
      <c r="BL1193" t="s">
        <v>7528</v>
      </c>
      <c r="BR1193">
        <v>1.1299999999999999</v>
      </c>
      <c r="BS1193">
        <v>4.88</v>
      </c>
      <c r="BT1193">
        <v>4.88</v>
      </c>
      <c r="CA1193">
        <v>72525</v>
      </c>
      <c r="CB1193" t="s">
        <v>3575</v>
      </c>
      <c r="CL1193" t="s">
        <v>99</v>
      </c>
      <c r="CM1193" t="s">
        <v>99</v>
      </c>
      <c r="CN1193" t="s">
        <v>3236</v>
      </c>
      <c r="CO1193" s="1">
        <v>43115</v>
      </c>
      <c r="CP1193" s="1">
        <v>43633</v>
      </c>
    </row>
    <row r="1194" spans="1:94" x14ac:dyDescent="0.25">
      <c r="A1194" t="s">
        <v>3815</v>
      </c>
      <c r="B1194" t="str">
        <f xml:space="preserve"> "" &amp; 747396097596</f>
        <v>747396097596</v>
      </c>
      <c r="C1194" t="s">
        <v>3468</v>
      </c>
      <c r="D1194" t="s">
        <v>3816</v>
      </c>
      <c r="E1194" t="s">
        <v>3799</v>
      </c>
      <c r="F1194" t="s">
        <v>2823</v>
      </c>
      <c r="G1194">
        <v>1</v>
      </c>
      <c r="H1194">
        <v>1</v>
      </c>
      <c r="I1194" t="s">
        <v>97</v>
      </c>
      <c r="J1194" s="10">
        <v>89</v>
      </c>
      <c r="K1194" s="10">
        <v>267</v>
      </c>
      <c r="L1194" s="10">
        <v>0</v>
      </c>
      <c r="N1194" s="10">
        <v>0</v>
      </c>
      <c r="O1194" t="s">
        <v>99</v>
      </c>
      <c r="P1194" s="10">
        <v>159.94999999999999</v>
      </c>
      <c r="S1194">
        <v>16.25</v>
      </c>
      <c r="T1194">
        <v>8.5</v>
      </c>
      <c r="U1194">
        <v>8.5</v>
      </c>
      <c r="W1194">
        <v>4.43</v>
      </c>
      <c r="Y1194">
        <v>15.63</v>
      </c>
      <c r="Z1194">
        <v>11.5</v>
      </c>
      <c r="AA1194">
        <v>11</v>
      </c>
      <c r="AB1194">
        <v>1.1439999999999999</v>
      </c>
      <c r="AC1194">
        <v>6.02</v>
      </c>
      <c r="AE1194">
        <v>4</v>
      </c>
      <c r="AF1194" t="s">
        <v>519</v>
      </c>
      <c r="AG1194">
        <v>60</v>
      </c>
      <c r="AK1194" t="s">
        <v>98</v>
      </c>
      <c r="AM1194" t="s">
        <v>98</v>
      </c>
      <c r="AN1194" t="s">
        <v>99</v>
      </c>
      <c r="AO1194" t="s">
        <v>98</v>
      </c>
      <c r="AP1194" t="s">
        <v>100</v>
      </c>
      <c r="AQ1194" t="s">
        <v>101</v>
      </c>
      <c r="AV1194" t="s">
        <v>98</v>
      </c>
      <c r="AX1194" t="s">
        <v>3575</v>
      </c>
      <c r="AZ1194" t="s">
        <v>124</v>
      </c>
      <c r="BB1194" t="s">
        <v>235</v>
      </c>
      <c r="BC1194" t="s">
        <v>2607</v>
      </c>
      <c r="BD1194" t="s">
        <v>7528</v>
      </c>
      <c r="BF1194" t="s">
        <v>3817</v>
      </c>
      <c r="BG1194" t="s">
        <v>98</v>
      </c>
      <c r="BH1194" t="s">
        <v>98</v>
      </c>
      <c r="BI1194" t="s">
        <v>98</v>
      </c>
      <c r="BJ1194" t="s">
        <v>99</v>
      </c>
      <c r="BK1194" t="s">
        <v>453</v>
      </c>
      <c r="BL1194" t="s">
        <v>7528</v>
      </c>
      <c r="CA1194">
        <v>72526</v>
      </c>
      <c r="CB1194" t="s">
        <v>3575</v>
      </c>
      <c r="CL1194" t="s">
        <v>99</v>
      </c>
      <c r="CM1194" t="s">
        <v>98</v>
      </c>
      <c r="CN1194" t="s">
        <v>3236</v>
      </c>
      <c r="CO1194" s="1">
        <v>42364</v>
      </c>
      <c r="CP1194" s="1">
        <v>43633</v>
      </c>
    </row>
    <row r="1195" spans="1:94" x14ac:dyDescent="0.25">
      <c r="A1195" t="s">
        <v>3818</v>
      </c>
      <c r="B1195" t="str">
        <f xml:space="preserve"> "" &amp; 747396109084</f>
        <v>747396109084</v>
      </c>
      <c r="C1195" t="s">
        <v>3278</v>
      </c>
      <c r="D1195" t="s">
        <v>3819</v>
      </c>
      <c r="E1195" t="s">
        <v>3799</v>
      </c>
      <c r="F1195" t="s">
        <v>2823</v>
      </c>
      <c r="G1195">
        <v>1</v>
      </c>
      <c r="H1195">
        <v>1</v>
      </c>
      <c r="I1195" t="s">
        <v>97</v>
      </c>
      <c r="J1195" s="10">
        <v>159</v>
      </c>
      <c r="K1195" s="10">
        <v>477</v>
      </c>
      <c r="L1195" s="10">
        <v>0</v>
      </c>
      <c r="N1195" s="10">
        <v>0</v>
      </c>
      <c r="O1195" t="s">
        <v>99</v>
      </c>
      <c r="P1195" s="10">
        <v>284.95</v>
      </c>
      <c r="S1195">
        <v>20.75</v>
      </c>
      <c r="T1195">
        <v>12</v>
      </c>
      <c r="U1195">
        <v>12</v>
      </c>
      <c r="V1195">
        <v>12</v>
      </c>
      <c r="W1195">
        <v>7.58</v>
      </c>
      <c r="X1195">
        <v>1</v>
      </c>
      <c r="Y1195">
        <v>20.75</v>
      </c>
      <c r="Z1195">
        <v>14.75</v>
      </c>
      <c r="AA1195">
        <v>14.75</v>
      </c>
      <c r="AB1195">
        <v>2.613</v>
      </c>
      <c r="AC1195">
        <v>10.16</v>
      </c>
      <c r="AE1195">
        <v>4</v>
      </c>
      <c r="AF1195" t="s">
        <v>519</v>
      </c>
      <c r="AG1195">
        <v>60</v>
      </c>
      <c r="AK1195" t="s">
        <v>98</v>
      </c>
      <c r="AM1195" t="s">
        <v>98</v>
      </c>
      <c r="AN1195" t="s">
        <v>99</v>
      </c>
      <c r="AO1195" t="s">
        <v>98</v>
      </c>
      <c r="AP1195" t="s">
        <v>100</v>
      </c>
      <c r="AQ1195" t="s">
        <v>101</v>
      </c>
      <c r="AV1195" t="s">
        <v>98</v>
      </c>
      <c r="AX1195" t="s">
        <v>3575</v>
      </c>
      <c r="AZ1195" t="s">
        <v>102</v>
      </c>
      <c r="BB1195" t="s">
        <v>235</v>
      </c>
      <c r="BC1195" t="s">
        <v>2591</v>
      </c>
      <c r="BD1195" t="s">
        <v>7528</v>
      </c>
      <c r="BF1195" t="s">
        <v>3820</v>
      </c>
      <c r="BG1195" t="s">
        <v>98</v>
      </c>
      <c r="BH1195" t="s">
        <v>98</v>
      </c>
      <c r="BI1195" t="s">
        <v>98</v>
      </c>
      <c r="BJ1195" t="s">
        <v>99</v>
      </c>
      <c r="BK1195" t="s">
        <v>453</v>
      </c>
      <c r="BL1195" t="s">
        <v>7528</v>
      </c>
      <c r="CA1195">
        <v>72527</v>
      </c>
      <c r="CB1195" t="s">
        <v>3575</v>
      </c>
      <c r="CL1195" t="s">
        <v>99</v>
      </c>
      <c r="CM1195" t="s">
        <v>98</v>
      </c>
      <c r="CN1195" t="s">
        <v>3236</v>
      </c>
      <c r="CO1195" s="1">
        <v>43115</v>
      </c>
      <c r="CP1195" s="1">
        <v>43633</v>
      </c>
    </row>
    <row r="1196" spans="1:94" x14ac:dyDescent="0.25">
      <c r="A1196" t="s">
        <v>3821</v>
      </c>
      <c r="B1196" t="str">
        <f xml:space="preserve"> "" &amp; 747396109091</f>
        <v>747396109091</v>
      </c>
      <c r="C1196" t="s">
        <v>3476</v>
      </c>
      <c r="D1196" t="s">
        <v>3822</v>
      </c>
      <c r="E1196" t="s">
        <v>3799</v>
      </c>
      <c r="F1196" t="s">
        <v>2823</v>
      </c>
      <c r="G1196">
        <v>1</v>
      </c>
      <c r="H1196">
        <v>1</v>
      </c>
      <c r="I1196" t="s">
        <v>97</v>
      </c>
      <c r="J1196" s="10">
        <v>170</v>
      </c>
      <c r="K1196" s="10">
        <v>510</v>
      </c>
      <c r="L1196" s="10">
        <v>0</v>
      </c>
      <c r="N1196" s="10">
        <v>0</v>
      </c>
      <c r="O1196" t="s">
        <v>99</v>
      </c>
      <c r="P1196" s="10">
        <v>304.95</v>
      </c>
      <c r="S1196">
        <v>22.75</v>
      </c>
      <c r="U1196">
        <v>12</v>
      </c>
      <c r="V1196">
        <v>13.75</v>
      </c>
      <c r="W1196">
        <v>9.08</v>
      </c>
      <c r="X1196">
        <v>1</v>
      </c>
      <c r="Y1196">
        <v>26</v>
      </c>
      <c r="Z1196">
        <v>16.25</v>
      </c>
      <c r="AA1196">
        <v>14.75</v>
      </c>
      <c r="AB1196">
        <v>3.6059999999999999</v>
      </c>
      <c r="AC1196">
        <v>12.63</v>
      </c>
      <c r="AE1196">
        <v>4</v>
      </c>
      <c r="AF1196" t="s">
        <v>772</v>
      </c>
      <c r="AG1196">
        <v>60</v>
      </c>
      <c r="AK1196" t="s">
        <v>98</v>
      </c>
      <c r="AM1196" t="s">
        <v>98</v>
      </c>
      <c r="AN1196" t="s">
        <v>99</v>
      </c>
      <c r="AO1196" t="s">
        <v>98</v>
      </c>
      <c r="AP1196" t="s">
        <v>100</v>
      </c>
      <c r="AQ1196" t="s">
        <v>101</v>
      </c>
      <c r="AV1196" t="s">
        <v>98</v>
      </c>
      <c r="AX1196" t="s">
        <v>3575</v>
      </c>
      <c r="AZ1196" t="s">
        <v>102</v>
      </c>
      <c r="BB1196" t="s">
        <v>235</v>
      </c>
      <c r="BC1196" t="s">
        <v>2591</v>
      </c>
      <c r="BD1196" t="s">
        <v>7528</v>
      </c>
      <c r="BF1196" t="s">
        <v>3823</v>
      </c>
      <c r="BG1196" t="s">
        <v>98</v>
      </c>
      <c r="BH1196" t="s">
        <v>98</v>
      </c>
      <c r="BI1196" t="s">
        <v>98</v>
      </c>
      <c r="BJ1196" t="s">
        <v>99</v>
      </c>
      <c r="BK1196" t="s">
        <v>453</v>
      </c>
      <c r="BL1196" t="s">
        <v>7528</v>
      </c>
      <c r="BM1196">
        <v>5.5</v>
      </c>
      <c r="BN1196">
        <v>9.5</v>
      </c>
      <c r="CA1196">
        <v>72528</v>
      </c>
      <c r="CB1196" t="s">
        <v>3575</v>
      </c>
      <c r="CL1196" t="s">
        <v>99</v>
      </c>
      <c r="CM1196" t="s">
        <v>98</v>
      </c>
      <c r="CN1196" t="s">
        <v>3236</v>
      </c>
      <c r="CO1196" s="1">
        <v>43115</v>
      </c>
      <c r="CP1196" s="1">
        <v>43633</v>
      </c>
    </row>
    <row r="1197" spans="1:94" x14ac:dyDescent="0.25">
      <c r="A1197" t="s">
        <v>3824</v>
      </c>
      <c r="B1197" t="str">
        <f xml:space="preserve"> "" &amp; 747396097930</f>
        <v>747396097930</v>
      </c>
      <c r="C1197" t="s">
        <v>1550</v>
      </c>
      <c r="D1197" t="s">
        <v>3825</v>
      </c>
      <c r="E1197" t="s">
        <v>1950</v>
      </c>
      <c r="F1197" t="s">
        <v>2823</v>
      </c>
      <c r="G1197">
        <v>1</v>
      </c>
      <c r="H1197">
        <v>1</v>
      </c>
      <c r="I1197" t="s">
        <v>97</v>
      </c>
      <c r="J1197" s="10">
        <v>45</v>
      </c>
      <c r="K1197" s="10">
        <v>135</v>
      </c>
      <c r="L1197" s="10">
        <v>0</v>
      </c>
      <c r="N1197" s="10">
        <v>0</v>
      </c>
      <c r="S1197">
        <v>19.75</v>
      </c>
      <c r="U1197">
        <v>7</v>
      </c>
      <c r="V1197">
        <v>8.75</v>
      </c>
      <c r="W1197">
        <v>5.38</v>
      </c>
      <c r="Y1197">
        <v>22.75</v>
      </c>
      <c r="Z1197">
        <v>11.75</v>
      </c>
      <c r="AA1197">
        <v>10.25</v>
      </c>
      <c r="AB1197">
        <v>1.5860000000000001</v>
      </c>
      <c r="AC1197">
        <v>7.47</v>
      </c>
      <c r="AE1197">
        <v>2</v>
      </c>
      <c r="AF1197" t="s">
        <v>3826</v>
      </c>
      <c r="AG1197">
        <v>60</v>
      </c>
      <c r="AK1197" t="s">
        <v>98</v>
      </c>
      <c r="AM1197" t="s">
        <v>98</v>
      </c>
      <c r="AN1197" t="s">
        <v>99</v>
      </c>
      <c r="AO1197" t="s">
        <v>98</v>
      </c>
      <c r="AP1197" t="s">
        <v>100</v>
      </c>
      <c r="AQ1197" t="s">
        <v>101</v>
      </c>
      <c r="AV1197" t="s">
        <v>98</v>
      </c>
      <c r="AX1197" t="s">
        <v>1970</v>
      </c>
      <c r="AZ1197" t="s">
        <v>124</v>
      </c>
      <c r="BB1197" t="s">
        <v>235</v>
      </c>
      <c r="BC1197" t="s">
        <v>1446</v>
      </c>
      <c r="BD1197" t="s">
        <v>7528</v>
      </c>
      <c r="BF1197" t="s">
        <v>3827</v>
      </c>
      <c r="BG1197" t="s">
        <v>98</v>
      </c>
      <c r="BH1197" t="s">
        <v>98</v>
      </c>
      <c r="BI1197" t="s">
        <v>98</v>
      </c>
      <c r="BJ1197" t="s">
        <v>99</v>
      </c>
      <c r="BK1197" t="s">
        <v>453</v>
      </c>
      <c r="BL1197" t="s">
        <v>236</v>
      </c>
      <c r="BM1197">
        <v>5</v>
      </c>
      <c r="BN1197">
        <v>7</v>
      </c>
      <c r="CA1197">
        <v>72541</v>
      </c>
      <c r="CB1197" t="s">
        <v>1970</v>
      </c>
      <c r="CL1197" t="s">
        <v>99</v>
      </c>
      <c r="CM1197" t="s">
        <v>98</v>
      </c>
      <c r="CN1197" t="s">
        <v>3236</v>
      </c>
      <c r="CO1197" s="1">
        <v>42395</v>
      </c>
      <c r="CP1197" s="1">
        <v>43633</v>
      </c>
    </row>
    <row r="1198" spans="1:94" x14ac:dyDescent="0.25">
      <c r="A1198" t="s">
        <v>3828</v>
      </c>
      <c r="B1198" t="str">
        <f xml:space="preserve"> "" &amp; 747396803081</f>
        <v>747396803081</v>
      </c>
      <c r="C1198" t="s">
        <v>3829</v>
      </c>
      <c r="D1198" t="s">
        <v>6849</v>
      </c>
      <c r="E1198" t="s">
        <v>3830</v>
      </c>
      <c r="F1198" t="s">
        <v>2823</v>
      </c>
      <c r="G1198">
        <v>1</v>
      </c>
      <c r="H1198">
        <v>1</v>
      </c>
      <c r="I1198" t="s">
        <v>97</v>
      </c>
      <c r="J1198" s="10">
        <v>55</v>
      </c>
      <c r="K1198" s="10">
        <v>165</v>
      </c>
      <c r="L1198" s="10">
        <v>0</v>
      </c>
      <c r="N1198" s="10">
        <v>0</v>
      </c>
      <c r="O1198" t="s">
        <v>99</v>
      </c>
      <c r="P1198" s="10">
        <v>114.95</v>
      </c>
      <c r="S1198">
        <v>11.75</v>
      </c>
      <c r="U1198">
        <v>6.75</v>
      </c>
      <c r="V1198">
        <v>7.5</v>
      </c>
      <c r="W1198">
        <v>2.16</v>
      </c>
      <c r="X1198">
        <v>1</v>
      </c>
      <c r="Y1198">
        <v>19.75</v>
      </c>
      <c r="Z1198">
        <v>10.25</v>
      </c>
      <c r="AA1198">
        <v>8.75</v>
      </c>
      <c r="AB1198">
        <v>1.0249999999999999</v>
      </c>
      <c r="AC1198">
        <v>3.37</v>
      </c>
      <c r="AE1198">
        <v>1</v>
      </c>
      <c r="AF1198" t="s">
        <v>1012</v>
      </c>
      <c r="AG1198">
        <v>60</v>
      </c>
      <c r="AK1198" t="s">
        <v>98</v>
      </c>
      <c r="AM1198" t="s">
        <v>98</v>
      </c>
      <c r="AN1198" t="s">
        <v>99</v>
      </c>
      <c r="AO1198" t="s">
        <v>98</v>
      </c>
      <c r="AP1198" t="s">
        <v>100</v>
      </c>
      <c r="AQ1198" t="s">
        <v>101</v>
      </c>
      <c r="AV1198" t="s">
        <v>98</v>
      </c>
      <c r="AX1198" t="s">
        <v>3190</v>
      </c>
      <c r="AZ1198" t="s">
        <v>102</v>
      </c>
      <c r="BB1198" t="s">
        <v>235</v>
      </c>
      <c r="BC1198" t="s">
        <v>2607</v>
      </c>
      <c r="BD1198" t="s">
        <v>7528</v>
      </c>
      <c r="BF1198" t="s">
        <v>3831</v>
      </c>
      <c r="BG1198" t="s">
        <v>98</v>
      </c>
      <c r="BH1198" t="s">
        <v>98</v>
      </c>
      <c r="BI1198" t="s">
        <v>98</v>
      </c>
      <c r="BJ1198" t="s">
        <v>99</v>
      </c>
      <c r="BK1198" t="s">
        <v>453</v>
      </c>
      <c r="BL1198" t="s">
        <v>128</v>
      </c>
      <c r="BM1198">
        <v>4.5</v>
      </c>
      <c r="BN1198">
        <v>5.88</v>
      </c>
      <c r="CA1198">
        <v>72551</v>
      </c>
      <c r="CB1198" t="s">
        <v>3190</v>
      </c>
      <c r="CL1198" t="s">
        <v>99</v>
      </c>
      <c r="CM1198" t="s">
        <v>98</v>
      </c>
      <c r="CN1198" t="s">
        <v>3236</v>
      </c>
      <c r="CO1198" s="1">
        <v>42725</v>
      </c>
      <c r="CP1198" s="1">
        <v>43633</v>
      </c>
    </row>
    <row r="1199" spans="1:94" x14ac:dyDescent="0.25">
      <c r="A1199" t="s">
        <v>3832</v>
      </c>
      <c r="B1199" t="str">
        <f xml:space="preserve"> "" &amp; 747396803098</f>
        <v>747396803098</v>
      </c>
      <c r="C1199" t="s">
        <v>3833</v>
      </c>
      <c r="D1199" t="s">
        <v>3834</v>
      </c>
      <c r="E1199" t="s">
        <v>3830</v>
      </c>
      <c r="F1199" t="s">
        <v>2823</v>
      </c>
      <c r="G1199">
        <v>1</v>
      </c>
      <c r="H1199">
        <v>1</v>
      </c>
      <c r="I1199" t="s">
        <v>97</v>
      </c>
      <c r="J1199" s="10">
        <v>79</v>
      </c>
      <c r="K1199" s="10">
        <v>237</v>
      </c>
      <c r="L1199" s="10">
        <v>0</v>
      </c>
      <c r="N1199" s="10">
        <v>0</v>
      </c>
      <c r="O1199" t="s">
        <v>99</v>
      </c>
      <c r="P1199" s="10">
        <v>169.95</v>
      </c>
      <c r="S1199">
        <v>15</v>
      </c>
      <c r="U1199">
        <v>8</v>
      </c>
      <c r="V1199">
        <v>9</v>
      </c>
      <c r="W1199">
        <v>3.84</v>
      </c>
      <c r="X1199">
        <v>1</v>
      </c>
      <c r="Y1199">
        <v>23.5</v>
      </c>
      <c r="Z1199">
        <v>11.75</v>
      </c>
      <c r="AA1199">
        <v>10.5</v>
      </c>
      <c r="AB1199">
        <v>1.6779999999999999</v>
      </c>
      <c r="AC1199">
        <v>5.78</v>
      </c>
      <c r="AE1199">
        <v>3</v>
      </c>
      <c r="AF1199" t="s">
        <v>519</v>
      </c>
      <c r="AG1199">
        <v>60</v>
      </c>
      <c r="AK1199" t="s">
        <v>98</v>
      </c>
      <c r="AM1199" t="s">
        <v>98</v>
      </c>
      <c r="AN1199" t="s">
        <v>99</v>
      </c>
      <c r="AO1199" t="s">
        <v>98</v>
      </c>
      <c r="AP1199" t="s">
        <v>100</v>
      </c>
      <c r="AQ1199" t="s">
        <v>101</v>
      </c>
      <c r="AV1199" t="s">
        <v>98</v>
      </c>
      <c r="AX1199" t="s">
        <v>3190</v>
      </c>
      <c r="AZ1199" t="s">
        <v>124</v>
      </c>
      <c r="BB1199" t="s">
        <v>235</v>
      </c>
      <c r="BC1199" t="s">
        <v>1446</v>
      </c>
      <c r="BD1199" t="s">
        <v>7528</v>
      </c>
      <c r="BF1199" t="s">
        <v>3835</v>
      </c>
      <c r="BG1199" t="s">
        <v>98</v>
      </c>
      <c r="BH1199" t="s">
        <v>98</v>
      </c>
      <c r="BI1199" t="s">
        <v>98</v>
      </c>
      <c r="BJ1199" t="s">
        <v>99</v>
      </c>
      <c r="BK1199" t="s">
        <v>453</v>
      </c>
      <c r="BL1199" t="s">
        <v>128</v>
      </c>
      <c r="BM1199">
        <v>5.38</v>
      </c>
      <c r="BN1199">
        <v>7.75</v>
      </c>
      <c r="CA1199">
        <v>72552</v>
      </c>
      <c r="CB1199" t="s">
        <v>3190</v>
      </c>
      <c r="CL1199" t="s">
        <v>99</v>
      </c>
      <c r="CM1199" t="s">
        <v>98</v>
      </c>
      <c r="CN1199" t="s">
        <v>3236</v>
      </c>
      <c r="CO1199" s="1">
        <v>42749</v>
      </c>
      <c r="CP1199" s="1">
        <v>43633</v>
      </c>
    </row>
    <row r="1200" spans="1:94" x14ac:dyDescent="0.25">
      <c r="A1200" t="s">
        <v>3836</v>
      </c>
      <c r="B1200" t="str">
        <f xml:space="preserve"> "" &amp; 747396803104</f>
        <v>747396803104</v>
      </c>
      <c r="C1200" t="s">
        <v>3837</v>
      </c>
      <c r="D1200" t="s">
        <v>3838</v>
      </c>
      <c r="E1200" t="s">
        <v>3830</v>
      </c>
      <c r="F1200" t="s">
        <v>2823</v>
      </c>
      <c r="G1200">
        <v>1</v>
      </c>
      <c r="H1200">
        <v>1</v>
      </c>
      <c r="I1200" t="s">
        <v>97</v>
      </c>
      <c r="J1200" s="10">
        <v>104</v>
      </c>
      <c r="K1200" s="10">
        <v>312</v>
      </c>
      <c r="L1200" s="10">
        <v>0</v>
      </c>
      <c r="N1200" s="10">
        <v>0</v>
      </c>
      <c r="O1200" t="s">
        <v>99</v>
      </c>
      <c r="P1200" s="10">
        <v>219.95</v>
      </c>
      <c r="S1200">
        <v>17.75</v>
      </c>
      <c r="U1200">
        <v>10</v>
      </c>
      <c r="V1200">
        <v>11</v>
      </c>
      <c r="W1200">
        <v>5.51</v>
      </c>
      <c r="X1200">
        <v>1</v>
      </c>
      <c r="Y1200">
        <v>28.5</v>
      </c>
      <c r="Z1200">
        <v>14.5</v>
      </c>
      <c r="AA1200">
        <v>12.5</v>
      </c>
      <c r="AB1200">
        <v>2.9889999999999999</v>
      </c>
      <c r="AC1200">
        <v>8.09</v>
      </c>
      <c r="AE1200">
        <v>4</v>
      </c>
      <c r="AF1200" t="s">
        <v>772</v>
      </c>
      <c r="AG1200">
        <v>60</v>
      </c>
      <c r="AK1200" t="s">
        <v>98</v>
      </c>
      <c r="AM1200" t="s">
        <v>98</v>
      </c>
      <c r="AN1200" t="s">
        <v>99</v>
      </c>
      <c r="AO1200" t="s">
        <v>98</v>
      </c>
      <c r="AP1200" t="s">
        <v>100</v>
      </c>
      <c r="AQ1200" t="s">
        <v>101</v>
      </c>
      <c r="AV1200" t="s">
        <v>98</v>
      </c>
      <c r="AX1200" t="s">
        <v>3190</v>
      </c>
      <c r="AZ1200" t="s">
        <v>102</v>
      </c>
      <c r="BB1200" t="s">
        <v>235</v>
      </c>
      <c r="BC1200" t="s">
        <v>1687</v>
      </c>
      <c r="BD1200" t="s">
        <v>7528</v>
      </c>
      <c r="BF1200" t="s">
        <v>3839</v>
      </c>
      <c r="BG1200" t="s">
        <v>98</v>
      </c>
      <c r="BH1200" t="s">
        <v>98</v>
      </c>
      <c r="BI1200" t="s">
        <v>98</v>
      </c>
      <c r="BJ1200" t="s">
        <v>99</v>
      </c>
      <c r="BK1200" t="s">
        <v>453</v>
      </c>
      <c r="BL1200" t="s">
        <v>128</v>
      </c>
      <c r="BM1200">
        <v>5.38</v>
      </c>
      <c r="BN1200">
        <v>7.75</v>
      </c>
      <c r="CA1200">
        <v>72553</v>
      </c>
      <c r="CB1200" t="s">
        <v>3190</v>
      </c>
      <c r="CL1200" t="s">
        <v>99</v>
      </c>
      <c r="CM1200" t="s">
        <v>98</v>
      </c>
      <c r="CN1200" t="s">
        <v>3236</v>
      </c>
      <c r="CO1200" s="1">
        <v>42725</v>
      </c>
      <c r="CP1200" s="1">
        <v>43633</v>
      </c>
    </row>
    <row r="1201" spans="1:94" x14ac:dyDescent="0.25">
      <c r="A1201" t="s">
        <v>3840</v>
      </c>
      <c r="B1201" t="str">
        <f xml:space="preserve"> "" &amp; 747396803128</f>
        <v>747396803128</v>
      </c>
      <c r="C1201" t="s">
        <v>3445</v>
      </c>
      <c r="D1201" t="s">
        <v>3841</v>
      </c>
      <c r="E1201" t="s">
        <v>3830</v>
      </c>
      <c r="F1201" t="s">
        <v>2823</v>
      </c>
      <c r="G1201">
        <v>1</v>
      </c>
      <c r="H1201">
        <v>1</v>
      </c>
      <c r="I1201" t="s">
        <v>97</v>
      </c>
      <c r="J1201" s="10">
        <v>104</v>
      </c>
      <c r="K1201" s="10">
        <v>312</v>
      </c>
      <c r="L1201" s="10">
        <v>0</v>
      </c>
      <c r="N1201" s="10">
        <v>0</v>
      </c>
      <c r="O1201" t="s">
        <v>99</v>
      </c>
      <c r="P1201" s="10">
        <v>219.95</v>
      </c>
      <c r="S1201">
        <v>19.25</v>
      </c>
      <c r="T1201">
        <v>10</v>
      </c>
      <c r="U1201">
        <v>10</v>
      </c>
      <c r="W1201">
        <v>6.26</v>
      </c>
      <c r="X1201">
        <v>1</v>
      </c>
      <c r="Y1201">
        <v>29.5</v>
      </c>
      <c r="Z1201">
        <v>14.5</v>
      </c>
      <c r="AA1201">
        <v>12.5</v>
      </c>
      <c r="AB1201">
        <v>3.0939999999999999</v>
      </c>
      <c r="AC1201">
        <v>9.19</v>
      </c>
      <c r="AE1201">
        <v>4</v>
      </c>
      <c r="AF1201" t="s">
        <v>772</v>
      </c>
      <c r="AG1201">
        <v>60</v>
      </c>
      <c r="AK1201" t="s">
        <v>98</v>
      </c>
      <c r="AM1201" t="s">
        <v>98</v>
      </c>
      <c r="AN1201" t="s">
        <v>99</v>
      </c>
      <c r="AO1201" t="s">
        <v>98</v>
      </c>
      <c r="AP1201" t="s">
        <v>100</v>
      </c>
      <c r="AQ1201" t="s">
        <v>101</v>
      </c>
      <c r="AV1201" t="s">
        <v>98</v>
      </c>
      <c r="AX1201" t="s">
        <v>3190</v>
      </c>
      <c r="AZ1201" t="s">
        <v>124</v>
      </c>
      <c r="BB1201" t="s">
        <v>235</v>
      </c>
      <c r="BC1201" t="s">
        <v>2591</v>
      </c>
      <c r="BD1201" t="s">
        <v>7528</v>
      </c>
      <c r="BF1201" t="s">
        <v>3842</v>
      </c>
      <c r="BG1201" t="s">
        <v>98</v>
      </c>
      <c r="BH1201" t="s">
        <v>98</v>
      </c>
      <c r="BI1201" t="s">
        <v>98</v>
      </c>
      <c r="BK1201" t="s">
        <v>127</v>
      </c>
      <c r="BL1201" t="s">
        <v>7528</v>
      </c>
      <c r="BQ1201">
        <v>4.88</v>
      </c>
      <c r="BR1201">
        <v>1.1299999999999999</v>
      </c>
      <c r="BS1201">
        <v>4.88</v>
      </c>
      <c r="BT1201">
        <v>4.88</v>
      </c>
      <c r="CA1201">
        <v>72554</v>
      </c>
      <c r="CB1201" t="s">
        <v>3190</v>
      </c>
      <c r="CL1201" t="s">
        <v>99</v>
      </c>
      <c r="CM1201" t="s">
        <v>99</v>
      </c>
      <c r="CN1201" t="s">
        <v>3236</v>
      </c>
      <c r="CO1201" s="1">
        <v>42725</v>
      </c>
      <c r="CP1201" s="1">
        <v>43633</v>
      </c>
    </row>
    <row r="1202" spans="1:94" x14ac:dyDescent="0.25">
      <c r="A1202" t="s">
        <v>3843</v>
      </c>
      <c r="B1202" t="str">
        <f xml:space="preserve"> "" &amp; 747396803111</f>
        <v>747396803111</v>
      </c>
      <c r="C1202" t="s">
        <v>3844</v>
      </c>
      <c r="D1202" t="s">
        <v>3845</v>
      </c>
      <c r="E1202" t="s">
        <v>3830</v>
      </c>
      <c r="F1202" t="s">
        <v>2823</v>
      </c>
      <c r="G1202">
        <v>1</v>
      </c>
      <c r="H1202">
        <v>1</v>
      </c>
      <c r="I1202" t="s">
        <v>97</v>
      </c>
      <c r="J1202" s="10">
        <v>104</v>
      </c>
      <c r="K1202" s="10">
        <v>312</v>
      </c>
      <c r="L1202" s="10">
        <v>0</v>
      </c>
      <c r="N1202" s="10">
        <v>0</v>
      </c>
      <c r="O1202" t="s">
        <v>99</v>
      </c>
      <c r="P1202" s="10">
        <v>219.95</v>
      </c>
      <c r="S1202">
        <v>20.25</v>
      </c>
      <c r="T1202">
        <v>10</v>
      </c>
      <c r="U1202">
        <v>10</v>
      </c>
      <c r="W1202">
        <v>4.74</v>
      </c>
      <c r="X1202">
        <v>1</v>
      </c>
      <c r="Y1202">
        <v>30.75</v>
      </c>
      <c r="Z1202">
        <v>14.5</v>
      </c>
      <c r="AA1202">
        <v>12.5</v>
      </c>
      <c r="AB1202">
        <v>3.2250000000000001</v>
      </c>
      <c r="AC1202">
        <v>7.83</v>
      </c>
      <c r="AE1202">
        <v>4</v>
      </c>
      <c r="AF1202" t="s">
        <v>772</v>
      </c>
      <c r="AG1202">
        <v>60</v>
      </c>
      <c r="AK1202" t="s">
        <v>98</v>
      </c>
      <c r="AM1202" t="s">
        <v>98</v>
      </c>
      <c r="AN1202" t="s">
        <v>99</v>
      </c>
      <c r="AO1202" t="s">
        <v>98</v>
      </c>
      <c r="AP1202" t="s">
        <v>100</v>
      </c>
      <c r="AQ1202" t="s">
        <v>101</v>
      </c>
      <c r="AV1202" t="s">
        <v>98</v>
      </c>
      <c r="AX1202" t="s">
        <v>3190</v>
      </c>
      <c r="AZ1202" t="s">
        <v>124</v>
      </c>
      <c r="BB1202" t="s">
        <v>235</v>
      </c>
      <c r="BC1202" t="s">
        <v>2591</v>
      </c>
      <c r="BD1202" t="s">
        <v>7528</v>
      </c>
      <c r="BF1202" t="s">
        <v>3846</v>
      </c>
      <c r="BG1202" t="s">
        <v>98</v>
      </c>
      <c r="BH1202" t="s">
        <v>98</v>
      </c>
      <c r="BI1202" t="s">
        <v>98</v>
      </c>
      <c r="BJ1202" t="s">
        <v>99</v>
      </c>
      <c r="BK1202" t="s">
        <v>453</v>
      </c>
      <c r="BL1202" t="s">
        <v>7528</v>
      </c>
      <c r="CA1202">
        <v>72556</v>
      </c>
      <c r="CB1202" t="s">
        <v>3190</v>
      </c>
      <c r="CL1202" t="s">
        <v>99</v>
      </c>
      <c r="CM1202" t="s">
        <v>98</v>
      </c>
      <c r="CN1202" t="s">
        <v>3236</v>
      </c>
      <c r="CO1202" s="1">
        <v>42725</v>
      </c>
      <c r="CP1202" s="1">
        <v>43633</v>
      </c>
    </row>
    <row r="1203" spans="1:94" x14ac:dyDescent="0.25">
      <c r="A1203" t="s">
        <v>3847</v>
      </c>
      <c r="B1203" t="str">
        <f xml:space="preserve"> "" &amp; 747396101873</f>
        <v>747396101873</v>
      </c>
      <c r="C1203" t="s">
        <v>3232</v>
      </c>
      <c r="D1203" t="s">
        <v>3838</v>
      </c>
      <c r="E1203" t="s">
        <v>3830</v>
      </c>
      <c r="F1203" t="s">
        <v>2823</v>
      </c>
      <c r="G1203">
        <v>1</v>
      </c>
      <c r="H1203">
        <v>1</v>
      </c>
      <c r="I1203" t="s">
        <v>97</v>
      </c>
      <c r="J1203" s="10">
        <v>129</v>
      </c>
      <c r="K1203" s="10">
        <v>387</v>
      </c>
      <c r="L1203" s="10">
        <v>0</v>
      </c>
      <c r="N1203" s="10">
        <v>0</v>
      </c>
      <c r="O1203" t="s">
        <v>99</v>
      </c>
      <c r="P1203" s="10">
        <v>269.95</v>
      </c>
      <c r="S1203">
        <v>20.75</v>
      </c>
      <c r="U1203">
        <v>12</v>
      </c>
      <c r="V1203">
        <v>13</v>
      </c>
      <c r="W1203">
        <v>7.89</v>
      </c>
      <c r="X1203">
        <v>1</v>
      </c>
      <c r="Y1203">
        <v>32.25</v>
      </c>
      <c r="Z1203">
        <v>16.5</v>
      </c>
      <c r="AA1203">
        <v>14.5</v>
      </c>
      <c r="AB1203">
        <v>4.4649999999999999</v>
      </c>
      <c r="AC1203">
        <v>11.75</v>
      </c>
      <c r="AE1203">
        <v>4</v>
      </c>
      <c r="AF1203" t="s">
        <v>3848</v>
      </c>
      <c r="AG1203">
        <v>60</v>
      </c>
      <c r="AK1203" t="s">
        <v>98</v>
      </c>
      <c r="AM1203" t="s">
        <v>98</v>
      </c>
      <c r="AN1203" t="s">
        <v>99</v>
      </c>
      <c r="AO1203" t="s">
        <v>98</v>
      </c>
      <c r="AP1203" t="s">
        <v>100</v>
      </c>
      <c r="AQ1203" t="s">
        <v>101</v>
      </c>
      <c r="AV1203" t="s">
        <v>98</v>
      </c>
      <c r="AX1203" t="s">
        <v>3190</v>
      </c>
      <c r="AZ1203" t="s">
        <v>102</v>
      </c>
      <c r="BB1203" t="s">
        <v>235</v>
      </c>
      <c r="BC1203" t="s">
        <v>3576</v>
      </c>
      <c r="BD1203" t="s">
        <v>7528</v>
      </c>
      <c r="BF1203" t="s">
        <v>3849</v>
      </c>
      <c r="BG1203" t="s">
        <v>98</v>
      </c>
      <c r="BH1203" t="s">
        <v>98</v>
      </c>
      <c r="BI1203" t="s">
        <v>98</v>
      </c>
      <c r="BJ1203" t="s">
        <v>99</v>
      </c>
      <c r="BK1203" t="s">
        <v>453</v>
      </c>
      <c r="BL1203" t="s">
        <v>128</v>
      </c>
      <c r="BM1203">
        <v>5.38</v>
      </c>
      <c r="BN1203">
        <v>7.75</v>
      </c>
      <c r="CA1203">
        <v>72557</v>
      </c>
      <c r="CB1203" t="s">
        <v>3190</v>
      </c>
      <c r="CL1203" t="s">
        <v>99</v>
      </c>
      <c r="CM1203" t="s">
        <v>98</v>
      </c>
      <c r="CN1203" t="s">
        <v>3448</v>
      </c>
      <c r="CO1203" s="1">
        <v>42839</v>
      </c>
      <c r="CP1203" s="1">
        <v>43633</v>
      </c>
    </row>
    <row r="1204" spans="1:94" x14ac:dyDescent="0.25">
      <c r="A1204" t="s">
        <v>3850</v>
      </c>
      <c r="B1204" t="str">
        <f xml:space="preserve"> "" &amp; 747396803029</f>
        <v>747396803029</v>
      </c>
      <c r="C1204" t="s">
        <v>3829</v>
      </c>
      <c r="D1204" t="s">
        <v>3851</v>
      </c>
      <c r="E1204" t="s">
        <v>3852</v>
      </c>
      <c r="F1204" t="s">
        <v>2823</v>
      </c>
      <c r="G1204">
        <v>1</v>
      </c>
      <c r="H1204">
        <v>1</v>
      </c>
      <c r="I1204" t="s">
        <v>97</v>
      </c>
      <c r="J1204" s="10">
        <v>56</v>
      </c>
      <c r="K1204" s="10">
        <v>168</v>
      </c>
      <c r="L1204" s="10">
        <v>0</v>
      </c>
      <c r="N1204" s="10">
        <v>0</v>
      </c>
      <c r="O1204" t="s">
        <v>99</v>
      </c>
      <c r="P1204" s="10">
        <v>119.95</v>
      </c>
      <c r="S1204">
        <v>14</v>
      </c>
      <c r="U1204">
        <v>7</v>
      </c>
      <c r="V1204">
        <v>8</v>
      </c>
      <c r="W1204">
        <v>2.65</v>
      </c>
      <c r="X1204">
        <v>1</v>
      </c>
      <c r="Y1204">
        <v>21.25</v>
      </c>
      <c r="Z1204">
        <v>10.5</v>
      </c>
      <c r="AA1204">
        <v>9.75</v>
      </c>
      <c r="AB1204">
        <v>1.2589999999999999</v>
      </c>
      <c r="AC1204">
        <v>4.01</v>
      </c>
      <c r="AE1204">
        <v>1</v>
      </c>
      <c r="AF1204" t="s">
        <v>282</v>
      </c>
      <c r="AG1204">
        <v>60</v>
      </c>
      <c r="AK1204" t="s">
        <v>98</v>
      </c>
      <c r="AM1204" t="s">
        <v>98</v>
      </c>
      <c r="AN1204" t="s">
        <v>99</v>
      </c>
      <c r="AO1204" t="s">
        <v>98</v>
      </c>
      <c r="AP1204" t="s">
        <v>100</v>
      </c>
      <c r="AQ1204" t="s">
        <v>101</v>
      </c>
      <c r="AV1204" t="s">
        <v>98</v>
      </c>
      <c r="AX1204" t="s">
        <v>164</v>
      </c>
      <c r="AZ1204" t="s">
        <v>124</v>
      </c>
      <c r="BB1204" t="s">
        <v>235</v>
      </c>
      <c r="BC1204" t="s">
        <v>2581</v>
      </c>
      <c r="BD1204" t="s">
        <v>7528</v>
      </c>
      <c r="BF1204" t="s">
        <v>3853</v>
      </c>
      <c r="BG1204" t="s">
        <v>98</v>
      </c>
      <c r="BH1204" t="s">
        <v>98</v>
      </c>
      <c r="BI1204" t="s">
        <v>98</v>
      </c>
      <c r="BJ1204" t="s">
        <v>99</v>
      </c>
      <c r="BK1204" t="s">
        <v>453</v>
      </c>
      <c r="BL1204" t="s">
        <v>7528</v>
      </c>
      <c r="BM1204">
        <v>4.5</v>
      </c>
      <c r="BN1204">
        <v>5.88</v>
      </c>
      <c r="CA1204">
        <v>72561</v>
      </c>
      <c r="CB1204" t="s">
        <v>164</v>
      </c>
      <c r="CL1204" t="s">
        <v>99</v>
      </c>
      <c r="CM1204" t="s">
        <v>98</v>
      </c>
      <c r="CN1204" t="s">
        <v>3236</v>
      </c>
      <c r="CO1204" s="1">
        <v>42725</v>
      </c>
      <c r="CP1204" s="1">
        <v>43633</v>
      </c>
    </row>
    <row r="1205" spans="1:94" x14ac:dyDescent="0.25">
      <c r="A1205" t="s">
        <v>3854</v>
      </c>
      <c r="B1205" t="str">
        <f xml:space="preserve"> "" &amp; 747396803043</f>
        <v>747396803043</v>
      </c>
      <c r="C1205" t="s">
        <v>3833</v>
      </c>
      <c r="D1205" t="s">
        <v>3855</v>
      </c>
      <c r="E1205" t="s">
        <v>3852</v>
      </c>
      <c r="F1205" t="s">
        <v>2823</v>
      </c>
      <c r="G1205">
        <v>1</v>
      </c>
      <c r="H1205">
        <v>1</v>
      </c>
      <c r="I1205" t="s">
        <v>97</v>
      </c>
      <c r="J1205" s="10">
        <v>79</v>
      </c>
      <c r="K1205" s="10">
        <v>237</v>
      </c>
      <c r="L1205" s="10">
        <v>0</v>
      </c>
      <c r="N1205" s="10">
        <v>0</v>
      </c>
      <c r="O1205" t="s">
        <v>99</v>
      </c>
      <c r="P1205" s="10">
        <v>169.95</v>
      </c>
      <c r="S1205">
        <v>17</v>
      </c>
      <c r="U1205">
        <v>8.75</v>
      </c>
      <c r="V1205">
        <v>9.75</v>
      </c>
      <c r="W1205">
        <v>4.1900000000000004</v>
      </c>
      <c r="X1205">
        <v>1</v>
      </c>
      <c r="Y1205">
        <v>25.25</v>
      </c>
      <c r="Z1205">
        <v>12.75</v>
      </c>
      <c r="AA1205">
        <v>11.75</v>
      </c>
      <c r="AB1205">
        <v>2.1890000000000001</v>
      </c>
      <c r="AC1205">
        <v>6.26</v>
      </c>
      <c r="AE1205">
        <v>3</v>
      </c>
      <c r="AF1205" t="s">
        <v>308</v>
      </c>
      <c r="AG1205">
        <v>60</v>
      </c>
      <c r="AK1205" t="s">
        <v>98</v>
      </c>
      <c r="AM1205" t="s">
        <v>98</v>
      </c>
      <c r="AN1205" t="s">
        <v>99</v>
      </c>
      <c r="AO1205" t="s">
        <v>98</v>
      </c>
      <c r="AP1205" t="s">
        <v>100</v>
      </c>
      <c r="AQ1205" t="s">
        <v>101</v>
      </c>
      <c r="AV1205" t="s">
        <v>98</v>
      </c>
      <c r="AX1205" t="s">
        <v>164</v>
      </c>
      <c r="AZ1205" t="s">
        <v>124</v>
      </c>
      <c r="BB1205" t="s">
        <v>235</v>
      </c>
      <c r="BC1205" t="s">
        <v>2581</v>
      </c>
      <c r="BD1205" t="s">
        <v>7528</v>
      </c>
      <c r="BF1205" t="s">
        <v>3856</v>
      </c>
      <c r="BG1205" t="s">
        <v>98</v>
      </c>
      <c r="BH1205" t="s">
        <v>98</v>
      </c>
      <c r="BI1205" t="s">
        <v>98</v>
      </c>
      <c r="BJ1205" t="s">
        <v>99</v>
      </c>
      <c r="BK1205" t="s">
        <v>453</v>
      </c>
      <c r="BL1205" t="s">
        <v>7528</v>
      </c>
      <c r="BM1205">
        <v>5.13</v>
      </c>
      <c r="BN1205">
        <v>7.5</v>
      </c>
      <c r="CA1205">
        <v>72562</v>
      </c>
      <c r="CB1205" t="s">
        <v>164</v>
      </c>
      <c r="CL1205" t="s">
        <v>99</v>
      </c>
      <c r="CM1205" t="s">
        <v>98</v>
      </c>
      <c r="CN1205" t="s">
        <v>3236</v>
      </c>
      <c r="CO1205" s="1">
        <v>42725</v>
      </c>
      <c r="CP1205" s="1">
        <v>43633</v>
      </c>
    </row>
    <row r="1206" spans="1:94" x14ac:dyDescent="0.25">
      <c r="A1206" t="s">
        <v>3857</v>
      </c>
      <c r="B1206" t="str">
        <f xml:space="preserve"> "" &amp; 747396803050</f>
        <v>747396803050</v>
      </c>
      <c r="C1206" t="s">
        <v>3837</v>
      </c>
      <c r="D1206" t="s">
        <v>3858</v>
      </c>
      <c r="E1206" t="s">
        <v>3852</v>
      </c>
      <c r="F1206" t="s">
        <v>2823</v>
      </c>
      <c r="G1206">
        <v>1</v>
      </c>
      <c r="H1206">
        <v>1</v>
      </c>
      <c r="I1206" t="s">
        <v>97</v>
      </c>
      <c r="J1206" s="10">
        <v>104</v>
      </c>
      <c r="K1206" s="10">
        <v>312</v>
      </c>
      <c r="L1206" s="10">
        <v>0</v>
      </c>
      <c r="N1206" s="10">
        <v>0</v>
      </c>
      <c r="O1206" t="s">
        <v>99</v>
      </c>
      <c r="P1206" s="10">
        <v>219.95</v>
      </c>
      <c r="S1206">
        <v>20.5</v>
      </c>
      <c r="U1206">
        <v>11</v>
      </c>
      <c r="V1206">
        <v>11.75</v>
      </c>
      <c r="W1206">
        <v>5.82</v>
      </c>
      <c r="X1206">
        <v>1</v>
      </c>
      <c r="Y1206">
        <v>29.75</v>
      </c>
      <c r="Z1206">
        <v>14.75</v>
      </c>
      <c r="AA1206">
        <v>13.75</v>
      </c>
      <c r="AB1206">
        <v>3.492</v>
      </c>
      <c r="AC1206">
        <v>8.73</v>
      </c>
      <c r="AE1206">
        <v>4</v>
      </c>
      <c r="AF1206" t="s">
        <v>519</v>
      </c>
      <c r="AG1206">
        <v>60</v>
      </c>
      <c r="AK1206" t="s">
        <v>98</v>
      </c>
      <c r="AM1206" t="s">
        <v>98</v>
      </c>
      <c r="AN1206" t="s">
        <v>99</v>
      </c>
      <c r="AO1206" t="s">
        <v>98</v>
      </c>
      <c r="AP1206" t="s">
        <v>100</v>
      </c>
      <c r="AQ1206" t="s">
        <v>101</v>
      </c>
      <c r="AV1206" t="s">
        <v>98</v>
      </c>
      <c r="AX1206" t="s">
        <v>164</v>
      </c>
      <c r="AZ1206" t="s">
        <v>124</v>
      </c>
      <c r="BB1206" t="s">
        <v>235</v>
      </c>
      <c r="BC1206" t="s">
        <v>2581</v>
      </c>
      <c r="BD1206" t="s">
        <v>7528</v>
      </c>
      <c r="BF1206" t="s">
        <v>3859</v>
      </c>
      <c r="BG1206" t="s">
        <v>98</v>
      </c>
      <c r="BH1206" t="s">
        <v>98</v>
      </c>
      <c r="BI1206" t="s">
        <v>98</v>
      </c>
      <c r="BJ1206" t="s">
        <v>99</v>
      </c>
      <c r="BK1206" t="s">
        <v>453</v>
      </c>
      <c r="BL1206" t="s">
        <v>7528</v>
      </c>
      <c r="BM1206">
        <v>5.13</v>
      </c>
      <c r="BN1206">
        <v>7.5</v>
      </c>
      <c r="CA1206">
        <v>72563</v>
      </c>
      <c r="CB1206" t="s">
        <v>164</v>
      </c>
      <c r="CL1206" t="s">
        <v>99</v>
      </c>
      <c r="CM1206" t="s">
        <v>98</v>
      </c>
      <c r="CN1206" t="s">
        <v>3236</v>
      </c>
      <c r="CO1206" s="1">
        <v>42725</v>
      </c>
      <c r="CP1206" s="1">
        <v>43633</v>
      </c>
    </row>
    <row r="1207" spans="1:94" x14ac:dyDescent="0.25">
      <c r="A1207" t="s">
        <v>3860</v>
      </c>
      <c r="B1207" t="str">
        <f xml:space="preserve"> "" &amp; 747396803067</f>
        <v>747396803067</v>
      </c>
      <c r="C1207" t="s">
        <v>3861</v>
      </c>
      <c r="D1207" t="s">
        <v>3862</v>
      </c>
      <c r="E1207" t="s">
        <v>3852</v>
      </c>
      <c r="F1207" t="s">
        <v>2823</v>
      </c>
      <c r="G1207">
        <v>1</v>
      </c>
      <c r="H1207">
        <v>1</v>
      </c>
      <c r="I1207" t="s">
        <v>97</v>
      </c>
      <c r="J1207" s="10">
        <v>104</v>
      </c>
      <c r="K1207" s="10">
        <v>312</v>
      </c>
      <c r="L1207" s="10">
        <v>0</v>
      </c>
      <c r="N1207" s="10">
        <v>0</v>
      </c>
      <c r="O1207" t="s">
        <v>99</v>
      </c>
      <c r="P1207" s="10">
        <v>219.95</v>
      </c>
      <c r="S1207">
        <v>20.75</v>
      </c>
      <c r="T1207">
        <v>11</v>
      </c>
      <c r="U1207">
        <v>11</v>
      </c>
      <c r="W1207">
        <v>7.54</v>
      </c>
      <c r="X1207">
        <v>1</v>
      </c>
      <c r="Y1207">
        <v>34</v>
      </c>
      <c r="Z1207">
        <v>15.5</v>
      </c>
      <c r="AA1207">
        <v>13.25</v>
      </c>
      <c r="AB1207">
        <v>4.0410000000000004</v>
      </c>
      <c r="AC1207">
        <v>11.02</v>
      </c>
      <c r="AE1207">
        <v>4</v>
      </c>
      <c r="AF1207" t="s">
        <v>519</v>
      </c>
      <c r="AG1207">
        <v>60</v>
      </c>
      <c r="AK1207" t="s">
        <v>98</v>
      </c>
      <c r="AM1207" t="s">
        <v>98</v>
      </c>
      <c r="AN1207" t="s">
        <v>99</v>
      </c>
      <c r="AO1207" t="s">
        <v>98</v>
      </c>
      <c r="AP1207" t="s">
        <v>100</v>
      </c>
      <c r="AQ1207" t="s">
        <v>101</v>
      </c>
      <c r="AV1207" t="s">
        <v>98</v>
      </c>
      <c r="AX1207" t="s">
        <v>164</v>
      </c>
      <c r="AZ1207" t="s">
        <v>124</v>
      </c>
      <c r="BB1207" t="s">
        <v>235</v>
      </c>
      <c r="BC1207" t="s">
        <v>2581</v>
      </c>
      <c r="BD1207" t="s">
        <v>7528</v>
      </c>
      <c r="BF1207" t="s">
        <v>3863</v>
      </c>
      <c r="BG1207" t="s">
        <v>98</v>
      </c>
      <c r="BH1207" t="s">
        <v>98</v>
      </c>
      <c r="BI1207" t="s">
        <v>98</v>
      </c>
      <c r="BK1207" t="s">
        <v>127</v>
      </c>
      <c r="BL1207" t="s">
        <v>7528</v>
      </c>
      <c r="BQ1207">
        <v>4.88</v>
      </c>
      <c r="BR1207">
        <v>1.1299999999999999</v>
      </c>
      <c r="BS1207">
        <v>4.88</v>
      </c>
      <c r="BT1207">
        <v>4.88</v>
      </c>
      <c r="CA1207">
        <v>72564</v>
      </c>
      <c r="CB1207" t="s">
        <v>164</v>
      </c>
      <c r="CL1207" t="s">
        <v>99</v>
      </c>
      <c r="CM1207" t="s">
        <v>98</v>
      </c>
      <c r="CN1207" t="s">
        <v>3236</v>
      </c>
      <c r="CO1207" s="1">
        <v>42725</v>
      </c>
      <c r="CP1207" s="1">
        <v>43633</v>
      </c>
    </row>
    <row r="1208" spans="1:94" x14ac:dyDescent="0.25">
      <c r="A1208" t="s">
        <v>3864</v>
      </c>
      <c r="B1208" t="str">
        <f xml:space="preserve"> "" &amp; 747396803074</f>
        <v>747396803074</v>
      </c>
      <c r="C1208" t="s">
        <v>3865</v>
      </c>
      <c r="D1208" t="s">
        <v>3866</v>
      </c>
      <c r="E1208" t="s">
        <v>3852</v>
      </c>
      <c r="F1208" t="s">
        <v>2823</v>
      </c>
      <c r="G1208">
        <v>1</v>
      </c>
      <c r="H1208">
        <v>1</v>
      </c>
      <c r="I1208" t="s">
        <v>97</v>
      </c>
      <c r="J1208" s="10">
        <v>104</v>
      </c>
      <c r="K1208" s="10">
        <v>312</v>
      </c>
      <c r="L1208" s="10">
        <v>0</v>
      </c>
      <c r="N1208" s="10">
        <v>0</v>
      </c>
      <c r="O1208" t="s">
        <v>99</v>
      </c>
      <c r="P1208" s="10">
        <v>219.95</v>
      </c>
      <c r="S1208">
        <v>21.75</v>
      </c>
      <c r="U1208">
        <v>11</v>
      </c>
      <c r="W1208">
        <v>5.69</v>
      </c>
      <c r="X1208">
        <v>1</v>
      </c>
      <c r="Y1208">
        <v>31</v>
      </c>
      <c r="Z1208">
        <v>13.75</v>
      </c>
      <c r="AA1208">
        <v>12.75</v>
      </c>
      <c r="AB1208">
        <v>3.145</v>
      </c>
      <c r="AC1208">
        <v>8.42</v>
      </c>
      <c r="AE1208">
        <v>4</v>
      </c>
      <c r="AF1208" t="s">
        <v>772</v>
      </c>
      <c r="AG1208">
        <v>60</v>
      </c>
      <c r="AK1208" t="s">
        <v>98</v>
      </c>
      <c r="AM1208" t="s">
        <v>98</v>
      </c>
      <c r="AN1208" t="s">
        <v>99</v>
      </c>
      <c r="AO1208" t="s">
        <v>98</v>
      </c>
      <c r="AP1208" t="s">
        <v>100</v>
      </c>
      <c r="AQ1208" t="s">
        <v>101</v>
      </c>
      <c r="AV1208" t="s">
        <v>98</v>
      </c>
      <c r="AX1208" t="s">
        <v>164</v>
      </c>
      <c r="AZ1208" t="s">
        <v>124</v>
      </c>
      <c r="BB1208" t="s">
        <v>235</v>
      </c>
      <c r="BC1208" t="s">
        <v>2581</v>
      </c>
      <c r="BD1208" t="s">
        <v>7528</v>
      </c>
      <c r="BF1208" t="s">
        <v>3867</v>
      </c>
      <c r="BG1208" t="s">
        <v>98</v>
      </c>
      <c r="BH1208" t="s">
        <v>98</v>
      </c>
      <c r="BI1208" t="s">
        <v>98</v>
      </c>
      <c r="BJ1208" t="s">
        <v>99</v>
      </c>
      <c r="BK1208" t="s">
        <v>453</v>
      </c>
      <c r="BL1208" t="s">
        <v>7528</v>
      </c>
      <c r="CA1208" t="s">
        <v>3864</v>
      </c>
      <c r="CB1208" t="s">
        <v>164</v>
      </c>
      <c r="CL1208" t="s">
        <v>99</v>
      </c>
      <c r="CM1208" t="s">
        <v>98</v>
      </c>
      <c r="CN1208" t="s">
        <v>3236</v>
      </c>
      <c r="CO1208" s="1">
        <v>42725</v>
      </c>
      <c r="CP1208" s="1">
        <v>43633</v>
      </c>
    </row>
    <row r="1209" spans="1:94" x14ac:dyDescent="0.25">
      <c r="A1209" t="s">
        <v>3868</v>
      </c>
      <c r="B1209" t="str">
        <f xml:space="preserve"> "" &amp; 747396101880</f>
        <v>747396101880</v>
      </c>
      <c r="C1209" t="s">
        <v>3232</v>
      </c>
      <c r="D1209" t="s">
        <v>3869</v>
      </c>
      <c r="E1209" t="s">
        <v>3852</v>
      </c>
      <c r="F1209" t="s">
        <v>2823</v>
      </c>
      <c r="G1209">
        <v>1</v>
      </c>
      <c r="H1209">
        <v>1</v>
      </c>
      <c r="I1209" t="s">
        <v>97</v>
      </c>
      <c r="J1209" s="10">
        <v>134</v>
      </c>
      <c r="K1209" s="10">
        <v>402</v>
      </c>
      <c r="L1209" s="10">
        <v>0</v>
      </c>
      <c r="N1209" s="10">
        <v>0</v>
      </c>
      <c r="O1209" t="s">
        <v>99</v>
      </c>
      <c r="P1209" s="10">
        <v>289.95</v>
      </c>
      <c r="S1209">
        <v>23.5</v>
      </c>
      <c r="U1209">
        <v>12.75</v>
      </c>
      <c r="V1209">
        <v>13.5</v>
      </c>
      <c r="W1209">
        <v>7.89</v>
      </c>
      <c r="X1209">
        <v>1</v>
      </c>
      <c r="Y1209">
        <v>35</v>
      </c>
      <c r="Z1209">
        <v>16.5</v>
      </c>
      <c r="AA1209">
        <v>15.25</v>
      </c>
      <c r="AB1209">
        <v>5.0970000000000004</v>
      </c>
      <c r="AC1209">
        <v>11.9</v>
      </c>
      <c r="AE1209">
        <v>4</v>
      </c>
      <c r="AF1209" t="s">
        <v>772</v>
      </c>
      <c r="AG1209">
        <v>60</v>
      </c>
      <c r="AK1209" t="s">
        <v>98</v>
      </c>
      <c r="AM1209" t="s">
        <v>98</v>
      </c>
      <c r="AN1209" t="s">
        <v>99</v>
      </c>
      <c r="AO1209" t="s">
        <v>98</v>
      </c>
      <c r="AP1209" t="s">
        <v>100</v>
      </c>
      <c r="AQ1209" t="s">
        <v>101</v>
      </c>
      <c r="AV1209" t="s">
        <v>98</v>
      </c>
      <c r="AX1209" t="s">
        <v>164</v>
      </c>
      <c r="AZ1209" t="s">
        <v>102</v>
      </c>
      <c r="BB1209" t="s">
        <v>235</v>
      </c>
      <c r="BC1209" t="s">
        <v>2581</v>
      </c>
      <c r="BD1209" t="s">
        <v>7528</v>
      </c>
      <c r="BF1209" t="s">
        <v>3870</v>
      </c>
      <c r="BG1209" t="s">
        <v>98</v>
      </c>
      <c r="BH1209" t="s">
        <v>98</v>
      </c>
      <c r="BI1209" t="s">
        <v>98</v>
      </c>
      <c r="BJ1209" t="s">
        <v>99</v>
      </c>
      <c r="BK1209" t="s">
        <v>453</v>
      </c>
      <c r="BL1209" t="s">
        <v>7528</v>
      </c>
      <c r="BM1209">
        <v>5.13</v>
      </c>
      <c r="BN1209">
        <v>7.5</v>
      </c>
      <c r="BP1209">
        <v>5.13</v>
      </c>
      <c r="CA1209">
        <v>72567</v>
      </c>
      <c r="CB1209" t="s">
        <v>164</v>
      </c>
      <c r="CL1209" t="s">
        <v>99</v>
      </c>
      <c r="CM1209" t="s">
        <v>98</v>
      </c>
      <c r="CN1209" t="s">
        <v>3871</v>
      </c>
      <c r="CO1209" s="1">
        <v>42839</v>
      </c>
      <c r="CP1209" s="1">
        <v>43633</v>
      </c>
    </row>
    <row r="1210" spans="1:94" x14ac:dyDescent="0.25">
      <c r="A1210" t="s">
        <v>3872</v>
      </c>
      <c r="B1210" t="str">
        <f xml:space="preserve"> "" &amp; 747396106144</f>
        <v>747396106144</v>
      </c>
      <c r="C1210" t="s">
        <v>3185</v>
      </c>
      <c r="D1210" t="s">
        <v>3873</v>
      </c>
      <c r="E1210" t="s">
        <v>3874</v>
      </c>
      <c r="F1210" t="s">
        <v>2823</v>
      </c>
      <c r="G1210">
        <v>1</v>
      </c>
      <c r="H1210">
        <v>1</v>
      </c>
      <c r="I1210" t="s">
        <v>97</v>
      </c>
      <c r="J1210" s="10">
        <v>53</v>
      </c>
      <c r="K1210" s="10">
        <v>159</v>
      </c>
      <c r="L1210" s="10">
        <v>0</v>
      </c>
      <c r="N1210" s="10">
        <v>0</v>
      </c>
      <c r="O1210" t="s">
        <v>99</v>
      </c>
      <c r="P1210" s="10">
        <v>114.95</v>
      </c>
      <c r="S1210">
        <v>9.75</v>
      </c>
      <c r="U1210">
        <v>6.5</v>
      </c>
      <c r="V1210">
        <v>7.75</v>
      </c>
      <c r="W1210">
        <v>2.87</v>
      </c>
      <c r="X1210">
        <v>1</v>
      </c>
      <c r="Y1210">
        <v>13.25</v>
      </c>
      <c r="Z1210">
        <v>11</v>
      </c>
      <c r="AA1210">
        <v>9.8800000000000008</v>
      </c>
      <c r="AB1210">
        <v>0.83299999999999996</v>
      </c>
      <c r="AC1210">
        <v>4.08</v>
      </c>
      <c r="AE1210">
        <v>1</v>
      </c>
      <c r="AF1210" t="s">
        <v>282</v>
      </c>
      <c r="AG1210">
        <v>100</v>
      </c>
      <c r="AK1210" t="s">
        <v>98</v>
      </c>
      <c r="AL1210">
        <v>1</v>
      </c>
      <c r="AM1210" t="s">
        <v>98</v>
      </c>
      <c r="AN1210" t="s">
        <v>99</v>
      </c>
      <c r="AO1210" t="s">
        <v>98</v>
      </c>
      <c r="AP1210" t="s">
        <v>100</v>
      </c>
      <c r="AQ1210" t="s">
        <v>101</v>
      </c>
      <c r="AV1210" t="s">
        <v>98</v>
      </c>
      <c r="AX1210" t="s">
        <v>3190</v>
      </c>
      <c r="AZ1210" t="s">
        <v>102</v>
      </c>
      <c r="BB1210" t="s">
        <v>235</v>
      </c>
      <c r="BC1210" t="s">
        <v>3875</v>
      </c>
      <c r="BD1210" t="s">
        <v>7528</v>
      </c>
      <c r="BF1210" t="s">
        <v>3876</v>
      </c>
      <c r="BG1210" t="s">
        <v>98</v>
      </c>
      <c r="BH1210" t="s">
        <v>98</v>
      </c>
      <c r="BI1210" t="s">
        <v>98</v>
      </c>
      <c r="BJ1210" t="s">
        <v>99</v>
      </c>
      <c r="BK1210" t="s">
        <v>453</v>
      </c>
      <c r="BL1210" t="s">
        <v>128</v>
      </c>
      <c r="BM1210">
        <v>5</v>
      </c>
      <c r="BN1210">
        <v>7</v>
      </c>
      <c r="CA1210">
        <v>72571</v>
      </c>
      <c r="CB1210" t="s">
        <v>3190</v>
      </c>
      <c r="CL1210" t="s">
        <v>98</v>
      </c>
      <c r="CM1210" t="s">
        <v>98</v>
      </c>
      <c r="CN1210" t="s">
        <v>3227</v>
      </c>
      <c r="CO1210" s="1">
        <v>43048</v>
      </c>
      <c r="CP1210" s="1">
        <v>43633</v>
      </c>
    </row>
    <row r="1211" spans="1:94" x14ac:dyDescent="0.25">
      <c r="A1211" t="s">
        <v>3877</v>
      </c>
      <c r="B1211" t="str">
        <f xml:space="preserve"> "" &amp; 747396106151</f>
        <v>747396106151</v>
      </c>
      <c r="C1211" t="s">
        <v>3712</v>
      </c>
      <c r="D1211" t="s">
        <v>3878</v>
      </c>
      <c r="E1211" t="s">
        <v>3874</v>
      </c>
      <c r="F1211" t="s">
        <v>2823</v>
      </c>
      <c r="G1211">
        <v>1</v>
      </c>
      <c r="H1211">
        <v>1</v>
      </c>
      <c r="I1211" t="s">
        <v>97</v>
      </c>
      <c r="J1211" s="10">
        <v>86</v>
      </c>
      <c r="K1211" s="10">
        <v>258</v>
      </c>
      <c r="L1211" s="10">
        <v>0</v>
      </c>
      <c r="N1211" s="10">
        <v>0</v>
      </c>
      <c r="O1211" t="s">
        <v>99</v>
      </c>
      <c r="P1211" s="10">
        <v>179.95</v>
      </c>
      <c r="S1211">
        <v>12</v>
      </c>
      <c r="U1211">
        <v>8</v>
      </c>
      <c r="V1211">
        <v>9.25</v>
      </c>
      <c r="W1211">
        <v>4.1900000000000004</v>
      </c>
      <c r="X1211">
        <v>1</v>
      </c>
      <c r="Y1211">
        <v>15.5</v>
      </c>
      <c r="Z1211">
        <v>12.88</v>
      </c>
      <c r="AA1211">
        <v>11.63</v>
      </c>
      <c r="AB1211">
        <v>1.3440000000000001</v>
      </c>
      <c r="AC1211">
        <v>5.95</v>
      </c>
      <c r="AE1211">
        <v>3</v>
      </c>
      <c r="AF1211" t="s">
        <v>519</v>
      </c>
      <c r="AG1211">
        <v>60</v>
      </c>
      <c r="AK1211" t="s">
        <v>98</v>
      </c>
      <c r="AL1211">
        <v>1</v>
      </c>
      <c r="AM1211" t="s">
        <v>98</v>
      </c>
      <c r="AN1211" t="s">
        <v>99</v>
      </c>
      <c r="AO1211" t="s">
        <v>98</v>
      </c>
      <c r="AP1211" t="s">
        <v>100</v>
      </c>
      <c r="AQ1211" t="s">
        <v>101</v>
      </c>
      <c r="AV1211" t="s">
        <v>98</v>
      </c>
      <c r="AX1211" t="s">
        <v>3190</v>
      </c>
      <c r="AZ1211" t="s">
        <v>102</v>
      </c>
      <c r="BB1211" t="s">
        <v>235</v>
      </c>
      <c r="BC1211" t="s">
        <v>3875</v>
      </c>
      <c r="BD1211" t="s">
        <v>7528</v>
      </c>
      <c r="BF1211" t="s">
        <v>3879</v>
      </c>
      <c r="BG1211" t="s">
        <v>98</v>
      </c>
      <c r="BH1211" t="s">
        <v>98</v>
      </c>
      <c r="BI1211" t="s">
        <v>98</v>
      </c>
      <c r="BJ1211" t="s">
        <v>99</v>
      </c>
      <c r="BK1211" t="s">
        <v>453</v>
      </c>
      <c r="BL1211" t="s">
        <v>128</v>
      </c>
      <c r="BM1211">
        <v>5</v>
      </c>
      <c r="BN1211">
        <v>7</v>
      </c>
      <c r="CA1211">
        <v>72572</v>
      </c>
      <c r="CB1211" t="s">
        <v>3190</v>
      </c>
      <c r="CL1211" t="s">
        <v>98</v>
      </c>
      <c r="CM1211" t="s">
        <v>98</v>
      </c>
      <c r="CN1211" t="s">
        <v>3227</v>
      </c>
      <c r="CO1211" s="1">
        <v>43048</v>
      </c>
      <c r="CP1211" s="1">
        <v>43633</v>
      </c>
    </row>
    <row r="1212" spans="1:94" x14ac:dyDescent="0.25">
      <c r="A1212" t="s">
        <v>3880</v>
      </c>
      <c r="B1212" t="str">
        <f xml:space="preserve"> "" &amp; 747396106168</f>
        <v>747396106168</v>
      </c>
      <c r="C1212" t="s">
        <v>3569</v>
      </c>
      <c r="D1212" t="s">
        <v>3881</v>
      </c>
      <c r="E1212" t="s">
        <v>3874</v>
      </c>
      <c r="F1212" t="s">
        <v>2823</v>
      </c>
      <c r="G1212">
        <v>1</v>
      </c>
      <c r="H1212">
        <v>1</v>
      </c>
      <c r="I1212" t="s">
        <v>97</v>
      </c>
      <c r="J1212" s="10">
        <v>119</v>
      </c>
      <c r="K1212" s="10">
        <v>357</v>
      </c>
      <c r="L1212" s="10">
        <v>0</v>
      </c>
      <c r="N1212" s="10">
        <v>0</v>
      </c>
      <c r="O1212" t="s">
        <v>99</v>
      </c>
      <c r="P1212" s="10">
        <v>249.95</v>
      </c>
      <c r="S1212">
        <v>16.25</v>
      </c>
      <c r="U1212">
        <v>11</v>
      </c>
      <c r="V1212">
        <v>12</v>
      </c>
      <c r="W1212">
        <v>8.7100000000000009</v>
      </c>
      <c r="X1212">
        <v>1</v>
      </c>
      <c r="Y1212">
        <v>20.5</v>
      </c>
      <c r="Z1212">
        <v>15.75</v>
      </c>
      <c r="AA1212">
        <v>15</v>
      </c>
      <c r="AB1212">
        <v>2.8029999999999999</v>
      </c>
      <c r="AC1212">
        <v>11.35</v>
      </c>
      <c r="AE1212">
        <v>4</v>
      </c>
      <c r="AF1212" t="s">
        <v>519</v>
      </c>
      <c r="AG1212">
        <v>40</v>
      </c>
      <c r="AK1212" t="s">
        <v>98</v>
      </c>
      <c r="AL1212">
        <v>1</v>
      </c>
      <c r="AM1212" t="s">
        <v>98</v>
      </c>
      <c r="AN1212" t="s">
        <v>99</v>
      </c>
      <c r="AO1212" t="s">
        <v>98</v>
      </c>
      <c r="AP1212" t="s">
        <v>100</v>
      </c>
      <c r="AQ1212" t="s">
        <v>101</v>
      </c>
      <c r="AV1212" t="s">
        <v>98</v>
      </c>
      <c r="AX1212" t="s">
        <v>3190</v>
      </c>
      <c r="AZ1212" t="s">
        <v>102</v>
      </c>
      <c r="BB1212" t="s">
        <v>235</v>
      </c>
      <c r="BC1212" t="s">
        <v>3875</v>
      </c>
      <c r="BD1212" t="s">
        <v>7528</v>
      </c>
      <c r="BF1212" t="s">
        <v>3882</v>
      </c>
      <c r="BG1212" t="s">
        <v>98</v>
      </c>
      <c r="BH1212" t="s">
        <v>98</v>
      </c>
      <c r="BI1212" t="s">
        <v>98</v>
      </c>
      <c r="BJ1212" t="s">
        <v>99</v>
      </c>
      <c r="BK1212" t="s">
        <v>453</v>
      </c>
      <c r="BL1212" t="s">
        <v>128</v>
      </c>
      <c r="BM1212">
        <v>5.5</v>
      </c>
      <c r="BN1212">
        <v>9</v>
      </c>
      <c r="CA1212">
        <v>72573</v>
      </c>
      <c r="CB1212" t="s">
        <v>3190</v>
      </c>
      <c r="CL1212" t="s">
        <v>98</v>
      </c>
      <c r="CM1212" t="s">
        <v>98</v>
      </c>
      <c r="CN1212" t="s">
        <v>3227</v>
      </c>
      <c r="CO1212" s="1">
        <v>43048</v>
      </c>
      <c r="CP1212" s="1">
        <v>43633</v>
      </c>
    </row>
    <row r="1213" spans="1:94" x14ac:dyDescent="0.25">
      <c r="A1213" t="s">
        <v>3883</v>
      </c>
      <c r="B1213" t="str">
        <f xml:space="preserve"> "" &amp; 747396106182</f>
        <v>747396106182</v>
      </c>
      <c r="C1213" t="s">
        <v>3884</v>
      </c>
      <c r="D1213" t="s">
        <v>3885</v>
      </c>
      <c r="E1213" t="s">
        <v>3874</v>
      </c>
      <c r="F1213" t="s">
        <v>2823</v>
      </c>
      <c r="G1213">
        <v>1</v>
      </c>
      <c r="H1213">
        <v>1</v>
      </c>
      <c r="I1213" t="s">
        <v>97</v>
      </c>
      <c r="J1213" s="10">
        <v>119</v>
      </c>
      <c r="K1213" s="10">
        <v>357</v>
      </c>
      <c r="L1213" s="10">
        <v>0</v>
      </c>
      <c r="N1213" s="10">
        <v>0</v>
      </c>
      <c r="O1213" t="s">
        <v>99</v>
      </c>
      <c r="P1213" s="10">
        <v>249.95</v>
      </c>
      <c r="S1213">
        <v>18</v>
      </c>
      <c r="T1213">
        <v>11</v>
      </c>
      <c r="U1213">
        <v>11</v>
      </c>
      <c r="W1213">
        <v>9.26</v>
      </c>
      <c r="X1213">
        <v>1</v>
      </c>
      <c r="Y1213">
        <v>22.25</v>
      </c>
      <c r="Z1213">
        <v>15</v>
      </c>
      <c r="AA1213">
        <v>15</v>
      </c>
      <c r="AB1213">
        <v>2.8969999999999998</v>
      </c>
      <c r="AC1213">
        <v>12.13</v>
      </c>
      <c r="AE1213">
        <v>4</v>
      </c>
      <c r="AF1213" t="s">
        <v>519</v>
      </c>
      <c r="AG1213">
        <v>40</v>
      </c>
      <c r="AK1213" t="s">
        <v>98</v>
      </c>
      <c r="AM1213" t="s">
        <v>98</v>
      </c>
      <c r="AN1213" t="s">
        <v>99</v>
      </c>
      <c r="AO1213" t="s">
        <v>98</v>
      </c>
      <c r="AP1213" t="s">
        <v>100</v>
      </c>
      <c r="AQ1213" t="s">
        <v>101</v>
      </c>
      <c r="AV1213" t="s">
        <v>98</v>
      </c>
      <c r="AX1213" t="s">
        <v>3190</v>
      </c>
      <c r="AZ1213" t="s">
        <v>102</v>
      </c>
      <c r="BB1213" t="s">
        <v>235</v>
      </c>
      <c r="BC1213" t="s">
        <v>3875</v>
      </c>
      <c r="BD1213" t="s">
        <v>7528</v>
      </c>
      <c r="BF1213" t="s">
        <v>3886</v>
      </c>
      <c r="BG1213" t="s">
        <v>98</v>
      </c>
      <c r="BH1213" t="s">
        <v>98</v>
      </c>
      <c r="BI1213" t="s">
        <v>98</v>
      </c>
      <c r="BK1213" t="s">
        <v>127</v>
      </c>
      <c r="BL1213" t="s">
        <v>7528</v>
      </c>
      <c r="BR1213">
        <v>0.88</v>
      </c>
      <c r="BT1213">
        <v>5</v>
      </c>
      <c r="CA1213">
        <v>72574</v>
      </c>
      <c r="CB1213" t="s">
        <v>3190</v>
      </c>
      <c r="CL1213" t="s">
        <v>98</v>
      </c>
      <c r="CM1213" t="s">
        <v>98</v>
      </c>
      <c r="CN1213" t="s">
        <v>3227</v>
      </c>
      <c r="CO1213" s="1">
        <v>43048</v>
      </c>
      <c r="CP1213" s="1">
        <v>43633</v>
      </c>
    </row>
    <row r="1214" spans="1:94" x14ac:dyDescent="0.25">
      <c r="A1214" t="s">
        <v>3887</v>
      </c>
      <c r="B1214" t="str">
        <f xml:space="preserve"> "" &amp; 747396106175</f>
        <v>747396106175</v>
      </c>
      <c r="C1214" t="s">
        <v>3677</v>
      </c>
      <c r="D1214" t="s">
        <v>3888</v>
      </c>
      <c r="E1214" t="s">
        <v>3874</v>
      </c>
      <c r="F1214" t="s">
        <v>2823</v>
      </c>
      <c r="G1214">
        <v>1</v>
      </c>
      <c r="H1214">
        <v>1</v>
      </c>
      <c r="I1214" t="s">
        <v>97</v>
      </c>
      <c r="J1214" s="10">
        <v>119</v>
      </c>
      <c r="K1214" s="10">
        <v>357</v>
      </c>
      <c r="L1214" s="10">
        <v>0</v>
      </c>
      <c r="N1214" s="10">
        <v>0</v>
      </c>
      <c r="O1214" t="s">
        <v>99</v>
      </c>
      <c r="P1214" s="10">
        <v>249.95</v>
      </c>
      <c r="S1214">
        <v>21</v>
      </c>
      <c r="T1214">
        <v>11</v>
      </c>
      <c r="U1214">
        <v>11</v>
      </c>
      <c r="W1214">
        <v>7.61</v>
      </c>
      <c r="X1214">
        <v>1</v>
      </c>
      <c r="Y1214">
        <v>23.5</v>
      </c>
      <c r="Z1214">
        <v>15</v>
      </c>
      <c r="AA1214">
        <v>15</v>
      </c>
      <c r="AB1214">
        <v>3.06</v>
      </c>
      <c r="AC1214">
        <v>10.47</v>
      </c>
      <c r="AE1214">
        <v>4</v>
      </c>
      <c r="AF1214" t="s">
        <v>519</v>
      </c>
      <c r="AG1214">
        <v>40</v>
      </c>
      <c r="AK1214" t="s">
        <v>98</v>
      </c>
      <c r="AM1214" t="s">
        <v>98</v>
      </c>
      <c r="AN1214" t="s">
        <v>99</v>
      </c>
      <c r="AO1214" t="s">
        <v>98</v>
      </c>
      <c r="AP1214" t="s">
        <v>100</v>
      </c>
      <c r="AQ1214" t="s">
        <v>101</v>
      </c>
      <c r="AV1214" t="s">
        <v>98</v>
      </c>
      <c r="AX1214" t="s">
        <v>3190</v>
      </c>
      <c r="AZ1214" t="s">
        <v>102</v>
      </c>
      <c r="BB1214" t="s">
        <v>235</v>
      </c>
      <c r="BC1214" t="s">
        <v>3875</v>
      </c>
      <c r="BD1214" t="s">
        <v>7528</v>
      </c>
      <c r="BF1214" t="s">
        <v>3889</v>
      </c>
      <c r="BG1214" t="s">
        <v>98</v>
      </c>
      <c r="BH1214" t="s">
        <v>98</v>
      </c>
      <c r="BI1214" t="s">
        <v>98</v>
      </c>
      <c r="BJ1214" t="s">
        <v>99</v>
      </c>
      <c r="BK1214" t="s">
        <v>453</v>
      </c>
      <c r="BL1214" t="s">
        <v>7528</v>
      </c>
      <c r="CA1214">
        <v>72576</v>
      </c>
      <c r="CB1214" t="s">
        <v>3190</v>
      </c>
      <c r="CL1214" t="s">
        <v>98</v>
      </c>
      <c r="CM1214" t="s">
        <v>98</v>
      </c>
      <c r="CN1214" t="s">
        <v>3227</v>
      </c>
      <c r="CO1214" s="1">
        <v>43048</v>
      </c>
      <c r="CP1214" s="1">
        <v>43633</v>
      </c>
    </row>
    <row r="1215" spans="1:94" x14ac:dyDescent="0.25">
      <c r="A1215" t="s">
        <v>3890</v>
      </c>
      <c r="B1215" t="str">
        <f xml:space="preserve"> "" &amp; 747396106199</f>
        <v>747396106199</v>
      </c>
      <c r="C1215" t="s">
        <v>3349</v>
      </c>
      <c r="D1215" t="s">
        <v>3891</v>
      </c>
      <c r="E1215" t="s">
        <v>3892</v>
      </c>
      <c r="F1215" t="s">
        <v>2823</v>
      </c>
      <c r="G1215">
        <v>1</v>
      </c>
      <c r="H1215">
        <v>1</v>
      </c>
      <c r="I1215" t="s">
        <v>97</v>
      </c>
      <c r="J1215" s="10">
        <v>44</v>
      </c>
      <c r="K1215" s="10">
        <v>132</v>
      </c>
      <c r="L1215" s="10">
        <v>0</v>
      </c>
      <c r="N1215" s="10">
        <v>0</v>
      </c>
      <c r="O1215" t="s">
        <v>99</v>
      </c>
      <c r="P1215" s="10">
        <v>89.95</v>
      </c>
      <c r="S1215">
        <v>11.25</v>
      </c>
      <c r="U1215">
        <v>5.5</v>
      </c>
      <c r="V1215">
        <v>6.75</v>
      </c>
      <c r="W1215">
        <v>3.42</v>
      </c>
      <c r="X1215">
        <v>1</v>
      </c>
      <c r="Y1215">
        <v>14.5</v>
      </c>
      <c r="Z1215">
        <v>10</v>
      </c>
      <c r="AA1215">
        <v>8.6300000000000008</v>
      </c>
      <c r="AB1215">
        <v>0.72399999999999998</v>
      </c>
      <c r="AC1215">
        <v>5.07</v>
      </c>
      <c r="AE1215">
        <v>1</v>
      </c>
      <c r="AF1215" t="s">
        <v>282</v>
      </c>
      <c r="AG1215">
        <v>100</v>
      </c>
      <c r="AK1215" t="s">
        <v>98</v>
      </c>
      <c r="AM1215" t="s">
        <v>98</v>
      </c>
      <c r="AN1215" t="s">
        <v>99</v>
      </c>
      <c r="AO1215" t="s">
        <v>98</v>
      </c>
      <c r="AP1215" t="s">
        <v>100</v>
      </c>
      <c r="AQ1215" t="s">
        <v>101</v>
      </c>
      <c r="AV1215" t="s">
        <v>98</v>
      </c>
      <c r="AX1215" t="s">
        <v>3190</v>
      </c>
      <c r="AZ1215" t="s">
        <v>102</v>
      </c>
      <c r="BB1215" t="s">
        <v>235</v>
      </c>
      <c r="BC1215" t="s">
        <v>746</v>
      </c>
      <c r="BD1215" t="s">
        <v>7528</v>
      </c>
      <c r="BF1215" t="s">
        <v>3893</v>
      </c>
      <c r="BG1215" t="s">
        <v>98</v>
      </c>
      <c r="BH1215" t="s">
        <v>98</v>
      </c>
      <c r="BI1215" t="s">
        <v>98</v>
      </c>
      <c r="BJ1215" t="s">
        <v>99</v>
      </c>
      <c r="BK1215" t="s">
        <v>453</v>
      </c>
      <c r="BL1215" t="s">
        <v>7528</v>
      </c>
      <c r="BM1215">
        <v>4.5</v>
      </c>
      <c r="BN1215">
        <v>11.13</v>
      </c>
      <c r="CA1215">
        <v>72581</v>
      </c>
      <c r="CB1215" t="s">
        <v>3190</v>
      </c>
      <c r="CL1215" t="s">
        <v>98</v>
      </c>
      <c r="CM1215" t="s">
        <v>98</v>
      </c>
      <c r="CN1215" t="s">
        <v>3227</v>
      </c>
      <c r="CO1215" s="1">
        <v>43048</v>
      </c>
      <c r="CP1215" s="1">
        <v>43633</v>
      </c>
    </row>
    <row r="1216" spans="1:94" x14ac:dyDescent="0.25">
      <c r="A1216" t="s">
        <v>3894</v>
      </c>
      <c r="B1216" t="str">
        <f xml:space="preserve"> "" &amp; 747396106205</f>
        <v>747396106205</v>
      </c>
      <c r="C1216" t="s">
        <v>3895</v>
      </c>
      <c r="D1216" t="s">
        <v>3896</v>
      </c>
      <c r="E1216" t="s">
        <v>3892</v>
      </c>
      <c r="F1216" t="s">
        <v>2823</v>
      </c>
      <c r="G1216">
        <v>1</v>
      </c>
      <c r="H1216">
        <v>1</v>
      </c>
      <c r="I1216" t="s">
        <v>97</v>
      </c>
      <c r="J1216" s="10">
        <v>75</v>
      </c>
      <c r="K1216" s="10">
        <v>225</v>
      </c>
      <c r="L1216" s="10">
        <v>0</v>
      </c>
      <c r="N1216" s="10">
        <v>0</v>
      </c>
      <c r="O1216" t="s">
        <v>99</v>
      </c>
      <c r="P1216" s="10">
        <v>159.94999999999999</v>
      </c>
      <c r="S1216">
        <v>17</v>
      </c>
      <c r="U1216">
        <v>7</v>
      </c>
      <c r="V1216">
        <v>9</v>
      </c>
      <c r="W1216">
        <v>6.61</v>
      </c>
      <c r="X1216">
        <v>1</v>
      </c>
      <c r="Y1216">
        <v>21</v>
      </c>
      <c r="Z1216">
        <v>12.38</v>
      </c>
      <c r="AA1216">
        <v>11</v>
      </c>
      <c r="AB1216">
        <v>1.655</v>
      </c>
      <c r="AC1216">
        <v>9.0399999999999991</v>
      </c>
      <c r="AE1216">
        <v>4</v>
      </c>
      <c r="AF1216" t="s">
        <v>519</v>
      </c>
      <c r="AG1216">
        <v>40</v>
      </c>
      <c r="AK1216" t="s">
        <v>98</v>
      </c>
      <c r="AM1216" t="s">
        <v>98</v>
      </c>
      <c r="AN1216" t="s">
        <v>99</v>
      </c>
      <c r="AO1216" t="s">
        <v>98</v>
      </c>
      <c r="AP1216" t="s">
        <v>100</v>
      </c>
      <c r="AQ1216" t="s">
        <v>101</v>
      </c>
      <c r="AV1216" t="s">
        <v>98</v>
      </c>
      <c r="AX1216" t="s">
        <v>3190</v>
      </c>
      <c r="AZ1216" t="s">
        <v>124</v>
      </c>
      <c r="BB1216" t="s">
        <v>235</v>
      </c>
      <c r="BC1216" t="s">
        <v>746</v>
      </c>
      <c r="BD1216" t="s">
        <v>7528</v>
      </c>
      <c r="BF1216" t="s">
        <v>3897</v>
      </c>
      <c r="BG1216" t="s">
        <v>98</v>
      </c>
      <c r="BH1216" t="s">
        <v>98</v>
      </c>
      <c r="BI1216" t="s">
        <v>98</v>
      </c>
      <c r="BJ1216" t="s">
        <v>99</v>
      </c>
      <c r="BK1216" t="s">
        <v>453</v>
      </c>
      <c r="BL1216" t="s">
        <v>7528</v>
      </c>
      <c r="BM1216">
        <v>5</v>
      </c>
      <c r="BN1216">
        <v>17</v>
      </c>
      <c r="CA1216">
        <v>72582</v>
      </c>
      <c r="CB1216" t="s">
        <v>3190</v>
      </c>
      <c r="CL1216" t="s">
        <v>98</v>
      </c>
      <c r="CM1216" t="s">
        <v>98</v>
      </c>
      <c r="CN1216" t="s">
        <v>3227</v>
      </c>
      <c r="CO1216" s="1">
        <v>43048</v>
      </c>
      <c r="CP1216" s="1">
        <v>43633</v>
      </c>
    </row>
    <row r="1217" spans="1:94" x14ac:dyDescent="0.25">
      <c r="A1217" t="s">
        <v>3898</v>
      </c>
      <c r="B1217" t="str">
        <f xml:space="preserve"> "" &amp; 747396106212</f>
        <v>747396106212</v>
      </c>
      <c r="C1217" t="s">
        <v>3899</v>
      </c>
      <c r="D1217" t="s">
        <v>3900</v>
      </c>
      <c r="E1217" t="s">
        <v>3892</v>
      </c>
      <c r="F1217" t="s">
        <v>2823</v>
      </c>
      <c r="G1217">
        <v>1</v>
      </c>
      <c r="H1217">
        <v>1</v>
      </c>
      <c r="I1217" t="s">
        <v>97</v>
      </c>
      <c r="J1217" s="10">
        <v>110</v>
      </c>
      <c r="K1217" s="10">
        <v>330</v>
      </c>
      <c r="L1217" s="10">
        <v>0</v>
      </c>
      <c r="N1217" s="10">
        <v>0</v>
      </c>
      <c r="O1217" t="s">
        <v>99</v>
      </c>
      <c r="P1217" s="10">
        <v>229.95</v>
      </c>
      <c r="S1217">
        <v>22</v>
      </c>
      <c r="U1217">
        <v>9</v>
      </c>
      <c r="V1217">
        <v>11.25</v>
      </c>
      <c r="W1217">
        <v>10.69</v>
      </c>
      <c r="X1217">
        <v>1</v>
      </c>
      <c r="Y1217">
        <v>26.5</v>
      </c>
      <c r="Z1217">
        <v>15</v>
      </c>
      <c r="AA1217">
        <v>13.38</v>
      </c>
      <c r="AB1217">
        <v>3.0779999999999998</v>
      </c>
      <c r="AC1217">
        <v>14.66</v>
      </c>
      <c r="AE1217">
        <v>5</v>
      </c>
      <c r="AF1217" t="s">
        <v>519</v>
      </c>
      <c r="AG1217">
        <v>40</v>
      </c>
      <c r="AK1217" t="s">
        <v>98</v>
      </c>
      <c r="AM1217" t="s">
        <v>98</v>
      </c>
      <c r="AN1217" t="s">
        <v>99</v>
      </c>
      <c r="AO1217" t="s">
        <v>98</v>
      </c>
      <c r="AP1217" t="s">
        <v>100</v>
      </c>
      <c r="AQ1217" t="s">
        <v>101</v>
      </c>
      <c r="AV1217" t="s">
        <v>98</v>
      </c>
      <c r="AX1217" t="s">
        <v>3190</v>
      </c>
      <c r="AZ1217" t="s">
        <v>102</v>
      </c>
      <c r="BB1217" t="s">
        <v>235</v>
      </c>
      <c r="BC1217" t="s">
        <v>746</v>
      </c>
      <c r="BD1217" t="s">
        <v>7528</v>
      </c>
      <c r="BF1217" t="s">
        <v>3901</v>
      </c>
      <c r="BG1217" t="s">
        <v>98</v>
      </c>
      <c r="BH1217" t="s">
        <v>98</v>
      </c>
      <c r="BI1217" t="s">
        <v>98</v>
      </c>
      <c r="BJ1217" t="s">
        <v>99</v>
      </c>
      <c r="BK1217" t="s">
        <v>453</v>
      </c>
      <c r="BL1217" t="s">
        <v>7528</v>
      </c>
      <c r="BM1217">
        <v>5.88</v>
      </c>
      <c r="BN1217">
        <v>22</v>
      </c>
      <c r="CA1217">
        <v>72583</v>
      </c>
      <c r="CB1217" t="s">
        <v>3190</v>
      </c>
      <c r="CL1217" t="s">
        <v>98</v>
      </c>
      <c r="CM1217" t="s">
        <v>99</v>
      </c>
      <c r="CN1217" t="s">
        <v>3227</v>
      </c>
      <c r="CO1217" s="1">
        <v>43049</v>
      </c>
      <c r="CP1217" s="1">
        <v>43633</v>
      </c>
    </row>
    <row r="1218" spans="1:94" x14ac:dyDescent="0.25">
      <c r="A1218" t="s">
        <v>3902</v>
      </c>
      <c r="B1218" t="str">
        <f xml:space="preserve"> "" &amp; 747396106236</f>
        <v>747396106236</v>
      </c>
      <c r="C1218" t="s">
        <v>3884</v>
      </c>
      <c r="D1218" t="s">
        <v>3903</v>
      </c>
      <c r="E1218" t="s">
        <v>3892</v>
      </c>
      <c r="F1218" t="s">
        <v>2823</v>
      </c>
      <c r="G1218">
        <v>1</v>
      </c>
      <c r="H1218">
        <v>1</v>
      </c>
      <c r="I1218" t="s">
        <v>97</v>
      </c>
      <c r="J1218" s="10">
        <v>77</v>
      </c>
      <c r="K1218" s="10">
        <v>231</v>
      </c>
      <c r="L1218" s="10">
        <v>0</v>
      </c>
      <c r="N1218" s="10">
        <v>0</v>
      </c>
      <c r="O1218" t="s">
        <v>99</v>
      </c>
      <c r="P1218" s="10">
        <v>159.94999999999999</v>
      </c>
      <c r="S1218">
        <v>19.25</v>
      </c>
      <c r="T1218">
        <v>7</v>
      </c>
      <c r="U1218">
        <v>7</v>
      </c>
      <c r="W1218">
        <v>7.05</v>
      </c>
      <c r="X1218">
        <v>1</v>
      </c>
      <c r="Y1218">
        <v>23.25</v>
      </c>
      <c r="Z1218">
        <v>11</v>
      </c>
      <c r="AA1218">
        <v>11</v>
      </c>
      <c r="AB1218">
        <v>1.6279999999999999</v>
      </c>
      <c r="AC1218">
        <v>9.59</v>
      </c>
      <c r="AE1218">
        <v>4</v>
      </c>
      <c r="AF1218" t="s">
        <v>519</v>
      </c>
      <c r="AG1218">
        <v>40</v>
      </c>
      <c r="AK1218" t="s">
        <v>98</v>
      </c>
      <c r="AM1218" t="s">
        <v>98</v>
      </c>
      <c r="AN1218" t="s">
        <v>99</v>
      </c>
      <c r="AO1218" t="s">
        <v>98</v>
      </c>
      <c r="AP1218" t="s">
        <v>100</v>
      </c>
      <c r="AQ1218" t="s">
        <v>101</v>
      </c>
      <c r="AV1218" t="s">
        <v>98</v>
      </c>
      <c r="AX1218" t="s">
        <v>3190</v>
      </c>
      <c r="AZ1218" t="s">
        <v>102</v>
      </c>
      <c r="BB1218" t="s">
        <v>235</v>
      </c>
      <c r="BC1218" t="s">
        <v>746</v>
      </c>
      <c r="BD1218" t="s">
        <v>7528</v>
      </c>
      <c r="BF1218" t="s">
        <v>3904</v>
      </c>
      <c r="BG1218" t="s">
        <v>98</v>
      </c>
      <c r="BH1218" t="s">
        <v>98</v>
      </c>
      <c r="BI1218" t="s">
        <v>98</v>
      </c>
      <c r="BK1218" t="s">
        <v>127</v>
      </c>
      <c r="BL1218" t="s">
        <v>7528</v>
      </c>
      <c r="BR1218">
        <v>0.75</v>
      </c>
      <c r="BS1218">
        <v>4.5</v>
      </c>
      <c r="BT1218">
        <v>4.5</v>
      </c>
      <c r="CA1218">
        <v>72584</v>
      </c>
      <c r="CB1218" t="s">
        <v>3190</v>
      </c>
      <c r="CL1218" t="s">
        <v>98</v>
      </c>
      <c r="CM1218" t="s">
        <v>98</v>
      </c>
      <c r="CN1218" t="s">
        <v>3227</v>
      </c>
      <c r="CO1218" s="1">
        <v>43049</v>
      </c>
      <c r="CP1218" s="1">
        <v>43633</v>
      </c>
    </row>
    <row r="1219" spans="1:94" x14ac:dyDescent="0.25">
      <c r="A1219" t="s">
        <v>3905</v>
      </c>
      <c r="B1219" t="str">
        <f xml:space="preserve"> "" &amp; 747396106229</f>
        <v>747396106229</v>
      </c>
      <c r="C1219" t="s">
        <v>3677</v>
      </c>
      <c r="D1219" t="s">
        <v>6850</v>
      </c>
      <c r="E1219" t="s">
        <v>3892</v>
      </c>
      <c r="F1219" t="s">
        <v>2823</v>
      </c>
      <c r="G1219">
        <v>1</v>
      </c>
      <c r="H1219">
        <v>1</v>
      </c>
      <c r="I1219" t="s">
        <v>97</v>
      </c>
      <c r="J1219" s="10">
        <v>77</v>
      </c>
      <c r="K1219" s="10">
        <v>231</v>
      </c>
      <c r="L1219" s="10">
        <v>0</v>
      </c>
      <c r="N1219" s="10">
        <v>0</v>
      </c>
      <c r="O1219" t="s">
        <v>99</v>
      </c>
      <c r="P1219" s="10">
        <v>159.94999999999999</v>
      </c>
      <c r="S1219">
        <v>19.5</v>
      </c>
      <c r="T1219">
        <v>7</v>
      </c>
      <c r="U1219">
        <v>7</v>
      </c>
      <c r="W1219">
        <v>5.95</v>
      </c>
      <c r="X1219">
        <v>1</v>
      </c>
      <c r="Y1219">
        <v>23.25</v>
      </c>
      <c r="Z1219">
        <v>11</v>
      </c>
      <c r="AA1219">
        <v>11</v>
      </c>
      <c r="AB1219">
        <v>1.6279999999999999</v>
      </c>
      <c r="AC1219">
        <v>8.49</v>
      </c>
      <c r="AE1219">
        <v>4</v>
      </c>
      <c r="AF1219" t="s">
        <v>519</v>
      </c>
      <c r="AG1219">
        <v>40</v>
      </c>
      <c r="AK1219" t="s">
        <v>98</v>
      </c>
      <c r="AM1219" t="s">
        <v>98</v>
      </c>
      <c r="AN1219" t="s">
        <v>99</v>
      </c>
      <c r="AO1219" t="s">
        <v>98</v>
      </c>
      <c r="AP1219" t="s">
        <v>100</v>
      </c>
      <c r="AQ1219" t="s">
        <v>101</v>
      </c>
      <c r="AV1219" t="s">
        <v>98</v>
      </c>
      <c r="AX1219" t="s">
        <v>3190</v>
      </c>
      <c r="AZ1219" t="s">
        <v>102</v>
      </c>
      <c r="BB1219" t="s">
        <v>235</v>
      </c>
      <c r="BC1219" t="s">
        <v>746</v>
      </c>
      <c r="BD1219" t="s">
        <v>7528</v>
      </c>
      <c r="BF1219" t="s">
        <v>3906</v>
      </c>
      <c r="BG1219" t="s">
        <v>98</v>
      </c>
      <c r="BH1219" t="s">
        <v>98</v>
      </c>
      <c r="BI1219" t="s">
        <v>98</v>
      </c>
      <c r="BJ1219" t="s">
        <v>99</v>
      </c>
      <c r="BK1219" t="s">
        <v>453</v>
      </c>
      <c r="BL1219" t="s">
        <v>7528</v>
      </c>
      <c r="CA1219">
        <v>72586</v>
      </c>
      <c r="CB1219" t="s">
        <v>3190</v>
      </c>
      <c r="CL1219" t="s">
        <v>98</v>
      </c>
      <c r="CM1219" t="s">
        <v>98</v>
      </c>
      <c r="CN1219" t="s">
        <v>3227</v>
      </c>
      <c r="CO1219" s="1">
        <v>43049</v>
      </c>
      <c r="CP1219" s="1">
        <v>43633</v>
      </c>
    </row>
    <row r="1220" spans="1:94" x14ac:dyDescent="0.25">
      <c r="A1220" t="s">
        <v>3907</v>
      </c>
      <c r="B1220" t="str">
        <f xml:space="preserve"> "" &amp; 747396106243</f>
        <v>747396106243</v>
      </c>
      <c r="C1220" t="s">
        <v>3185</v>
      </c>
      <c r="D1220" t="s">
        <v>3908</v>
      </c>
      <c r="E1220" t="s">
        <v>3909</v>
      </c>
      <c r="F1220" t="s">
        <v>2823</v>
      </c>
      <c r="G1220">
        <v>1</v>
      </c>
      <c r="H1220">
        <v>1</v>
      </c>
      <c r="I1220" t="s">
        <v>97</v>
      </c>
      <c r="J1220" s="10">
        <v>59</v>
      </c>
      <c r="K1220" s="10">
        <v>177</v>
      </c>
      <c r="L1220" s="10">
        <v>0</v>
      </c>
      <c r="N1220" s="10">
        <v>0</v>
      </c>
      <c r="O1220" t="s">
        <v>99</v>
      </c>
      <c r="P1220" s="10">
        <v>124.95</v>
      </c>
      <c r="S1220">
        <v>14.75</v>
      </c>
      <c r="U1220">
        <v>6.5</v>
      </c>
      <c r="V1220">
        <v>7.5</v>
      </c>
      <c r="W1220">
        <v>4.1900000000000004</v>
      </c>
      <c r="X1220">
        <v>1</v>
      </c>
      <c r="Y1220">
        <v>18.5</v>
      </c>
      <c r="Z1220">
        <v>11.25</v>
      </c>
      <c r="AA1220">
        <v>10.25</v>
      </c>
      <c r="AB1220">
        <v>1.2350000000000001</v>
      </c>
      <c r="AC1220">
        <v>6.5</v>
      </c>
      <c r="AE1220">
        <v>1</v>
      </c>
      <c r="AF1220" t="s">
        <v>466</v>
      </c>
      <c r="AG1220">
        <v>100</v>
      </c>
      <c r="AK1220" t="s">
        <v>98</v>
      </c>
      <c r="AL1220">
        <v>1</v>
      </c>
      <c r="AM1220" t="s">
        <v>98</v>
      </c>
      <c r="AN1220" t="s">
        <v>99</v>
      </c>
      <c r="AO1220" t="s">
        <v>98</v>
      </c>
      <c r="AP1220" t="s">
        <v>100</v>
      </c>
      <c r="AQ1220" t="s">
        <v>101</v>
      </c>
      <c r="AV1220" t="s">
        <v>98</v>
      </c>
      <c r="AX1220" t="s">
        <v>3190</v>
      </c>
      <c r="AZ1220" t="s">
        <v>102</v>
      </c>
      <c r="BB1220" t="s">
        <v>235</v>
      </c>
      <c r="BC1220" t="s">
        <v>746</v>
      </c>
      <c r="BD1220" t="s">
        <v>7528</v>
      </c>
      <c r="BF1220" t="s">
        <v>3910</v>
      </c>
      <c r="BG1220" t="s">
        <v>98</v>
      </c>
      <c r="BH1220" t="s">
        <v>98</v>
      </c>
      <c r="BI1220" t="s">
        <v>98</v>
      </c>
      <c r="BJ1220" t="s">
        <v>99</v>
      </c>
      <c r="BK1220" t="s">
        <v>453</v>
      </c>
      <c r="BL1220" t="s">
        <v>128</v>
      </c>
      <c r="BM1220">
        <v>4.5</v>
      </c>
      <c r="BN1220">
        <v>8.8800000000000008</v>
      </c>
      <c r="CA1220">
        <v>72591</v>
      </c>
      <c r="CB1220" t="s">
        <v>3190</v>
      </c>
      <c r="CL1220" t="s">
        <v>99</v>
      </c>
      <c r="CM1220" t="s">
        <v>98</v>
      </c>
      <c r="CN1220" t="s">
        <v>3911</v>
      </c>
      <c r="CO1220" s="1">
        <v>43049</v>
      </c>
      <c r="CP1220" s="1">
        <v>43633</v>
      </c>
    </row>
    <row r="1221" spans="1:94" x14ac:dyDescent="0.25">
      <c r="A1221" t="s">
        <v>3912</v>
      </c>
      <c r="B1221" t="str">
        <f xml:space="preserve"> "" &amp; 747396106250</f>
        <v>747396106250</v>
      </c>
      <c r="C1221" t="s">
        <v>3569</v>
      </c>
      <c r="D1221" t="s">
        <v>3913</v>
      </c>
      <c r="E1221" t="s">
        <v>3909</v>
      </c>
      <c r="F1221" t="s">
        <v>2823</v>
      </c>
      <c r="G1221">
        <v>1</v>
      </c>
      <c r="H1221">
        <v>1</v>
      </c>
      <c r="I1221" t="s">
        <v>97</v>
      </c>
      <c r="J1221" s="10">
        <v>119</v>
      </c>
      <c r="K1221" s="10">
        <v>357</v>
      </c>
      <c r="L1221" s="10">
        <v>0</v>
      </c>
      <c r="N1221" s="10">
        <v>0</v>
      </c>
      <c r="O1221" t="s">
        <v>99</v>
      </c>
      <c r="P1221" s="10">
        <v>249.95</v>
      </c>
      <c r="S1221">
        <v>20.75</v>
      </c>
      <c r="U1221">
        <v>8.5</v>
      </c>
      <c r="V1221">
        <v>9.5</v>
      </c>
      <c r="W1221">
        <v>8.49</v>
      </c>
      <c r="X1221">
        <v>1</v>
      </c>
      <c r="Y1221">
        <v>24.63</v>
      </c>
      <c r="Z1221">
        <v>13.38</v>
      </c>
      <c r="AA1221">
        <v>12.63</v>
      </c>
      <c r="AB1221">
        <v>2.4089999999999998</v>
      </c>
      <c r="AC1221">
        <v>10.69</v>
      </c>
      <c r="AE1221">
        <v>4</v>
      </c>
      <c r="AF1221" t="s">
        <v>519</v>
      </c>
      <c r="AG1221">
        <v>40</v>
      </c>
      <c r="AK1221" t="s">
        <v>98</v>
      </c>
      <c r="AL1221">
        <v>1</v>
      </c>
      <c r="AM1221" t="s">
        <v>98</v>
      </c>
      <c r="AN1221" t="s">
        <v>99</v>
      </c>
      <c r="AO1221" t="s">
        <v>98</v>
      </c>
      <c r="AP1221" t="s">
        <v>100</v>
      </c>
      <c r="AQ1221" t="s">
        <v>101</v>
      </c>
      <c r="AV1221" t="s">
        <v>98</v>
      </c>
      <c r="AX1221" t="s">
        <v>3190</v>
      </c>
      <c r="AZ1221" t="s">
        <v>102</v>
      </c>
      <c r="BB1221" t="s">
        <v>235</v>
      </c>
      <c r="BC1221" t="s">
        <v>746</v>
      </c>
      <c r="BD1221" t="s">
        <v>7528</v>
      </c>
      <c r="BF1221" t="s">
        <v>3914</v>
      </c>
      <c r="BG1221" t="s">
        <v>98</v>
      </c>
      <c r="BH1221" t="s">
        <v>98</v>
      </c>
      <c r="BI1221" t="s">
        <v>98</v>
      </c>
      <c r="BJ1221" t="s">
        <v>99</v>
      </c>
      <c r="BK1221" t="s">
        <v>453</v>
      </c>
      <c r="BL1221" t="s">
        <v>128</v>
      </c>
      <c r="BM1221">
        <v>5.5</v>
      </c>
      <c r="BN1221">
        <v>13.13</v>
      </c>
      <c r="CA1221">
        <v>72592</v>
      </c>
      <c r="CB1221" t="s">
        <v>3190</v>
      </c>
      <c r="CL1221" t="s">
        <v>99</v>
      </c>
      <c r="CM1221" t="s">
        <v>98</v>
      </c>
      <c r="CN1221" t="s">
        <v>3911</v>
      </c>
      <c r="CO1221" s="1">
        <v>43049</v>
      </c>
      <c r="CP1221" s="1">
        <v>43633</v>
      </c>
    </row>
    <row r="1222" spans="1:94" x14ac:dyDescent="0.25">
      <c r="A1222" t="s">
        <v>3915</v>
      </c>
      <c r="B1222" t="str">
        <f xml:space="preserve"> "" &amp; 747396106267</f>
        <v>747396106267</v>
      </c>
      <c r="C1222" t="s">
        <v>3569</v>
      </c>
      <c r="D1222" t="s">
        <v>3913</v>
      </c>
      <c r="E1222" t="s">
        <v>3909</v>
      </c>
      <c r="F1222" t="s">
        <v>2823</v>
      </c>
      <c r="G1222">
        <v>1</v>
      </c>
      <c r="H1222">
        <v>1</v>
      </c>
      <c r="I1222" t="s">
        <v>97</v>
      </c>
      <c r="J1222" s="10">
        <v>149</v>
      </c>
      <c r="K1222" s="10">
        <v>447</v>
      </c>
      <c r="L1222" s="10">
        <v>0</v>
      </c>
      <c r="N1222" s="10">
        <v>0</v>
      </c>
      <c r="O1222" t="s">
        <v>99</v>
      </c>
      <c r="P1222" s="10">
        <v>314.95</v>
      </c>
      <c r="S1222">
        <v>25.5</v>
      </c>
      <c r="U1222">
        <v>10.5</v>
      </c>
      <c r="V1222">
        <v>11.75</v>
      </c>
      <c r="W1222">
        <v>12.13</v>
      </c>
      <c r="X1222">
        <v>1</v>
      </c>
      <c r="Y1222">
        <v>29.75</v>
      </c>
      <c r="Z1222">
        <v>16.13</v>
      </c>
      <c r="AA1222">
        <v>15</v>
      </c>
      <c r="AB1222">
        <v>4.1660000000000004</v>
      </c>
      <c r="AC1222">
        <v>15.54</v>
      </c>
      <c r="AE1222">
        <v>4</v>
      </c>
      <c r="AF1222" t="s">
        <v>519</v>
      </c>
      <c r="AG1222">
        <v>40</v>
      </c>
      <c r="AK1222" t="s">
        <v>98</v>
      </c>
      <c r="AL1222">
        <v>1</v>
      </c>
      <c r="AM1222" t="s">
        <v>98</v>
      </c>
      <c r="AN1222" t="s">
        <v>99</v>
      </c>
      <c r="AO1222" t="s">
        <v>98</v>
      </c>
      <c r="AP1222" t="s">
        <v>100</v>
      </c>
      <c r="AQ1222" t="s">
        <v>101</v>
      </c>
      <c r="AV1222" t="s">
        <v>98</v>
      </c>
      <c r="AX1222" t="s">
        <v>3190</v>
      </c>
      <c r="AZ1222" t="s">
        <v>102</v>
      </c>
      <c r="BB1222" t="s">
        <v>235</v>
      </c>
      <c r="BC1222" t="s">
        <v>746</v>
      </c>
      <c r="BD1222" t="s">
        <v>7528</v>
      </c>
      <c r="BF1222" t="s">
        <v>3916</v>
      </c>
      <c r="BG1222" t="s">
        <v>98</v>
      </c>
      <c r="BH1222" t="s">
        <v>98</v>
      </c>
      <c r="BI1222" t="s">
        <v>98</v>
      </c>
      <c r="BJ1222" t="s">
        <v>99</v>
      </c>
      <c r="BK1222" t="s">
        <v>453</v>
      </c>
      <c r="BL1222" t="s">
        <v>128</v>
      </c>
      <c r="BM1222">
        <v>5.5</v>
      </c>
      <c r="BN1222">
        <v>16.13</v>
      </c>
      <c r="CA1222">
        <v>72593</v>
      </c>
      <c r="CB1222" t="s">
        <v>3190</v>
      </c>
      <c r="CL1222" t="s">
        <v>99</v>
      </c>
      <c r="CM1222" t="s">
        <v>98</v>
      </c>
      <c r="CN1222" t="s">
        <v>3911</v>
      </c>
      <c r="CO1222" s="1">
        <v>43049</v>
      </c>
      <c r="CP1222" s="1">
        <v>43633</v>
      </c>
    </row>
    <row r="1223" spans="1:94" x14ac:dyDescent="0.25">
      <c r="A1223" t="s">
        <v>3917</v>
      </c>
      <c r="B1223" t="str">
        <f xml:space="preserve"> "" &amp; 747396106281</f>
        <v>747396106281</v>
      </c>
      <c r="C1223" t="s">
        <v>3884</v>
      </c>
      <c r="D1223" t="s">
        <v>3918</v>
      </c>
      <c r="E1223" t="s">
        <v>3909</v>
      </c>
      <c r="F1223" t="s">
        <v>2823</v>
      </c>
      <c r="G1223">
        <v>1</v>
      </c>
      <c r="H1223">
        <v>1</v>
      </c>
      <c r="I1223" t="s">
        <v>97</v>
      </c>
      <c r="J1223" s="10">
        <v>119</v>
      </c>
      <c r="K1223" s="10">
        <v>357</v>
      </c>
      <c r="L1223" s="10">
        <v>0</v>
      </c>
      <c r="N1223" s="10">
        <v>0</v>
      </c>
      <c r="O1223" t="s">
        <v>99</v>
      </c>
      <c r="P1223" s="10">
        <v>249.95</v>
      </c>
      <c r="S1223">
        <v>19.75</v>
      </c>
      <c r="T1223">
        <v>8.5</v>
      </c>
      <c r="U1223">
        <v>8.5</v>
      </c>
      <c r="W1223">
        <v>8.0500000000000007</v>
      </c>
      <c r="X1223">
        <v>1</v>
      </c>
      <c r="Y1223">
        <v>23.75</v>
      </c>
      <c r="Z1223">
        <v>12.63</v>
      </c>
      <c r="AA1223">
        <v>12.63</v>
      </c>
      <c r="AB1223">
        <v>2.1920000000000002</v>
      </c>
      <c r="AC1223">
        <v>10.029999999999999</v>
      </c>
      <c r="AE1223">
        <v>4</v>
      </c>
      <c r="AF1223" t="s">
        <v>519</v>
      </c>
      <c r="AG1223">
        <v>40</v>
      </c>
      <c r="AK1223" t="s">
        <v>98</v>
      </c>
      <c r="AM1223" t="s">
        <v>98</v>
      </c>
      <c r="AN1223" t="s">
        <v>99</v>
      </c>
      <c r="AO1223" t="s">
        <v>98</v>
      </c>
      <c r="AP1223" t="s">
        <v>100</v>
      </c>
      <c r="AQ1223" t="s">
        <v>101</v>
      </c>
      <c r="AV1223" t="s">
        <v>98</v>
      </c>
      <c r="AX1223" t="s">
        <v>3190</v>
      </c>
      <c r="AZ1223" t="s">
        <v>102</v>
      </c>
      <c r="BB1223" t="s">
        <v>235</v>
      </c>
      <c r="BC1223" t="s">
        <v>746</v>
      </c>
      <c r="BD1223" t="s">
        <v>7528</v>
      </c>
      <c r="BF1223" t="s">
        <v>3919</v>
      </c>
      <c r="BG1223" t="s">
        <v>98</v>
      </c>
      <c r="BH1223" t="s">
        <v>98</v>
      </c>
      <c r="BI1223" t="s">
        <v>98</v>
      </c>
      <c r="BK1223" t="s">
        <v>127</v>
      </c>
      <c r="BL1223" t="s">
        <v>7528</v>
      </c>
      <c r="BR1223">
        <v>0.88</v>
      </c>
      <c r="BT1223">
        <v>5</v>
      </c>
      <c r="CA1223">
        <v>72594</v>
      </c>
      <c r="CB1223" t="s">
        <v>3190</v>
      </c>
      <c r="CL1223" t="s">
        <v>99</v>
      </c>
      <c r="CM1223" t="s">
        <v>99</v>
      </c>
      <c r="CN1223" t="s">
        <v>3911</v>
      </c>
      <c r="CO1223" s="1">
        <v>43049</v>
      </c>
      <c r="CP1223" s="1">
        <v>43633</v>
      </c>
    </row>
    <row r="1224" spans="1:94" x14ac:dyDescent="0.25">
      <c r="A1224" t="s">
        <v>3920</v>
      </c>
      <c r="B1224" t="str">
        <f xml:space="preserve"> "" &amp; 747396106274</f>
        <v>747396106274</v>
      </c>
      <c r="C1224" t="s">
        <v>3677</v>
      </c>
      <c r="D1224" t="s">
        <v>3921</v>
      </c>
      <c r="E1224" t="s">
        <v>3909</v>
      </c>
      <c r="F1224" t="s">
        <v>2823</v>
      </c>
      <c r="G1224">
        <v>1</v>
      </c>
      <c r="H1224">
        <v>1</v>
      </c>
      <c r="I1224" t="s">
        <v>97</v>
      </c>
      <c r="J1224" s="10">
        <v>119</v>
      </c>
      <c r="K1224" s="10">
        <v>357</v>
      </c>
      <c r="L1224" s="10">
        <v>0</v>
      </c>
      <c r="N1224" s="10">
        <v>0</v>
      </c>
      <c r="O1224" t="s">
        <v>99</v>
      </c>
      <c r="P1224" s="10">
        <v>249.95</v>
      </c>
      <c r="S1224">
        <v>22.5</v>
      </c>
      <c r="T1224">
        <v>8.5</v>
      </c>
      <c r="U1224">
        <v>8.5</v>
      </c>
      <c r="W1224">
        <v>6.83</v>
      </c>
      <c r="X1224">
        <v>1</v>
      </c>
      <c r="Y1224">
        <v>25.38</v>
      </c>
      <c r="Z1224">
        <v>12.63</v>
      </c>
      <c r="AA1224">
        <v>12.63</v>
      </c>
      <c r="AB1224">
        <v>2.343</v>
      </c>
      <c r="AC1224">
        <v>9.6999999999999993</v>
      </c>
      <c r="AE1224">
        <v>4</v>
      </c>
      <c r="AF1224" t="s">
        <v>519</v>
      </c>
      <c r="AG1224">
        <v>40</v>
      </c>
      <c r="AK1224" t="s">
        <v>98</v>
      </c>
      <c r="AM1224" t="s">
        <v>98</v>
      </c>
      <c r="AN1224" t="s">
        <v>99</v>
      </c>
      <c r="AO1224" t="s">
        <v>98</v>
      </c>
      <c r="AP1224" t="s">
        <v>100</v>
      </c>
      <c r="AQ1224" t="s">
        <v>101</v>
      </c>
      <c r="AV1224" t="s">
        <v>98</v>
      </c>
      <c r="AX1224" t="s">
        <v>3190</v>
      </c>
      <c r="AZ1224" t="s">
        <v>102</v>
      </c>
      <c r="BB1224" t="s">
        <v>235</v>
      </c>
      <c r="BC1224" t="s">
        <v>746</v>
      </c>
      <c r="BD1224" t="s">
        <v>7528</v>
      </c>
      <c r="BF1224" t="s">
        <v>3922</v>
      </c>
      <c r="BG1224" t="s">
        <v>98</v>
      </c>
      <c r="BH1224" t="s">
        <v>98</v>
      </c>
      <c r="BI1224" t="s">
        <v>98</v>
      </c>
      <c r="BJ1224" t="s">
        <v>99</v>
      </c>
      <c r="BK1224" t="s">
        <v>453</v>
      </c>
      <c r="BL1224" t="s">
        <v>7528</v>
      </c>
      <c r="CA1224">
        <v>72596</v>
      </c>
      <c r="CB1224" t="s">
        <v>3190</v>
      </c>
      <c r="CL1224" t="s">
        <v>99</v>
      </c>
      <c r="CM1224" t="s">
        <v>98</v>
      </c>
      <c r="CN1224" t="s">
        <v>3911</v>
      </c>
      <c r="CO1224" s="1">
        <v>43049</v>
      </c>
      <c r="CP1224" s="1">
        <v>43633</v>
      </c>
    </row>
    <row r="1225" spans="1:94" x14ac:dyDescent="0.25">
      <c r="A1225" t="s">
        <v>3923</v>
      </c>
      <c r="B1225" t="str">
        <f xml:space="preserve"> "" &amp; 747396106601</f>
        <v>747396106601</v>
      </c>
      <c r="C1225" t="s">
        <v>3185</v>
      </c>
      <c r="D1225" t="s">
        <v>3924</v>
      </c>
      <c r="E1225" t="s">
        <v>3925</v>
      </c>
      <c r="F1225" t="s">
        <v>2823</v>
      </c>
      <c r="G1225">
        <v>1</v>
      </c>
      <c r="H1225">
        <v>1</v>
      </c>
      <c r="I1225" t="s">
        <v>97</v>
      </c>
      <c r="J1225" s="10">
        <v>65</v>
      </c>
      <c r="K1225" s="10">
        <v>195</v>
      </c>
      <c r="L1225" s="10">
        <v>0</v>
      </c>
      <c r="N1225" s="10">
        <v>0</v>
      </c>
      <c r="O1225" t="s">
        <v>99</v>
      </c>
      <c r="P1225" s="10">
        <v>139.94999999999999</v>
      </c>
      <c r="S1225">
        <v>14.25</v>
      </c>
      <c r="U1225">
        <v>7</v>
      </c>
      <c r="V1225">
        <v>5</v>
      </c>
      <c r="W1225">
        <v>4.3</v>
      </c>
      <c r="X1225">
        <v>1</v>
      </c>
      <c r="Y1225">
        <v>18.5</v>
      </c>
      <c r="Z1225">
        <v>11</v>
      </c>
      <c r="AA1225">
        <v>9</v>
      </c>
      <c r="AB1225">
        <v>1.06</v>
      </c>
      <c r="AC1225">
        <v>5.73</v>
      </c>
      <c r="AE1225">
        <v>1</v>
      </c>
      <c r="AF1225" t="s">
        <v>282</v>
      </c>
      <c r="AG1225">
        <v>100</v>
      </c>
      <c r="AK1225" t="s">
        <v>98</v>
      </c>
      <c r="AL1225">
        <v>1</v>
      </c>
      <c r="AM1225" t="s">
        <v>98</v>
      </c>
      <c r="AN1225" t="s">
        <v>99</v>
      </c>
      <c r="AO1225" t="s">
        <v>98</v>
      </c>
      <c r="AP1225" t="s">
        <v>100</v>
      </c>
      <c r="AQ1225" t="s">
        <v>101</v>
      </c>
      <c r="AV1225" t="s">
        <v>98</v>
      </c>
      <c r="AX1225" t="s">
        <v>3926</v>
      </c>
      <c r="AZ1225" t="s">
        <v>102</v>
      </c>
      <c r="BB1225" t="s">
        <v>235</v>
      </c>
      <c r="BC1225" t="s">
        <v>2591</v>
      </c>
      <c r="BD1225" t="s">
        <v>7528</v>
      </c>
      <c r="BF1225" t="s">
        <v>3927</v>
      </c>
      <c r="BG1225" t="s">
        <v>98</v>
      </c>
      <c r="BH1225" t="s">
        <v>98</v>
      </c>
      <c r="BI1225" t="s">
        <v>98</v>
      </c>
      <c r="BJ1225" t="s">
        <v>99</v>
      </c>
      <c r="BK1225" t="s">
        <v>453</v>
      </c>
      <c r="BL1225" t="s">
        <v>128</v>
      </c>
      <c r="BM1225">
        <v>4.5</v>
      </c>
      <c r="BN1225">
        <v>13.88</v>
      </c>
      <c r="CA1225">
        <v>72601</v>
      </c>
      <c r="CB1225" t="s">
        <v>3926</v>
      </c>
      <c r="CL1225" t="s">
        <v>99</v>
      </c>
      <c r="CM1225" t="s">
        <v>98</v>
      </c>
      <c r="CN1225" t="s">
        <v>3236</v>
      </c>
      <c r="CO1225" s="1">
        <v>43049</v>
      </c>
      <c r="CP1225" s="1">
        <v>43633</v>
      </c>
    </row>
    <row r="1226" spans="1:94" x14ac:dyDescent="0.25">
      <c r="A1226" t="s">
        <v>3928</v>
      </c>
      <c r="B1226" t="str">
        <f xml:space="preserve"> "" &amp; 747396106618</f>
        <v>747396106618</v>
      </c>
      <c r="C1226" t="s">
        <v>3525</v>
      </c>
      <c r="D1226" t="s">
        <v>6851</v>
      </c>
      <c r="E1226" t="s">
        <v>3925</v>
      </c>
      <c r="F1226" t="s">
        <v>2823</v>
      </c>
      <c r="G1226">
        <v>1</v>
      </c>
      <c r="H1226">
        <v>1</v>
      </c>
      <c r="I1226" t="s">
        <v>97</v>
      </c>
      <c r="J1226" s="10">
        <v>75</v>
      </c>
      <c r="K1226" s="10">
        <v>225</v>
      </c>
      <c r="L1226" s="10">
        <v>0</v>
      </c>
      <c r="N1226" s="10">
        <v>0</v>
      </c>
      <c r="O1226" t="s">
        <v>99</v>
      </c>
      <c r="P1226" s="10">
        <v>159.94999999999999</v>
      </c>
      <c r="S1226">
        <v>18</v>
      </c>
      <c r="U1226">
        <v>9</v>
      </c>
      <c r="V1226">
        <v>5</v>
      </c>
      <c r="W1226">
        <v>5.29</v>
      </c>
      <c r="X1226">
        <v>1</v>
      </c>
      <c r="Y1226">
        <v>22.88</v>
      </c>
      <c r="Z1226">
        <v>13.5</v>
      </c>
      <c r="AA1226">
        <v>9.6300000000000008</v>
      </c>
      <c r="AB1226">
        <v>1.7210000000000001</v>
      </c>
      <c r="AC1226">
        <v>7.72</v>
      </c>
      <c r="AE1226">
        <v>2</v>
      </c>
      <c r="AF1226" t="s">
        <v>519</v>
      </c>
      <c r="AG1226">
        <v>60</v>
      </c>
      <c r="AK1226" t="s">
        <v>98</v>
      </c>
      <c r="AL1226">
        <v>1</v>
      </c>
      <c r="AM1226" t="s">
        <v>98</v>
      </c>
      <c r="AN1226" t="s">
        <v>99</v>
      </c>
      <c r="AO1226" t="s">
        <v>98</v>
      </c>
      <c r="AP1226" t="s">
        <v>100</v>
      </c>
      <c r="AQ1226" t="s">
        <v>101</v>
      </c>
      <c r="AV1226" t="s">
        <v>98</v>
      </c>
      <c r="AX1226" t="s">
        <v>3926</v>
      </c>
      <c r="AZ1226" t="s">
        <v>102</v>
      </c>
      <c r="BB1226" t="s">
        <v>235</v>
      </c>
      <c r="BC1226" t="s">
        <v>2591</v>
      </c>
      <c r="BD1226" t="s">
        <v>7528</v>
      </c>
      <c r="BF1226" t="s">
        <v>3929</v>
      </c>
      <c r="BG1226" t="s">
        <v>98</v>
      </c>
      <c r="BH1226" t="s">
        <v>98</v>
      </c>
      <c r="BI1226" t="s">
        <v>98</v>
      </c>
      <c r="BJ1226" t="s">
        <v>99</v>
      </c>
      <c r="BK1226" t="s">
        <v>453</v>
      </c>
      <c r="BL1226" t="s">
        <v>128</v>
      </c>
      <c r="BM1226">
        <v>4.5</v>
      </c>
      <c r="BN1226">
        <v>17.88</v>
      </c>
      <c r="CB1226" t="s">
        <v>3926</v>
      </c>
      <c r="CL1226" t="s">
        <v>99</v>
      </c>
      <c r="CM1226" t="s">
        <v>98</v>
      </c>
      <c r="CN1226" t="s">
        <v>3236</v>
      </c>
      <c r="CO1226" s="1">
        <v>43049</v>
      </c>
      <c r="CP1226" s="1">
        <v>43633</v>
      </c>
    </row>
    <row r="1227" spans="1:94" x14ac:dyDescent="0.25">
      <c r="A1227" t="s">
        <v>3930</v>
      </c>
      <c r="B1227" t="str">
        <f xml:space="preserve"> "" &amp; 747396106625</f>
        <v>747396106625</v>
      </c>
      <c r="C1227" t="s">
        <v>3712</v>
      </c>
      <c r="D1227" t="s">
        <v>3931</v>
      </c>
      <c r="E1227" t="s">
        <v>3925</v>
      </c>
      <c r="F1227" t="s">
        <v>2823</v>
      </c>
      <c r="G1227">
        <v>1</v>
      </c>
      <c r="H1227">
        <v>1</v>
      </c>
      <c r="I1227" t="s">
        <v>97</v>
      </c>
      <c r="J1227" s="10">
        <v>110</v>
      </c>
      <c r="K1227" s="10">
        <v>330</v>
      </c>
      <c r="L1227" s="10">
        <v>0</v>
      </c>
      <c r="N1227" s="10">
        <v>0</v>
      </c>
      <c r="O1227" t="s">
        <v>99</v>
      </c>
      <c r="P1227" s="10">
        <v>234.95</v>
      </c>
      <c r="S1227">
        <v>22</v>
      </c>
      <c r="U1227">
        <v>11</v>
      </c>
      <c r="V1227">
        <v>6</v>
      </c>
      <c r="W1227">
        <v>8.16</v>
      </c>
      <c r="X1227">
        <v>1</v>
      </c>
      <c r="Y1227">
        <v>27.13</v>
      </c>
      <c r="Z1227">
        <v>16.13</v>
      </c>
      <c r="AA1227">
        <v>10.63</v>
      </c>
      <c r="AB1227">
        <v>2.6920000000000002</v>
      </c>
      <c r="AC1227">
        <v>11.35</v>
      </c>
      <c r="AE1227">
        <v>3</v>
      </c>
      <c r="AF1227" t="s">
        <v>519</v>
      </c>
      <c r="AG1227">
        <v>60</v>
      </c>
      <c r="AK1227" t="s">
        <v>98</v>
      </c>
      <c r="AL1227">
        <v>1</v>
      </c>
      <c r="AM1227" t="s">
        <v>98</v>
      </c>
      <c r="AN1227" t="s">
        <v>99</v>
      </c>
      <c r="AO1227" t="s">
        <v>98</v>
      </c>
      <c r="AP1227" t="s">
        <v>100</v>
      </c>
      <c r="AQ1227" t="s">
        <v>101</v>
      </c>
      <c r="AV1227" t="s">
        <v>98</v>
      </c>
      <c r="AX1227" t="s">
        <v>3926</v>
      </c>
      <c r="AZ1227" t="s">
        <v>102</v>
      </c>
      <c r="BB1227" t="s">
        <v>235</v>
      </c>
      <c r="BC1227" t="s">
        <v>2591</v>
      </c>
      <c r="BD1227" t="s">
        <v>7528</v>
      </c>
      <c r="BF1227" t="s">
        <v>3932</v>
      </c>
      <c r="BG1227" t="s">
        <v>98</v>
      </c>
      <c r="BH1227" t="s">
        <v>98</v>
      </c>
      <c r="BI1227" t="s">
        <v>98</v>
      </c>
      <c r="BJ1227" t="s">
        <v>99</v>
      </c>
      <c r="BK1227" t="s">
        <v>453</v>
      </c>
      <c r="BL1227" t="s">
        <v>128</v>
      </c>
      <c r="BM1227">
        <v>5.5</v>
      </c>
      <c r="BN1227">
        <v>21.75</v>
      </c>
      <c r="CA1227">
        <v>72603</v>
      </c>
      <c r="CB1227" t="s">
        <v>3926</v>
      </c>
      <c r="CL1227" t="s">
        <v>99</v>
      </c>
      <c r="CM1227" t="s">
        <v>98</v>
      </c>
      <c r="CN1227" t="s">
        <v>3236</v>
      </c>
      <c r="CO1227" s="1">
        <v>43049</v>
      </c>
      <c r="CP1227" s="1">
        <v>43633</v>
      </c>
    </row>
    <row r="1228" spans="1:94" x14ac:dyDescent="0.25">
      <c r="A1228" t="s">
        <v>3933</v>
      </c>
      <c r="B1228" t="str">
        <f xml:space="preserve"> "" &amp; 747396106328</f>
        <v>747396106328</v>
      </c>
      <c r="C1228" t="s">
        <v>3232</v>
      </c>
      <c r="D1228" t="s">
        <v>3934</v>
      </c>
      <c r="E1228" t="s">
        <v>3935</v>
      </c>
      <c r="F1228" t="s">
        <v>2823</v>
      </c>
      <c r="G1228">
        <v>1</v>
      </c>
      <c r="H1228">
        <v>1</v>
      </c>
      <c r="I1228" t="s">
        <v>97</v>
      </c>
      <c r="J1228" s="10">
        <v>52</v>
      </c>
      <c r="K1228" s="10">
        <v>156</v>
      </c>
      <c r="L1228" s="10">
        <v>0</v>
      </c>
      <c r="N1228" s="10">
        <v>0</v>
      </c>
      <c r="O1228" t="s">
        <v>99</v>
      </c>
      <c r="P1228" s="10">
        <v>109.95</v>
      </c>
      <c r="S1228">
        <v>12.5</v>
      </c>
      <c r="U1228">
        <v>5</v>
      </c>
      <c r="W1228">
        <v>2.02</v>
      </c>
      <c r="X1228">
        <v>1</v>
      </c>
      <c r="Y1228">
        <v>15.25</v>
      </c>
      <c r="Z1228">
        <v>7.75</v>
      </c>
      <c r="AA1228">
        <v>7.25</v>
      </c>
      <c r="AB1228">
        <v>0.496</v>
      </c>
      <c r="AC1228">
        <v>2.71</v>
      </c>
      <c r="AE1228">
        <v>1</v>
      </c>
      <c r="AF1228" t="s">
        <v>282</v>
      </c>
      <c r="AG1228">
        <v>60</v>
      </c>
      <c r="AK1228" t="s">
        <v>98</v>
      </c>
      <c r="AM1228" t="s">
        <v>98</v>
      </c>
      <c r="AN1228" t="s">
        <v>98</v>
      </c>
      <c r="AO1228" t="s">
        <v>98</v>
      </c>
      <c r="AP1228" t="s">
        <v>100</v>
      </c>
      <c r="AQ1228" t="s">
        <v>101</v>
      </c>
      <c r="AV1228" t="s">
        <v>98</v>
      </c>
      <c r="AX1228" t="s">
        <v>3936</v>
      </c>
      <c r="AZ1228" t="s">
        <v>102</v>
      </c>
      <c r="BB1228" t="s">
        <v>7528</v>
      </c>
      <c r="BC1228" t="s">
        <v>7528</v>
      </c>
      <c r="BD1228" t="s">
        <v>7528</v>
      </c>
      <c r="BF1228" t="s">
        <v>3937</v>
      </c>
      <c r="BG1228" t="s">
        <v>99</v>
      </c>
      <c r="BH1228" t="s">
        <v>98</v>
      </c>
      <c r="BI1228" t="s">
        <v>98</v>
      </c>
      <c r="BJ1228" t="s">
        <v>99</v>
      </c>
      <c r="BK1228" t="s">
        <v>453</v>
      </c>
      <c r="BL1228" t="s">
        <v>7528</v>
      </c>
      <c r="CA1228">
        <v>72611</v>
      </c>
      <c r="CB1228" t="s">
        <v>3936</v>
      </c>
      <c r="CL1228" t="s">
        <v>98</v>
      </c>
      <c r="CM1228" t="s">
        <v>98</v>
      </c>
      <c r="CN1228" t="s">
        <v>7528</v>
      </c>
      <c r="CO1228" s="1">
        <v>43049</v>
      </c>
      <c r="CP1228" s="1">
        <v>43633</v>
      </c>
    </row>
    <row r="1229" spans="1:94" x14ac:dyDescent="0.25">
      <c r="A1229" t="s">
        <v>3938</v>
      </c>
      <c r="B1229" t="str">
        <f xml:space="preserve"> "" &amp; 747396106335</f>
        <v>747396106335</v>
      </c>
      <c r="C1229" t="s">
        <v>3232</v>
      </c>
      <c r="D1229" t="s">
        <v>3939</v>
      </c>
      <c r="E1229" t="s">
        <v>3935</v>
      </c>
      <c r="F1229" t="s">
        <v>2823</v>
      </c>
      <c r="G1229">
        <v>1</v>
      </c>
      <c r="H1229">
        <v>1</v>
      </c>
      <c r="I1229" t="s">
        <v>97</v>
      </c>
      <c r="J1229" s="10">
        <v>52</v>
      </c>
      <c r="K1229" s="10">
        <v>156</v>
      </c>
      <c r="L1229" s="10">
        <v>0</v>
      </c>
      <c r="N1229" s="10">
        <v>0</v>
      </c>
      <c r="O1229" t="s">
        <v>99</v>
      </c>
      <c r="P1229" s="10">
        <v>109.95</v>
      </c>
      <c r="S1229">
        <v>12.5</v>
      </c>
      <c r="U1229">
        <v>5</v>
      </c>
      <c r="V1229">
        <v>5.5</v>
      </c>
      <c r="W1229">
        <v>2.02</v>
      </c>
      <c r="X1229">
        <v>1</v>
      </c>
      <c r="Y1229">
        <v>15.25</v>
      </c>
      <c r="Z1229">
        <v>7.75</v>
      </c>
      <c r="AA1229">
        <v>7.25</v>
      </c>
      <c r="AB1229">
        <v>0.496</v>
      </c>
      <c r="AC1229">
        <v>2.71</v>
      </c>
      <c r="AE1229">
        <v>1</v>
      </c>
      <c r="AF1229" t="s">
        <v>282</v>
      </c>
      <c r="AG1229">
        <v>60</v>
      </c>
      <c r="AK1229" t="s">
        <v>98</v>
      </c>
      <c r="AM1229" t="s">
        <v>98</v>
      </c>
      <c r="AN1229" t="s">
        <v>98</v>
      </c>
      <c r="AO1229" t="s">
        <v>98</v>
      </c>
      <c r="AP1229" t="s">
        <v>100</v>
      </c>
      <c r="AQ1229" t="s">
        <v>101</v>
      </c>
      <c r="AV1229" t="s">
        <v>98</v>
      </c>
      <c r="AX1229" t="s">
        <v>3940</v>
      </c>
      <c r="AZ1229" t="s">
        <v>102</v>
      </c>
      <c r="BB1229" t="s">
        <v>7528</v>
      </c>
      <c r="BC1229" t="s">
        <v>7528</v>
      </c>
      <c r="BD1229" t="s">
        <v>7528</v>
      </c>
      <c r="BF1229" t="s">
        <v>3941</v>
      </c>
      <c r="BG1229" t="s">
        <v>99</v>
      </c>
      <c r="BH1229" t="s">
        <v>98</v>
      </c>
      <c r="BI1229" t="s">
        <v>98</v>
      </c>
      <c r="BJ1229" t="s">
        <v>99</v>
      </c>
      <c r="BK1229" t="s">
        <v>453</v>
      </c>
      <c r="BL1229" t="s">
        <v>7528</v>
      </c>
      <c r="CA1229">
        <v>72611</v>
      </c>
      <c r="CB1229" t="s">
        <v>3940</v>
      </c>
      <c r="CL1229" t="s">
        <v>98</v>
      </c>
      <c r="CM1229" t="s">
        <v>98</v>
      </c>
      <c r="CN1229" t="s">
        <v>7528</v>
      </c>
      <c r="CO1229" s="1">
        <v>43049</v>
      </c>
      <c r="CP1229" s="1">
        <v>43633</v>
      </c>
    </row>
    <row r="1230" spans="1:94" x14ac:dyDescent="0.25">
      <c r="A1230" t="s">
        <v>3942</v>
      </c>
      <c r="B1230" t="str">
        <f xml:space="preserve"> "" &amp; 747396106342</f>
        <v>747396106342</v>
      </c>
      <c r="C1230" t="s">
        <v>3232</v>
      </c>
      <c r="D1230" t="s">
        <v>3939</v>
      </c>
      <c r="E1230" t="s">
        <v>3935</v>
      </c>
      <c r="F1230" t="s">
        <v>2823</v>
      </c>
      <c r="G1230">
        <v>1</v>
      </c>
      <c r="H1230">
        <v>1</v>
      </c>
      <c r="I1230" t="s">
        <v>97</v>
      </c>
      <c r="J1230" s="10">
        <v>52</v>
      </c>
      <c r="K1230" s="10">
        <v>156</v>
      </c>
      <c r="L1230" s="10">
        <v>0</v>
      </c>
      <c r="N1230" s="10">
        <v>0</v>
      </c>
      <c r="O1230" t="s">
        <v>99</v>
      </c>
      <c r="P1230" s="10">
        <v>109.95</v>
      </c>
      <c r="S1230">
        <v>12.5</v>
      </c>
      <c r="U1230">
        <v>5</v>
      </c>
      <c r="V1230">
        <v>5.5</v>
      </c>
      <c r="W1230">
        <v>2.02</v>
      </c>
      <c r="X1230">
        <v>1</v>
      </c>
      <c r="Y1230">
        <v>15.25</v>
      </c>
      <c r="Z1230">
        <v>7.75</v>
      </c>
      <c r="AA1230">
        <v>7.25</v>
      </c>
      <c r="AB1230">
        <v>0.496</v>
      </c>
      <c r="AC1230">
        <v>2.71</v>
      </c>
      <c r="AE1230">
        <v>1</v>
      </c>
      <c r="AF1230" t="s">
        <v>282</v>
      </c>
      <c r="AG1230">
        <v>60</v>
      </c>
      <c r="AK1230" t="s">
        <v>98</v>
      </c>
      <c r="AM1230" t="s">
        <v>98</v>
      </c>
      <c r="AN1230" t="s">
        <v>98</v>
      </c>
      <c r="AO1230" t="s">
        <v>98</v>
      </c>
      <c r="AP1230" t="s">
        <v>100</v>
      </c>
      <c r="AQ1230" t="s">
        <v>101</v>
      </c>
      <c r="AV1230" t="s">
        <v>98</v>
      </c>
      <c r="AX1230" t="s">
        <v>3943</v>
      </c>
      <c r="AZ1230" t="s">
        <v>102</v>
      </c>
      <c r="BB1230" t="s">
        <v>7528</v>
      </c>
      <c r="BC1230" t="s">
        <v>7528</v>
      </c>
      <c r="BD1230" t="s">
        <v>7528</v>
      </c>
      <c r="BF1230" t="s">
        <v>3944</v>
      </c>
      <c r="BG1230" t="s">
        <v>99</v>
      </c>
      <c r="BH1230" t="s">
        <v>98</v>
      </c>
      <c r="BI1230" t="s">
        <v>98</v>
      </c>
      <c r="BJ1230" t="s">
        <v>99</v>
      </c>
      <c r="BK1230" t="s">
        <v>453</v>
      </c>
      <c r="BL1230" t="s">
        <v>7528</v>
      </c>
      <c r="CA1230">
        <v>72611</v>
      </c>
      <c r="CB1230" t="s">
        <v>3943</v>
      </c>
      <c r="CL1230" t="s">
        <v>98</v>
      </c>
      <c r="CM1230" t="s">
        <v>98</v>
      </c>
      <c r="CN1230" t="s">
        <v>7528</v>
      </c>
      <c r="CO1230" s="1">
        <v>43049</v>
      </c>
      <c r="CP1230" s="1">
        <v>43633</v>
      </c>
    </row>
    <row r="1231" spans="1:94" x14ac:dyDescent="0.25">
      <c r="A1231" t="s">
        <v>3945</v>
      </c>
      <c r="B1231" t="str">
        <f xml:space="preserve"> "" &amp; 747396106359</f>
        <v>747396106359</v>
      </c>
      <c r="C1231" t="s">
        <v>3185</v>
      </c>
      <c r="D1231" t="s">
        <v>3946</v>
      </c>
      <c r="E1231" t="s">
        <v>3947</v>
      </c>
      <c r="F1231" t="s">
        <v>2823</v>
      </c>
      <c r="G1231">
        <v>1</v>
      </c>
      <c r="H1231">
        <v>1</v>
      </c>
      <c r="I1231" t="s">
        <v>97</v>
      </c>
      <c r="J1231" s="10">
        <v>65</v>
      </c>
      <c r="K1231" s="10">
        <v>195</v>
      </c>
      <c r="L1231" s="10">
        <v>0</v>
      </c>
      <c r="N1231" s="10">
        <v>0</v>
      </c>
      <c r="O1231" t="s">
        <v>99</v>
      </c>
      <c r="P1231" s="10">
        <v>139.94999999999999</v>
      </c>
      <c r="S1231">
        <v>13</v>
      </c>
      <c r="U1231">
        <v>6.5</v>
      </c>
      <c r="V1231">
        <v>7</v>
      </c>
      <c r="W1231">
        <v>2.36</v>
      </c>
      <c r="X1231">
        <v>1</v>
      </c>
      <c r="Y1231">
        <v>16.25</v>
      </c>
      <c r="Z1231">
        <v>9.5</v>
      </c>
      <c r="AA1231">
        <v>9</v>
      </c>
      <c r="AB1231">
        <v>0.80400000000000005</v>
      </c>
      <c r="AC1231">
        <v>3.31</v>
      </c>
      <c r="AE1231">
        <v>1</v>
      </c>
      <c r="AF1231" t="s">
        <v>282</v>
      </c>
      <c r="AG1231">
        <v>60</v>
      </c>
      <c r="AK1231" t="s">
        <v>98</v>
      </c>
      <c r="AL1231">
        <v>1</v>
      </c>
      <c r="AM1231" t="s">
        <v>98</v>
      </c>
      <c r="AN1231" t="s">
        <v>99</v>
      </c>
      <c r="AO1231" t="s">
        <v>98</v>
      </c>
      <c r="AP1231" t="s">
        <v>100</v>
      </c>
      <c r="AQ1231" t="s">
        <v>101</v>
      </c>
      <c r="AV1231" t="s">
        <v>98</v>
      </c>
      <c r="AX1231" t="s">
        <v>3491</v>
      </c>
      <c r="AZ1231" t="s">
        <v>102</v>
      </c>
      <c r="BB1231" t="s">
        <v>235</v>
      </c>
      <c r="BC1231" t="s">
        <v>2245</v>
      </c>
      <c r="BD1231" t="s">
        <v>7528</v>
      </c>
      <c r="BF1231" t="s">
        <v>3948</v>
      </c>
      <c r="BG1231" t="s">
        <v>98</v>
      </c>
      <c r="BH1231" t="s">
        <v>98</v>
      </c>
      <c r="BI1231" t="s">
        <v>98</v>
      </c>
      <c r="BJ1231" t="s">
        <v>99</v>
      </c>
      <c r="BK1231" t="s">
        <v>453</v>
      </c>
      <c r="BL1231" t="s">
        <v>128</v>
      </c>
      <c r="BM1231">
        <v>4.5</v>
      </c>
      <c r="BN1231">
        <v>7</v>
      </c>
      <c r="CA1231">
        <v>72621</v>
      </c>
      <c r="CB1231" t="s">
        <v>3491</v>
      </c>
      <c r="CL1231" t="s">
        <v>99</v>
      </c>
      <c r="CM1231" t="s">
        <v>98</v>
      </c>
      <c r="CN1231" t="s">
        <v>3236</v>
      </c>
      <c r="CO1231" s="1">
        <v>43052</v>
      </c>
      <c r="CP1231" s="1">
        <v>43633</v>
      </c>
    </row>
    <row r="1232" spans="1:94" x14ac:dyDescent="0.25">
      <c r="A1232" t="s">
        <v>3949</v>
      </c>
      <c r="B1232" t="str">
        <f xml:space="preserve"> "" &amp; 747396106366</f>
        <v>747396106366</v>
      </c>
      <c r="C1232" t="s">
        <v>3712</v>
      </c>
      <c r="D1232" t="s">
        <v>3950</v>
      </c>
      <c r="E1232" t="s">
        <v>3947</v>
      </c>
      <c r="F1232" t="s">
        <v>2823</v>
      </c>
      <c r="G1232">
        <v>1</v>
      </c>
      <c r="H1232">
        <v>1</v>
      </c>
      <c r="I1232" t="s">
        <v>97</v>
      </c>
      <c r="J1232" s="10">
        <v>85</v>
      </c>
      <c r="K1232" s="10">
        <v>255</v>
      </c>
      <c r="L1232" s="10">
        <v>0</v>
      </c>
      <c r="N1232" s="10">
        <v>0</v>
      </c>
      <c r="O1232" t="s">
        <v>99</v>
      </c>
      <c r="P1232" s="10">
        <v>174.95</v>
      </c>
      <c r="S1232">
        <v>17.75</v>
      </c>
      <c r="U1232">
        <v>9.25</v>
      </c>
      <c r="V1232">
        <v>10</v>
      </c>
      <c r="W1232">
        <v>4.63</v>
      </c>
      <c r="X1232">
        <v>1</v>
      </c>
      <c r="Y1232">
        <v>20.25</v>
      </c>
      <c r="Z1232">
        <v>12.5</v>
      </c>
      <c r="AA1232">
        <v>11.75</v>
      </c>
      <c r="AB1232">
        <v>1.7210000000000001</v>
      </c>
      <c r="AC1232">
        <v>6.37</v>
      </c>
      <c r="AE1232">
        <v>3</v>
      </c>
      <c r="AF1232" t="s">
        <v>519</v>
      </c>
      <c r="AG1232">
        <v>60</v>
      </c>
      <c r="AK1232" t="s">
        <v>98</v>
      </c>
      <c r="AL1232">
        <v>1</v>
      </c>
      <c r="AM1232" t="s">
        <v>98</v>
      </c>
      <c r="AN1232" t="s">
        <v>99</v>
      </c>
      <c r="AO1232" t="s">
        <v>98</v>
      </c>
      <c r="AP1232" t="s">
        <v>100</v>
      </c>
      <c r="AQ1232" t="s">
        <v>101</v>
      </c>
      <c r="AV1232" t="s">
        <v>98</v>
      </c>
      <c r="AX1232" t="s">
        <v>3491</v>
      </c>
      <c r="AZ1232" t="s">
        <v>102</v>
      </c>
      <c r="BB1232" t="s">
        <v>235</v>
      </c>
      <c r="BC1232" t="s">
        <v>2245</v>
      </c>
      <c r="BD1232" t="s">
        <v>7528</v>
      </c>
      <c r="BF1232" t="s">
        <v>3951</v>
      </c>
      <c r="BG1232" t="s">
        <v>98</v>
      </c>
      <c r="BH1232" t="s">
        <v>98</v>
      </c>
      <c r="BI1232" t="s">
        <v>98</v>
      </c>
      <c r="BJ1232" t="s">
        <v>99</v>
      </c>
      <c r="BK1232" t="s">
        <v>453</v>
      </c>
      <c r="BL1232" t="s">
        <v>128</v>
      </c>
      <c r="BM1232">
        <v>4.7300000000000004</v>
      </c>
      <c r="BN1232">
        <v>10.25</v>
      </c>
      <c r="CA1232">
        <v>72622</v>
      </c>
      <c r="CB1232" t="s">
        <v>3491</v>
      </c>
      <c r="CL1232" t="s">
        <v>99</v>
      </c>
      <c r="CM1232" t="s">
        <v>98</v>
      </c>
      <c r="CN1232" t="s">
        <v>3236</v>
      </c>
      <c r="CO1232" s="1">
        <v>43052</v>
      </c>
      <c r="CP1232" s="1">
        <v>43633</v>
      </c>
    </row>
    <row r="1233" spans="1:94" x14ac:dyDescent="0.25">
      <c r="A1233" t="s">
        <v>3952</v>
      </c>
      <c r="B1233" t="str">
        <f xml:space="preserve"> "" &amp; 747396106373</f>
        <v>747396106373</v>
      </c>
      <c r="C1233" t="s">
        <v>3569</v>
      </c>
      <c r="D1233" t="s">
        <v>3953</v>
      </c>
      <c r="E1233" t="s">
        <v>3947</v>
      </c>
      <c r="F1233" t="s">
        <v>2823</v>
      </c>
      <c r="G1233">
        <v>1</v>
      </c>
      <c r="H1233">
        <v>1</v>
      </c>
      <c r="I1233" t="s">
        <v>97</v>
      </c>
      <c r="J1233" s="10">
        <v>105</v>
      </c>
      <c r="K1233" s="10">
        <v>315</v>
      </c>
      <c r="L1233" s="10">
        <v>0</v>
      </c>
      <c r="N1233" s="10">
        <v>0</v>
      </c>
      <c r="O1233" t="s">
        <v>99</v>
      </c>
      <c r="P1233" s="10">
        <v>224.95</v>
      </c>
      <c r="S1233">
        <v>20</v>
      </c>
      <c r="U1233">
        <v>10.5</v>
      </c>
      <c r="V1233">
        <v>11.25</v>
      </c>
      <c r="W1233">
        <v>5.75</v>
      </c>
      <c r="X1233">
        <v>1</v>
      </c>
      <c r="Y1233">
        <v>22.5</v>
      </c>
      <c r="Z1233">
        <v>14</v>
      </c>
      <c r="AA1233">
        <v>13</v>
      </c>
      <c r="AB1233">
        <v>2.37</v>
      </c>
      <c r="AC1233">
        <v>8.0500000000000007</v>
      </c>
      <c r="AE1233">
        <v>4</v>
      </c>
      <c r="AF1233" t="s">
        <v>519</v>
      </c>
      <c r="AG1233">
        <v>60</v>
      </c>
      <c r="AK1233" t="s">
        <v>98</v>
      </c>
      <c r="AL1233">
        <v>1</v>
      </c>
      <c r="AM1233" t="s">
        <v>98</v>
      </c>
      <c r="AN1233" t="s">
        <v>99</v>
      </c>
      <c r="AO1233" t="s">
        <v>98</v>
      </c>
      <c r="AP1233" t="s">
        <v>100</v>
      </c>
      <c r="AQ1233" t="s">
        <v>101</v>
      </c>
      <c r="AV1233" t="s">
        <v>98</v>
      </c>
      <c r="AX1233" t="s">
        <v>3491</v>
      </c>
      <c r="AZ1233" t="s">
        <v>102</v>
      </c>
      <c r="BB1233" t="s">
        <v>235</v>
      </c>
      <c r="BC1233" t="s">
        <v>2245</v>
      </c>
      <c r="BD1233" t="s">
        <v>7528</v>
      </c>
      <c r="BF1233" t="s">
        <v>3954</v>
      </c>
      <c r="BG1233" t="s">
        <v>98</v>
      </c>
      <c r="BH1233" t="s">
        <v>98</v>
      </c>
      <c r="BI1233" t="s">
        <v>98</v>
      </c>
      <c r="BJ1233" t="s">
        <v>99</v>
      </c>
      <c r="BK1233" t="s">
        <v>453</v>
      </c>
      <c r="BL1233" t="s">
        <v>128</v>
      </c>
      <c r="BM1233">
        <v>4.7300000000000004</v>
      </c>
      <c r="BN1233">
        <v>11.5</v>
      </c>
      <c r="CA1233">
        <v>72623</v>
      </c>
      <c r="CB1233" t="s">
        <v>3491</v>
      </c>
      <c r="CL1233" t="s">
        <v>99</v>
      </c>
      <c r="CM1233" t="s">
        <v>98</v>
      </c>
      <c r="CN1233" t="s">
        <v>3236</v>
      </c>
      <c r="CO1233" s="1">
        <v>43052</v>
      </c>
      <c r="CP1233" s="1">
        <v>43633</v>
      </c>
    </row>
    <row r="1234" spans="1:94" x14ac:dyDescent="0.25">
      <c r="A1234" t="s">
        <v>3955</v>
      </c>
      <c r="B1234" t="str">
        <f xml:space="preserve"> "" &amp; 747396106397</f>
        <v>747396106397</v>
      </c>
      <c r="C1234" t="s">
        <v>3956</v>
      </c>
      <c r="D1234" t="s">
        <v>6852</v>
      </c>
      <c r="E1234" t="s">
        <v>3947</v>
      </c>
      <c r="F1234" t="s">
        <v>2823</v>
      </c>
      <c r="G1234">
        <v>1</v>
      </c>
      <c r="H1234">
        <v>1</v>
      </c>
      <c r="I1234" t="s">
        <v>97</v>
      </c>
      <c r="J1234" s="10">
        <v>85</v>
      </c>
      <c r="K1234" s="10">
        <v>255</v>
      </c>
      <c r="L1234" s="10">
        <v>0</v>
      </c>
      <c r="N1234" s="10">
        <v>0</v>
      </c>
      <c r="O1234" t="s">
        <v>99</v>
      </c>
      <c r="P1234" s="10">
        <v>174.95</v>
      </c>
      <c r="S1234">
        <v>17</v>
      </c>
      <c r="T1234">
        <v>9.25</v>
      </c>
      <c r="U1234">
        <v>9.25</v>
      </c>
      <c r="W1234">
        <v>5.6</v>
      </c>
      <c r="X1234">
        <v>1</v>
      </c>
      <c r="Y1234">
        <v>22.25</v>
      </c>
      <c r="Z1234">
        <v>11.75</v>
      </c>
      <c r="AA1234">
        <v>10.5</v>
      </c>
      <c r="AB1234">
        <v>1.589</v>
      </c>
      <c r="AC1234">
        <v>7.23</v>
      </c>
      <c r="AE1234">
        <v>3</v>
      </c>
      <c r="AF1234" t="s">
        <v>519</v>
      </c>
      <c r="AG1234">
        <v>60</v>
      </c>
      <c r="AK1234" t="s">
        <v>98</v>
      </c>
      <c r="AM1234" t="s">
        <v>98</v>
      </c>
      <c r="AN1234" t="s">
        <v>99</v>
      </c>
      <c r="AO1234" t="s">
        <v>98</v>
      </c>
      <c r="AP1234" t="s">
        <v>100</v>
      </c>
      <c r="AQ1234" t="s">
        <v>101</v>
      </c>
      <c r="AV1234" t="s">
        <v>98</v>
      </c>
      <c r="AX1234" t="s">
        <v>3491</v>
      </c>
      <c r="AZ1234" t="s">
        <v>102</v>
      </c>
      <c r="BB1234" t="s">
        <v>235</v>
      </c>
      <c r="BC1234" t="s">
        <v>2245</v>
      </c>
      <c r="BD1234" t="s">
        <v>7528</v>
      </c>
      <c r="BF1234" t="s">
        <v>3957</v>
      </c>
      <c r="BG1234" t="s">
        <v>98</v>
      </c>
      <c r="BH1234" t="s">
        <v>98</v>
      </c>
      <c r="BI1234" t="s">
        <v>98</v>
      </c>
      <c r="BK1234" t="s">
        <v>127</v>
      </c>
      <c r="BL1234" t="s">
        <v>7528</v>
      </c>
      <c r="BR1234">
        <v>1.1299999999999999</v>
      </c>
      <c r="BS1234">
        <v>4.88</v>
      </c>
      <c r="BT1234">
        <v>4.88</v>
      </c>
      <c r="CA1234">
        <v>72624</v>
      </c>
      <c r="CB1234" t="s">
        <v>3491</v>
      </c>
      <c r="CL1234" t="s">
        <v>99</v>
      </c>
      <c r="CM1234" t="s">
        <v>98</v>
      </c>
      <c r="CN1234" t="s">
        <v>3236</v>
      </c>
      <c r="CO1234" s="1">
        <v>43053</v>
      </c>
      <c r="CP1234" s="1">
        <v>43633</v>
      </c>
    </row>
    <row r="1235" spans="1:94" x14ac:dyDescent="0.25">
      <c r="A1235" t="s">
        <v>3958</v>
      </c>
      <c r="B1235" t="str">
        <f xml:space="preserve"> "" &amp; 747396106380</f>
        <v>747396106380</v>
      </c>
      <c r="C1235" t="s">
        <v>3403</v>
      </c>
      <c r="D1235" t="s">
        <v>3959</v>
      </c>
      <c r="E1235" t="s">
        <v>3947</v>
      </c>
      <c r="F1235" t="s">
        <v>2823</v>
      </c>
      <c r="G1235">
        <v>1</v>
      </c>
      <c r="H1235">
        <v>1</v>
      </c>
      <c r="I1235" t="s">
        <v>97</v>
      </c>
      <c r="J1235" s="10">
        <v>85</v>
      </c>
      <c r="K1235" s="10">
        <v>255</v>
      </c>
      <c r="L1235" s="10">
        <v>0</v>
      </c>
      <c r="N1235" s="10">
        <v>0</v>
      </c>
      <c r="O1235" t="s">
        <v>99</v>
      </c>
      <c r="P1235" s="10">
        <v>174.95</v>
      </c>
      <c r="S1235">
        <v>20</v>
      </c>
      <c r="T1235">
        <v>9.25</v>
      </c>
      <c r="U1235">
        <v>9.25</v>
      </c>
      <c r="W1235">
        <v>3.97</v>
      </c>
      <c r="X1235">
        <v>1</v>
      </c>
      <c r="Y1235">
        <v>28.25</v>
      </c>
      <c r="Z1235">
        <v>11.75</v>
      </c>
      <c r="AA1235">
        <v>10.5</v>
      </c>
      <c r="AB1235">
        <v>2.0169999999999999</v>
      </c>
      <c r="AC1235">
        <v>5.97</v>
      </c>
      <c r="AE1235">
        <v>3</v>
      </c>
      <c r="AF1235" t="s">
        <v>519</v>
      </c>
      <c r="AG1235">
        <v>60</v>
      </c>
      <c r="AK1235" t="s">
        <v>98</v>
      </c>
      <c r="AM1235" t="s">
        <v>98</v>
      </c>
      <c r="AN1235" t="s">
        <v>99</v>
      </c>
      <c r="AO1235" t="s">
        <v>98</v>
      </c>
      <c r="AP1235" t="s">
        <v>100</v>
      </c>
      <c r="AQ1235" t="s">
        <v>101</v>
      </c>
      <c r="AV1235" t="s">
        <v>98</v>
      </c>
      <c r="AX1235" t="s">
        <v>3491</v>
      </c>
      <c r="AZ1235" t="s">
        <v>102</v>
      </c>
      <c r="BB1235" t="s">
        <v>235</v>
      </c>
      <c r="BC1235" t="s">
        <v>2245</v>
      </c>
      <c r="BD1235" t="s">
        <v>7528</v>
      </c>
      <c r="BF1235" t="s">
        <v>3960</v>
      </c>
      <c r="BG1235" t="s">
        <v>98</v>
      </c>
      <c r="BH1235" t="s">
        <v>98</v>
      </c>
      <c r="BI1235" t="s">
        <v>98</v>
      </c>
      <c r="BJ1235" t="s">
        <v>99</v>
      </c>
      <c r="BK1235" t="s">
        <v>453</v>
      </c>
      <c r="BL1235" t="s">
        <v>7528</v>
      </c>
      <c r="CA1235">
        <v>72626</v>
      </c>
      <c r="CB1235" t="s">
        <v>3491</v>
      </c>
      <c r="CL1235" t="s">
        <v>99</v>
      </c>
      <c r="CM1235" t="s">
        <v>98</v>
      </c>
      <c r="CN1235" t="s">
        <v>3236</v>
      </c>
      <c r="CO1235" s="1">
        <v>43053</v>
      </c>
      <c r="CP1235" s="1">
        <v>43633</v>
      </c>
    </row>
    <row r="1236" spans="1:94" x14ac:dyDescent="0.25">
      <c r="A1236" t="s">
        <v>3961</v>
      </c>
      <c r="B1236" t="str">
        <f xml:space="preserve"> "" &amp; 747396106403</f>
        <v>747396106403</v>
      </c>
      <c r="C1236" t="s">
        <v>3185</v>
      </c>
      <c r="D1236" t="s">
        <v>3962</v>
      </c>
      <c r="E1236" t="s">
        <v>3963</v>
      </c>
      <c r="F1236" t="s">
        <v>2823</v>
      </c>
      <c r="G1236">
        <v>1</v>
      </c>
      <c r="H1236">
        <v>1</v>
      </c>
      <c r="I1236" t="s">
        <v>97</v>
      </c>
      <c r="J1236" s="10">
        <v>75</v>
      </c>
      <c r="K1236" s="10">
        <v>225</v>
      </c>
      <c r="L1236" s="10">
        <v>0</v>
      </c>
      <c r="N1236" s="10">
        <v>0</v>
      </c>
      <c r="O1236" t="s">
        <v>99</v>
      </c>
      <c r="P1236" s="10">
        <v>159.94999999999999</v>
      </c>
      <c r="S1236">
        <v>18</v>
      </c>
      <c r="U1236">
        <v>6.75</v>
      </c>
      <c r="V1236">
        <v>7.75</v>
      </c>
      <c r="W1236">
        <v>5.25</v>
      </c>
      <c r="X1236">
        <v>1</v>
      </c>
      <c r="Y1236">
        <v>9.5</v>
      </c>
      <c r="Z1236">
        <v>20.38</v>
      </c>
      <c r="AA1236">
        <v>10.25</v>
      </c>
      <c r="AB1236">
        <v>1.1479999999999999</v>
      </c>
      <c r="AC1236">
        <v>6.64</v>
      </c>
      <c r="AE1236">
        <v>1</v>
      </c>
      <c r="AF1236" t="s">
        <v>282</v>
      </c>
      <c r="AG1236">
        <v>100</v>
      </c>
      <c r="AK1236" t="s">
        <v>98</v>
      </c>
      <c r="AL1236">
        <v>1</v>
      </c>
      <c r="AM1236" t="s">
        <v>98</v>
      </c>
      <c r="AN1236" t="s">
        <v>99</v>
      </c>
      <c r="AO1236" t="s">
        <v>98</v>
      </c>
      <c r="AP1236" t="s">
        <v>100</v>
      </c>
      <c r="AQ1236" t="s">
        <v>101</v>
      </c>
      <c r="AV1236" t="s">
        <v>98</v>
      </c>
      <c r="AX1236" t="s">
        <v>3190</v>
      </c>
      <c r="AZ1236" t="s">
        <v>102</v>
      </c>
      <c r="BB1236" t="s">
        <v>235</v>
      </c>
      <c r="BC1236" t="s">
        <v>746</v>
      </c>
      <c r="BD1236" t="s">
        <v>7528</v>
      </c>
      <c r="BF1236" t="s">
        <v>3964</v>
      </c>
      <c r="BG1236" t="s">
        <v>98</v>
      </c>
      <c r="BH1236" t="s">
        <v>98</v>
      </c>
      <c r="BI1236" t="s">
        <v>98</v>
      </c>
      <c r="BJ1236" t="s">
        <v>99</v>
      </c>
      <c r="BK1236" t="s">
        <v>453</v>
      </c>
      <c r="BL1236" t="s">
        <v>128</v>
      </c>
      <c r="BM1236">
        <v>4.75</v>
      </c>
      <c r="BN1236">
        <v>7.88</v>
      </c>
      <c r="CA1236">
        <v>72631</v>
      </c>
      <c r="CB1236" t="s">
        <v>3190</v>
      </c>
      <c r="CL1236" t="s">
        <v>99</v>
      </c>
      <c r="CM1236" t="s">
        <v>98</v>
      </c>
      <c r="CN1236" t="s">
        <v>442</v>
      </c>
      <c r="CO1236" s="1">
        <v>43053</v>
      </c>
      <c r="CP1236" s="1">
        <v>43633</v>
      </c>
    </row>
    <row r="1237" spans="1:94" x14ac:dyDescent="0.25">
      <c r="A1237" t="s">
        <v>3965</v>
      </c>
      <c r="B1237" t="str">
        <f xml:space="preserve"> "" &amp; 747396106410</f>
        <v>747396106410</v>
      </c>
      <c r="C1237" t="s">
        <v>3712</v>
      </c>
      <c r="D1237" t="s">
        <v>3966</v>
      </c>
      <c r="E1237" t="s">
        <v>3963</v>
      </c>
      <c r="F1237" t="s">
        <v>2823</v>
      </c>
      <c r="G1237">
        <v>1</v>
      </c>
      <c r="H1237">
        <v>1</v>
      </c>
      <c r="I1237" t="s">
        <v>97</v>
      </c>
      <c r="J1237" s="10">
        <v>95</v>
      </c>
      <c r="K1237" s="10">
        <v>285</v>
      </c>
      <c r="L1237" s="10">
        <v>0</v>
      </c>
      <c r="N1237" s="10">
        <v>0</v>
      </c>
      <c r="O1237" t="s">
        <v>99</v>
      </c>
      <c r="P1237" s="10">
        <v>194.95</v>
      </c>
      <c r="S1237">
        <v>21.5</v>
      </c>
      <c r="U1237">
        <v>8.75</v>
      </c>
      <c r="V1237">
        <v>9.75</v>
      </c>
      <c r="W1237">
        <v>7.91</v>
      </c>
      <c r="X1237">
        <v>1</v>
      </c>
      <c r="Y1237">
        <v>11.5</v>
      </c>
      <c r="Z1237">
        <v>24</v>
      </c>
      <c r="AA1237">
        <v>12.13</v>
      </c>
      <c r="AB1237">
        <v>1.9370000000000001</v>
      </c>
      <c r="AC1237">
        <v>10.58</v>
      </c>
      <c r="AE1237">
        <v>3</v>
      </c>
      <c r="AF1237" t="s">
        <v>519</v>
      </c>
      <c r="AG1237">
        <v>60</v>
      </c>
      <c r="AK1237" t="s">
        <v>98</v>
      </c>
      <c r="AL1237">
        <v>1</v>
      </c>
      <c r="AM1237" t="s">
        <v>98</v>
      </c>
      <c r="AN1237" t="s">
        <v>99</v>
      </c>
      <c r="AO1237" t="s">
        <v>98</v>
      </c>
      <c r="AP1237" t="s">
        <v>100</v>
      </c>
      <c r="AQ1237" t="s">
        <v>101</v>
      </c>
      <c r="AV1237" t="s">
        <v>98</v>
      </c>
      <c r="AX1237" t="s">
        <v>3190</v>
      </c>
      <c r="AZ1237" t="s">
        <v>102</v>
      </c>
      <c r="BB1237" t="s">
        <v>235</v>
      </c>
      <c r="BC1237" t="s">
        <v>746</v>
      </c>
      <c r="BD1237" t="s">
        <v>7528</v>
      </c>
      <c r="BF1237" t="s">
        <v>3967</v>
      </c>
      <c r="BG1237" t="s">
        <v>98</v>
      </c>
      <c r="BH1237" t="s">
        <v>98</v>
      </c>
      <c r="BI1237" t="s">
        <v>98</v>
      </c>
      <c r="BJ1237" t="s">
        <v>99</v>
      </c>
      <c r="BK1237" t="s">
        <v>453</v>
      </c>
      <c r="BL1237" t="s">
        <v>128</v>
      </c>
      <c r="BM1237">
        <v>4.75</v>
      </c>
      <c r="BN1237">
        <v>7.88</v>
      </c>
      <c r="CA1237">
        <v>72632</v>
      </c>
      <c r="CB1237" t="s">
        <v>3190</v>
      </c>
      <c r="CL1237" t="s">
        <v>99</v>
      </c>
      <c r="CM1237" t="s">
        <v>98</v>
      </c>
      <c r="CN1237" t="s">
        <v>442</v>
      </c>
      <c r="CO1237" s="1">
        <v>43053</v>
      </c>
      <c r="CP1237" s="1">
        <v>43633</v>
      </c>
    </row>
    <row r="1238" spans="1:94" x14ac:dyDescent="0.25">
      <c r="A1238" t="s">
        <v>3968</v>
      </c>
      <c r="B1238" t="str">
        <f xml:space="preserve"> "" &amp; 747396106427</f>
        <v>747396106427</v>
      </c>
      <c r="C1238" t="s">
        <v>3569</v>
      </c>
      <c r="D1238" t="s">
        <v>3969</v>
      </c>
      <c r="E1238" t="s">
        <v>3963</v>
      </c>
      <c r="F1238" t="s">
        <v>2823</v>
      </c>
      <c r="G1238">
        <v>1</v>
      </c>
      <c r="H1238">
        <v>1</v>
      </c>
      <c r="I1238" t="s">
        <v>97</v>
      </c>
      <c r="J1238" s="10">
        <v>135</v>
      </c>
      <c r="K1238" s="10">
        <v>405</v>
      </c>
      <c r="L1238" s="10">
        <v>0</v>
      </c>
      <c r="N1238" s="10">
        <v>0</v>
      </c>
      <c r="O1238" t="s">
        <v>99</v>
      </c>
      <c r="P1238" s="10">
        <v>284.95</v>
      </c>
      <c r="S1238">
        <v>25.5</v>
      </c>
      <c r="U1238">
        <v>10.75</v>
      </c>
      <c r="V1238">
        <v>12</v>
      </c>
      <c r="W1238">
        <v>12.41</v>
      </c>
      <c r="X1238">
        <v>1</v>
      </c>
      <c r="Y1238">
        <v>13.25</v>
      </c>
      <c r="Z1238">
        <v>27.75</v>
      </c>
      <c r="AA1238">
        <v>14.38</v>
      </c>
      <c r="AB1238">
        <v>3.06</v>
      </c>
      <c r="AC1238">
        <v>15.83</v>
      </c>
      <c r="AE1238">
        <v>4</v>
      </c>
      <c r="AF1238" t="s">
        <v>519</v>
      </c>
      <c r="AG1238">
        <v>60</v>
      </c>
      <c r="AK1238" t="s">
        <v>98</v>
      </c>
      <c r="AL1238">
        <v>1</v>
      </c>
      <c r="AM1238" t="s">
        <v>98</v>
      </c>
      <c r="AN1238" t="s">
        <v>99</v>
      </c>
      <c r="AO1238" t="s">
        <v>98</v>
      </c>
      <c r="AP1238" t="s">
        <v>100</v>
      </c>
      <c r="AQ1238" t="s">
        <v>101</v>
      </c>
      <c r="AV1238" t="s">
        <v>98</v>
      </c>
      <c r="AX1238" t="s">
        <v>3190</v>
      </c>
      <c r="AZ1238" t="s">
        <v>102</v>
      </c>
      <c r="BB1238" t="s">
        <v>235</v>
      </c>
      <c r="BC1238" t="s">
        <v>746</v>
      </c>
      <c r="BD1238" t="s">
        <v>7528</v>
      </c>
      <c r="BF1238" t="s">
        <v>3970</v>
      </c>
      <c r="BG1238" t="s">
        <v>98</v>
      </c>
      <c r="BH1238" t="s">
        <v>98</v>
      </c>
      <c r="BI1238" t="s">
        <v>98</v>
      </c>
      <c r="BJ1238" t="s">
        <v>99</v>
      </c>
      <c r="BK1238" t="s">
        <v>453</v>
      </c>
      <c r="BL1238" t="s">
        <v>128</v>
      </c>
      <c r="BM1238">
        <v>5.88</v>
      </c>
      <c r="BN1238">
        <v>9.5</v>
      </c>
      <c r="CA1238">
        <v>72633</v>
      </c>
      <c r="CB1238" t="s">
        <v>3190</v>
      </c>
      <c r="CL1238" t="s">
        <v>99</v>
      </c>
      <c r="CM1238" t="s">
        <v>98</v>
      </c>
      <c r="CN1238" t="s">
        <v>442</v>
      </c>
      <c r="CO1238" s="1">
        <v>43053</v>
      </c>
      <c r="CP1238" s="1">
        <v>43633</v>
      </c>
    </row>
    <row r="1239" spans="1:94" x14ac:dyDescent="0.25">
      <c r="A1239" t="s">
        <v>3971</v>
      </c>
      <c r="B1239" t="str">
        <f xml:space="preserve"> "" &amp; 747396106441</f>
        <v>747396106441</v>
      </c>
      <c r="C1239" t="s">
        <v>3972</v>
      </c>
      <c r="D1239" t="s">
        <v>3973</v>
      </c>
      <c r="E1239" t="s">
        <v>3963</v>
      </c>
      <c r="F1239" t="s">
        <v>2823</v>
      </c>
      <c r="G1239">
        <v>1</v>
      </c>
      <c r="H1239">
        <v>1</v>
      </c>
      <c r="I1239" t="s">
        <v>97</v>
      </c>
      <c r="J1239" s="10">
        <v>95</v>
      </c>
      <c r="K1239" s="10">
        <v>285</v>
      </c>
      <c r="L1239" s="10">
        <v>0</v>
      </c>
      <c r="N1239" s="10">
        <v>0</v>
      </c>
      <c r="O1239" t="s">
        <v>99</v>
      </c>
      <c r="P1239" s="10">
        <v>194.95</v>
      </c>
      <c r="S1239">
        <v>14.75</v>
      </c>
      <c r="T1239">
        <v>8.75</v>
      </c>
      <c r="U1239">
        <v>8.75</v>
      </c>
      <c r="W1239">
        <v>7.56</v>
      </c>
      <c r="X1239">
        <v>1</v>
      </c>
      <c r="Y1239">
        <v>11.25</v>
      </c>
      <c r="Z1239">
        <v>17.25</v>
      </c>
      <c r="AA1239">
        <v>12</v>
      </c>
      <c r="AB1239">
        <v>1.3480000000000001</v>
      </c>
      <c r="AC1239">
        <v>9.39</v>
      </c>
      <c r="AE1239">
        <v>3</v>
      </c>
      <c r="AF1239" t="s">
        <v>519</v>
      </c>
      <c r="AG1239">
        <v>60</v>
      </c>
      <c r="AK1239" t="s">
        <v>98</v>
      </c>
      <c r="AM1239" t="s">
        <v>98</v>
      </c>
      <c r="AN1239" t="s">
        <v>99</v>
      </c>
      <c r="AO1239" t="s">
        <v>98</v>
      </c>
      <c r="AP1239" t="s">
        <v>100</v>
      </c>
      <c r="AQ1239" t="s">
        <v>101</v>
      </c>
      <c r="AV1239" t="s">
        <v>98</v>
      </c>
      <c r="AX1239" t="s">
        <v>3190</v>
      </c>
      <c r="AZ1239" t="s">
        <v>102</v>
      </c>
      <c r="BB1239" t="s">
        <v>235</v>
      </c>
      <c r="BC1239" t="s">
        <v>746</v>
      </c>
      <c r="BD1239" t="s">
        <v>7528</v>
      </c>
      <c r="BF1239" t="s">
        <v>3974</v>
      </c>
      <c r="BG1239" t="s">
        <v>98</v>
      </c>
      <c r="BH1239" t="s">
        <v>98</v>
      </c>
      <c r="BI1239" t="s">
        <v>98</v>
      </c>
      <c r="BJ1239" t="s">
        <v>99</v>
      </c>
      <c r="BK1239" t="s">
        <v>453</v>
      </c>
      <c r="BL1239" t="s">
        <v>7528</v>
      </c>
      <c r="BR1239">
        <v>1</v>
      </c>
      <c r="BT1239">
        <v>5.5</v>
      </c>
      <c r="CA1239">
        <v>72634</v>
      </c>
      <c r="CB1239" t="s">
        <v>3190</v>
      </c>
      <c r="CL1239" t="s">
        <v>99</v>
      </c>
      <c r="CM1239" t="s">
        <v>98</v>
      </c>
      <c r="CN1239" t="s">
        <v>442</v>
      </c>
      <c r="CO1239" s="1">
        <v>43053</v>
      </c>
      <c r="CP1239" s="1">
        <v>43633</v>
      </c>
    </row>
    <row r="1240" spans="1:94" x14ac:dyDescent="0.25">
      <c r="A1240" t="s">
        <v>3975</v>
      </c>
      <c r="B1240" t="str">
        <f xml:space="preserve"> "" &amp; 747396106434</f>
        <v>747396106434</v>
      </c>
      <c r="C1240" t="s">
        <v>3468</v>
      </c>
      <c r="D1240" t="s">
        <v>3976</v>
      </c>
      <c r="E1240" t="s">
        <v>3963</v>
      </c>
      <c r="F1240" t="s">
        <v>2823</v>
      </c>
      <c r="G1240">
        <v>1</v>
      </c>
      <c r="H1240">
        <v>1</v>
      </c>
      <c r="I1240" t="s">
        <v>97</v>
      </c>
      <c r="J1240" s="10">
        <v>95</v>
      </c>
      <c r="K1240" s="10">
        <v>285</v>
      </c>
      <c r="L1240" s="10">
        <v>0</v>
      </c>
      <c r="N1240" s="10">
        <v>0</v>
      </c>
      <c r="O1240" t="s">
        <v>99</v>
      </c>
      <c r="P1240" s="10">
        <v>194.95</v>
      </c>
      <c r="S1240">
        <v>17.25</v>
      </c>
      <c r="T1240">
        <v>8.75</v>
      </c>
      <c r="U1240">
        <v>8.75</v>
      </c>
      <c r="W1240">
        <v>6.97</v>
      </c>
      <c r="X1240">
        <v>1</v>
      </c>
      <c r="Y1240">
        <v>11.25</v>
      </c>
      <c r="Z1240">
        <v>19.38</v>
      </c>
      <c r="AA1240">
        <v>12</v>
      </c>
      <c r="AB1240">
        <v>1.514</v>
      </c>
      <c r="AC1240">
        <v>8.93</v>
      </c>
      <c r="AE1240">
        <v>3</v>
      </c>
      <c r="AF1240" t="s">
        <v>519</v>
      </c>
      <c r="AG1240">
        <v>60</v>
      </c>
      <c r="AK1240" t="s">
        <v>98</v>
      </c>
      <c r="AM1240" t="s">
        <v>98</v>
      </c>
      <c r="AN1240" t="s">
        <v>99</v>
      </c>
      <c r="AO1240" t="s">
        <v>98</v>
      </c>
      <c r="AP1240" t="s">
        <v>100</v>
      </c>
      <c r="AQ1240" t="s">
        <v>101</v>
      </c>
      <c r="AV1240" t="s">
        <v>98</v>
      </c>
      <c r="AX1240" t="s">
        <v>3190</v>
      </c>
      <c r="AZ1240" t="s">
        <v>102</v>
      </c>
      <c r="BB1240" t="s">
        <v>235</v>
      </c>
      <c r="BC1240" t="s">
        <v>746</v>
      </c>
      <c r="BD1240" t="s">
        <v>7528</v>
      </c>
      <c r="BF1240" t="s">
        <v>3977</v>
      </c>
      <c r="BG1240" t="s">
        <v>98</v>
      </c>
      <c r="BH1240" t="s">
        <v>98</v>
      </c>
      <c r="BI1240" t="s">
        <v>98</v>
      </c>
      <c r="BJ1240" t="s">
        <v>99</v>
      </c>
      <c r="BK1240" t="s">
        <v>453</v>
      </c>
      <c r="BL1240" t="s">
        <v>7528</v>
      </c>
      <c r="CA1240">
        <v>72636</v>
      </c>
      <c r="CB1240" t="s">
        <v>3190</v>
      </c>
      <c r="CL1240" t="s">
        <v>99</v>
      </c>
      <c r="CM1240" t="s">
        <v>98</v>
      </c>
      <c r="CN1240" t="s">
        <v>442</v>
      </c>
      <c r="CO1240" s="1">
        <v>43053</v>
      </c>
      <c r="CP1240" s="1">
        <v>43633</v>
      </c>
    </row>
    <row r="1241" spans="1:94" x14ac:dyDescent="0.25">
      <c r="A1241" t="s">
        <v>3978</v>
      </c>
      <c r="B1241" t="str">
        <f xml:space="preserve"> "" &amp; 747396109510</f>
        <v>747396109510</v>
      </c>
      <c r="C1241" t="s">
        <v>3621</v>
      </c>
      <c r="D1241" t="s">
        <v>3979</v>
      </c>
      <c r="E1241" t="s">
        <v>3980</v>
      </c>
      <c r="F1241" t="s">
        <v>3188</v>
      </c>
      <c r="G1241">
        <v>1</v>
      </c>
      <c r="H1241">
        <v>1</v>
      </c>
      <c r="I1241" t="s">
        <v>97</v>
      </c>
      <c r="J1241" s="10">
        <v>59</v>
      </c>
      <c r="K1241" s="10">
        <v>177</v>
      </c>
      <c r="L1241" s="10">
        <v>0</v>
      </c>
      <c r="N1241" s="10">
        <v>0</v>
      </c>
      <c r="O1241" t="s">
        <v>99</v>
      </c>
      <c r="P1241" s="10">
        <v>124.95</v>
      </c>
      <c r="S1241">
        <v>13</v>
      </c>
      <c r="U1241">
        <v>4.5</v>
      </c>
      <c r="V1241">
        <v>3.75</v>
      </c>
      <c r="W1241">
        <v>1.57</v>
      </c>
      <c r="X1241">
        <v>1</v>
      </c>
      <c r="Y1241">
        <v>6.75</v>
      </c>
      <c r="Z1241">
        <v>15.75</v>
      </c>
      <c r="AA1241">
        <v>6.88</v>
      </c>
      <c r="AB1241">
        <v>0.42299999999999999</v>
      </c>
      <c r="AC1241">
        <v>2.27</v>
      </c>
      <c r="AE1241">
        <v>1</v>
      </c>
      <c r="AF1241" t="s">
        <v>3981</v>
      </c>
      <c r="AG1241">
        <v>7</v>
      </c>
      <c r="AK1241" t="s">
        <v>99</v>
      </c>
      <c r="AM1241" t="s">
        <v>98</v>
      </c>
      <c r="AN1241" t="s">
        <v>99</v>
      </c>
      <c r="AO1241" t="s">
        <v>98</v>
      </c>
      <c r="AP1241" t="s">
        <v>100</v>
      </c>
      <c r="AQ1241" t="s">
        <v>101</v>
      </c>
      <c r="AV1241" t="s">
        <v>98</v>
      </c>
      <c r="AX1241" t="s">
        <v>3982</v>
      </c>
      <c r="AZ1241" t="s">
        <v>102</v>
      </c>
      <c r="BB1241" t="s">
        <v>7528</v>
      </c>
      <c r="BC1241" t="s">
        <v>7528</v>
      </c>
      <c r="BD1241" t="s">
        <v>7528</v>
      </c>
      <c r="BF1241" t="s">
        <v>3983</v>
      </c>
      <c r="BG1241" t="s">
        <v>98</v>
      </c>
      <c r="BH1241" t="s">
        <v>98</v>
      </c>
      <c r="BI1241" t="s">
        <v>98</v>
      </c>
      <c r="BJ1241" t="s">
        <v>99</v>
      </c>
      <c r="BK1241" t="s">
        <v>453</v>
      </c>
      <c r="BL1241" t="s">
        <v>128</v>
      </c>
      <c r="BM1241">
        <v>4.5</v>
      </c>
      <c r="BN1241">
        <v>7.5</v>
      </c>
      <c r="CA1241" t="s">
        <v>3984</v>
      </c>
      <c r="CB1241" t="s">
        <v>3982</v>
      </c>
      <c r="CG1241">
        <v>3000</v>
      </c>
      <c r="CH1241">
        <v>92</v>
      </c>
      <c r="CI1241">
        <v>381.6</v>
      </c>
      <c r="CJ1241">
        <v>357.9</v>
      </c>
      <c r="CK1241">
        <v>25000</v>
      </c>
      <c r="CL1241" t="s">
        <v>99</v>
      </c>
      <c r="CM1241" t="s">
        <v>98</v>
      </c>
      <c r="CN1241" t="s">
        <v>3236</v>
      </c>
      <c r="CO1241" s="1">
        <v>43262</v>
      </c>
      <c r="CP1241" s="1">
        <v>43633</v>
      </c>
    </row>
    <row r="1242" spans="1:94" x14ac:dyDescent="0.25">
      <c r="A1242" t="s">
        <v>3985</v>
      </c>
      <c r="B1242" t="str">
        <f xml:space="preserve"> "" &amp; 747396109527</f>
        <v>747396109527</v>
      </c>
      <c r="C1242" t="s">
        <v>3986</v>
      </c>
      <c r="D1242" t="s">
        <v>3979</v>
      </c>
      <c r="E1242" t="s">
        <v>3980</v>
      </c>
      <c r="F1242" t="s">
        <v>3188</v>
      </c>
      <c r="G1242">
        <v>1</v>
      </c>
      <c r="H1242">
        <v>1</v>
      </c>
      <c r="I1242" t="s">
        <v>97</v>
      </c>
      <c r="J1242" s="10">
        <v>59</v>
      </c>
      <c r="K1242" s="10">
        <v>177</v>
      </c>
      <c r="L1242" s="10">
        <v>0</v>
      </c>
      <c r="N1242" s="10">
        <v>0</v>
      </c>
      <c r="O1242" t="s">
        <v>99</v>
      </c>
      <c r="P1242" s="10">
        <v>124.95</v>
      </c>
      <c r="S1242">
        <v>13</v>
      </c>
      <c r="U1242">
        <v>4.5</v>
      </c>
      <c r="V1242">
        <v>3.75</v>
      </c>
      <c r="W1242">
        <v>1.57</v>
      </c>
      <c r="X1242">
        <v>1</v>
      </c>
      <c r="Y1242">
        <v>6.75</v>
      </c>
      <c r="Z1242">
        <v>15.75</v>
      </c>
      <c r="AA1242">
        <v>6.88</v>
      </c>
      <c r="AB1242">
        <v>0.42299999999999999</v>
      </c>
      <c r="AC1242">
        <v>2.27</v>
      </c>
      <c r="AE1242">
        <v>1</v>
      </c>
      <c r="AF1242" t="s">
        <v>3981</v>
      </c>
      <c r="AG1242">
        <v>7</v>
      </c>
      <c r="AK1242" t="s">
        <v>99</v>
      </c>
      <c r="AM1242" t="s">
        <v>98</v>
      </c>
      <c r="AN1242" t="s">
        <v>99</v>
      </c>
      <c r="AO1242" t="s">
        <v>98</v>
      </c>
      <c r="AP1242" t="s">
        <v>100</v>
      </c>
      <c r="AQ1242" t="s">
        <v>101</v>
      </c>
      <c r="AV1242" t="s">
        <v>98</v>
      </c>
      <c r="AX1242" t="s">
        <v>3987</v>
      </c>
      <c r="AZ1242" t="s">
        <v>102</v>
      </c>
      <c r="BB1242" t="s">
        <v>7528</v>
      </c>
      <c r="BC1242" t="s">
        <v>7528</v>
      </c>
      <c r="BD1242" t="s">
        <v>7528</v>
      </c>
      <c r="BF1242" t="s">
        <v>3988</v>
      </c>
      <c r="BG1242" t="s">
        <v>98</v>
      </c>
      <c r="BH1242" t="s">
        <v>98</v>
      </c>
      <c r="BI1242" t="s">
        <v>98</v>
      </c>
      <c r="BJ1242" t="s">
        <v>99</v>
      </c>
      <c r="BK1242" t="s">
        <v>453</v>
      </c>
      <c r="BL1242" t="s">
        <v>128</v>
      </c>
      <c r="BM1242">
        <v>4.5</v>
      </c>
      <c r="BN1242">
        <v>7.5</v>
      </c>
      <c r="CA1242" t="s">
        <v>3984</v>
      </c>
      <c r="CB1242" t="s">
        <v>3987</v>
      </c>
      <c r="CG1242">
        <v>3000</v>
      </c>
      <c r="CH1242">
        <v>92</v>
      </c>
      <c r="CI1242">
        <v>381.6</v>
      </c>
      <c r="CJ1242">
        <v>357.9</v>
      </c>
      <c r="CK1242">
        <v>25000</v>
      </c>
      <c r="CL1242" t="s">
        <v>99</v>
      </c>
      <c r="CM1242" t="s">
        <v>98</v>
      </c>
      <c r="CN1242" t="s">
        <v>3236</v>
      </c>
      <c r="CO1242" s="1">
        <v>43262</v>
      </c>
      <c r="CP1242" s="1">
        <v>43633</v>
      </c>
    </row>
    <row r="1243" spans="1:94" x14ac:dyDescent="0.25">
      <c r="A1243" t="s">
        <v>3989</v>
      </c>
      <c r="B1243" t="str">
        <f xml:space="preserve"> "" &amp; 747396109534</f>
        <v>747396109534</v>
      </c>
      <c r="C1243" t="s">
        <v>3986</v>
      </c>
      <c r="D1243" t="s">
        <v>3979</v>
      </c>
      <c r="E1243" t="s">
        <v>3980</v>
      </c>
      <c r="F1243" t="s">
        <v>3188</v>
      </c>
      <c r="G1243">
        <v>1</v>
      </c>
      <c r="H1243">
        <v>1</v>
      </c>
      <c r="I1243" t="s">
        <v>97</v>
      </c>
      <c r="J1243" s="10">
        <v>69</v>
      </c>
      <c r="K1243" s="10">
        <v>207</v>
      </c>
      <c r="L1243" s="10">
        <v>0</v>
      </c>
      <c r="N1243" s="10">
        <v>0</v>
      </c>
      <c r="O1243" t="s">
        <v>99</v>
      </c>
      <c r="P1243" s="10">
        <v>144.94999999999999</v>
      </c>
      <c r="S1243">
        <v>18</v>
      </c>
      <c r="U1243">
        <v>4.5</v>
      </c>
      <c r="V1243">
        <v>3.75</v>
      </c>
      <c r="W1243">
        <v>1.72</v>
      </c>
      <c r="X1243">
        <v>1</v>
      </c>
      <c r="Y1243">
        <v>6.75</v>
      </c>
      <c r="Z1243">
        <v>20.5</v>
      </c>
      <c r="AA1243">
        <v>6.88</v>
      </c>
      <c r="AB1243">
        <v>0.55100000000000005</v>
      </c>
      <c r="AC1243">
        <v>2.6</v>
      </c>
      <c r="AE1243">
        <v>1</v>
      </c>
      <c r="AF1243" t="s">
        <v>3981</v>
      </c>
      <c r="AG1243">
        <v>7</v>
      </c>
      <c r="AK1243" t="s">
        <v>99</v>
      </c>
      <c r="AM1243" t="s">
        <v>98</v>
      </c>
      <c r="AN1243" t="s">
        <v>99</v>
      </c>
      <c r="AO1243" t="s">
        <v>98</v>
      </c>
      <c r="AP1243" t="s">
        <v>100</v>
      </c>
      <c r="AQ1243" t="s">
        <v>101</v>
      </c>
      <c r="AV1243" t="s">
        <v>98</v>
      </c>
      <c r="AX1243" t="s">
        <v>3982</v>
      </c>
      <c r="AZ1243" t="s">
        <v>102</v>
      </c>
      <c r="BB1243" t="s">
        <v>7528</v>
      </c>
      <c r="BC1243" t="s">
        <v>7528</v>
      </c>
      <c r="BD1243" t="s">
        <v>7528</v>
      </c>
      <c r="BF1243" t="s">
        <v>3990</v>
      </c>
      <c r="BG1243" t="s">
        <v>98</v>
      </c>
      <c r="BH1243" t="s">
        <v>98</v>
      </c>
      <c r="BI1243" t="s">
        <v>98</v>
      </c>
      <c r="BJ1243" t="s">
        <v>99</v>
      </c>
      <c r="BK1243" t="s">
        <v>453</v>
      </c>
      <c r="BL1243" t="s">
        <v>128</v>
      </c>
      <c r="BM1243">
        <v>4.5</v>
      </c>
      <c r="BN1243">
        <v>7.5</v>
      </c>
      <c r="CA1243" t="s">
        <v>3991</v>
      </c>
      <c r="CB1243" t="s">
        <v>3982</v>
      </c>
      <c r="CG1243">
        <v>3000</v>
      </c>
      <c r="CH1243">
        <v>92</v>
      </c>
      <c r="CI1243">
        <v>381.6</v>
      </c>
      <c r="CJ1243">
        <v>357.9</v>
      </c>
      <c r="CK1243">
        <v>25000</v>
      </c>
      <c r="CL1243" t="s">
        <v>99</v>
      </c>
      <c r="CM1243" t="s">
        <v>99</v>
      </c>
      <c r="CN1243" t="s">
        <v>3236</v>
      </c>
      <c r="CO1243" s="1">
        <v>43262</v>
      </c>
      <c r="CP1243" s="1">
        <v>43633</v>
      </c>
    </row>
    <row r="1244" spans="1:94" x14ac:dyDescent="0.25">
      <c r="A1244" t="s">
        <v>3992</v>
      </c>
      <c r="B1244" t="str">
        <f xml:space="preserve"> "" &amp; 747396109541</f>
        <v>747396109541</v>
      </c>
      <c r="C1244" t="s">
        <v>3621</v>
      </c>
      <c r="D1244" t="s">
        <v>3979</v>
      </c>
      <c r="E1244" t="s">
        <v>3980</v>
      </c>
      <c r="F1244" t="s">
        <v>3188</v>
      </c>
      <c r="G1244">
        <v>1</v>
      </c>
      <c r="H1244">
        <v>1</v>
      </c>
      <c r="I1244" t="s">
        <v>97</v>
      </c>
      <c r="J1244" s="10">
        <v>69</v>
      </c>
      <c r="K1244" s="10">
        <v>207</v>
      </c>
      <c r="L1244" s="10">
        <v>0</v>
      </c>
      <c r="N1244" s="10">
        <v>0</v>
      </c>
      <c r="O1244" t="s">
        <v>99</v>
      </c>
      <c r="P1244" s="10">
        <v>144.94999999999999</v>
      </c>
      <c r="S1244">
        <v>18</v>
      </c>
      <c r="U1244">
        <v>4.5</v>
      </c>
      <c r="V1244">
        <v>3.75</v>
      </c>
      <c r="W1244">
        <v>1.72</v>
      </c>
      <c r="X1244">
        <v>1</v>
      </c>
      <c r="Y1244">
        <v>6.75</v>
      </c>
      <c r="Z1244">
        <v>20.5</v>
      </c>
      <c r="AA1244">
        <v>6.88</v>
      </c>
      <c r="AB1244">
        <v>0.55100000000000005</v>
      </c>
      <c r="AC1244">
        <v>2.6</v>
      </c>
      <c r="AE1244">
        <v>1</v>
      </c>
      <c r="AF1244" t="s">
        <v>3981</v>
      </c>
      <c r="AG1244">
        <v>7</v>
      </c>
      <c r="AK1244" t="s">
        <v>99</v>
      </c>
      <c r="AM1244" t="s">
        <v>98</v>
      </c>
      <c r="AN1244" t="s">
        <v>99</v>
      </c>
      <c r="AO1244" t="s">
        <v>98</v>
      </c>
      <c r="AP1244" t="s">
        <v>100</v>
      </c>
      <c r="AQ1244" t="s">
        <v>101</v>
      </c>
      <c r="AV1244" t="s">
        <v>98</v>
      </c>
      <c r="AX1244" t="s">
        <v>3987</v>
      </c>
      <c r="AZ1244" t="s">
        <v>102</v>
      </c>
      <c r="BB1244" t="s">
        <v>7528</v>
      </c>
      <c r="BC1244" t="s">
        <v>7528</v>
      </c>
      <c r="BD1244" t="s">
        <v>7528</v>
      </c>
      <c r="BF1244" t="s">
        <v>3993</v>
      </c>
      <c r="BG1244" t="s">
        <v>98</v>
      </c>
      <c r="BH1244" t="s">
        <v>98</v>
      </c>
      <c r="BI1244" t="s">
        <v>98</v>
      </c>
      <c r="BJ1244" t="s">
        <v>99</v>
      </c>
      <c r="BK1244" t="s">
        <v>453</v>
      </c>
      <c r="BL1244" t="s">
        <v>128</v>
      </c>
      <c r="BM1244">
        <v>4.5</v>
      </c>
      <c r="BN1244">
        <v>7.5</v>
      </c>
      <c r="CA1244" t="s">
        <v>3991</v>
      </c>
      <c r="CB1244" t="s">
        <v>3987</v>
      </c>
      <c r="CG1244">
        <v>3000</v>
      </c>
      <c r="CH1244">
        <v>92</v>
      </c>
      <c r="CI1244">
        <v>381.6</v>
      </c>
      <c r="CJ1244">
        <v>357.9</v>
      </c>
      <c r="CK1244">
        <v>25000</v>
      </c>
      <c r="CL1244" t="s">
        <v>99</v>
      </c>
      <c r="CM1244" t="s">
        <v>98</v>
      </c>
      <c r="CN1244" t="s">
        <v>3236</v>
      </c>
      <c r="CO1244" s="1">
        <v>43262</v>
      </c>
      <c r="CP1244" s="1">
        <v>43633</v>
      </c>
    </row>
    <row r="1245" spans="1:94" x14ac:dyDescent="0.25">
      <c r="A1245" t="s">
        <v>3994</v>
      </c>
      <c r="B1245" t="str">
        <f xml:space="preserve"> "" &amp; 747396109558</f>
        <v>747396109558</v>
      </c>
      <c r="C1245" t="s">
        <v>3986</v>
      </c>
      <c r="D1245" t="s">
        <v>3979</v>
      </c>
      <c r="E1245" t="s">
        <v>3980</v>
      </c>
      <c r="F1245" t="s">
        <v>3188</v>
      </c>
      <c r="G1245">
        <v>1</v>
      </c>
      <c r="H1245">
        <v>1</v>
      </c>
      <c r="I1245" t="s">
        <v>97</v>
      </c>
      <c r="J1245" s="10">
        <v>79</v>
      </c>
      <c r="K1245" s="10">
        <v>237</v>
      </c>
      <c r="L1245" s="10">
        <v>0</v>
      </c>
      <c r="N1245" s="10">
        <v>0</v>
      </c>
      <c r="O1245" t="s">
        <v>99</v>
      </c>
      <c r="P1245" s="10">
        <v>169.95</v>
      </c>
      <c r="S1245">
        <v>23</v>
      </c>
      <c r="U1245">
        <v>4.5</v>
      </c>
      <c r="V1245">
        <v>3.75</v>
      </c>
      <c r="W1245">
        <v>1.9</v>
      </c>
      <c r="X1245">
        <v>1</v>
      </c>
      <c r="Y1245">
        <v>6.75</v>
      </c>
      <c r="Z1245">
        <v>25.63</v>
      </c>
      <c r="AA1245">
        <v>6.88</v>
      </c>
      <c r="AB1245">
        <v>0.68899999999999995</v>
      </c>
      <c r="AC1245">
        <v>2.93</v>
      </c>
      <c r="AE1245">
        <v>1</v>
      </c>
      <c r="AF1245" t="s">
        <v>3981</v>
      </c>
      <c r="AG1245">
        <v>7</v>
      </c>
      <c r="AK1245" t="s">
        <v>99</v>
      </c>
      <c r="AM1245" t="s">
        <v>98</v>
      </c>
      <c r="AN1245" t="s">
        <v>99</v>
      </c>
      <c r="AO1245" t="s">
        <v>98</v>
      </c>
      <c r="AP1245" t="s">
        <v>100</v>
      </c>
      <c r="AQ1245" t="s">
        <v>101</v>
      </c>
      <c r="AV1245" t="s">
        <v>98</v>
      </c>
      <c r="AX1245" t="s">
        <v>3982</v>
      </c>
      <c r="AZ1245" t="s">
        <v>102</v>
      </c>
      <c r="BB1245" t="s">
        <v>7528</v>
      </c>
      <c r="BC1245" t="s">
        <v>7528</v>
      </c>
      <c r="BD1245" t="s">
        <v>7528</v>
      </c>
      <c r="BF1245" t="s">
        <v>3995</v>
      </c>
      <c r="BG1245" t="s">
        <v>98</v>
      </c>
      <c r="BH1245" t="s">
        <v>98</v>
      </c>
      <c r="BI1245" t="s">
        <v>98</v>
      </c>
      <c r="BJ1245" t="s">
        <v>99</v>
      </c>
      <c r="BK1245" t="s">
        <v>453</v>
      </c>
      <c r="BL1245" t="s">
        <v>128</v>
      </c>
      <c r="BM1245">
        <v>4.5</v>
      </c>
      <c r="BN1245">
        <v>7.5</v>
      </c>
      <c r="CA1245" t="s">
        <v>3996</v>
      </c>
      <c r="CB1245" t="s">
        <v>3982</v>
      </c>
      <c r="CG1245">
        <v>3000</v>
      </c>
      <c r="CH1245">
        <v>92</v>
      </c>
      <c r="CI1245">
        <v>381.6</v>
      </c>
      <c r="CJ1245">
        <v>357.9</v>
      </c>
      <c r="CK1245">
        <v>25000</v>
      </c>
      <c r="CL1245" t="s">
        <v>99</v>
      </c>
      <c r="CM1245" t="s">
        <v>98</v>
      </c>
      <c r="CN1245" t="s">
        <v>3236</v>
      </c>
      <c r="CO1245" s="1">
        <v>43262</v>
      </c>
      <c r="CP1245" s="1">
        <v>43633</v>
      </c>
    </row>
    <row r="1246" spans="1:94" x14ac:dyDescent="0.25">
      <c r="A1246" t="s">
        <v>3997</v>
      </c>
      <c r="B1246" t="str">
        <f xml:space="preserve"> "" &amp; 747396109565</f>
        <v>747396109565</v>
      </c>
      <c r="C1246" t="s">
        <v>3986</v>
      </c>
      <c r="D1246" t="s">
        <v>3979</v>
      </c>
      <c r="E1246" t="s">
        <v>3980</v>
      </c>
      <c r="F1246" t="s">
        <v>3188</v>
      </c>
      <c r="G1246">
        <v>1</v>
      </c>
      <c r="H1246">
        <v>1</v>
      </c>
      <c r="I1246" t="s">
        <v>97</v>
      </c>
      <c r="J1246" s="10">
        <v>79</v>
      </c>
      <c r="K1246" s="10">
        <v>237</v>
      </c>
      <c r="L1246" s="10">
        <v>0</v>
      </c>
      <c r="N1246" s="10">
        <v>0</v>
      </c>
      <c r="O1246" t="s">
        <v>99</v>
      </c>
      <c r="P1246" s="10">
        <v>169.95</v>
      </c>
      <c r="S1246">
        <v>23</v>
      </c>
      <c r="U1246">
        <v>4.5</v>
      </c>
      <c r="V1246">
        <v>3.75</v>
      </c>
      <c r="W1246">
        <v>1.9</v>
      </c>
      <c r="X1246">
        <v>1</v>
      </c>
      <c r="Y1246">
        <v>6.75</v>
      </c>
      <c r="Z1246">
        <v>25.63</v>
      </c>
      <c r="AA1246">
        <v>6.88</v>
      </c>
      <c r="AB1246">
        <v>0.68899999999999995</v>
      </c>
      <c r="AC1246">
        <v>2.93</v>
      </c>
      <c r="AE1246">
        <v>1</v>
      </c>
      <c r="AF1246" t="s">
        <v>3981</v>
      </c>
      <c r="AG1246">
        <v>7</v>
      </c>
      <c r="AK1246" t="s">
        <v>99</v>
      </c>
      <c r="AM1246" t="s">
        <v>98</v>
      </c>
      <c r="AN1246" t="s">
        <v>99</v>
      </c>
      <c r="AO1246" t="s">
        <v>98</v>
      </c>
      <c r="AP1246" t="s">
        <v>100</v>
      </c>
      <c r="AQ1246" t="s">
        <v>101</v>
      </c>
      <c r="AV1246" t="s">
        <v>98</v>
      </c>
      <c r="AX1246" t="s">
        <v>3987</v>
      </c>
      <c r="AZ1246" t="s">
        <v>102</v>
      </c>
      <c r="BB1246" t="s">
        <v>7528</v>
      </c>
      <c r="BC1246" t="s">
        <v>7528</v>
      </c>
      <c r="BD1246" t="s">
        <v>7528</v>
      </c>
      <c r="BF1246" t="s">
        <v>3998</v>
      </c>
      <c r="BG1246" t="s">
        <v>98</v>
      </c>
      <c r="BH1246" t="s">
        <v>98</v>
      </c>
      <c r="BI1246" t="s">
        <v>98</v>
      </c>
      <c r="BJ1246" t="s">
        <v>99</v>
      </c>
      <c r="BK1246" t="s">
        <v>453</v>
      </c>
      <c r="BL1246" t="s">
        <v>128</v>
      </c>
      <c r="BM1246">
        <v>4.5</v>
      </c>
      <c r="BN1246">
        <v>7.5</v>
      </c>
      <c r="CA1246" t="s">
        <v>3996</v>
      </c>
      <c r="CB1246" t="s">
        <v>3987</v>
      </c>
      <c r="CG1246">
        <v>3000</v>
      </c>
      <c r="CH1246">
        <v>92</v>
      </c>
      <c r="CI1246">
        <v>381.6</v>
      </c>
      <c r="CJ1246">
        <v>357.9</v>
      </c>
      <c r="CK1246">
        <v>25000</v>
      </c>
      <c r="CL1246" t="s">
        <v>99</v>
      </c>
      <c r="CM1246" t="s">
        <v>98</v>
      </c>
      <c r="CN1246" t="s">
        <v>3236</v>
      </c>
      <c r="CO1246" s="1">
        <v>43262</v>
      </c>
      <c r="CP1246" s="1">
        <v>43633</v>
      </c>
    </row>
    <row r="1247" spans="1:94" x14ac:dyDescent="0.25">
      <c r="A1247" t="s">
        <v>3999</v>
      </c>
      <c r="B1247" t="str">
        <f xml:space="preserve"> "" &amp; 747396106991</f>
        <v>747396106991</v>
      </c>
      <c r="C1247" t="s">
        <v>3232</v>
      </c>
      <c r="D1247" t="s">
        <v>4000</v>
      </c>
      <c r="E1247" t="s">
        <v>4001</v>
      </c>
      <c r="F1247" t="s">
        <v>2823</v>
      </c>
      <c r="G1247">
        <v>1</v>
      </c>
      <c r="H1247">
        <v>1</v>
      </c>
      <c r="I1247" t="s">
        <v>97</v>
      </c>
      <c r="J1247" s="10">
        <v>60</v>
      </c>
      <c r="K1247" s="10">
        <v>180</v>
      </c>
      <c r="L1247" s="10">
        <v>0</v>
      </c>
      <c r="N1247" s="10">
        <v>0</v>
      </c>
      <c r="O1247" t="s">
        <v>99</v>
      </c>
      <c r="P1247" s="10">
        <v>124.95</v>
      </c>
      <c r="S1247">
        <v>16</v>
      </c>
      <c r="U1247">
        <v>5</v>
      </c>
      <c r="V1247">
        <v>6.75</v>
      </c>
      <c r="W1247">
        <v>2.73</v>
      </c>
      <c r="X1247">
        <v>1</v>
      </c>
      <c r="Y1247">
        <v>10.25</v>
      </c>
      <c r="Z1247">
        <v>18.5</v>
      </c>
      <c r="AA1247">
        <v>9</v>
      </c>
      <c r="AB1247">
        <v>0.98799999999999999</v>
      </c>
      <c r="AC1247">
        <v>4.08</v>
      </c>
      <c r="AE1247">
        <v>1</v>
      </c>
      <c r="AF1247" t="s">
        <v>1050</v>
      </c>
      <c r="AG1247">
        <v>60</v>
      </c>
      <c r="AK1247" t="s">
        <v>98</v>
      </c>
      <c r="AM1247" t="s">
        <v>98</v>
      </c>
      <c r="AN1247" t="s">
        <v>99</v>
      </c>
      <c r="AO1247" t="s">
        <v>98</v>
      </c>
      <c r="AP1247" t="s">
        <v>100</v>
      </c>
      <c r="AQ1247" t="s">
        <v>101</v>
      </c>
      <c r="AV1247" t="s">
        <v>98</v>
      </c>
      <c r="AX1247" t="s">
        <v>276</v>
      </c>
      <c r="AZ1247" t="s">
        <v>102</v>
      </c>
      <c r="BB1247" t="s">
        <v>235</v>
      </c>
      <c r="BC1247" t="s">
        <v>460</v>
      </c>
      <c r="BD1247" t="s">
        <v>7528</v>
      </c>
      <c r="BF1247" t="s">
        <v>4002</v>
      </c>
      <c r="BG1247" t="s">
        <v>98</v>
      </c>
      <c r="BH1247" t="s">
        <v>98</v>
      </c>
      <c r="BI1247" t="s">
        <v>98</v>
      </c>
      <c r="BJ1247" t="s">
        <v>99</v>
      </c>
      <c r="BK1247" t="s">
        <v>453</v>
      </c>
      <c r="BL1247" t="s">
        <v>7528</v>
      </c>
      <c r="BM1247">
        <v>7</v>
      </c>
      <c r="BN1247">
        <v>0.75</v>
      </c>
      <c r="CA1247">
        <v>72651</v>
      </c>
      <c r="CB1247" t="s">
        <v>276</v>
      </c>
      <c r="CL1247" t="s">
        <v>99</v>
      </c>
      <c r="CM1247" t="s">
        <v>98</v>
      </c>
      <c r="CN1247" t="s">
        <v>442</v>
      </c>
      <c r="CO1247" s="1">
        <v>43053</v>
      </c>
      <c r="CP1247" s="1">
        <v>43633</v>
      </c>
    </row>
    <row r="1248" spans="1:94" x14ac:dyDescent="0.25">
      <c r="A1248" t="s">
        <v>4003</v>
      </c>
      <c r="B1248" t="str">
        <f xml:space="preserve"> "" &amp; 747396107004</f>
        <v>747396107004</v>
      </c>
      <c r="C1248" t="s">
        <v>3232</v>
      </c>
      <c r="D1248" t="s">
        <v>7525</v>
      </c>
      <c r="E1248" t="s">
        <v>4001</v>
      </c>
      <c r="F1248" t="s">
        <v>2823</v>
      </c>
      <c r="G1248">
        <v>1</v>
      </c>
      <c r="H1248">
        <v>1</v>
      </c>
      <c r="I1248" t="s">
        <v>97</v>
      </c>
      <c r="J1248" s="10">
        <v>75</v>
      </c>
      <c r="K1248" s="10">
        <v>225</v>
      </c>
      <c r="L1248" s="10">
        <v>0</v>
      </c>
      <c r="N1248" s="10">
        <v>0</v>
      </c>
      <c r="O1248" t="s">
        <v>99</v>
      </c>
      <c r="P1248" s="10">
        <v>154.94999999999999</v>
      </c>
      <c r="S1248">
        <v>22</v>
      </c>
      <c r="U1248">
        <v>5</v>
      </c>
      <c r="V1248">
        <v>7</v>
      </c>
      <c r="W1248">
        <v>3.13</v>
      </c>
      <c r="X1248">
        <v>1</v>
      </c>
      <c r="Y1248">
        <v>10.25</v>
      </c>
      <c r="Z1248">
        <v>24.5</v>
      </c>
      <c r="AA1248">
        <v>9.25</v>
      </c>
      <c r="AB1248">
        <v>1.3440000000000001</v>
      </c>
      <c r="AC1248">
        <v>4.8099999999999996</v>
      </c>
      <c r="AE1248">
        <v>1</v>
      </c>
      <c r="AF1248" t="s">
        <v>1050</v>
      </c>
      <c r="AG1248">
        <v>60</v>
      </c>
      <c r="AK1248" t="s">
        <v>98</v>
      </c>
      <c r="AM1248" t="s">
        <v>98</v>
      </c>
      <c r="AN1248" t="s">
        <v>99</v>
      </c>
      <c r="AO1248" t="s">
        <v>98</v>
      </c>
      <c r="AP1248" t="s">
        <v>100</v>
      </c>
      <c r="AQ1248" t="s">
        <v>101</v>
      </c>
      <c r="AV1248" t="s">
        <v>98</v>
      </c>
      <c r="AX1248" t="s">
        <v>276</v>
      </c>
      <c r="AZ1248" t="s">
        <v>102</v>
      </c>
      <c r="BB1248" t="s">
        <v>235</v>
      </c>
      <c r="BC1248" t="s">
        <v>460</v>
      </c>
      <c r="BD1248" t="s">
        <v>7528</v>
      </c>
      <c r="BF1248" t="s">
        <v>4004</v>
      </c>
      <c r="BG1248" t="s">
        <v>98</v>
      </c>
      <c r="BH1248" t="s">
        <v>98</v>
      </c>
      <c r="BI1248" t="s">
        <v>98</v>
      </c>
      <c r="BJ1248" t="s">
        <v>99</v>
      </c>
      <c r="BK1248" t="s">
        <v>453</v>
      </c>
      <c r="BL1248" t="s">
        <v>7528</v>
      </c>
      <c r="BM1248">
        <v>7</v>
      </c>
      <c r="BN1248">
        <v>0.75</v>
      </c>
      <c r="CA1248">
        <v>72652</v>
      </c>
      <c r="CB1248" t="s">
        <v>276</v>
      </c>
      <c r="CL1248" t="s">
        <v>99</v>
      </c>
      <c r="CM1248" t="s">
        <v>98</v>
      </c>
      <c r="CN1248" t="s">
        <v>442</v>
      </c>
      <c r="CO1248" s="1">
        <v>43053</v>
      </c>
      <c r="CP1248" s="1">
        <v>43633</v>
      </c>
    </row>
    <row r="1249" spans="1:94" x14ac:dyDescent="0.25">
      <c r="A1249" t="s">
        <v>4005</v>
      </c>
      <c r="B1249" t="str">
        <f xml:space="preserve"> "" &amp; 747396107011</f>
        <v>747396107011</v>
      </c>
      <c r="C1249" t="s">
        <v>3232</v>
      </c>
      <c r="D1249" t="s">
        <v>4000</v>
      </c>
      <c r="E1249" t="s">
        <v>4001</v>
      </c>
      <c r="F1249" t="s">
        <v>2823</v>
      </c>
      <c r="G1249">
        <v>1</v>
      </c>
      <c r="H1249">
        <v>1</v>
      </c>
      <c r="I1249" t="s">
        <v>97</v>
      </c>
      <c r="J1249" s="10">
        <v>85</v>
      </c>
      <c r="K1249" s="10">
        <v>255</v>
      </c>
      <c r="L1249" s="10">
        <v>0</v>
      </c>
      <c r="N1249" s="10">
        <v>0</v>
      </c>
      <c r="O1249" t="s">
        <v>99</v>
      </c>
      <c r="P1249" s="10">
        <v>179.95</v>
      </c>
      <c r="S1249">
        <v>26</v>
      </c>
      <c r="U1249">
        <v>5</v>
      </c>
      <c r="V1249">
        <v>7.5</v>
      </c>
      <c r="W1249">
        <v>3.92</v>
      </c>
      <c r="X1249">
        <v>1</v>
      </c>
      <c r="Y1249">
        <v>10.25</v>
      </c>
      <c r="Z1249">
        <v>28.5</v>
      </c>
      <c r="AA1249">
        <v>9.75</v>
      </c>
      <c r="AB1249">
        <v>1.6479999999999999</v>
      </c>
      <c r="AC1249">
        <v>5.86</v>
      </c>
      <c r="AE1249">
        <v>1</v>
      </c>
      <c r="AF1249" t="s">
        <v>1050</v>
      </c>
      <c r="AG1249">
        <v>60</v>
      </c>
      <c r="AK1249" t="s">
        <v>98</v>
      </c>
      <c r="AM1249" t="s">
        <v>98</v>
      </c>
      <c r="AN1249" t="s">
        <v>99</v>
      </c>
      <c r="AO1249" t="s">
        <v>98</v>
      </c>
      <c r="AP1249" t="s">
        <v>100</v>
      </c>
      <c r="AQ1249" t="s">
        <v>101</v>
      </c>
      <c r="AV1249" t="s">
        <v>98</v>
      </c>
      <c r="AX1249" t="s">
        <v>276</v>
      </c>
      <c r="AZ1249" t="s">
        <v>102</v>
      </c>
      <c r="BB1249" t="s">
        <v>235</v>
      </c>
      <c r="BC1249" t="s">
        <v>460</v>
      </c>
      <c r="BD1249" t="s">
        <v>7528</v>
      </c>
      <c r="BF1249" t="s">
        <v>4006</v>
      </c>
      <c r="BG1249" t="s">
        <v>98</v>
      </c>
      <c r="BH1249" t="s">
        <v>98</v>
      </c>
      <c r="BI1249" t="s">
        <v>98</v>
      </c>
      <c r="BJ1249" t="s">
        <v>99</v>
      </c>
      <c r="BK1249" t="s">
        <v>453</v>
      </c>
      <c r="BL1249" t="s">
        <v>7528</v>
      </c>
      <c r="BM1249">
        <v>9</v>
      </c>
      <c r="BN1249">
        <v>0.75</v>
      </c>
      <c r="CA1249">
        <v>72653</v>
      </c>
      <c r="CB1249" t="s">
        <v>276</v>
      </c>
      <c r="CL1249" t="s">
        <v>99</v>
      </c>
      <c r="CM1249" t="s">
        <v>98</v>
      </c>
      <c r="CN1249" t="s">
        <v>442</v>
      </c>
      <c r="CO1249" s="1">
        <v>43053</v>
      </c>
      <c r="CP1249" s="1">
        <v>43633</v>
      </c>
    </row>
    <row r="1250" spans="1:94" x14ac:dyDescent="0.25">
      <c r="A1250" t="s">
        <v>4007</v>
      </c>
      <c r="B1250" t="str">
        <f xml:space="preserve"> "" &amp; 747396107103</f>
        <v>747396107103</v>
      </c>
      <c r="C1250" t="s">
        <v>3232</v>
      </c>
      <c r="D1250" t="s">
        <v>7526</v>
      </c>
      <c r="E1250" t="s">
        <v>4009</v>
      </c>
      <c r="F1250" t="s">
        <v>2823</v>
      </c>
      <c r="G1250">
        <v>1</v>
      </c>
      <c r="H1250">
        <v>1</v>
      </c>
      <c r="I1250" t="s">
        <v>97</v>
      </c>
      <c r="J1250" s="10">
        <v>75</v>
      </c>
      <c r="K1250" s="10">
        <v>225</v>
      </c>
      <c r="L1250" s="10">
        <v>0</v>
      </c>
      <c r="N1250" s="10">
        <v>0</v>
      </c>
      <c r="O1250" t="s">
        <v>99</v>
      </c>
      <c r="P1250" s="10">
        <v>159.94999999999999</v>
      </c>
      <c r="S1250">
        <v>16.5</v>
      </c>
      <c r="U1250">
        <v>8</v>
      </c>
      <c r="V1250">
        <v>4.5</v>
      </c>
      <c r="W1250">
        <v>2.95</v>
      </c>
      <c r="X1250">
        <v>1</v>
      </c>
      <c r="Y1250">
        <v>8.75</v>
      </c>
      <c r="Z1250">
        <v>19.25</v>
      </c>
      <c r="AA1250">
        <v>11.75</v>
      </c>
      <c r="AB1250">
        <v>1.145</v>
      </c>
      <c r="AC1250">
        <v>4.1900000000000004</v>
      </c>
      <c r="AE1250">
        <v>0</v>
      </c>
      <c r="AF1250" t="s">
        <v>1050</v>
      </c>
      <c r="AG1250">
        <v>60</v>
      </c>
      <c r="AK1250" t="s">
        <v>98</v>
      </c>
      <c r="AM1250" t="s">
        <v>98</v>
      </c>
      <c r="AN1250" t="s">
        <v>99</v>
      </c>
      <c r="AO1250" t="s">
        <v>98</v>
      </c>
      <c r="AP1250" t="s">
        <v>100</v>
      </c>
      <c r="AQ1250" t="s">
        <v>101</v>
      </c>
      <c r="AV1250" t="s">
        <v>98</v>
      </c>
      <c r="AX1250" t="s">
        <v>4010</v>
      </c>
      <c r="AZ1250" t="s">
        <v>102</v>
      </c>
      <c r="BB1250" t="s">
        <v>235</v>
      </c>
      <c r="BC1250" t="s">
        <v>3576</v>
      </c>
      <c r="BD1250" t="s">
        <v>7528</v>
      </c>
      <c r="BF1250" t="s">
        <v>4011</v>
      </c>
      <c r="BG1250" t="s">
        <v>98</v>
      </c>
      <c r="BH1250" t="s">
        <v>98</v>
      </c>
      <c r="BI1250" t="s">
        <v>98</v>
      </c>
      <c r="BJ1250" t="s">
        <v>99</v>
      </c>
      <c r="BK1250" t="s">
        <v>453</v>
      </c>
      <c r="BL1250" t="s">
        <v>7528</v>
      </c>
      <c r="BM1250">
        <v>4.5</v>
      </c>
      <c r="BN1250">
        <v>4.5</v>
      </c>
      <c r="CA1250">
        <v>72662</v>
      </c>
      <c r="CB1250" t="s">
        <v>4010</v>
      </c>
      <c r="CL1250" t="s">
        <v>99</v>
      </c>
      <c r="CM1250" t="s">
        <v>98</v>
      </c>
      <c r="CN1250" t="s">
        <v>3236</v>
      </c>
      <c r="CO1250" s="1">
        <v>43143</v>
      </c>
      <c r="CP1250" s="1">
        <v>43633</v>
      </c>
    </row>
    <row r="1251" spans="1:94" x14ac:dyDescent="0.25">
      <c r="A1251" t="s">
        <v>4012</v>
      </c>
      <c r="B1251" t="str">
        <f xml:space="preserve"> "" &amp; 747396107035</f>
        <v>747396107035</v>
      </c>
      <c r="C1251" t="s">
        <v>3232</v>
      </c>
      <c r="D1251" t="s">
        <v>4013</v>
      </c>
      <c r="E1251" t="s">
        <v>4009</v>
      </c>
      <c r="F1251" t="s">
        <v>2823</v>
      </c>
      <c r="G1251">
        <v>1</v>
      </c>
      <c r="H1251">
        <v>1</v>
      </c>
      <c r="I1251" t="s">
        <v>97</v>
      </c>
      <c r="J1251" s="10">
        <v>75</v>
      </c>
      <c r="K1251" s="10">
        <v>225</v>
      </c>
      <c r="L1251" s="10">
        <v>0</v>
      </c>
      <c r="N1251" s="10">
        <v>0</v>
      </c>
      <c r="O1251" t="s">
        <v>99</v>
      </c>
      <c r="P1251" s="10">
        <v>159.94999999999999</v>
      </c>
      <c r="S1251">
        <v>16.5</v>
      </c>
      <c r="U1251">
        <v>8</v>
      </c>
      <c r="V1251">
        <v>4.5</v>
      </c>
      <c r="W1251">
        <v>2.95</v>
      </c>
      <c r="X1251">
        <v>1</v>
      </c>
      <c r="Y1251">
        <v>8.75</v>
      </c>
      <c r="Z1251">
        <v>19.25</v>
      </c>
      <c r="AA1251">
        <v>11.75</v>
      </c>
      <c r="AB1251">
        <v>1.145</v>
      </c>
      <c r="AC1251">
        <v>4.1900000000000004</v>
      </c>
      <c r="AE1251">
        <v>0</v>
      </c>
      <c r="AF1251" t="s">
        <v>1050</v>
      </c>
      <c r="AG1251">
        <v>60</v>
      </c>
      <c r="AK1251" t="s">
        <v>98</v>
      </c>
      <c r="AM1251" t="s">
        <v>98</v>
      </c>
      <c r="AN1251" t="s">
        <v>99</v>
      </c>
      <c r="AO1251" t="s">
        <v>98</v>
      </c>
      <c r="AP1251" t="s">
        <v>100</v>
      </c>
      <c r="AQ1251" t="s">
        <v>101</v>
      </c>
      <c r="AV1251" t="s">
        <v>98</v>
      </c>
      <c r="AX1251" t="s">
        <v>4014</v>
      </c>
      <c r="AZ1251" t="s">
        <v>102</v>
      </c>
      <c r="BB1251" t="s">
        <v>235</v>
      </c>
      <c r="BC1251" t="s">
        <v>3576</v>
      </c>
      <c r="BD1251" t="s">
        <v>7528</v>
      </c>
      <c r="BF1251" t="s">
        <v>4015</v>
      </c>
      <c r="BG1251" t="s">
        <v>98</v>
      </c>
      <c r="BH1251" t="s">
        <v>98</v>
      </c>
      <c r="BI1251" t="s">
        <v>98</v>
      </c>
      <c r="BJ1251" t="s">
        <v>99</v>
      </c>
      <c r="BK1251" t="s">
        <v>453</v>
      </c>
      <c r="BL1251" t="s">
        <v>7528</v>
      </c>
      <c r="BM1251">
        <v>4.5</v>
      </c>
      <c r="BN1251">
        <v>4.5</v>
      </c>
      <c r="CA1251">
        <v>72662</v>
      </c>
      <c r="CB1251" t="s">
        <v>4014</v>
      </c>
      <c r="CL1251" t="s">
        <v>99</v>
      </c>
      <c r="CM1251" t="s">
        <v>98</v>
      </c>
      <c r="CN1251" t="s">
        <v>3236</v>
      </c>
      <c r="CO1251" s="1">
        <v>43143</v>
      </c>
      <c r="CP1251" s="1">
        <v>43633</v>
      </c>
    </row>
    <row r="1252" spans="1:94" x14ac:dyDescent="0.25">
      <c r="A1252" t="s">
        <v>4016</v>
      </c>
      <c r="B1252" t="str">
        <f xml:space="preserve"> "" &amp; 747396107189</f>
        <v>747396107189</v>
      </c>
      <c r="C1252" t="s">
        <v>3232</v>
      </c>
      <c r="D1252" t="s">
        <v>4008</v>
      </c>
      <c r="E1252" t="s">
        <v>4009</v>
      </c>
      <c r="F1252" t="s">
        <v>2823</v>
      </c>
      <c r="G1252">
        <v>1</v>
      </c>
      <c r="H1252">
        <v>1</v>
      </c>
      <c r="I1252" t="s">
        <v>97</v>
      </c>
      <c r="J1252" s="10">
        <v>75</v>
      </c>
      <c r="K1252" s="10">
        <v>225</v>
      </c>
      <c r="L1252" s="10">
        <v>0</v>
      </c>
      <c r="N1252" s="10">
        <v>0</v>
      </c>
      <c r="O1252" t="s">
        <v>99</v>
      </c>
      <c r="P1252" s="10">
        <v>159.94999999999999</v>
      </c>
      <c r="S1252">
        <v>16.5</v>
      </c>
      <c r="U1252">
        <v>8</v>
      </c>
      <c r="V1252">
        <v>4.5</v>
      </c>
      <c r="W1252">
        <v>2.95</v>
      </c>
      <c r="X1252">
        <v>1</v>
      </c>
      <c r="Y1252">
        <v>8.75</v>
      </c>
      <c r="Z1252">
        <v>19.25</v>
      </c>
      <c r="AA1252">
        <v>11.75</v>
      </c>
      <c r="AB1252">
        <v>1.145</v>
      </c>
      <c r="AC1252">
        <v>4.1900000000000004</v>
      </c>
      <c r="AE1252">
        <v>0</v>
      </c>
      <c r="AF1252" t="s">
        <v>1050</v>
      </c>
      <c r="AG1252">
        <v>60</v>
      </c>
      <c r="AK1252" t="s">
        <v>98</v>
      </c>
      <c r="AM1252" t="s">
        <v>98</v>
      </c>
      <c r="AN1252" t="s">
        <v>99</v>
      </c>
      <c r="AO1252" t="s">
        <v>98</v>
      </c>
      <c r="AP1252" t="s">
        <v>100</v>
      </c>
      <c r="AQ1252" t="s">
        <v>101</v>
      </c>
      <c r="AV1252" t="s">
        <v>98</v>
      </c>
      <c r="AX1252" t="s">
        <v>4017</v>
      </c>
      <c r="AZ1252" t="s">
        <v>102</v>
      </c>
      <c r="BB1252" t="s">
        <v>235</v>
      </c>
      <c r="BC1252" t="s">
        <v>3576</v>
      </c>
      <c r="BD1252" t="s">
        <v>7528</v>
      </c>
      <c r="BF1252" t="s">
        <v>4018</v>
      </c>
      <c r="BG1252" t="s">
        <v>98</v>
      </c>
      <c r="BH1252" t="s">
        <v>98</v>
      </c>
      <c r="BI1252" t="s">
        <v>98</v>
      </c>
      <c r="BJ1252" t="s">
        <v>99</v>
      </c>
      <c r="BK1252" t="s">
        <v>453</v>
      </c>
      <c r="BL1252" t="s">
        <v>7528</v>
      </c>
      <c r="BM1252">
        <v>4.5</v>
      </c>
      <c r="BN1252">
        <v>4.5</v>
      </c>
      <c r="CA1252">
        <v>72662</v>
      </c>
      <c r="CB1252" t="s">
        <v>4017</v>
      </c>
      <c r="CL1252" t="s">
        <v>99</v>
      </c>
      <c r="CM1252" t="s">
        <v>98</v>
      </c>
      <c r="CN1252" t="s">
        <v>3236</v>
      </c>
      <c r="CO1252" s="1">
        <v>43053</v>
      </c>
      <c r="CP1252" s="1">
        <v>43633</v>
      </c>
    </row>
    <row r="1253" spans="1:94" x14ac:dyDescent="0.25">
      <c r="A1253" t="s">
        <v>4019</v>
      </c>
      <c r="B1253" t="str">
        <f xml:space="preserve"> "" &amp; 747396107042</f>
        <v>747396107042</v>
      </c>
      <c r="C1253" t="s">
        <v>3232</v>
      </c>
      <c r="D1253" t="s">
        <v>4020</v>
      </c>
      <c r="E1253" t="s">
        <v>4009</v>
      </c>
      <c r="F1253" t="s">
        <v>2823</v>
      </c>
      <c r="G1253">
        <v>1</v>
      </c>
      <c r="H1253">
        <v>1</v>
      </c>
      <c r="I1253" t="s">
        <v>97</v>
      </c>
      <c r="J1253" s="10">
        <v>90</v>
      </c>
      <c r="K1253" s="10">
        <v>270</v>
      </c>
      <c r="L1253" s="10">
        <v>0</v>
      </c>
      <c r="N1253" s="10">
        <v>0</v>
      </c>
      <c r="O1253" t="s">
        <v>99</v>
      </c>
      <c r="P1253" s="10">
        <v>189.95</v>
      </c>
      <c r="S1253">
        <v>20.5</v>
      </c>
      <c r="U1253">
        <v>8</v>
      </c>
      <c r="V1253">
        <v>4.5</v>
      </c>
      <c r="W1253">
        <v>3.53</v>
      </c>
      <c r="X1253">
        <v>1</v>
      </c>
      <c r="Y1253">
        <v>8.75</v>
      </c>
      <c r="Z1253">
        <v>23.5</v>
      </c>
      <c r="AA1253">
        <v>11.75</v>
      </c>
      <c r="AB1253">
        <v>1.3979999999999999</v>
      </c>
      <c r="AC1253">
        <v>5.31</v>
      </c>
      <c r="AE1253">
        <v>0</v>
      </c>
      <c r="AF1253" t="s">
        <v>1050</v>
      </c>
      <c r="AG1253">
        <v>60</v>
      </c>
      <c r="AK1253" t="s">
        <v>98</v>
      </c>
      <c r="AM1253" t="s">
        <v>98</v>
      </c>
      <c r="AN1253" t="s">
        <v>99</v>
      </c>
      <c r="AO1253" t="s">
        <v>98</v>
      </c>
      <c r="AP1253" t="s">
        <v>100</v>
      </c>
      <c r="AQ1253" t="s">
        <v>101</v>
      </c>
      <c r="AV1253" t="s">
        <v>98</v>
      </c>
      <c r="AX1253" t="s">
        <v>4010</v>
      </c>
      <c r="AZ1253" t="s">
        <v>102</v>
      </c>
      <c r="BB1253" t="s">
        <v>235</v>
      </c>
      <c r="BC1253" t="s">
        <v>3576</v>
      </c>
      <c r="BD1253" t="s">
        <v>7528</v>
      </c>
      <c r="BF1253" t="s">
        <v>4021</v>
      </c>
      <c r="BG1253" t="s">
        <v>98</v>
      </c>
      <c r="BH1253" t="s">
        <v>98</v>
      </c>
      <c r="BI1253" t="s">
        <v>98</v>
      </c>
      <c r="BJ1253" t="s">
        <v>99</v>
      </c>
      <c r="BK1253" t="s">
        <v>453</v>
      </c>
      <c r="BL1253" t="s">
        <v>7528</v>
      </c>
      <c r="BM1253">
        <v>4.5</v>
      </c>
      <c r="BN1253">
        <v>4.5</v>
      </c>
      <c r="CA1253">
        <v>72663</v>
      </c>
      <c r="CB1253" t="s">
        <v>4010</v>
      </c>
      <c r="CL1253" t="s">
        <v>99</v>
      </c>
      <c r="CM1253" t="s">
        <v>98</v>
      </c>
      <c r="CN1253" t="s">
        <v>3236</v>
      </c>
      <c r="CO1253" s="1">
        <v>43143</v>
      </c>
      <c r="CP1253" s="1">
        <v>43633</v>
      </c>
    </row>
    <row r="1254" spans="1:94" x14ac:dyDescent="0.25">
      <c r="A1254" t="s">
        <v>4022</v>
      </c>
      <c r="B1254" t="str">
        <f xml:space="preserve"> "" &amp; 747396107080</f>
        <v>747396107080</v>
      </c>
      <c r="C1254" t="s">
        <v>3232</v>
      </c>
      <c r="D1254" t="s">
        <v>4020</v>
      </c>
      <c r="E1254" t="s">
        <v>4009</v>
      </c>
      <c r="F1254" t="s">
        <v>2823</v>
      </c>
      <c r="G1254">
        <v>1</v>
      </c>
      <c r="H1254">
        <v>1</v>
      </c>
      <c r="I1254" t="s">
        <v>97</v>
      </c>
      <c r="J1254" s="10">
        <v>95</v>
      </c>
      <c r="K1254" s="10">
        <v>285</v>
      </c>
      <c r="L1254" s="10">
        <v>0</v>
      </c>
      <c r="N1254" s="10">
        <v>0</v>
      </c>
      <c r="O1254" t="s">
        <v>99</v>
      </c>
      <c r="P1254" s="10">
        <v>199.95</v>
      </c>
      <c r="S1254">
        <v>20.5</v>
      </c>
      <c r="U1254">
        <v>8</v>
      </c>
      <c r="V1254">
        <v>4.5</v>
      </c>
      <c r="W1254">
        <v>3.53</v>
      </c>
      <c r="X1254">
        <v>1</v>
      </c>
      <c r="Y1254">
        <v>8.75</v>
      </c>
      <c r="Z1254">
        <v>23.5</v>
      </c>
      <c r="AA1254">
        <v>11.75</v>
      </c>
      <c r="AB1254">
        <v>1.3979999999999999</v>
      </c>
      <c r="AC1254">
        <v>5.31</v>
      </c>
      <c r="AE1254">
        <v>0</v>
      </c>
      <c r="AF1254" t="s">
        <v>1050</v>
      </c>
      <c r="AG1254">
        <v>60</v>
      </c>
      <c r="AK1254" t="s">
        <v>98</v>
      </c>
      <c r="AM1254" t="s">
        <v>98</v>
      </c>
      <c r="AN1254" t="s">
        <v>99</v>
      </c>
      <c r="AO1254" t="s">
        <v>98</v>
      </c>
      <c r="AP1254" t="s">
        <v>100</v>
      </c>
      <c r="AQ1254" t="s">
        <v>101</v>
      </c>
      <c r="AV1254" t="s">
        <v>98</v>
      </c>
      <c r="AX1254" t="s">
        <v>4014</v>
      </c>
      <c r="AZ1254" t="s">
        <v>102</v>
      </c>
      <c r="BB1254" t="s">
        <v>235</v>
      </c>
      <c r="BC1254" t="s">
        <v>3576</v>
      </c>
      <c r="BD1254" t="s">
        <v>7528</v>
      </c>
      <c r="BF1254" t="s">
        <v>4023</v>
      </c>
      <c r="BG1254" t="s">
        <v>98</v>
      </c>
      <c r="BH1254" t="s">
        <v>98</v>
      </c>
      <c r="BI1254" t="s">
        <v>98</v>
      </c>
      <c r="BJ1254" t="s">
        <v>99</v>
      </c>
      <c r="BK1254" t="s">
        <v>453</v>
      </c>
      <c r="BL1254" t="s">
        <v>7528</v>
      </c>
      <c r="BM1254">
        <v>4.5</v>
      </c>
      <c r="BN1254">
        <v>4.5</v>
      </c>
      <c r="CA1254">
        <v>72663</v>
      </c>
      <c r="CB1254" t="s">
        <v>4014</v>
      </c>
      <c r="CL1254" t="s">
        <v>99</v>
      </c>
      <c r="CM1254" t="s">
        <v>98</v>
      </c>
      <c r="CN1254" t="s">
        <v>3236</v>
      </c>
      <c r="CO1254" s="1">
        <v>43143</v>
      </c>
      <c r="CP1254" s="1">
        <v>43633</v>
      </c>
    </row>
    <row r="1255" spans="1:94" x14ac:dyDescent="0.25">
      <c r="A1255" t="s">
        <v>4024</v>
      </c>
      <c r="B1255" t="str">
        <f xml:space="preserve"> "" &amp; 747396107097</f>
        <v>747396107097</v>
      </c>
      <c r="C1255" t="s">
        <v>3232</v>
      </c>
      <c r="D1255" t="s">
        <v>4020</v>
      </c>
      <c r="E1255" t="s">
        <v>4009</v>
      </c>
      <c r="F1255" t="s">
        <v>2823</v>
      </c>
      <c r="G1255">
        <v>1</v>
      </c>
      <c r="H1255">
        <v>1</v>
      </c>
      <c r="I1255" t="s">
        <v>97</v>
      </c>
      <c r="J1255" s="10">
        <v>95</v>
      </c>
      <c r="K1255" s="10">
        <v>285</v>
      </c>
      <c r="L1255" s="10">
        <v>0</v>
      </c>
      <c r="N1255" s="10">
        <v>0</v>
      </c>
      <c r="O1255" t="s">
        <v>99</v>
      </c>
      <c r="P1255" s="10">
        <v>199.95</v>
      </c>
      <c r="S1255">
        <v>20.5</v>
      </c>
      <c r="U1255">
        <v>8</v>
      </c>
      <c r="V1255">
        <v>4.5</v>
      </c>
      <c r="W1255">
        <v>3.53</v>
      </c>
      <c r="X1255">
        <v>1</v>
      </c>
      <c r="Y1255">
        <v>8.75</v>
      </c>
      <c r="Z1255">
        <v>23.5</v>
      </c>
      <c r="AA1255">
        <v>11.75</v>
      </c>
      <c r="AB1255">
        <v>1.3979999999999999</v>
      </c>
      <c r="AC1255">
        <v>5.31</v>
      </c>
      <c r="AE1255">
        <v>0</v>
      </c>
      <c r="AF1255" t="s">
        <v>1050</v>
      </c>
      <c r="AG1255">
        <v>60</v>
      </c>
      <c r="AK1255" t="s">
        <v>98</v>
      </c>
      <c r="AM1255" t="s">
        <v>98</v>
      </c>
      <c r="AN1255" t="s">
        <v>99</v>
      </c>
      <c r="AO1255" t="s">
        <v>98</v>
      </c>
      <c r="AP1255" t="s">
        <v>100</v>
      </c>
      <c r="AQ1255" t="s">
        <v>101</v>
      </c>
      <c r="AV1255" t="s">
        <v>98</v>
      </c>
      <c r="AX1255" t="s">
        <v>4017</v>
      </c>
      <c r="AZ1255" t="s">
        <v>102</v>
      </c>
      <c r="BB1255" t="s">
        <v>235</v>
      </c>
      <c r="BC1255" t="s">
        <v>3576</v>
      </c>
      <c r="BD1255" t="s">
        <v>7528</v>
      </c>
      <c r="BF1255" t="s">
        <v>4025</v>
      </c>
      <c r="BG1255" t="s">
        <v>98</v>
      </c>
      <c r="BH1255" t="s">
        <v>98</v>
      </c>
      <c r="BI1255" t="s">
        <v>98</v>
      </c>
      <c r="BJ1255" t="s">
        <v>99</v>
      </c>
      <c r="BK1255" t="s">
        <v>453</v>
      </c>
      <c r="BL1255" t="s">
        <v>7528</v>
      </c>
      <c r="BM1255">
        <v>4.5</v>
      </c>
      <c r="BN1255">
        <v>4.5</v>
      </c>
      <c r="CA1255">
        <v>72663</v>
      </c>
      <c r="CB1255" t="s">
        <v>4017</v>
      </c>
      <c r="CL1255" t="s">
        <v>99</v>
      </c>
      <c r="CM1255" t="s">
        <v>98</v>
      </c>
      <c r="CN1255" t="s">
        <v>3236</v>
      </c>
      <c r="CO1255" s="1">
        <v>43053</v>
      </c>
      <c r="CP1255" s="1">
        <v>43633</v>
      </c>
    </row>
    <row r="1256" spans="1:94" x14ac:dyDescent="0.25">
      <c r="A1256" t="s">
        <v>4026</v>
      </c>
      <c r="B1256" t="str">
        <f xml:space="preserve"> "" &amp; 747396107134</f>
        <v>747396107134</v>
      </c>
      <c r="C1256" t="s">
        <v>3232</v>
      </c>
      <c r="D1256" t="s">
        <v>4027</v>
      </c>
      <c r="E1256" t="s">
        <v>4028</v>
      </c>
      <c r="F1256" t="s">
        <v>2823</v>
      </c>
      <c r="G1256">
        <v>1</v>
      </c>
      <c r="H1256">
        <v>1</v>
      </c>
      <c r="I1256" t="s">
        <v>97</v>
      </c>
      <c r="J1256" s="10">
        <v>59</v>
      </c>
      <c r="K1256" s="10">
        <v>177</v>
      </c>
      <c r="L1256" s="10">
        <v>0</v>
      </c>
      <c r="N1256" s="10">
        <v>0</v>
      </c>
      <c r="O1256" t="s">
        <v>99</v>
      </c>
      <c r="P1256" s="10">
        <v>124.95</v>
      </c>
      <c r="S1256">
        <v>11.25</v>
      </c>
      <c r="U1256">
        <v>6.25</v>
      </c>
      <c r="V1256">
        <v>8</v>
      </c>
      <c r="W1256">
        <v>3.09</v>
      </c>
      <c r="X1256">
        <v>1</v>
      </c>
      <c r="Y1256">
        <v>14.13</v>
      </c>
      <c r="Z1256">
        <v>10</v>
      </c>
      <c r="AA1256">
        <v>8.8800000000000008</v>
      </c>
      <c r="AB1256">
        <v>0.72599999999999998</v>
      </c>
      <c r="AC1256">
        <v>4.41</v>
      </c>
      <c r="AE1256">
        <v>1</v>
      </c>
      <c r="AF1256" t="s">
        <v>696</v>
      </c>
      <c r="AG1256">
        <v>60</v>
      </c>
      <c r="AK1256" t="s">
        <v>98</v>
      </c>
      <c r="AM1256" t="s">
        <v>98</v>
      </c>
      <c r="AN1256" t="s">
        <v>99</v>
      </c>
      <c r="AO1256" t="s">
        <v>98</v>
      </c>
      <c r="AP1256" t="s">
        <v>100</v>
      </c>
      <c r="AQ1256" t="s">
        <v>101</v>
      </c>
      <c r="AV1256" t="s">
        <v>98</v>
      </c>
      <c r="AX1256" t="s">
        <v>4029</v>
      </c>
      <c r="AZ1256" t="s">
        <v>102</v>
      </c>
      <c r="BB1256" t="s">
        <v>235</v>
      </c>
      <c r="BC1256" t="s">
        <v>746</v>
      </c>
      <c r="BD1256" t="s">
        <v>7528</v>
      </c>
      <c r="BF1256" t="s">
        <v>4030</v>
      </c>
      <c r="BG1256" t="s">
        <v>98</v>
      </c>
      <c r="BH1256" t="s">
        <v>98</v>
      </c>
      <c r="BI1256" t="s">
        <v>98</v>
      </c>
      <c r="BJ1256" t="s">
        <v>99</v>
      </c>
      <c r="BK1256" t="s">
        <v>453</v>
      </c>
      <c r="BL1256" t="s">
        <v>7528</v>
      </c>
      <c r="BM1256">
        <v>4.75</v>
      </c>
      <c r="BN1256">
        <v>6.25</v>
      </c>
      <c r="CA1256">
        <v>72671</v>
      </c>
      <c r="CB1256" t="s">
        <v>4029</v>
      </c>
      <c r="CL1256" t="s">
        <v>99</v>
      </c>
      <c r="CM1256" t="s">
        <v>98</v>
      </c>
      <c r="CN1256" t="s">
        <v>3236</v>
      </c>
      <c r="CO1256" s="1">
        <v>43145</v>
      </c>
      <c r="CP1256" s="1">
        <v>43633</v>
      </c>
    </row>
    <row r="1257" spans="1:94" x14ac:dyDescent="0.25">
      <c r="A1257" t="s">
        <v>4031</v>
      </c>
      <c r="B1257" t="str">
        <f xml:space="preserve"> "" &amp; 747396107141</f>
        <v>747396107141</v>
      </c>
      <c r="C1257" t="s">
        <v>3232</v>
      </c>
      <c r="D1257" t="s">
        <v>4027</v>
      </c>
      <c r="E1257" t="s">
        <v>4028</v>
      </c>
      <c r="F1257" t="s">
        <v>2823</v>
      </c>
      <c r="G1257">
        <v>1</v>
      </c>
      <c r="H1257">
        <v>1</v>
      </c>
      <c r="I1257" t="s">
        <v>97</v>
      </c>
      <c r="J1257" s="10">
        <v>69</v>
      </c>
      <c r="K1257" s="10">
        <v>207</v>
      </c>
      <c r="L1257" s="10">
        <v>0</v>
      </c>
      <c r="N1257" s="10">
        <v>0</v>
      </c>
      <c r="O1257" t="s">
        <v>99</v>
      </c>
      <c r="P1257" s="10">
        <v>144.94999999999999</v>
      </c>
      <c r="S1257">
        <v>14.25</v>
      </c>
      <c r="U1257">
        <v>6.25</v>
      </c>
      <c r="V1257">
        <v>8</v>
      </c>
      <c r="W1257">
        <v>3.62</v>
      </c>
      <c r="X1257">
        <v>1</v>
      </c>
      <c r="Y1257">
        <v>17</v>
      </c>
      <c r="Z1257">
        <v>10</v>
      </c>
      <c r="AA1257">
        <v>8.8800000000000008</v>
      </c>
      <c r="AB1257">
        <v>0.874</v>
      </c>
      <c r="AC1257">
        <v>5.07</v>
      </c>
      <c r="AE1257">
        <v>1</v>
      </c>
      <c r="AF1257" t="s">
        <v>696</v>
      </c>
      <c r="AG1257">
        <v>60</v>
      </c>
      <c r="AK1257" t="s">
        <v>98</v>
      </c>
      <c r="AM1257" t="s">
        <v>98</v>
      </c>
      <c r="AN1257" t="s">
        <v>99</v>
      </c>
      <c r="AO1257" t="s">
        <v>98</v>
      </c>
      <c r="AP1257" t="s">
        <v>100</v>
      </c>
      <c r="AQ1257" t="s">
        <v>101</v>
      </c>
      <c r="AV1257" t="s">
        <v>98</v>
      </c>
      <c r="AX1257" t="s">
        <v>4029</v>
      </c>
      <c r="AZ1257" t="s">
        <v>102</v>
      </c>
      <c r="BB1257" t="s">
        <v>235</v>
      </c>
      <c r="BC1257" t="s">
        <v>746</v>
      </c>
      <c r="BD1257" t="s">
        <v>7528</v>
      </c>
      <c r="BF1257" t="s">
        <v>4032</v>
      </c>
      <c r="BG1257" t="s">
        <v>98</v>
      </c>
      <c r="BH1257" t="s">
        <v>98</v>
      </c>
      <c r="BI1257" t="s">
        <v>98</v>
      </c>
      <c r="BJ1257" t="s">
        <v>99</v>
      </c>
      <c r="BK1257" t="s">
        <v>453</v>
      </c>
      <c r="BL1257" t="s">
        <v>7528</v>
      </c>
      <c r="BM1257">
        <v>4.75</v>
      </c>
      <c r="BN1257">
        <v>6.25</v>
      </c>
      <c r="CA1257">
        <v>72672</v>
      </c>
      <c r="CB1257" t="s">
        <v>4029</v>
      </c>
      <c r="CL1257" t="s">
        <v>99</v>
      </c>
      <c r="CM1257" t="s">
        <v>98</v>
      </c>
      <c r="CN1257" t="s">
        <v>3236</v>
      </c>
      <c r="CO1257" s="1">
        <v>43145</v>
      </c>
      <c r="CP1257" s="1">
        <v>43633</v>
      </c>
    </row>
    <row r="1258" spans="1:94" x14ac:dyDescent="0.25">
      <c r="A1258" t="s">
        <v>4033</v>
      </c>
      <c r="B1258" t="str">
        <f xml:space="preserve"> "" &amp; 747396107158</f>
        <v>747396107158</v>
      </c>
      <c r="C1258" t="s">
        <v>3185</v>
      </c>
      <c r="D1258" t="s">
        <v>4027</v>
      </c>
      <c r="E1258" t="s">
        <v>4028</v>
      </c>
      <c r="F1258" t="s">
        <v>2823</v>
      </c>
      <c r="G1258">
        <v>1</v>
      </c>
      <c r="H1258">
        <v>1</v>
      </c>
      <c r="I1258" t="s">
        <v>97</v>
      </c>
      <c r="J1258" s="10">
        <v>79</v>
      </c>
      <c r="K1258" s="10">
        <v>237</v>
      </c>
      <c r="L1258" s="10">
        <v>0</v>
      </c>
      <c r="N1258" s="10">
        <v>0</v>
      </c>
      <c r="O1258" t="s">
        <v>99</v>
      </c>
      <c r="P1258" s="10">
        <v>164.95</v>
      </c>
      <c r="S1258">
        <v>18.25</v>
      </c>
      <c r="U1258">
        <v>6.25</v>
      </c>
      <c r="V1258">
        <v>8</v>
      </c>
      <c r="W1258">
        <v>4.41</v>
      </c>
      <c r="X1258">
        <v>1</v>
      </c>
      <c r="Y1258">
        <v>20.88</v>
      </c>
      <c r="Z1258">
        <v>10</v>
      </c>
      <c r="AA1258">
        <v>8.8800000000000008</v>
      </c>
      <c r="AB1258">
        <v>1.073</v>
      </c>
      <c r="AC1258">
        <v>5.86</v>
      </c>
      <c r="AE1258">
        <v>1</v>
      </c>
      <c r="AF1258" t="s">
        <v>696</v>
      </c>
      <c r="AG1258">
        <v>60</v>
      </c>
      <c r="AK1258" t="s">
        <v>98</v>
      </c>
      <c r="AL1258">
        <v>1</v>
      </c>
      <c r="AM1258" t="s">
        <v>98</v>
      </c>
      <c r="AN1258" t="s">
        <v>99</v>
      </c>
      <c r="AO1258" t="s">
        <v>98</v>
      </c>
      <c r="AP1258" t="s">
        <v>100</v>
      </c>
      <c r="AQ1258" t="s">
        <v>101</v>
      </c>
      <c r="AV1258" t="s">
        <v>98</v>
      </c>
      <c r="AX1258" t="s">
        <v>4029</v>
      </c>
      <c r="AZ1258" t="s">
        <v>102</v>
      </c>
      <c r="BB1258" t="s">
        <v>235</v>
      </c>
      <c r="BC1258" t="s">
        <v>746</v>
      </c>
      <c r="BD1258" t="s">
        <v>7528</v>
      </c>
      <c r="BF1258" t="s">
        <v>4034</v>
      </c>
      <c r="BG1258" t="s">
        <v>98</v>
      </c>
      <c r="BH1258" t="s">
        <v>98</v>
      </c>
      <c r="BI1258" t="s">
        <v>98</v>
      </c>
      <c r="BJ1258" t="s">
        <v>99</v>
      </c>
      <c r="BK1258" t="s">
        <v>453</v>
      </c>
      <c r="BL1258" t="s">
        <v>128</v>
      </c>
      <c r="BM1258">
        <v>4.75</v>
      </c>
      <c r="BN1258">
        <v>6.25</v>
      </c>
      <c r="CA1258">
        <v>72673</v>
      </c>
      <c r="CB1258" t="s">
        <v>4029</v>
      </c>
      <c r="CL1258" t="s">
        <v>98</v>
      </c>
      <c r="CM1258" t="s">
        <v>98</v>
      </c>
      <c r="CN1258" t="s">
        <v>3236</v>
      </c>
      <c r="CO1258" s="1">
        <v>43033</v>
      </c>
      <c r="CP1258" s="1">
        <v>43633</v>
      </c>
    </row>
    <row r="1259" spans="1:94" x14ac:dyDescent="0.25">
      <c r="A1259" t="s">
        <v>4035</v>
      </c>
      <c r="B1259" t="str">
        <f xml:space="preserve"> "" &amp; 747396107165</f>
        <v>747396107165</v>
      </c>
      <c r="C1259" t="s">
        <v>3413</v>
      </c>
      <c r="D1259" t="s">
        <v>4036</v>
      </c>
      <c r="E1259" t="s">
        <v>4028</v>
      </c>
      <c r="F1259" t="s">
        <v>2823</v>
      </c>
      <c r="G1259">
        <v>1</v>
      </c>
      <c r="H1259">
        <v>1</v>
      </c>
      <c r="I1259" t="s">
        <v>97</v>
      </c>
      <c r="J1259" s="10">
        <v>79</v>
      </c>
      <c r="K1259" s="10">
        <v>237</v>
      </c>
      <c r="L1259" s="10">
        <v>0</v>
      </c>
      <c r="N1259" s="10">
        <v>0</v>
      </c>
      <c r="O1259" t="s">
        <v>99</v>
      </c>
      <c r="P1259" s="10">
        <v>164.95</v>
      </c>
      <c r="S1259">
        <v>26</v>
      </c>
      <c r="T1259">
        <v>6.25</v>
      </c>
      <c r="U1259">
        <v>6.25</v>
      </c>
      <c r="W1259">
        <v>5.42</v>
      </c>
      <c r="X1259">
        <v>1</v>
      </c>
      <c r="Y1259">
        <v>24.88</v>
      </c>
      <c r="Z1259">
        <v>9</v>
      </c>
      <c r="AA1259">
        <v>8.8800000000000008</v>
      </c>
      <c r="AB1259">
        <v>1.151</v>
      </c>
      <c r="AC1259">
        <v>7.01</v>
      </c>
      <c r="AE1259">
        <v>1</v>
      </c>
      <c r="AF1259" t="s">
        <v>696</v>
      </c>
      <c r="AG1259">
        <v>60</v>
      </c>
      <c r="AK1259" t="s">
        <v>98</v>
      </c>
      <c r="AM1259" t="s">
        <v>98</v>
      </c>
      <c r="AN1259" t="s">
        <v>99</v>
      </c>
      <c r="AO1259" t="s">
        <v>98</v>
      </c>
      <c r="AP1259" t="s">
        <v>100</v>
      </c>
      <c r="AQ1259" t="s">
        <v>101</v>
      </c>
      <c r="AV1259" t="s">
        <v>98</v>
      </c>
      <c r="AX1259" t="s">
        <v>4029</v>
      </c>
      <c r="AZ1259" t="s">
        <v>102</v>
      </c>
      <c r="BB1259" t="s">
        <v>235</v>
      </c>
      <c r="BC1259" t="s">
        <v>746</v>
      </c>
      <c r="BD1259" t="s">
        <v>7528</v>
      </c>
      <c r="BF1259" t="s">
        <v>4037</v>
      </c>
      <c r="BG1259" t="s">
        <v>98</v>
      </c>
      <c r="BH1259" t="s">
        <v>98</v>
      </c>
      <c r="BI1259" t="s">
        <v>98</v>
      </c>
      <c r="BK1259" t="s">
        <v>127</v>
      </c>
      <c r="BL1259" t="s">
        <v>7528</v>
      </c>
      <c r="BR1259">
        <v>1</v>
      </c>
      <c r="BT1259">
        <v>5</v>
      </c>
      <c r="CA1259">
        <v>72674</v>
      </c>
      <c r="CB1259" t="s">
        <v>4029</v>
      </c>
      <c r="CL1259" t="s">
        <v>98</v>
      </c>
      <c r="CM1259" t="s">
        <v>98</v>
      </c>
      <c r="CN1259" t="s">
        <v>3236</v>
      </c>
      <c r="CO1259" s="1">
        <v>43033</v>
      </c>
      <c r="CP1259" s="1">
        <v>43633</v>
      </c>
    </row>
    <row r="1260" spans="1:94" x14ac:dyDescent="0.25">
      <c r="A1260" t="s">
        <v>4038</v>
      </c>
      <c r="B1260" t="str">
        <f xml:space="preserve"> "" &amp; 747396107172</f>
        <v>747396107172</v>
      </c>
      <c r="C1260" t="s">
        <v>3232</v>
      </c>
      <c r="D1260" t="s">
        <v>4039</v>
      </c>
      <c r="E1260" t="s">
        <v>4028</v>
      </c>
      <c r="F1260" t="s">
        <v>2823</v>
      </c>
      <c r="G1260">
        <v>1</v>
      </c>
      <c r="H1260">
        <v>1</v>
      </c>
      <c r="I1260" t="s">
        <v>97</v>
      </c>
      <c r="J1260" s="10">
        <v>74</v>
      </c>
      <c r="K1260" s="10">
        <v>222</v>
      </c>
      <c r="L1260" s="10">
        <v>0</v>
      </c>
      <c r="N1260" s="10">
        <v>0</v>
      </c>
      <c r="O1260" t="s">
        <v>99</v>
      </c>
      <c r="P1260" s="10">
        <v>154.94999999999999</v>
      </c>
      <c r="S1260">
        <v>21.75</v>
      </c>
      <c r="U1260">
        <v>6.25</v>
      </c>
      <c r="V1260">
        <v>6.25</v>
      </c>
      <c r="W1260">
        <v>3.97</v>
      </c>
      <c r="X1260">
        <v>1</v>
      </c>
      <c r="Y1260">
        <v>24.38</v>
      </c>
      <c r="Z1260">
        <v>9</v>
      </c>
      <c r="AA1260">
        <v>8.8800000000000008</v>
      </c>
      <c r="AB1260">
        <v>1.1279999999999999</v>
      </c>
      <c r="AC1260">
        <v>5.64</v>
      </c>
      <c r="AE1260">
        <v>1</v>
      </c>
      <c r="AF1260" t="s">
        <v>696</v>
      </c>
      <c r="AG1260">
        <v>60</v>
      </c>
      <c r="AK1260" t="s">
        <v>98</v>
      </c>
      <c r="AM1260" t="s">
        <v>98</v>
      </c>
      <c r="AN1260" t="s">
        <v>99</v>
      </c>
      <c r="AO1260" t="s">
        <v>98</v>
      </c>
      <c r="AP1260" t="s">
        <v>100</v>
      </c>
      <c r="AQ1260" t="s">
        <v>101</v>
      </c>
      <c r="AV1260" t="s">
        <v>98</v>
      </c>
      <c r="AX1260" t="s">
        <v>4029</v>
      </c>
      <c r="AZ1260" t="s">
        <v>102</v>
      </c>
      <c r="BB1260" t="s">
        <v>235</v>
      </c>
      <c r="BC1260" t="s">
        <v>746</v>
      </c>
      <c r="BD1260" t="s">
        <v>7528</v>
      </c>
      <c r="BF1260" t="s">
        <v>4040</v>
      </c>
      <c r="BG1260" t="s">
        <v>98</v>
      </c>
      <c r="BH1260" t="s">
        <v>98</v>
      </c>
      <c r="BI1260" t="s">
        <v>98</v>
      </c>
      <c r="BJ1260" t="s">
        <v>99</v>
      </c>
      <c r="BK1260" t="s">
        <v>453</v>
      </c>
      <c r="BL1260" t="s">
        <v>7528</v>
      </c>
      <c r="CA1260">
        <v>72676</v>
      </c>
      <c r="CB1260" t="s">
        <v>4029</v>
      </c>
      <c r="CL1260" t="s">
        <v>99</v>
      </c>
      <c r="CM1260" t="s">
        <v>98</v>
      </c>
      <c r="CN1260" t="s">
        <v>3236</v>
      </c>
      <c r="CO1260" s="1">
        <v>43145</v>
      </c>
      <c r="CP1260" s="1">
        <v>43633</v>
      </c>
    </row>
    <row r="1261" spans="1:94" x14ac:dyDescent="0.25">
      <c r="A1261" t="s">
        <v>4041</v>
      </c>
      <c r="B1261" t="str">
        <f xml:space="preserve"> "" &amp; 747396110677</f>
        <v>747396110677</v>
      </c>
      <c r="C1261" t="s">
        <v>4042</v>
      </c>
      <c r="D1261" t="s">
        <v>4043</v>
      </c>
      <c r="E1261" t="s">
        <v>4044</v>
      </c>
      <c r="F1261" t="s">
        <v>2823</v>
      </c>
      <c r="G1261">
        <v>1</v>
      </c>
      <c r="H1261">
        <v>1</v>
      </c>
      <c r="I1261" t="s">
        <v>97</v>
      </c>
      <c r="J1261" s="10">
        <v>65</v>
      </c>
      <c r="K1261" s="10">
        <v>195</v>
      </c>
      <c r="L1261" s="10">
        <v>0</v>
      </c>
      <c r="N1261" s="10">
        <v>0</v>
      </c>
      <c r="O1261" t="s">
        <v>99</v>
      </c>
      <c r="P1261" s="10">
        <v>139.94999999999999</v>
      </c>
      <c r="S1261">
        <v>12.75</v>
      </c>
      <c r="U1261">
        <v>6.75</v>
      </c>
      <c r="V1261">
        <v>7.5</v>
      </c>
      <c r="W1261">
        <v>3.64</v>
      </c>
      <c r="X1261">
        <v>1</v>
      </c>
      <c r="Y1261">
        <v>15.75</v>
      </c>
      <c r="Z1261">
        <v>10</v>
      </c>
      <c r="AA1261">
        <v>9.25</v>
      </c>
      <c r="AB1261">
        <v>0.84299999999999997</v>
      </c>
      <c r="AC1261">
        <v>4.9400000000000004</v>
      </c>
      <c r="AE1261">
        <v>1</v>
      </c>
      <c r="AF1261" t="s">
        <v>1473</v>
      </c>
      <c r="AG1261">
        <v>100</v>
      </c>
      <c r="AK1261" t="s">
        <v>98</v>
      </c>
      <c r="AM1261" t="s">
        <v>98</v>
      </c>
      <c r="AN1261" t="s">
        <v>99</v>
      </c>
      <c r="AO1261" t="s">
        <v>98</v>
      </c>
      <c r="AP1261" t="s">
        <v>100</v>
      </c>
      <c r="AQ1261" t="s">
        <v>101</v>
      </c>
      <c r="AV1261" t="s">
        <v>98</v>
      </c>
      <c r="AX1261" t="s">
        <v>164</v>
      </c>
      <c r="AZ1261" t="s">
        <v>102</v>
      </c>
      <c r="BB1261" t="s">
        <v>7528</v>
      </c>
      <c r="BC1261" t="s">
        <v>1501</v>
      </c>
      <c r="BD1261" t="s">
        <v>7528</v>
      </c>
      <c r="BF1261" t="s">
        <v>4045</v>
      </c>
      <c r="BG1261" t="s">
        <v>98</v>
      </c>
      <c r="BH1261" t="s">
        <v>98</v>
      </c>
      <c r="BI1261" t="s">
        <v>98</v>
      </c>
      <c r="BJ1261" t="s">
        <v>99</v>
      </c>
      <c r="BK1261" t="s">
        <v>453</v>
      </c>
      <c r="BL1261" t="s">
        <v>128</v>
      </c>
      <c r="BM1261">
        <v>4.5</v>
      </c>
      <c r="BN1261">
        <v>5.5</v>
      </c>
      <c r="CA1261">
        <v>72681</v>
      </c>
      <c r="CB1261" t="s">
        <v>164</v>
      </c>
      <c r="CL1261" t="s">
        <v>99</v>
      </c>
      <c r="CM1261" t="s">
        <v>98</v>
      </c>
      <c r="CN1261" t="s">
        <v>3227</v>
      </c>
      <c r="CO1261" s="1">
        <v>43539</v>
      </c>
      <c r="CP1261" s="1">
        <v>43633</v>
      </c>
    </row>
    <row r="1262" spans="1:94" x14ac:dyDescent="0.25">
      <c r="A1262" t="s">
        <v>4046</v>
      </c>
      <c r="B1262" t="str">
        <f xml:space="preserve"> "" &amp; 747396110684</f>
        <v>747396110684</v>
      </c>
      <c r="C1262" t="s">
        <v>4047</v>
      </c>
      <c r="D1262" t="s">
        <v>4043</v>
      </c>
      <c r="E1262" t="s">
        <v>4044</v>
      </c>
      <c r="F1262" t="s">
        <v>2823</v>
      </c>
      <c r="G1262">
        <v>1</v>
      </c>
      <c r="H1262">
        <v>1</v>
      </c>
      <c r="I1262" t="s">
        <v>97</v>
      </c>
      <c r="J1262" s="10">
        <v>75</v>
      </c>
      <c r="K1262" s="10">
        <v>225</v>
      </c>
      <c r="L1262" s="10">
        <v>0</v>
      </c>
      <c r="N1262" s="10">
        <v>0</v>
      </c>
      <c r="O1262" t="s">
        <v>99</v>
      </c>
      <c r="P1262" s="10">
        <v>159.94999999999999</v>
      </c>
      <c r="S1262">
        <v>15.5</v>
      </c>
      <c r="U1262">
        <v>7.25</v>
      </c>
      <c r="V1262">
        <v>8.25</v>
      </c>
      <c r="W1262">
        <v>4.6100000000000003</v>
      </c>
      <c r="X1262">
        <v>1</v>
      </c>
      <c r="Y1262">
        <v>18.88</v>
      </c>
      <c r="Z1262">
        <v>11.38</v>
      </c>
      <c r="AA1262">
        <v>10.5</v>
      </c>
      <c r="AB1262">
        <v>1.306</v>
      </c>
      <c r="AC1262">
        <v>6.19</v>
      </c>
      <c r="AE1262">
        <v>1</v>
      </c>
      <c r="AF1262" t="s">
        <v>1473</v>
      </c>
      <c r="AG1262">
        <v>100</v>
      </c>
      <c r="AK1262" t="s">
        <v>98</v>
      </c>
      <c r="AM1262" t="s">
        <v>98</v>
      </c>
      <c r="AN1262" t="s">
        <v>99</v>
      </c>
      <c r="AO1262" t="s">
        <v>98</v>
      </c>
      <c r="AP1262" t="s">
        <v>100</v>
      </c>
      <c r="AQ1262" t="s">
        <v>101</v>
      </c>
      <c r="AV1262" t="s">
        <v>98</v>
      </c>
      <c r="AX1262" t="s">
        <v>164</v>
      </c>
      <c r="AZ1262" t="s">
        <v>102</v>
      </c>
      <c r="BB1262" t="s">
        <v>7528</v>
      </c>
      <c r="BC1262" t="s">
        <v>1501</v>
      </c>
      <c r="BD1262" t="s">
        <v>7528</v>
      </c>
      <c r="BF1262" t="s">
        <v>4048</v>
      </c>
      <c r="BG1262" t="s">
        <v>98</v>
      </c>
      <c r="BH1262" t="s">
        <v>98</v>
      </c>
      <c r="BI1262" t="s">
        <v>98</v>
      </c>
      <c r="BJ1262" t="s">
        <v>99</v>
      </c>
      <c r="BK1262" t="s">
        <v>453</v>
      </c>
      <c r="BL1262" t="s">
        <v>128</v>
      </c>
      <c r="BM1262">
        <v>4.5</v>
      </c>
      <c r="BN1262">
        <v>7.25</v>
      </c>
      <c r="CA1262">
        <v>72682</v>
      </c>
      <c r="CB1262" t="s">
        <v>164</v>
      </c>
      <c r="CL1262" t="s">
        <v>99</v>
      </c>
      <c r="CM1262" t="s">
        <v>98</v>
      </c>
      <c r="CN1262" t="s">
        <v>3227</v>
      </c>
      <c r="CO1262" s="1">
        <v>43539</v>
      </c>
      <c r="CP1262" s="1">
        <v>43633</v>
      </c>
    </row>
    <row r="1263" spans="1:94" x14ac:dyDescent="0.25">
      <c r="A1263" t="s">
        <v>4049</v>
      </c>
      <c r="B1263" t="str">
        <f xml:space="preserve"> "" &amp; 747396110691</f>
        <v>747396110691</v>
      </c>
      <c r="C1263" t="s">
        <v>4050</v>
      </c>
      <c r="D1263" t="s">
        <v>4043</v>
      </c>
      <c r="E1263" t="s">
        <v>4044</v>
      </c>
      <c r="F1263" t="s">
        <v>2823</v>
      </c>
      <c r="G1263">
        <v>1</v>
      </c>
      <c r="H1263">
        <v>1</v>
      </c>
      <c r="I1263" t="s">
        <v>97</v>
      </c>
      <c r="J1263" s="10">
        <v>85</v>
      </c>
      <c r="K1263" s="10">
        <v>255</v>
      </c>
      <c r="L1263" s="10">
        <v>0</v>
      </c>
      <c r="N1263" s="10">
        <v>0</v>
      </c>
      <c r="O1263" t="s">
        <v>99</v>
      </c>
      <c r="P1263" s="10">
        <v>179.95</v>
      </c>
      <c r="S1263">
        <v>18</v>
      </c>
      <c r="U1263">
        <v>8.5</v>
      </c>
      <c r="V1263">
        <v>9.5</v>
      </c>
      <c r="W1263">
        <v>5.51</v>
      </c>
      <c r="X1263">
        <v>1</v>
      </c>
      <c r="Y1263">
        <v>22</v>
      </c>
      <c r="Z1263">
        <v>13</v>
      </c>
      <c r="AA1263">
        <v>12.38</v>
      </c>
      <c r="AB1263">
        <v>2.0489999999999999</v>
      </c>
      <c r="AC1263">
        <v>7.89</v>
      </c>
      <c r="AE1263">
        <v>1</v>
      </c>
      <c r="AF1263" t="s">
        <v>1473</v>
      </c>
      <c r="AG1263">
        <v>100</v>
      </c>
      <c r="AK1263" t="s">
        <v>98</v>
      </c>
      <c r="AM1263" t="s">
        <v>98</v>
      </c>
      <c r="AN1263" t="s">
        <v>99</v>
      </c>
      <c r="AO1263" t="s">
        <v>98</v>
      </c>
      <c r="AP1263" t="s">
        <v>100</v>
      </c>
      <c r="AQ1263" t="s">
        <v>101</v>
      </c>
      <c r="AV1263" t="s">
        <v>98</v>
      </c>
      <c r="AX1263" t="s">
        <v>164</v>
      </c>
      <c r="AZ1263" t="s">
        <v>102</v>
      </c>
      <c r="BB1263" t="s">
        <v>7528</v>
      </c>
      <c r="BC1263" t="s">
        <v>1501</v>
      </c>
      <c r="BD1263" t="s">
        <v>7528</v>
      </c>
      <c r="BF1263" t="s">
        <v>4051</v>
      </c>
      <c r="BG1263" t="s">
        <v>98</v>
      </c>
      <c r="BH1263" t="s">
        <v>98</v>
      </c>
      <c r="BI1263" t="s">
        <v>98</v>
      </c>
      <c r="BJ1263" t="s">
        <v>99</v>
      </c>
      <c r="BK1263" t="s">
        <v>453</v>
      </c>
      <c r="BL1263" t="s">
        <v>128</v>
      </c>
      <c r="BM1263">
        <v>4.5</v>
      </c>
      <c r="BN1263">
        <v>9</v>
      </c>
      <c r="CA1263">
        <v>72683</v>
      </c>
      <c r="CB1263" t="s">
        <v>164</v>
      </c>
      <c r="CL1263" t="s">
        <v>99</v>
      </c>
      <c r="CM1263" t="s">
        <v>98</v>
      </c>
      <c r="CN1263" t="s">
        <v>3227</v>
      </c>
      <c r="CO1263" s="1">
        <v>43539</v>
      </c>
      <c r="CP1263" s="1">
        <v>43633</v>
      </c>
    </row>
    <row r="1264" spans="1:94" x14ac:dyDescent="0.25">
      <c r="A1264" t="s">
        <v>4052</v>
      </c>
      <c r="B1264" t="str">
        <f xml:space="preserve"> "" &amp; 747396110714</f>
        <v>747396110714</v>
      </c>
      <c r="C1264" t="s">
        <v>4053</v>
      </c>
      <c r="D1264" t="s">
        <v>4054</v>
      </c>
      <c r="E1264" t="s">
        <v>4044</v>
      </c>
      <c r="F1264" t="s">
        <v>2823</v>
      </c>
      <c r="G1264">
        <v>1</v>
      </c>
      <c r="H1264">
        <v>1</v>
      </c>
      <c r="I1264" t="s">
        <v>97</v>
      </c>
      <c r="J1264" s="10">
        <v>95</v>
      </c>
      <c r="K1264" s="10">
        <v>285</v>
      </c>
      <c r="L1264" s="10">
        <v>0</v>
      </c>
      <c r="N1264" s="10">
        <v>0</v>
      </c>
      <c r="O1264" t="s">
        <v>99</v>
      </c>
      <c r="P1264" s="10">
        <v>199.95</v>
      </c>
      <c r="S1264">
        <v>20.25</v>
      </c>
      <c r="U1264">
        <v>8.5</v>
      </c>
      <c r="V1264">
        <v>8.5</v>
      </c>
      <c r="W1264">
        <v>6.64</v>
      </c>
      <c r="X1264">
        <v>1</v>
      </c>
      <c r="Y1264">
        <v>23.88</v>
      </c>
      <c r="Z1264">
        <v>12.38</v>
      </c>
      <c r="AA1264">
        <v>12.38</v>
      </c>
      <c r="AB1264">
        <v>2.1179999999999999</v>
      </c>
      <c r="AC1264">
        <v>8.9700000000000006</v>
      </c>
      <c r="AE1264">
        <v>1</v>
      </c>
      <c r="AF1264" t="s">
        <v>1473</v>
      </c>
      <c r="AG1264">
        <v>100</v>
      </c>
      <c r="AK1264" t="s">
        <v>98</v>
      </c>
      <c r="AM1264" t="s">
        <v>98</v>
      </c>
      <c r="AN1264" t="s">
        <v>99</v>
      </c>
      <c r="AO1264" t="s">
        <v>98</v>
      </c>
      <c r="AP1264" t="s">
        <v>100</v>
      </c>
      <c r="AQ1264" t="s">
        <v>101</v>
      </c>
      <c r="AV1264" t="s">
        <v>98</v>
      </c>
      <c r="AX1264" t="s">
        <v>164</v>
      </c>
      <c r="AZ1264" t="s">
        <v>124</v>
      </c>
      <c r="BB1264" t="s">
        <v>7528</v>
      </c>
      <c r="BC1264" t="s">
        <v>1501</v>
      </c>
      <c r="BD1264" t="s">
        <v>7528</v>
      </c>
      <c r="BF1264" t="s">
        <v>4055</v>
      </c>
      <c r="BG1264" t="s">
        <v>98</v>
      </c>
      <c r="BH1264" t="s">
        <v>98</v>
      </c>
      <c r="BI1264" t="s">
        <v>98</v>
      </c>
      <c r="BK1264" t="s">
        <v>127</v>
      </c>
      <c r="BL1264" t="s">
        <v>7528</v>
      </c>
      <c r="BR1264">
        <v>0.75</v>
      </c>
      <c r="BT1264">
        <v>5</v>
      </c>
      <c r="CA1264">
        <v>72684</v>
      </c>
      <c r="CB1264" t="s">
        <v>164</v>
      </c>
      <c r="CL1264" t="s">
        <v>99</v>
      </c>
      <c r="CM1264" t="s">
        <v>99</v>
      </c>
      <c r="CN1264" t="s">
        <v>3227</v>
      </c>
      <c r="CO1264" s="1">
        <v>43539</v>
      </c>
      <c r="CP1264" s="1">
        <v>43633</v>
      </c>
    </row>
    <row r="1265" spans="1:94" x14ac:dyDescent="0.25">
      <c r="A1265" t="s">
        <v>4056</v>
      </c>
      <c r="B1265" t="str">
        <f xml:space="preserve"> "" &amp; 747396110707</f>
        <v>747396110707</v>
      </c>
      <c r="C1265" t="s">
        <v>3771</v>
      </c>
      <c r="D1265" t="s">
        <v>4057</v>
      </c>
      <c r="E1265" t="s">
        <v>4044</v>
      </c>
      <c r="F1265" t="s">
        <v>2823</v>
      </c>
      <c r="G1265">
        <v>1</v>
      </c>
      <c r="H1265">
        <v>1</v>
      </c>
      <c r="I1265" t="s">
        <v>97</v>
      </c>
      <c r="J1265" s="10">
        <v>95</v>
      </c>
      <c r="K1265" s="10">
        <v>285</v>
      </c>
      <c r="L1265" s="10">
        <v>0</v>
      </c>
      <c r="N1265" s="10">
        <v>0</v>
      </c>
      <c r="O1265" t="s">
        <v>99</v>
      </c>
      <c r="P1265" s="10">
        <v>199.95</v>
      </c>
      <c r="S1265">
        <v>20.75</v>
      </c>
      <c r="U1265">
        <v>8.5</v>
      </c>
      <c r="V1265">
        <v>8.5</v>
      </c>
      <c r="W1265">
        <v>6.08</v>
      </c>
      <c r="X1265">
        <v>1</v>
      </c>
      <c r="Y1265">
        <v>23.88</v>
      </c>
      <c r="Z1265">
        <v>12.38</v>
      </c>
      <c r="AA1265">
        <v>12.38</v>
      </c>
      <c r="AB1265">
        <v>2.1179999999999999</v>
      </c>
      <c r="AC1265">
        <v>8.5500000000000007</v>
      </c>
      <c r="AE1265">
        <v>1</v>
      </c>
      <c r="AF1265" t="s">
        <v>1473</v>
      </c>
      <c r="AG1265">
        <v>100</v>
      </c>
      <c r="AK1265" t="s">
        <v>98</v>
      </c>
      <c r="AM1265" t="s">
        <v>98</v>
      </c>
      <c r="AN1265" t="s">
        <v>99</v>
      </c>
      <c r="AO1265" t="s">
        <v>98</v>
      </c>
      <c r="AP1265" t="s">
        <v>100</v>
      </c>
      <c r="AQ1265" t="s">
        <v>101</v>
      </c>
      <c r="AV1265" t="s">
        <v>98</v>
      </c>
      <c r="AX1265" t="s">
        <v>164</v>
      </c>
      <c r="AZ1265" t="s">
        <v>102</v>
      </c>
      <c r="BB1265" t="s">
        <v>7528</v>
      </c>
      <c r="BC1265" t="s">
        <v>1501</v>
      </c>
      <c r="BD1265" t="s">
        <v>7528</v>
      </c>
      <c r="BF1265" t="s">
        <v>4058</v>
      </c>
      <c r="BG1265" t="s">
        <v>98</v>
      </c>
      <c r="BH1265" t="s">
        <v>98</v>
      </c>
      <c r="BI1265" t="s">
        <v>98</v>
      </c>
      <c r="BJ1265" t="s">
        <v>99</v>
      </c>
      <c r="BK1265" t="s">
        <v>453</v>
      </c>
      <c r="BL1265" t="s">
        <v>7528</v>
      </c>
      <c r="CA1265">
        <v>72686</v>
      </c>
      <c r="CB1265" t="s">
        <v>164</v>
      </c>
      <c r="CL1265" t="s">
        <v>99</v>
      </c>
      <c r="CM1265" t="s">
        <v>98</v>
      </c>
      <c r="CN1265" t="s">
        <v>3227</v>
      </c>
      <c r="CO1265" s="1">
        <v>43539</v>
      </c>
      <c r="CP1265" s="1">
        <v>43633</v>
      </c>
    </row>
    <row r="1266" spans="1:94" x14ac:dyDescent="0.25">
      <c r="A1266" t="s">
        <v>4059</v>
      </c>
      <c r="B1266" t="str">
        <f xml:space="preserve"> "" &amp; 747396110967</f>
        <v>747396110967</v>
      </c>
      <c r="C1266" t="s">
        <v>4042</v>
      </c>
      <c r="D1266" t="s">
        <v>4060</v>
      </c>
      <c r="E1266" t="s">
        <v>4061</v>
      </c>
      <c r="F1266" t="s">
        <v>2823</v>
      </c>
      <c r="G1266">
        <v>1</v>
      </c>
      <c r="H1266">
        <v>1</v>
      </c>
      <c r="I1266" t="s">
        <v>97</v>
      </c>
      <c r="J1266" s="10">
        <v>65</v>
      </c>
      <c r="K1266" s="10">
        <v>195</v>
      </c>
      <c r="L1266" s="10">
        <v>0</v>
      </c>
      <c r="N1266" s="10">
        <v>0</v>
      </c>
      <c r="O1266" t="s">
        <v>99</v>
      </c>
      <c r="P1266" s="10">
        <v>139.94999999999999</v>
      </c>
      <c r="S1266">
        <v>14.25</v>
      </c>
      <c r="U1266">
        <v>6.25</v>
      </c>
      <c r="V1266">
        <v>7.5</v>
      </c>
      <c r="W1266">
        <v>3.37</v>
      </c>
      <c r="X1266">
        <v>1</v>
      </c>
      <c r="Y1266">
        <v>17.13</v>
      </c>
      <c r="Z1266">
        <v>10.25</v>
      </c>
      <c r="AA1266">
        <v>9</v>
      </c>
      <c r="AB1266">
        <v>0.91400000000000003</v>
      </c>
      <c r="AC1266">
        <v>4.59</v>
      </c>
      <c r="AE1266">
        <v>1</v>
      </c>
      <c r="AF1266" t="s">
        <v>1473</v>
      </c>
      <c r="AG1266">
        <v>100</v>
      </c>
      <c r="AK1266" t="s">
        <v>98</v>
      </c>
      <c r="AM1266" t="s">
        <v>98</v>
      </c>
      <c r="AN1266" t="s">
        <v>99</v>
      </c>
      <c r="AO1266" t="s">
        <v>98</v>
      </c>
      <c r="AP1266" t="s">
        <v>100</v>
      </c>
      <c r="AQ1266" t="s">
        <v>101</v>
      </c>
      <c r="AV1266" t="s">
        <v>98</v>
      </c>
      <c r="AX1266" t="s">
        <v>3926</v>
      </c>
      <c r="AZ1266" t="s">
        <v>124</v>
      </c>
      <c r="BB1266" t="s">
        <v>7528</v>
      </c>
      <c r="BC1266" t="s">
        <v>3416</v>
      </c>
      <c r="BD1266" t="s">
        <v>7528</v>
      </c>
      <c r="BF1266" t="s">
        <v>4062</v>
      </c>
      <c r="BG1266" t="s">
        <v>98</v>
      </c>
      <c r="BH1266" t="s">
        <v>98</v>
      </c>
      <c r="BI1266" t="s">
        <v>98</v>
      </c>
      <c r="BJ1266" t="s">
        <v>99</v>
      </c>
      <c r="BK1266" t="s">
        <v>453</v>
      </c>
      <c r="BL1266" t="s">
        <v>128</v>
      </c>
      <c r="BM1266">
        <v>5</v>
      </c>
      <c r="BN1266">
        <v>7</v>
      </c>
      <c r="CA1266">
        <v>72691</v>
      </c>
      <c r="CB1266" t="s">
        <v>3926</v>
      </c>
      <c r="CL1266" t="s">
        <v>99</v>
      </c>
      <c r="CM1266" t="s">
        <v>98</v>
      </c>
      <c r="CN1266" t="s">
        <v>3227</v>
      </c>
      <c r="CO1266" s="1">
        <v>43539</v>
      </c>
      <c r="CP1266" s="1">
        <v>43633</v>
      </c>
    </row>
    <row r="1267" spans="1:94" x14ac:dyDescent="0.25">
      <c r="A1267" t="s">
        <v>4063</v>
      </c>
      <c r="B1267" t="str">
        <f xml:space="preserve"> "" &amp; 747396110974</f>
        <v>747396110974</v>
      </c>
      <c r="C1267" t="s">
        <v>4064</v>
      </c>
      <c r="D1267" t="s">
        <v>4065</v>
      </c>
      <c r="E1267" t="s">
        <v>4061</v>
      </c>
      <c r="F1267" t="s">
        <v>2823</v>
      </c>
      <c r="G1267">
        <v>1</v>
      </c>
      <c r="H1267">
        <v>1</v>
      </c>
      <c r="I1267" t="s">
        <v>97</v>
      </c>
      <c r="J1267" s="10">
        <v>95</v>
      </c>
      <c r="K1267" s="10">
        <v>285</v>
      </c>
      <c r="L1267" s="10">
        <v>0</v>
      </c>
      <c r="N1267" s="10">
        <v>0</v>
      </c>
      <c r="O1267" t="s">
        <v>99</v>
      </c>
      <c r="P1267" s="10">
        <v>199.95</v>
      </c>
      <c r="S1267">
        <v>20.5</v>
      </c>
      <c r="U1267">
        <v>7.75</v>
      </c>
      <c r="V1267">
        <v>9.5</v>
      </c>
      <c r="W1267">
        <v>5.8</v>
      </c>
      <c r="X1267">
        <v>1</v>
      </c>
      <c r="Y1267">
        <v>23.88</v>
      </c>
      <c r="Z1267">
        <v>12.63</v>
      </c>
      <c r="AA1267">
        <v>11.25</v>
      </c>
      <c r="AB1267">
        <v>1.964</v>
      </c>
      <c r="AC1267">
        <v>8.86</v>
      </c>
      <c r="AE1267">
        <v>4</v>
      </c>
      <c r="AF1267" t="s">
        <v>772</v>
      </c>
      <c r="AG1267">
        <v>60</v>
      </c>
      <c r="AK1267" t="s">
        <v>98</v>
      </c>
      <c r="AM1267" t="s">
        <v>98</v>
      </c>
      <c r="AN1267" t="s">
        <v>99</v>
      </c>
      <c r="AO1267" t="s">
        <v>98</v>
      </c>
      <c r="AP1267" t="s">
        <v>100</v>
      </c>
      <c r="AQ1267" t="s">
        <v>101</v>
      </c>
      <c r="AV1267" t="s">
        <v>98</v>
      </c>
      <c r="AX1267" t="s">
        <v>3926</v>
      </c>
      <c r="AZ1267" t="s">
        <v>124</v>
      </c>
      <c r="BB1267" t="s">
        <v>7528</v>
      </c>
      <c r="BC1267" t="s">
        <v>3416</v>
      </c>
      <c r="BD1267" t="s">
        <v>7528</v>
      </c>
      <c r="BF1267" t="s">
        <v>4066</v>
      </c>
      <c r="BG1267" t="s">
        <v>98</v>
      </c>
      <c r="BH1267" t="s">
        <v>98</v>
      </c>
      <c r="BI1267" t="s">
        <v>98</v>
      </c>
      <c r="BJ1267" t="s">
        <v>99</v>
      </c>
      <c r="BK1267" t="s">
        <v>453</v>
      </c>
      <c r="BL1267" t="s">
        <v>128</v>
      </c>
      <c r="BM1267">
        <v>5</v>
      </c>
      <c r="BN1267">
        <v>10</v>
      </c>
      <c r="CA1267">
        <v>72692</v>
      </c>
      <c r="CB1267" t="s">
        <v>3926</v>
      </c>
      <c r="CL1267" t="s">
        <v>99</v>
      </c>
      <c r="CM1267" t="s">
        <v>98</v>
      </c>
      <c r="CN1267" t="s">
        <v>3227</v>
      </c>
      <c r="CO1267" s="1">
        <v>43539</v>
      </c>
      <c r="CP1267" s="1">
        <v>43633</v>
      </c>
    </row>
    <row r="1268" spans="1:94" x14ac:dyDescent="0.25">
      <c r="A1268" t="s">
        <v>4067</v>
      </c>
      <c r="B1268" t="str">
        <f xml:space="preserve"> "" &amp; 747396110981</f>
        <v>747396110981</v>
      </c>
      <c r="C1268" t="s">
        <v>4068</v>
      </c>
      <c r="D1268" t="s">
        <v>4065</v>
      </c>
      <c r="E1268" t="s">
        <v>4061</v>
      </c>
      <c r="F1268" t="s">
        <v>2823</v>
      </c>
      <c r="G1268">
        <v>1</v>
      </c>
      <c r="H1268">
        <v>1</v>
      </c>
      <c r="I1268" t="s">
        <v>97</v>
      </c>
      <c r="J1268" s="10">
        <v>125</v>
      </c>
      <c r="K1268" s="10">
        <v>375</v>
      </c>
      <c r="L1268" s="10">
        <v>0</v>
      </c>
      <c r="N1268" s="10">
        <v>0</v>
      </c>
      <c r="O1268" t="s">
        <v>99</v>
      </c>
      <c r="P1268" s="10">
        <v>264.95</v>
      </c>
      <c r="S1268">
        <v>25</v>
      </c>
      <c r="U1268">
        <v>9.5</v>
      </c>
      <c r="V1268">
        <v>11.5</v>
      </c>
      <c r="W1268">
        <v>10.14</v>
      </c>
      <c r="X1268">
        <v>1</v>
      </c>
      <c r="Y1268">
        <v>29.13</v>
      </c>
      <c r="Z1268">
        <v>15.5</v>
      </c>
      <c r="AA1268">
        <v>13.75</v>
      </c>
      <c r="AB1268">
        <v>3.593</v>
      </c>
      <c r="AC1268">
        <v>13.67</v>
      </c>
      <c r="AE1268">
        <v>4</v>
      </c>
      <c r="AF1268" t="s">
        <v>4069</v>
      </c>
      <c r="AG1268">
        <v>60</v>
      </c>
      <c r="AK1268" t="s">
        <v>98</v>
      </c>
      <c r="AM1268" t="s">
        <v>98</v>
      </c>
      <c r="AN1268" t="s">
        <v>99</v>
      </c>
      <c r="AO1268" t="s">
        <v>98</v>
      </c>
      <c r="AP1268" t="s">
        <v>100</v>
      </c>
      <c r="AQ1268" t="s">
        <v>101</v>
      </c>
      <c r="AV1268" t="s">
        <v>98</v>
      </c>
      <c r="AX1268" t="s">
        <v>3926</v>
      </c>
      <c r="AZ1268" t="s">
        <v>124</v>
      </c>
      <c r="BB1268" t="s">
        <v>7528</v>
      </c>
      <c r="BC1268" t="s">
        <v>3416</v>
      </c>
      <c r="BD1268" t="s">
        <v>7528</v>
      </c>
      <c r="BF1268" t="s">
        <v>4070</v>
      </c>
      <c r="BG1268" t="s">
        <v>98</v>
      </c>
      <c r="BH1268" t="s">
        <v>98</v>
      </c>
      <c r="BI1268" t="s">
        <v>98</v>
      </c>
      <c r="BJ1268" t="s">
        <v>99</v>
      </c>
      <c r="BK1268" t="s">
        <v>453</v>
      </c>
      <c r="BL1268" t="s">
        <v>128</v>
      </c>
      <c r="BM1268">
        <v>5</v>
      </c>
      <c r="BN1268">
        <v>12</v>
      </c>
      <c r="CA1268">
        <v>72693</v>
      </c>
      <c r="CB1268" t="s">
        <v>3926</v>
      </c>
      <c r="CL1268" t="s">
        <v>99</v>
      </c>
      <c r="CM1268" t="s">
        <v>98</v>
      </c>
      <c r="CN1268" t="s">
        <v>3227</v>
      </c>
      <c r="CO1268" s="1">
        <v>43539</v>
      </c>
      <c r="CP1268" s="1">
        <v>43633</v>
      </c>
    </row>
    <row r="1269" spans="1:94" x14ac:dyDescent="0.25">
      <c r="A1269" t="s">
        <v>4071</v>
      </c>
      <c r="B1269" t="str">
        <f xml:space="preserve"> "" &amp; 747396110998</f>
        <v>747396110998</v>
      </c>
      <c r="C1269" t="s">
        <v>4072</v>
      </c>
      <c r="D1269" t="s">
        <v>4073</v>
      </c>
      <c r="E1269" t="s">
        <v>4061</v>
      </c>
      <c r="F1269" t="s">
        <v>2823</v>
      </c>
      <c r="G1269">
        <v>1</v>
      </c>
      <c r="H1269">
        <v>1</v>
      </c>
      <c r="I1269" t="s">
        <v>97</v>
      </c>
      <c r="J1269" s="10">
        <v>125</v>
      </c>
      <c r="K1269" s="10">
        <v>375</v>
      </c>
      <c r="L1269" s="10">
        <v>0</v>
      </c>
      <c r="N1269" s="10">
        <v>0</v>
      </c>
      <c r="O1269" t="s">
        <v>99</v>
      </c>
      <c r="P1269" s="10">
        <v>264.95</v>
      </c>
      <c r="S1269">
        <v>26.5</v>
      </c>
      <c r="U1269">
        <v>9.5</v>
      </c>
      <c r="V1269">
        <v>9.5</v>
      </c>
      <c r="W1269">
        <v>9.48</v>
      </c>
      <c r="X1269">
        <v>1</v>
      </c>
      <c r="Y1269">
        <v>29.88</v>
      </c>
      <c r="Z1269">
        <v>13.75</v>
      </c>
      <c r="AA1269">
        <v>13.75</v>
      </c>
      <c r="AB1269">
        <v>3.2690000000000001</v>
      </c>
      <c r="AC1269">
        <v>13.89</v>
      </c>
      <c r="AE1269">
        <v>4</v>
      </c>
      <c r="AF1269" t="s">
        <v>772</v>
      </c>
      <c r="AG1269">
        <v>60</v>
      </c>
      <c r="AK1269" t="s">
        <v>98</v>
      </c>
      <c r="AM1269" t="s">
        <v>98</v>
      </c>
      <c r="AN1269" t="s">
        <v>99</v>
      </c>
      <c r="AO1269" t="s">
        <v>98</v>
      </c>
      <c r="AP1269" t="s">
        <v>100</v>
      </c>
      <c r="AQ1269" t="s">
        <v>101</v>
      </c>
      <c r="AV1269" t="s">
        <v>98</v>
      </c>
      <c r="AX1269" t="s">
        <v>3926</v>
      </c>
      <c r="AZ1269" t="s">
        <v>124</v>
      </c>
      <c r="BB1269" t="s">
        <v>7528</v>
      </c>
      <c r="BC1269" t="s">
        <v>3416</v>
      </c>
      <c r="BD1269" t="s">
        <v>7528</v>
      </c>
      <c r="BF1269" t="s">
        <v>4074</v>
      </c>
      <c r="BG1269" t="s">
        <v>98</v>
      </c>
      <c r="BH1269" t="s">
        <v>98</v>
      </c>
      <c r="BI1269" t="s">
        <v>98</v>
      </c>
      <c r="BJ1269" t="s">
        <v>99</v>
      </c>
      <c r="BK1269" t="s">
        <v>453</v>
      </c>
      <c r="BL1269" t="s">
        <v>7528</v>
      </c>
      <c r="CA1269">
        <v>72696</v>
      </c>
      <c r="CB1269" t="s">
        <v>3926</v>
      </c>
      <c r="CL1269" t="s">
        <v>99</v>
      </c>
      <c r="CM1269" t="s">
        <v>98</v>
      </c>
      <c r="CN1269" t="s">
        <v>3227</v>
      </c>
      <c r="CO1269" s="1">
        <v>43539</v>
      </c>
      <c r="CP1269" s="1">
        <v>43633</v>
      </c>
    </row>
    <row r="1270" spans="1:94" x14ac:dyDescent="0.25">
      <c r="A1270" t="s">
        <v>4075</v>
      </c>
      <c r="B1270" t="str">
        <f xml:space="preserve"> "" &amp; 747396110592</f>
        <v>747396110592</v>
      </c>
      <c r="C1270" t="s">
        <v>3185</v>
      </c>
      <c r="D1270" t="s">
        <v>4076</v>
      </c>
      <c r="E1270" t="s">
        <v>4077</v>
      </c>
      <c r="F1270" t="s">
        <v>2823</v>
      </c>
      <c r="G1270">
        <v>1</v>
      </c>
      <c r="H1270">
        <v>1</v>
      </c>
      <c r="I1270" t="s">
        <v>97</v>
      </c>
      <c r="J1270" s="10">
        <v>85</v>
      </c>
      <c r="K1270" s="10">
        <v>255</v>
      </c>
      <c r="L1270" s="10">
        <v>0</v>
      </c>
      <c r="N1270" s="10">
        <v>0</v>
      </c>
      <c r="O1270" t="s">
        <v>99</v>
      </c>
      <c r="P1270" s="10">
        <v>179.95</v>
      </c>
      <c r="S1270">
        <v>12.75</v>
      </c>
      <c r="U1270">
        <v>7.5</v>
      </c>
      <c r="V1270">
        <v>6</v>
      </c>
      <c r="W1270">
        <v>4.25</v>
      </c>
      <c r="X1270">
        <v>1</v>
      </c>
      <c r="Y1270">
        <v>11.25</v>
      </c>
      <c r="Z1270">
        <v>15.75</v>
      </c>
      <c r="AA1270">
        <v>10.25</v>
      </c>
      <c r="AB1270">
        <v>1.0509999999999999</v>
      </c>
      <c r="AC1270">
        <v>5.71</v>
      </c>
      <c r="AE1270">
        <v>1</v>
      </c>
      <c r="AF1270" t="s">
        <v>1473</v>
      </c>
      <c r="AG1270">
        <v>100</v>
      </c>
      <c r="AK1270" t="s">
        <v>98</v>
      </c>
      <c r="AM1270" t="s">
        <v>98</v>
      </c>
      <c r="AN1270" t="s">
        <v>99</v>
      </c>
      <c r="AO1270" t="s">
        <v>98</v>
      </c>
      <c r="AP1270" t="s">
        <v>100</v>
      </c>
      <c r="AQ1270" t="s">
        <v>101</v>
      </c>
      <c r="AV1270" t="s">
        <v>98</v>
      </c>
      <c r="AX1270" t="s">
        <v>4078</v>
      </c>
      <c r="AZ1270" t="s">
        <v>102</v>
      </c>
      <c r="BB1270" t="s">
        <v>7528</v>
      </c>
      <c r="BC1270" t="s">
        <v>3416</v>
      </c>
      <c r="BD1270" t="s">
        <v>7528</v>
      </c>
      <c r="BF1270" t="s">
        <v>4079</v>
      </c>
      <c r="BG1270" t="s">
        <v>98</v>
      </c>
      <c r="BH1270" t="s">
        <v>98</v>
      </c>
      <c r="BI1270" t="s">
        <v>98</v>
      </c>
      <c r="BJ1270" t="s">
        <v>99</v>
      </c>
      <c r="BK1270" t="s">
        <v>453</v>
      </c>
      <c r="BL1270" t="s">
        <v>7528</v>
      </c>
      <c r="BM1270">
        <v>4.5</v>
      </c>
      <c r="BN1270">
        <v>8</v>
      </c>
      <c r="CA1270">
        <v>72701</v>
      </c>
      <c r="CB1270" t="s">
        <v>4078</v>
      </c>
      <c r="CL1270" t="s">
        <v>99</v>
      </c>
      <c r="CM1270" t="s">
        <v>98</v>
      </c>
      <c r="CN1270" t="s">
        <v>4080</v>
      </c>
      <c r="CO1270" s="1">
        <v>43560</v>
      </c>
      <c r="CP1270" s="1">
        <v>43633</v>
      </c>
    </row>
    <row r="1271" spans="1:94" x14ac:dyDescent="0.25">
      <c r="A1271" t="s">
        <v>4081</v>
      </c>
      <c r="B1271" t="str">
        <f xml:space="preserve"> "" &amp; 747396110608</f>
        <v>747396110608</v>
      </c>
      <c r="C1271" t="s">
        <v>3185</v>
      </c>
      <c r="D1271" t="s">
        <v>4076</v>
      </c>
      <c r="E1271" t="s">
        <v>4077</v>
      </c>
      <c r="F1271" t="s">
        <v>2823</v>
      </c>
      <c r="G1271">
        <v>1</v>
      </c>
      <c r="H1271">
        <v>1</v>
      </c>
      <c r="I1271" t="s">
        <v>97</v>
      </c>
      <c r="J1271" s="10">
        <v>105</v>
      </c>
      <c r="K1271" s="10">
        <v>315</v>
      </c>
      <c r="L1271" s="10">
        <v>0</v>
      </c>
      <c r="N1271" s="10">
        <v>0</v>
      </c>
      <c r="O1271" t="s">
        <v>99</v>
      </c>
      <c r="P1271" s="10">
        <v>219.95</v>
      </c>
      <c r="S1271">
        <v>14.5</v>
      </c>
      <c r="U1271">
        <v>8.5</v>
      </c>
      <c r="V1271">
        <v>7</v>
      </c>
      <c r="W1271">
        <v>5.16</v>
      </c>
      <c r="X1271">
        <v>1</v>
      </c>
      <c r="Y1271">
        <v>12</v>
      </c>
      <c r="Z1271">
        <v>17.75</v>
      </c>
      <c r="AA1271">
        <v>11.75</v>
      </c>
      <c r="AB1271">
        <v>1.448</v>
      </c>
      <c r="AC1271">
        <v>7.03</v>
      </c>
      <c r="AE1271">
        <v>1</v>
      </c>
      <c r="AF1271" t="s">
        <v>1473</v>
      </c>
      <c r="AG1271">
        <v>100</v>
      </c>
      <c r="AK1271" t="s">
        <v>98</v>
      </c>
      <c r="AM1271" t="s">
        <v>98</v>
      </c>
      <c r="AN1271" t="s">
        <v>99</v>
      </c>
      <c r="AO1271" t="s">
        <v>98</v>
      </c>
      <c r="AP1271" t="s">
        <v>100</v>
      </c>
      <c r="AQ1271" t="s">
        <v>101</v>
      </c>
      <c r="AV1271" t="s">
        <v>98</v>
      </c>
      <c r="AX1271" t="s">
        <v>4078</v>
      </c>
      <c r="AZ1271" t="s">
        <v>102</v>
      </c>
      <c r="BB1271" t="s">
        <v>7528</v>
      </c>
      <c r="BC1271" t="s">
        <v>3416</v>
      </c>
      <c r="BD1271" t="s">
        <v>7528</v>
      </c>
      <c r="BF1271" t="s">
        <v>4082</v>
      </c>
      <c r="BG1271" t="s">
        <v>98</v>
      </c>
      <c r="BH1271" t="s">
        <v>98</v>
      </c>
      <c r="BI1271" t="s">
        <v>98</v>
      </c>
      <c r="BJ1271" t="s">
        <v>99</v>
      </c>
      <c r="BK1271" t="s">
        <v>453</v>
      </c>
      <c r="BL1271" t="s">
        <v>7528</v>
      </c>
      <c r="BM1271">
        <v>4.5</v>
      </c>
      <c r="BN1271">
        <v>9.5</v>
      </c>
      <c r="CA1271">
        <v>72702</v>
      </c>
      <c r="CB1271" t="s">
        <v>4078</v>
      </c>
      <c r="CL1271" t="s">
        <v>99</v>
      </c>
      <c r="CM1271" t="s">
        <v>98</v>
      </c>
      <c r="CN1271" t="s">
        <v>4080</v>
      </c>
      <c r="CO1271" s="1">
        <v>43539</v>
      </c>
      <c r="CP1271" s="1">
        <v>43633</v>
      </c>
    </row>
    <row r="1272" spans="1:94" x14ac:dyDescent="0.25">
      <c r="A1272" t="s">
        <v>4083</v>
      </c>
      <c r="B1272" t="str">
        <f xml:space="preserve"> "" &amp; 747396110615</f>
        <v>747396110615</v>
      </c>
      <c r="C1272" t="s">
        <v>3185</v>
      </c>
      <c r="D1272" t="s">
        <v>4076</v>
      </c>
      <c r="E1272" t="s">
        <v>4077</v>
      </c>
      <c r="F1272" t="s">
        <v>2823</v>
      </c>
      <c r="G1272">
        <v>1</v>
      </c>
      <c r="H1272">
        <v>1</v>
      </c>
      <c r="I1272" t="s">
        <v>97</v>
      </c>
      <c r="J1272" s="10">
        <v>120</v>
      </c>
      <c r="K1272" s="10">
        <v>360</v>
      </c>
      <c r="L1272" s="10">
        <v>0</v>
      </c>
      <c r="N1272" s="10">
        <v>0</v>
      </c>
      <c r="O1272" t="s">
        <v>99</v>
      </c>
      <c r="P1272" s="10">
        <v>249.95</v>
      </c>
      <c r="S1272">
        <v>16.5</v>
      </c>
      <c r="U1272">
        <v>10</v>
      </c>
      <c r="V1272">
        <v>7.75</v>
      </c>
      <c r="W1272">
        <v>6.57</v>
      </c>
      <c r="X1272">
        <v>1</v>
      </c>
      <c r="Y1272">
        <v>13</v>
      </c>
      <c r="Z1272">
        <v>19.75</v>
      </c>
      <c r="AA1272">
        <v>12.63</v>
      </c>
      <c r="AB1272">
        <v>1.877</v>
      </c>
      <c r="AC1272">
        <v>8.82</v>
      </c>
      <c r="AE1272">
        <v>1</v>
      </c>
      <c r="AF1272" t="s">
        <v>1473</v>
      </c>
      <c r="AG1272">
        <v>100</v>
      </c>
      <c r="AK1272" t="s">
        <v>98</v>
      </c>
      <c r="AM1272" t="s">
        <v>98</v>
      </c>
      <c r="AN1272" t="s">
        <v>99</v>
      </c>
      <c r="AO1272" t="s">
        <v>98</v>
      </c>
      <c r="AP1272" t="s">
        <v>100</v>
      </c>
      <c r="AQ1272" t="s">
        <v>101</v>
      </c>
      <c r="AV1272" t="s">
        <v>98</v>
      </c>
      <c r="AX1272" t="s">
        <v>4078</v>
      </c>
      <c r="AZ1272" t="s">
        <v>102</v>
      </c>
      <c r="BB1272" t="s">
        <v>7528</v>
      </c>
      <c r="BC1272" t="s">
        <v>3416</v>
      </c>
      <c r="BD1272" t="s">
        <v>7528</v>
      </c>
      <c r="BF1272" t="s">
        <v>4084</v>
      </c>
      <c r="BG1272" t="s">
        <v>98</v>
      </c>
      <c r="BH1272" t="s">
        <v>98</v>
      </c>
      <c r="BI1272" t="s">
        <v>98</v>
      </c>
      <c r="BJ1272" t="s">
        <v>99</v>
      </c>
      <c r="BK1272" t="s">
        <v>453</v>
      </c>
      <c r="BL1272" t="s">
        <v>7528</v>
      </c>
      <c r="BM1272">
        <v>4.5</v>
      </c>
      <c r="BN1272">
        <v>11</v>
      </c>
      <c r="CA1272">
        <v>72703</v>
      </c>
      <c r="CB1272" t="s">
        <v>4078</v>
      </c>
      <c r="CL1272" t="s">
        <v>99</v>
      </c>
      <c r="CM1272" t="s">
        <v>98</v>
      </c>
      <c r="CN1272" t="s">
        <v>4080</v>
      </c>
      <c r="CO1272" s="1">
        <v>43539</v>
      </c>
      <c r="CP1272" s="1">
        <v>43633</v>
      </c>
    </row>
    <row r="1273" spans="1:94" x14ac:dyDescent="0.25">
      <c r="A1273" t="s">
        <v>4085</v>
      </c>
      <c r="B1273" t="str">
        <f xml:space="preserve"> "" &amp; 747396110653</f>
        <v>747396110653</v>
      </c>
      <c r="C1273" t="s">
        <v>3861</v>
      </c>
      <c r="D1273" t="s">
        <v>4086</v>
      </c>
      <c r="E1273" t="s">
        <v>4077</v>
      </c>
      <c r="F1273" t="s">
        <v>2823</v>
      </c>
      <c r="G1273">
        <v>1</v>
      </c>
      <c r="H1273">
        <v>1</v>
      </c>
      <c r="I1273" t="s">
        <v>97</v>
      </c>
      <c r="J1273" s="10">
        <v>125</v>
      </c>
      <c r="K1273" s="10">
        <v>375</v>
      </c>
      <c r="L1273" s="10">
        <v>0</v>
      </c>
      <c r="N1273" s="10">
        <v>0</v>
      </c>
      <c r="O1273" t="s">
        <v>99</v>
      </c>
      <c r="P1273" s="10">
        <v>259.95</v>
      </c>
      <c r="S1273">
        <v>17.75</v>
      </c>
      <c r="U1273">
        <v>10</v>
      </c>
      <c r="V1273">
        <v>7</v>
      </c>
      <c r="W1273">
        <v>6.44</v>
      </c>
      <c r="X1273">
        <v>1</v>
      </c>
      <c r="Y1273">
        <v>12.25</v>
      </c>
      <c r="Z1273">
        <v>21.25</v>
      </c>
      <c r="AA1273">
        <v>12.63</v>
      </c>
      <c r="AB1273">
        <v>1.903</v>
      </c>
      <c r="AC1273">
        <v>8.8000000000000007</v>
      </c>
      <c r="AE1273">
        <v>1</v>
      </c>
      <c r="AF1273" t="s">
        <v>1473</v>
      </c>
      <c r="AG1273">
        <v>100</v>
      </c>
      <c r="AK1273" t="s">
        <v>98</v>
      </c>
      <c r="AM1273" t="s">
        <v>98</v>
      </c>
      <c r="AN1273" t="s">
        <v>99</v>
      </c>
      <c r="AO1273" t="s">
        <v>98</v>
      </c>
      <c r="AP1273" t="s">
        <v>100</v>
      </c>
      <c r="AQ1273" t="s">
        <v>101</v>
      </c>
      <c r="AV1273" t="s">
        <v>98</v>
      </c>
      <c r="AX1273" t="s">
        <v>4078</v>
      </c>
      <c r="AZ1273" t="s">
        <v>102</v>
      </c>
      <c r="BB1273" t="s">
        <v>7528</v>
      </c>
      <c r="BC1273" t="s">
        <v>3416</v>
      </c>
      <c r="BD1273" t="s">
        <v>7528</v>
      </c>
      <c r="BF1273" t="s">
        <v>4087</v>
      </c>
      <c r="BG1273" t="s">
        <v>98</v>
      </c>
      <c r="BH1273" t="s">
        <v>98</v>
      </c>
      <c r="BI1273" t="s">
        <v>98</v>
      </c>
      <c r="BK1273" t="s">
        <v>127</v>
      </c>
      <c r="BL1273" t="s">
        <v>7528</v>
      </c>
      <c r="BM1273">
        <v>5</v>
      </c>
      <c r="BN1273">
        <v>1</v>
      </c>
      <c r="CA1273">
        <v>72704</v>
      </c>
      <c r="CB1273" t="s">
        <v>4078</v>
      </c>
      <c r="CL1273" t="s">
        <v>99</v>
      </c>
      <c r="CM1273" t="s">
        <v>98</v>
      </c>
      <c r="CN1273" t="s">
        <v>4080</v>
      </c>
      <c r="CO1273" s="1">
        <v>43539</v>
      </c>
      <c r="CP1273" s="1">
        <v>43633</v>
      </c>
    </row>
    <row r="1274" spans="1:94" x14ac:dyDescent="0.25">
      <c r="A1274" t="s">
        <v>4088</v>
      </c>
      <c r="B1274" t="str">
        <f xml:space="preserve"> "" &amp; 747396110660</f>
        <v>747396110660</v>
      </c>
      <c r="C1274" t="s">
        <v>3771</v>
      </c>
      <c r="D1274" t="s">
        <v>4089</v>
      </c>
      <c r="E1274" t="s">
        <v>4077</v>
      </c>
      <c r="F1274" t="s">
        <v>2823</v>
      </c>
      <c r="G1274">
        <v>1</v>
      </c>
      <c r="H1274">
        <v>1</v>
      </c>
      <c r="I1274" t="s">
        <v>97</v>
      </c>
      <c r="J1274" s="10">
        <v>125</v>
      </c>
      <c r="K1274" s="10">
        <v>375</v>
      </c>
      <c r="L1274" s="10">
        <v>0</v>
      </c>
      <c r="N1274" s="10">
        <v>0</v>
      </c>
      <c r="O1274" t="s">
        <v>99</v>
      </c>
      <c r="P1274" s="10">
        <v>259.95</v>
      </c>
      <c r="S1274">
        <v>18.5</v>
      </c>
      <c r="U1274">
        <v>10</v>
      </c>
      <c r="V1274">
        <v>7</v>
      </c>
      <c r="W1274">
        <v>6.17</v>
      </c>
      <c r="X1274">
        <v>1</v>
      </c>
      <c r="Y1274">
        <v>12.25</v>
      </c>
      <c r="Z1274">
        <v>21.25</v>
      </c>
      <c r="AA1274">
        <v>12.63</v>
      </c>
      <c r="AB1274">
        <v>1.903</v>
      </c>
      <c r="AC1274">
        <v>8.44</v>
      </c>
      <c r="AE1274">
        <v>1</v>
      </c>
      <c r="AF1274" t="s">
        <v>1473</v>
      </c>
      <c r="AG1274">
        <v>100</v>
      </c>
      <c r="AK1274" t="s">
        <v>98</v>
      </c>
      <c r="AM1274" t="s">
        <v>98</v>
      </c>
      <c r="AN1274" t="s">
        <v>99</v>
      </c>
      <c r="AO1274" t="s">
        <v>98</v>
      </c>
      <c r="AP1274" t="s">
        <v>100</v>
      </c>
      <c r="AQ1274" t="s">
        <v>101</v>
      </c>
      <c r="AV1274" t="s">
        <v>98</v>
      </c>
      <c r="AX1274" t="s">
        <v>4078</v>
      </c>
      <c r="AZ1274" t="s">
        <v>102</v>
      </c>
      <c r="BB1274" t="s">
        <v>7528</v>
      </c>
      <c r="BC1274" t="s">
        <v>3416</v>
      </c>
      <c r="BD1274" t="s">
        <v>7528</v>
      </c>
      <c r="BF1274" t="s">
        <v>4090</v>
      </c>
      <c r="BG1274" t="s">
        <v>98</v>
      </c>
      <c r="BH1274" t="s">
        <v>98</v>
      </c>
      <c r="BI1274" t="s">
        <v>98</v>
      </c>
      <c r="BJ1274" t="s">
        <v>99</v>
      </c>
      <c r="BK1274" t="s">
        <v>453</v>
      </c>
      <c r="BL1274" t="s">
        <v>7528</v>
      </c>
      <c r="CA1274">
        <v>72706</v>
      </c>
      <c r="CB1274" t="s">
        <v>4078</v>
      </c>
      <c r="CL1274" t="s">
        <v>99</v>
      </c>
      <c r="CM1274" t="s">
        <v>98</v>
      </c>
      <c r="CN1274" t="s">
        <v>4080</v>
      </c>
      <c r="CO1274" s="1">
        <v>43539</v>
      </c>
      <c r="CP1274" s="1">
        <v>43633</v>
      </c>
    </row>
    <row r="1275" spans="1:94" x14ac:dyDescent="0.25">
      <c r="A1275" t="s">
        <v>4091</v>
      </c>
      <c r="B1275" t="str">
        <f xml:space="preserve"> "" &amp; 747396110882</f>
        <v>747396110882</v>
      </c>
      <c r="C1275" t="s">
        <v>3797</v>
      </c>
      <c r="D1275" t="s">
        <v>4092</v>
      </c>
      <c r="E1275" t="s">
        <v>4093</v>
      </c>
      <c r="F1275" t="s">
        <v>2823</v>
      </c>
      <c r="G1275">
        <v>1</v>
      </c>
      <c r="H1275">
        <v>1</v>
      </c>
      <c r="I1275" t="s">
        <v>97</v>
      </c>
      <c r="J1275" s="10">
        <v>55</v>
      </c>
      <c r="K1275" s="10">
        <v>165</v>
      </c>
      <c r="L1275" s="10">
        <v>0</v>
      </c>
      <c r="N1275" s="10">
        <v>0</v>
      </c>
      <c r="O1275" t="s">
        <v>99</v>
      </c>
      <c r="P1275" s="10">
        <v>114.95</v>
      </c>
      <c r="S1275">
        <v>10.5</v>
      </c>
      <c r="U1275">
        <v>5.5</v>
      </c>
      <c r="V1275">
        <v>6.25</v>
      </c>
      <c r="W1275">
        <v>1.76</v>
      </c>
      <c r="X1275">
        <v>1</v>
      </c>
      <c r="Y1275">
        <v>17</v>
      </c>
      <c r="Z1275">
        <v>8.5</v>
      </c>
      <c r="AA1275">
        <v>7.75</v>
      </c>
      <c r="AB1275">
        <v>0.64800000000000002</v>
      </c>
      <c r="AC1275">
        <v>2.89</v>
      </c>
      <c r="AE1275">
        <v>1</v>
      </c>
      <c r="AF1275" t="s">
        <v>1473</v>
      </c>
      <c r="AG1275">
        <v>100</v>
      </c>
      <c r="AK1275" t="s">
        <v>98</v>
      </c>
      <c r="AM1275" t="s">
        <v>98</v>
      </c>
      <c r="AN1275" t="s">
        <v>99</v>
      </c>
      <c r="AO1275" t="s">
        <v>98</v>
      </c>
      <c r="AP1275" t="s">
        <v>100</v>
      </c>
      <c r="AQ1275" t="s">
        <v>101</v>
      </c>
      <c r="AV1275" t="s">
        <v>98</v>
      </c>
      <c r="AX1275" t="s">
        <v>3943</v>
      </c>
      <c r="AZ1275" t="s">
        <v>102</v>
      </c>
      <c r="BB1275" t="s">
        <v>7528</v>
      </c>
      <c r="BC1275" t="s">
        <v>3416</v>
      </c>
      <c r="BD1275" t="s">
        <v>7528</v>
      </c>
      <c r="BF1275" t="s">
        <v>4094</v>
      </c>
      <c r="BG1275" t="s">
        <v>98</v>
      </c>
      <c r="BH1275" t="s">
        <v>98</v>
      </c>
      <c r="BI1275" t="s">
        <v>98</v>
      </c>
      <c r="BJ1275" t="s">
        <v>99</v>
      </c>
      <c r="BK1275" t="s">
        <v>453</v>
      </c>
      <c r="BL1275" t="s">
        <v>7528</v>
      </c>
      <c r="BM1275">
        <v>5</v>
      </c>
      <c r="BN1275">
        <v>7</v>
      </c>
      <c r="CA1275">
        <v>72711</v>
      </c>
      <c r="CB1275" t="s">
        <v>3943</v>
      </c>
      <c r="CL1275" t="s">
        <v>99</v>
      </c>
      <c r="CM1275" t="s">
        <v>98</v>
      </c>
      <c r="CN1275" t="s">
        <v>3236</v>
      </c>
      <c r="CO1275" s="1">
        <v>43542</v>
      </c>
      <c r="CP1275" s="1">
        <v>43633</v>
      </c>
    </row>
    <row r="1276" spans="1:94" x14ac:dyDescent="0.25">
      <c r="A1276" t="s">
        <v>4095</v>
      </c>
      <c r="B1276" t="str">
        <f xml:space="preserve"> "" &amp; 747396110899</f>
        <v>747396110899</v>
      </c>
      <c r="C1276" t="s">
        <v>3797</v>
      </c>
      <c r="D1276" t="s">
        <v>4092</v>
      </c>
      <c r="E1276" t="s">
        <v>4093</v>
      </c>
      <c r="F1276" t="s">
        <v>2823</v>
      </c>
      <c r="G1276">
        <v>1</v>
      </c>
      <c r="H1276">
        <v>1</v>
      </c>
      <c r="I1276" t="s">
        <v>97</v>
      </c>
      <c r="J1276" s="10">
        <v>65</v>
      </c>
      <c r="K1276" s="10">
        <v>195</v>
      </c>
      <c r="L1276" s="10">
        <v>0</v>
      </c>
      <c r="N1276" s="10">
        <v>0</v>
      </c>
      <c r="O1276" t="s">
        <v>99</v>
      </c>
      <c r="P1276" s="10">
        <v>134.94999999999999</v>
      </c>
      <c r="S1276">
        <v>12.5</v>
      </c>
      <c r="U1276">
        <v>7</v>
      </c>
      <c r="V1276">
        <v>7.75</v>
      </c>
      <c r="W1276">
        <v>2.69</v>
      </c>
      <c r="X1276">
        <v>1</v>
      </c>
      <c r="Y1276">
        <v>15.5</v>
      </c>
      <c r="Z1276">
        <v>10.25</v>
      </c>
      <c r="AA1276">
        <v>9.25</v>
      </c>
      <c r="AB1276">
        <v>0.85</v>
      </c>
      <c r="AC1276">
        <v>3.86</v>
      </c>
      <c r="AE1276">
        <v>1</v>
      </c>
      <c r="AF1276" t="s">
        <v>598</v>
      </c>
      <c r="AG1276">
        <v>100</v>
      </c>
      <c r="AK1276" t="s">
        <v>98</v>
      </c>
      <c r="AM1276" t="s">
        <v>98</v>
      </c>
      <c r="AN1276" t="s">
        <v>99</v>
      </c>
      <c r="AO1276" t="s">
        <v>98</v>
      </c>
      <c r="AP1276" t="s">
        <v>100</v>
      </c>
      <c r="AQ1276" t="s">
        <v>101</v>
      </c>
      <c r="AV1276" t="s">
        <v>98</v>
      </c>
      <c r="AX1276" t="s">
        <v>3943</v>
      </c>
      <c r="AZ1276" t="s">
        <v>392</v>
      </c>
      <c r="BB1276" t="s">
        <v>7528</v>
      </c>
      <c r="BC1276" t="s">
        <v>3416</v>
      </c>
      <c r="BD1276" t="s">
        <v>7528</v>
      </c>
      <c r="BF1276" t="s">
        <v>4096</v>
      </c>
      <c r="BG1276" t="s">
        <v>98</v>
      </c>
      <c r="BH1276" t="s">
        <v>98</v>
      </c>
      <c r="BI1276" t="s">
        <v>98</v>
      </c>
      <c r="BJ1276" t="s">
        <v>99</v>
      </c>
      <c r="BK1276" t="s">
        <v>453</v>
      </c>
      <c r="BL1276" t="s">
        <v>7528</v>
      </c>
      <c r="BM1276">
        <v>5.5</v>
      </c>
      <c r="BN1276">
        <v>7</v>
      </c>
      <c r="CA1276">
        <v>72712</v>
      </c>
      <c r="CB1276" t="s">
        <v>3943</v>
      </c>
      <c r="CL1276" t="s">
        <v>99</v>
      </c>
      <c r="CM1276" t="s">
        <v>98</v>
      </c>
      <c r="CN1276" t="s">
        <v>3236</v>
      </c>
      <c r="CO1276" s="1">
        <v>43542</v>
      </c>
      <c r="CP1276" s="1">
        <v>43633</v>
      </c>
    </row>
    <row r="1277" spans="1:94" x14ac:dyDescent="0.25">
      <c r="A1277" t="s">
        <v>4097</v>
      </c>
      <c r="B1277" t="str">
        <f xml:space="preserve"> "" &amp; 747396111001</f>
        <v>747396111001</v>
      </c>
      <c r="C1277" t="s">
        <v>3797</v>
      </c>
      <c r="D1277" t="s">
        <v>4092</v>
      </c>
      <c r="E1277" t="s">
        <v>4093</v>
      </c>
      <c r="F1277" t="s">
        <v>2823</v>
      </c>
      <c r="G1277">
        <v>1</v>
      </c>
      <c r="H1277">
        <v>1</v>
      </c>
      <c r="I1277" t="s">
        <v>97</v>
      </c>
      <c r="J1277" s="10">
        <v>75</v>
      </c>
      <c r="K1277" s="10">
        <v>225</v>
      </c>
      <c r="L1277" s="10">
        <v>0</v>
      </c>
      <c r="N1277" s="10">
        <v>0</v>
      </c>
      <c r="O1277" t="s">
        <v>99</v>
      </c>
      <c r="P1277" s="10">
        <v>159.94999999999999</v>
      </c>
      <c r="S1277">
        <v>15.5</v>
      </c>
      <c r="U1277">
        <v>7.75</v>
      </c>
      <c r="V1277">
        <v>8</v>
      </c>
      <c r="W1277">
        <v>3.17</v>
      </c>
      <c r="X1277">
        <v>1</v>
      </c>
      <c r="Y1277">
        <v>18.75</v>
      </c>
      <c r="Z1277">
        <v>13.25</v>
      </c>
      <c r="AA1277">
        <v>10.25</v>
      </c>
      <c r="AB1277">
        <v>1.474</v>
      </c>
      <c r="AC1277">
        <v>4.8899999999999997</v>
      </c>
      <c r="AE1277">
        <v>1</v>
      </c>
      <c r="AF1277" t="s">
        <v>598</v>
      </c>
      <c r="AG1277">
        <v>100</v>
      </c>
      <c r="AK1277" t="s">
        <v>98</v>
      </c>
      <c r="AM1277" t="s">
        <v>98</v>
      </c>
      <c r="AN1277" t="s">
        <v>99</v>
      </c>
      <c r="AO1277" t="s">
        <v>98</v>
      </c>
      <c r="AP1277" t="s">
        <v>100</v>
      </c>
      <c r="AQ1277" t="s">
        <v>101</v>
      </c>
      <c r="AV1277" t="s">
        <v>98</v>
      </c>
      <c r="AX1277" t="s">
        <v>3943</v>
      </c>
      <c r="AZ1277" t="s">
        <v>392</v>
      </c>
      <c r="BB1277" t="s">
        <v>7528</v>
      </c>
      <c r="BC1277" t="s">
        <v>3416</v>
      </c>
      <c r="BD1277" t="s">
        <v>7528</v>
      </c>
      <c r="BF1277" t="s">
        <v>4098</v>
      </c>
      <c r="BG1277" t="s">
        <v>98</v>
      </c>
      <c r="BH1277" t="s">
        <v>98</v>
      </c>
      <c r="BI1277" t="s">
        <v>98</v>
      </c>
      <c r="BJ1277" t="s">
        <v>99</v>
      </c>
      <c r="BK1277" t="s">
        <v>453</v>
      </c>
      <c r="BL1277" t="s">
        <v>7528</v>
      </c>
      <c r="BM1277">
        <v>5.5</v>
      </c>
      <c r="BN1277">
        <v>7</v>
      </c>
      <c r="CA1277">
        <v>72713</v>
      </c>
      <c r="CB1277" t="s">
        <v>3943</v>
      </c>
      <c r="CL1277" t="s">
        <v>99</v>
      </c>
      <c r="CM1277" t="s">
        <v>98</v>
      </c>
      <c r="CN1277" t="s">
        <v>3236</v>
      </c>
      <c r="CO1277" s="1">
        <v>43542</v>
      </c>
      <c r="CP1277" s="1">
        <v>43633</v>
      </c>
    </row>
    <row r="1278" spans="1:94" x14ac:dyDescent="0.25">
      <c r="A1278" t="s">
        <v>4099</v>
      </c>
      <c r="B1278" t="str">
        <f xml:space="preserve"> "" &amp; 747396110721</f>
        <v>747396110721</v>
      </c>
      <c r="C1278" t="s">
        <v>3797</v>
      </c>
      <c r="D1278" t="s">
        <v>4100</v>
      </c>
      <c r="E1278" t="s">
        <v>4101</v>
      </c>
      <c r="F1278" t="s">
        <v>2823</v>
      </c>
      <c r="G1278">
        <v>1</v>
      </c>
      <c r="H1278">
        <v>1</v>
      </c>
      <c r="I1278" t="s">
        <v>97</v>
      </c>
      <c r="J1278" s="10">
        <v>65</v>
      </c>
      <c r="K1278" s="10">
        <v>195</v>
      </c>
      <c r="L1278" s="10">
        <v>0</v>
      </c>
      <c r="N1278" s="10">
        <v>0</v>
      </c>
      <c r="O1278" t="s">
        <v>99</v>
      </c>
      <c r="P1278" s="10">
        <v>139.94999999999999</v>
      </c>
      <c r="S1278">
        <v>11.25</v>
      </c>
      <c r="U1278">
        <v>5.5</v>
      </c>
      <c r="V1278">
        <v>7.25</v>
      </c>
      <c r="W1278">
        <v>2.93</v>
      </c>
      <c r="X1278">
        <v>1</v>
      </c>
      <c r="Y1278">
        <v>13.75</v>
      </c>
      <c r="Z1278">
        <v>9.75</v>
      </c>
      <c r="AA1278">
        <v>9.25</v>
      </c>
      <c r="AB1278">
        <v>0.71799999999999997</v>
      </c>
      <c r="AC1278">
        <v>4.08</v>
      </c>
      <c r="AE1278">
        <v>1</v>
      </c>
      <c r="AF1278" t="s">
        <v>598</v>
      </c>
      <c r="AG1278">
        <v>100</v>
      </c>
      <c r="AK1278" t="s">
        <v>98</v>
      </c>
      <c r="AM1278" t="s">
        <v>98</v>
      </c>
      <c r="AN1278" t="s">
        <v>99</v>
      </c>
      <c r="AO1278" t="s">
        <v>98</v>
      </c>
      <c r="AP1278" t="s">
        <v>100</v>
      </c>
      <c r="AQ1278" t="s">
        <v>101</v>
      </c>
      <c r="AV1278" t="s">
        <v>98</v>
      </c>
      <c r="AX1278" t="s">
        <v>3190</v>
      </c>
      <c r="AZ1278" t="s">
        <v>392</v>
      </c>
      <c r="BB1278" t="s">
        <v>7528</v>
      </c>
      <c r="BC1278" t="s">
        <v>1064</v>
      </c>
      <c r="BD1278" t="s">
        <v>7528</v>
      </c>
      <c r="BF1278" t="s">
        <v>4102</v>
      </c>
      <c r="BG1278" t="s">
        <v>98</v>
      </c>
      <c r="BH1278" t="s">
        <v>98</v>
      </c>
      <c r="BI1278" t="s">
        <v>98</v>
      </c>
      <c r="BJ1278" t="s">
        <v>99</v>
      </c>
      <c r="BK1278" t="s">
        <v>453</v>
      </c>
      <c r="BL1278" t="s">
        <v>7528</v>
      </c>
      <c r="BM1278">
        <v>5</v>
      </c>
      <c r="BN1278">
        <v>7</v>
      </c>
      <c r="CA1278">
        <v>72721</v>
      </c>
      <c r="CB1278" t="s">
        <v>3190</v>
      </c>
      <c r="CL1278" t="s">
        <v>99</v>
      </c>
      <c r="CM1278" t="s">
        <v>98</v>
      </c>
      <c r="CN1278" t="s">
        <v>3236</v>
      </c>
      <c r="CO1278" s="1">
        <v>43539</v>
      </c>
      <c r="CP1278" s="1">
        <v>43633</v>
      </c>
    </row>
    <row r="1279" spans="1:94" x14ac:dyDescent="0.25">
      <c r="A1279" t="s">
        <v>4103</v>
      </c>
      <c r="B1279" t="str">
        <f xml:space="preserve"> "" &amp; 747396110738</f>
        <v>747396110738</v>
      </c>
      <c r="C1279" t="s">
        <v>4104</v>
      </c>
      <c r="D1279" t="s">
        <v>4105</v>
      </c>
      <c r="E1279" t="s">
        <v>4101</v>
      </c>
      <c r="F1279" t="s">
        <v>2823</v>
      </c>
      <c r="G1279">
        <v>1</v>
      </c>
      <c r="H1279">
        <v>1</v>
      </c>
      <c r="I1279" t="s">
        <v>97</v>
      </c>
      <c r="J1279" s="10">
        <v>85</v>
      </c>
      <c r="K1279" s="10">
        <v>255</v>
      </c>
      <c r="L1279" s="10">
        <v>0</v>
      </c>
      <c r="N1279" s="10">
        <v>0</v>
      </c>
      <c r="O1279" t="s">
        <v>99</v>
      </c>
      <c r="P1279" s="10">
        <v>179.95</v>
      </c>
      <c r="S1279">
        <v>15.75</v>
      </c>
      <c r="U1279">
        <v>7.5</v>
      </c>
      <c r="V1279">
        <v>9</v>
      </c>
      <c r="W1279">
        <v>5.09</v>
      </c>
      <c r="X1279">
        <v>1</v>
      </c>
      <c r="Y1279">
        <v>18.5</v>
      </c>
      <c r="Z1279">
        <v>11.75</v>
      </c>
      <c r="AA1279">
        <v>11.75</v>
      </c>
      <c r="AB1279">
        <v>1.478</v>
      </c>
      <c r="AC1279">
        <v>7.08</v>
      </c>
      <c r="AE1279">
        <v>2</v>
      </c>
      <c r="AF1279" t="s">
        <v>772</v>
      </c>
      <c r="AG1279">
        <v>60</v>
      </c>
      <c r="AK1279" t="s">
        <v>98</v>
      </c>
      <c r="AM1279" t="s">
        <v>98</v>
      </c>
      <c r="AN1279" t="s">
        <v>99</v>
      </c>
      <c r="AO1279" t="s">
        <v>98</v>
      </c>
      <c r="AP1279" t="s">
        <v>100</v>
      </c>
      <c r="AQ1279" t="s">
        <v>101</v>
      </c>
      <c r="AV1279" t="s">
        <v>98</v>
      </c>
      <c r="AX1279" t="s">
        <v>3190</v>
      </c>
      <c r="AZ1279" t="s">
        <v>392</v>
      </c>
      <c r="BB1279" t="s">
        <v>7528</v>
      </c>
      <c r="BC1279" t="s">
        <v>1064</v>
      </c>
      <c r="BD1279" t="s">
        <v>7528</v>
      </c>
      <c r="BF1279" t="s">
        <v>4106</v>
      </c>
      <c r="BG1279" t="s">
        <v>98</v>
      </c>
      <c r="BH1279" t="s">
        <v>98</v>
      </c>
      <c r="BI1279" t="s">
        <v>98</v>
      </c>
      <c r="BJ1279" t="s">
        <v>99</v>
      </c>
      <c r="BK1279" t="s">
        <v>453</v>
      </c>
      <c r="BL1279" t="s">
        <v>7528</v>
      </c>
      <c r="BM1279">
        <v>5</v>
      </c>
      <c r="BN1279">
        <v>7</v>
      </c>
      <c r="CA1279">
        <v>72722</v>
      </c>
      <c r="CB1279" t="s">
        <v>3190</v>
      </c>
      <c r="CL1279" t="s">
        <v>99</v>
      </c>
      <c r="CM1279" t="s">
        <v>98</v>
      </c>
      <c r="CN1279" t="s">
        <v>3236</v>
      </c>
      <c r="CO1279" s="1">
        <v>43539</v>
      </c>
      <c r="CP1279" s="1">
        <v>43633</v>
      </c>
    </row>
    <row r="1280" spans="1:94" x14ac:dyDescent="0.25">
      <c r="A1280" t="s">
        <v>4107</v>
      </c>
      <c r="B1280" t="str">
        <f xml:space="preserve"> "" &amp; 747396110745</f>
        <v>747396110745</v>
      </c>
      <c r="C1280" t="s">
        <v>3569</v>
      </c>
      <c r="D1280" t="s">
        <v>4108</v>
      </c>
      <c r="E1280" t="s">
        <v>4101</v>
      </c>
      <c r="F1280" t="s">
        <v>2823</v>
      </c>
      <c r="G1280">
        <v>1</v>
      </c>
      <c r="H1280">
        <v>1</v>
      </c>
      <c r="I1280" t="s">
        <v>97</v>
      </c>
      <c r="J1280" s="10">
        <v>100</v>
      </c>
      <c r="K1280" s="10">
        <v>300</v>
      </c>
      <c r="L1280" s="10">
        <v>0</v>
      </c>
      <c r="N1280" s="10">
        <v>0</v>
      </c>
      <c r="O1280" t="s">
        <v>99</v>
      </c>
      <c r="P1280" s="10">
        <v>209.95</v>
      </c>
      <c r="S1280">
        <v>20</v>
      </c>
      <c r="U1280">
        <v>9</v>
      </c>
      <c r="V1280">
        <v>11.13</v>
      </c>
      <c r="W1280">
        <v>8.0500000000000007</v>
      </c>
      <c r="X1280">
        <v>1</v>
      </c>
      <c r="Y1280">
        <v>23</v>
      </c>
      <c r="Z1280">
        <v>13.75</v>
      </c>
      <c r="AA1280">
        <v>13.25</v>
      </c>
      <c r="AB1280">
        <v>2.4249999999999998</v>
      </c>
      <c r="AC1280">
        <v>10.93</v>
      </c>
      <c r="AE1280">
        <v>4</v>
      </c>
      <c r="AF1280" t="s">
        <v>4109</v>
      </c>
      <c r="AG1280">
        <v>60</v>
      </c>
      <c r="AK1280" t="s">
        <v>98</v>
      </c>
      <c r="AM1280" t="s">
        <v>98</v>
      </c>
      <c r="AN1280" t="s">
        <v>99</v>
      </c>
      <c r="AO1280" t="s">
        <v>98</v>
      </c>
      <c r="AP1280" t="s">
        <v>100</v>
      </c>
      <c r="AQ1280" t="s">
        <v>101</v>
      </c>
      <c r="AV1280" t="s">
        <v>98</v>
      </c>
      <c r="AX1280" t="s">
        <v>3190</v>
      </c>
      <c r="AZ1280" t="s">
        <v>392</v>
      </c>
      <c r="BB1280" t="s">
        <v>1064</v>
      </c>
      <c r="BC1280" t="s">
        <v>7528</v>
      </c>
      <c r="BD1280" t="s">
        <v>7528</v>
      </c>
      <c r="BF1280" t="s">
        <v>4110</v>
      </c>
      <c r="BG1280" t="s">
        <v>98</v>
      </c>
      <c r="BH1280" t="s">
        <v>98</v>
      </c>
      <c r="BI1280" t="s">
        <v>98</v>
      </c>
      <c r="BJ1280" t="s">
        <v>99</v>
      </c>
      <c r="BK1280" t="s">
        <v>453</v>
      </c>
      <c r="BL1280" t="s">
        <v>7528</v>
      </c>
      <c r="BM1280">
        <v>6.38</v>
      </c>
      <c r="BN1280">
        <v>10.38</v>
      </c>
      <c r="CA1280">
        <v>72723</v>
      </c>
      <c r="CB1280" t="s">
        <v>3190</v>
      </c>
      <c r="CL1280" t="s">
        <v>99</v>
      </c>
      <c r="CM1280" t="s">
        <v>98</v>
      </c>
      <c r="CN1280" t="s">
        <v>4111</v>
      </c>
      <c r="CO1280" s="1">
        <v>43542</v>
      </c>
      <c r="CP1280" s="1">
        <v>43633</v>
      </c>
    </row>
    <row r="1281" spans="1:94" x14ac:dyDescent="0.25">
      <c r="A1281" t="s">
        <v>4112</v>
      </c>
      <c r="B1281" t="str">
        <f xml:space="preserve"> "" &amp; 747396110875</f>
        <v>747396110875</v>
      </c>
      <c r="C1281" t="s">
        <v>3812</v>
      </c>
      <c r="D1281" t="s">
        <v>4113</v>
      </c>
      <c r="E1281" t="s">
        <v>4101</v>
      </c>
      <c r="F1281" t="s">
        <v>2823</v>
      </c>
      <c r="G1281">
        <v>1</v>
      </c>
      <c r="H1281">
        <v>1</v>
      </c>
      <c r="I1281" t="s">
        <v>97</v>
      </c>
      <c r="J1281" s="10">
        <v>100</v>
      </c>
      <c r="K1281" s="10">
        <v>300</v>
      </c>
      <c r="L1281" s="10">
        <v>0</v>
      </c>
      <c r="N1281" s="10">
        <v>0</v>
      </c>
      <c r="O1281" t="s">
        <v>99</v>
      </c>
      <c r="P1281" s="10">
        <v>209.95</v>
      </c>
      <c r="S1281">
        <v>21.75</v>
      </c>
      <c r="U1281">
        <v>9</v>
      </c>
      <c r="W1281">
        <v>8.18</v>
      </c>
      <c r="X1281">
        <v>1</v>
      </c>
      <c r="Y1281">
        <v>22.75</v>
      </c>
      <c r="Z1281">
        <v>13.25</v>
      </c>
      <c r="AA1281">
        <v>11.5</v>
      </c>
      <c r="AB1281">
        <v>2.0059999999999998</v>
      </c>
      <c r="AC1281">
        <v>10.89</v>
      </c>
      <c r="AE1281">
        <v>4</v>
      </c>
      <c r="AF1281" t="s">
        <v>4109</v>
      </c>
      <c r="AG1281">
        <v>60</v>
      </c>
      <c r="AK1281" t="s">
        <v>98</v>
      </c>
      <c r="AM1281" t="s">
        <v>98</v>
      </c>
      <c r="AN1281" t="s">
        <v>99</v>
      </c>
      <c r="AO1281" t="s">
        <v>98</v>
      </c>
      <c r="AP1281" t="s">
        <v>100</v>
      </c>
      <c r="AQ1281" t="s">
        <v>101</v>
      </c>
      <c r="AV1281" t="s">
        <v>98</v>
      </c>
      <c r="AX1281" t="s">
        <v>3190</v>
      </c>
      <c r="AZ1281" t="s">
        <v>392</v>
      </c>
      <c r="BB1281" t="s">
        <v>1064</v>
      </c>
      <c r="BC1281" t="s">
        <v>7528</v>
      </c>
      <c r="BD1281" t="s">
        <v>7528</v>
      </c>
      <c r="BF1281" t="s">
        <v>4114</v>
      </c>
      <c r="BG1281" t="s">
        <v>98</v>
      </c>
      <c r="BH1281" t="s">
        <v>98</v>
      </c>
      <c r="BI1281" t="s">
        <v>98</v>
      </c>
      <c r="BK1281" t="s">
        <v>127</v>
      </c>
      <c r="BL1281" t="s">
        <v>7528</v>
      </c>
      <c r="BR1281">
        <v>1.1299999999999999</v>
      </c>
      <c r="BT1281">
        <v>4.88</v>
      </c>
      <c r="CA1281">
        <v>72724</v>
      </c>
      <c r="CB1281" t="s">
        <v>3190</v>
      </c>
      <c r="CL1281" t="s">
        <v>99</v>
      </c>
      <c r="CM1281" t="s">
        <v>99</v>
      </c>
      <c r="CN1281" t="s">
        <v>4111</v>
      </c>
      <c r="CO1281" s="1">
        <v>43542</v>
      </c>
      <c r="CP1281" s="1">
        <v>43633</v>
      </c>
    </row>
    <row r="1282" spans="1:94" x14ac:dyDescent="0.25">
      <c r="A1282" t="s">
        <v>4115</v>
      </c>
      <c r="B1282" t="str">
        <f xml:space="preserve"> "" &amp; 747396110868</f>
        <v>747396110868</v>
      </c>
      <c r="C1282" t="s">
        <v>3865</v>
      </c>
      <c r="D1282" t="s">
        <v>4116</v>
      </c>
      <c r="E1282" t="s">
        <v>4101</v>
      </c>
      <c r="F1282" t="s">
        <v>2823</v>
      </c>
      <c r="G1282">
        <v>1</v>
      </c>
      <c r="H1282">
        <v>1</v>
      </c>
      <c r="I1282" t="s">
        <v>97</v>
      </c>
      <c r="J1282" s="10">
        <v>100</v>
      </c>
      <c r="K1282" s="10">
        <v>300</v>
      </c>
      <c r="L1282" s="10">
        <v>0</v>
      </c>
      <c r="N1282" s="10">
        <v>0</v>
      </c>
      <c r="O1282" t="s">
        <v>99</v>
      </c>
      <c r="P1282" s="10">
        <v>209.95</v>
      </c>
      <c r="S1282">
        <v>24.38</v>
      </c>
      <c r="U1282">
        <v>9</v>
      </c>
      <c r="W1282">
        <v>7.36</v>
      </c>
      <c r="X1282">
        <v>1</v>
      </c>
      <c r="Y1282">
        <v>25.5</v>
      </c>
      <c r="Z1282">
        <v>13.25</v>
      </c>
      <c r="AA1282">
        <v>11.5</v>
      </c>
      <c r="AB1282">
        <v>2.2490000000000001</v>
      </c>
      <c r="AC1282">
        <v>10.1</v>
      </c>
      <c r="AE1282">
        <v>4</v>
      </c>
      <c r="AF1282" t="s">
        <v>4109</v>
      </c>
      <c r="AG1282">
        <v>60</v>
      </c>
      <c r="AK1282" t="s">
        <v>98</v>
      </c>
      <c r="AM1282" t="s">
        <v>98</v>
      </c>
      <c r="AN1282" t="s">
        <v>99</v>
      </c>
      <c r="AO1282" t="s">
        <v>98</v>
      </c>
      <c r="AP1282" t="s">
        <v>100</v>
      </c>
      <c r="AQ1282" t="s">
        <v>101</v>
      </c>
      <c r="AV1282" t="s">
        <v>98</v>
      </c>
      <c r="AX1282" t="s">
        <v>3190</v>
      </c>
      <c r="AZ1282" t="s">
        <v>392</v>
      </c>
      <c r="BB1282" t="s">
        <v>1064</v>
      </c>
      <c r="BC1282" t="s">
        <v>7528</v>
      </c>
      <c r="BD1282" t="s">
        <v>7528</v>
      </c>
      <c r="BF1282" t="s">
        <v>4117</v>
      </c>
      <c r="BG1282" t="s">
        <v>98</v>
      </c>
      <c r="BH1282" t="s">
        <v>98</v>
      </c>
      <c r="BI1282" t="s">
        <v>98</v>
      </c>
      <c r="BJ1282" t="s">
        <v>99</v>
      </c>
      <c r="BK1282" t="s">
        <v>453</v>
      </c>
      <c r="BL1282" t="s">
        <v>7528</v>
      </c>
      <c r="CA1282">
        <v>72726</v>
      </c>
      <c r="CB1282" t="s">
        <v>3190</v>
      </c>
      <c r="CL1282" t="s">
        <v>99</v>
      </c>
      <c r="CM1282" t="s">
        <v>98</v>
      </c>
      <c r="CN1282" t="s">
        <v>4111</v>
      </c>
      <c r="CO1282" s="1">
        <v>43542</v>
      </c>
      <c r="CP1282" s="1">
        <v>43633</v>
      </c>
    </row>
    <row r="1283" spans="1:94" x14ac:dyDescent="0.25">
      <c r="A1283" t="s">
        <v>4118</v>
      </c>
      <c r="B1283" t="str">
        <f xml:space="preserve"> "" &amp; 747396110905</f>
        <v>747396110905</v>
      </c>
      <c r="C1283" t="s">
        <v>4119</v>
      </c>
      <c r="D1283" t="s">
        <v>4120</v>
      </c>
      <c r="E1283" t="s">
        <v>4121</v>
      </c>
      <c r="F1283" t="s">
        <v>2823</v>
      </c>
      <c r="G1283">
        <v>1</v>
      </c>
      <c r="H1283">
        <v>1</v>
      </c>
      <c r="I1283" t="s">
        <v>97</v>
      </c>
      <c r="J1283" s="10">
        <v>75</v>
      </c>
      <c r="K1283" s="10">
        <v>225</v>
      </c>
      <c r="L1283" s="10">
        <v>0</v>
      </c>
      <c r="N1283" s="10">
        <v>0</v>
      </c>
      <c r="O1283" t="s">
        <v>99</v>
      </c>
      <c r="P1283" s="10">
        <v>159.94999999999999</v>
      </c>
      <c r="S1283">
        <v>12.63</v>
      </c>
      <c r="U1283">
        <v>6</v>
      </c>
      <c r="V1283">
        <v>7.25</v>
      </c>
      <c r="W1283">
        <v>2.82</v>
      </c>
      <c r="X1283">
        <v>1</v>
      </c>
      <c r="Y1283">
        <v>15.5</v>
      </c>
      <c r="Z1283">
        <v>15</v>
      </c>
      <c r="AA1283">
        <v>8.75</v>
      </c>
      <c r="AB1283">
        <v>1.177</v>
      </c>
      <c r="AC1283">
        <v>4.1900000000000004</v>
      </c>
      <c r="AE1283">
        <v>1</v>
      </c>
      <c r="AF1283" t="s">
        <v>7528</v>
      </c>
      <c r="AG1283">
        <v>100</v>
      </c>
      <c r="AK1283" t="s">
        <v>98</v>
      </c>
      <c r="AM1283" t="s">
        <v>98</v>
      </c>
      <c r="AN1283" t="s">
        <v>99</v>
      </c>
      <c r="AO1283" t="s">
        <v>98</v>
      </c>
      <c r="AP1283" t="s">
        <v>100</v>
      </c>
      <c r="AQ1283" t="s">
        <v>101</v>
      </c>
      <c r="AV1283" t="s">
        <v>98</v>
      </c>
      <c r="AX1283" t="s">
        <v>3943</v>
      </c>
      <c r="AZ1283" t="s">
        <v>392</v>
      </c>
      <c r="BB1283" t="s">
        <v>813</v>
      </c>
      <c r="BC1283" t="s">
        <v>7528</v>
      </c>
      <c r="BD1283" t="s">
        <v>7528</v>
      </c>
      <c r="BF1283" t="s">
        <v>4122</v>
      </c>
      <c r="BG1283" t="s">
        <v>98</v>
      </c>
      <c r="BH1283" t="s">
        <v>98</v>
      </c>
      <c r="BI1283" t="s">
        <v>98</v>
      </c>
      <c r="BJ1283" t="s">
        <v>99</v>
      </c>
      <c r="BK1283" t="s">
        <v>453</v>
      </c>
      <c r="BL1283" t="s">
        <v>7528</v>
      </c>
      <c r="BM1283">
        <v>4.75</v>
      </c>
      <c r="BN1283">
        <v>6.75</v>
      </c>
      <c r="CA1283">
        <v>72731</v>
      </c>
      <c r="CB1283" t="s">
        <v>3943</v>
      </c>
      <c r="CL1283" t="s">
        <v>99</v>
      </c>
      <c r="CM1283" t="s">
        <v>98</v>
      </c>
      <c r="CN1283" t="s">
        <v>4123</v>
      </c>
      <c r="CO1283" s="1">
        <v>43539</v>
      </c>
      <c r="CP1283" s="1">
        <v>43633</v>
      </c>
    </row>
    <row r="1284" spans="1:94" x14ac:dyDescent="0.25">
      <c r="A1284" t="s">
        <v>4124</v>
      </c>
      <c r="B1284" t="str">
        <f xml:space="preserve"> "" &amp; 747396110912</f>
        <v>747396110912</v>
      </c>
      <c r="C1284" t="s">
        <v>4119</v>
      </c>
      <c r="D1284" t="s">
        <v>4120</v>
      </c>
      <c r="E1284" t="s">
        <v>4121</v>
      </c>
      <c r="F1284" t="s">
        <v>2823</v>
      </c>
      <c r="G1284">
        <v>1</v>
      </c>
      <c r="H1284">
        <v>1</v>
      </c>
      <c r="I1284" t="s">
        <v>97</v>
      </c>
      <c r="J1284" s="10">
        <v>85</v>
      </c>
      <c r="K1284" s="10">
        <v>255</v>
      </c>
      <c r="L1284" s="10">
        <v>0</v>
      </c>
      <c r="N1284" s="10">
        <v>0</v>
      </c>
      <c r="O1284" t="s">
        <v>99</v>
      </c>
      <c r="P1284" s="10">
        <v>179.95</v>
      </c>
      <c r="S1284">
        <v>15.88</v>
      </c>
      <c r="U1284">
        <v>6.38</v>
      </c>
      <c r="V1284">
        <v>7.88</v>
      </c>
      <c r="W1284">
        <v>3.35</v>
      </c>
      <c r="X1284">
        <v>1</v>
      </c>
      <c r="Y1284">
        <v>18.5</v>
      </c>
      <c r="Z1284">
        <v>15</v>
      </c>
      <c r="AA1284">
        <v>9</v>
      </c>
      <c r="AB1284">
        <v>1.4450000000000001</v>
      </c>
      <c r="AC1284">
        <v>4.96</v>
      </c>
      <c r="AE1284">
        <v>1</v>
      </c>
      <c r="AF1284" t="s">
        <v>225</v>
      </c>
      <c r="AG1284">
        <v>100</v>
      </c>
      <c r="AK1284" t="s">
        <v>98</v>
      </c>
      <c r="AM1284" t="s">
        <v>98</v>
      </c>
      <c r="AN1284" t="s">
        <v>99</v>
      </c>
      <c r="AO1284" t="s">
        <v>98</v>
      </c>
      <c r="AP1284" t="s">
        <v>100</v>
      </c>
      <c r="AQ1284" t="s">
        <v>101</v>
      </c>
      <c r="AV1284" t="s">
        <v>98</v>
      </c>
      <c r="AX1284" t="s">
        <v>3943</v>
      </c>
      <c r="AZ1284" t="s">
        <v>392</v>
      </c>
      <c r="BB1284" t="s">
        <v>813</v>
      </c>
      <c r="BC1284" t="s">
        <v>7528</v>
      </c>
      <c r="BD1284" t="s">
        <v>7528</v>
      </c>
      <c r="BF1284" t="s">
        <v>4125</v>
      </c>
      <c r="BG1284" t="s">
        <v>98</v>
      </c>
      <c r="BH1284" t="s">
        <v>98</v>
      </c>
      <c r="BI1284" t="s">
        <v>98</v>
      </c>
      <c r="BJ1284" t="s">
        <v>99</v>
      </c>
      <c r="BK1284" t="s">
        <v>453</v>
      </c>
      <c r="BL1284" t="s">
        <v>7528</v>
      </c>
      <c r="BM1284">
        <v>5</v>
      </c>
      <c r="BN1284">
        <v>9</v>
      </c>
      <c r="CA1284">
        <v>72732</v>
      </c>
      <c r="CB1284" t="s">
        <v>3943</v>
      </c>
      <c r="CL1284" t="s">
        <v>99</v>
      </c>
      <c r="CM1284" t="s">
        <v>98</v>
      </c>
      <c r="CN1284" t="s">
        <v>4123</v>
      </c>
      <c r="CO1284" s="1">
        <v>43539</v>
      </c>
      <c r="CP1284" s="1">
        <v>43633</v>
      </c>
    </row>
    <row r="1285" spans="1:94" x14ac:dyDescent="0.25">
      <c r="A1285" t="s">
        <v>4126</v>
      </c>
      <c r="B1285" t="str">
        <f xml:space="preserve"> "" &amp; 747396110929</f>
        <v>747396110929</v>
      </c>
      <c r="C1285" t="s">
        <v>4119</v>
      </c>
      <c r="D1285" t="s">
        <v>4120</v>
      </c>
      <c r="E1285" t="s">
        <v>4121</v>
      </c>
      <c r="F1285" t="s">
        <v>2823</v>
      </c>
      <c r="G1285">
        <v>1</v>
      </c>
      <c r="H1285">
        <v>1</v>
      </c>
      <c r="I1285" t="s">
        <v>97</v>
      </c>
      <c r="J1285" s="10">
        <v>105</v>
      </c>
      <c r="K1285" s="10">
        <v>315</v>
      </c>
      <c r="L1285" s="10">
        <v>0</v>
      </c>
      <c r="N1285" s="10">
        <v>0</v>
      </c>
      <c r="O1285" t="s">
        <v>99</v>
      </c>
      <c r="P1285" s="10">
        <v>219.95</v>
      </c>
      <c r="S1285">
        <v>18.88</v>
      </c>
      <c r="U1285">
        <v>6.38</v>
      </c>
      <c r="V1285">
        <v>7.88</v>
      </c>
      <c r="W1285">
        <v>3.86</v>
      </c>
      <c r="X1285">
        <v>1</v>
      </c>
      <c r="Y1285">
        <v>21.75</v>
      </c>
      <c r="Z1285">
        <v>15</v>
      </c>
      <c r="AA1285">
        <v>9</v>
      </c>
      <c r="AB1285">
        <v>1.6990000000000001</v>
      </c>
      <c r="AC1285">
        <v>5.73</v>
      </c>
      <c r="AE1285">
        <v>1</v>
      </c>
      <c r="AF1285" t="s">
        <v>4127</v>
      </c>
      <c r="AG1285">
        <v>10</v>
      </c>
      <c r="AK1285" t="s">
        <v>98</v>
      </c>
      <c r="AM1285" t="s">
        <v>98</v>
      </c>
      <c r="AN1285" t="s">
        <v>99</v>
      </c>
      <c r="AO1285" t="s">
        <v>98</v>
      </c>
      <c r="AP1285" t="s">
        <v>100</v>
      </c>
      <c r="AQ1285" t="s">
        <v>101</v>
      </c>
      <c r="AV1285" t="s">
        <v>98</v>
      </c>
      <c r="AX1285" t="s">
        <v>3943</v>
      </c>
      <c r="AZ1285" t="s">
        <v>392</v>
      </c>
      <c r="BB1285" t="s">
        <v>813</v>
      </c>
      <c r="BC1285" t="s">
        <v>7528</v>
      </c>
      <c r="BD1285" t="s">
        <v>7528</v>
      </c>
      <c r="BF1285" t="s">
        <v>4128</v>
      </c>
      <c r="BG1285" t="s">
        <v>98</v>
      </c>
      <c r="BH1285" t="s">
        <v>98</v>
      </c>
      <c r="BI1285" t="s">
        <v>98</v>
      </c>
      <c r="BJ1285" t="s">
        <v>99</v>
      </c>
      <c r="BK1285" t="s">
        <v>453</v>
      </c>
      <c r="BL1285" t="s">
        <v>7528</v>
      </c>
      <c r="BM1285">
        <v>5</v>
      </c>
      <c r="BN1285">
        <v>9</v>
      </c>
      <c r="CA1285">
        <v>72733</v>
      </c>
      <c r="CB1285" t="s">
        <v>3943</v>
      </c>
      <c r="CL1285" t="s">
        <v>99</v>
      </c>
      <c r="CM1285" t="s">
        <v>98</v>
      </c>
      <c r="CN1285" t="s">
        <v>4123</v>
      </c>
      <c r="CO1285" s="1">
        <v>43539</v>
      </c>
      <c r="CP1285" s="1">
        <v>43633</v>
      </c>
    </row>
    <row r="1286" spans="1:94" x14ac:dyDescent="0.25">
      <c r="A1286" t="s">
        <v>4129</v>
      </c>
      <c r="B1286" t="str">
        <f xml:space="preserve"> "" &amp; 747396110936</f>
        <v>747396110936</v>
      </c>
      <c r="C1286" t="s">
        <v>4130</v>
      </c>
      <c r="D1286" t="s">
        <v>4131</v>
      </c>
      <c r="E1286" t="s">
        <v>4121</v>
      </c>
      <c r="F1286" t="s">
        <v>2823</v>
      </c>
      <c r="G1286">
        <v>1</v>
      </c>
      <c r="H1286">
        <v>1</v>
      </c>
      <c r="I1286" t="s">
        <v>97</v>
      </c>
      <c r="J1286" s="10">
        <v>95</v>
      </c>
      <c r="K1286" s="10">
        <v>285</v>
      </c>
      <c r="L1286" s="10">
        <v>0</v>
      </c>
      <c r="N1286" s="10">
        <v>0</v>
      </c>
      <c r="O1286" t="s">
        <v>99</v>
      </c>
      <c r="P1286" s="10">
        <v>199.95</v>
      </c>
      <c r="S1286">
        <v>17.13</v>
      </c>
      <c r="U1286">
        <v>6.38</v>
      </c>
      <c r="W1286">
        <v>3.22</v>
      </c>
      <c r="X1286">
        <v>1</v>
      </c>
      <c r="Y1286">
        <v>20</v>
      </c>
      <c r="Z1286">
        <v>13</v>
      </c>
      <c r="AA1286">
        <v>9</v>
      </c>
      <c r="AB1286">
        <v>1.3540000000000001</v>
      </c>
      <c r="AC1286">
        <v>4.76</v>
      </c>
      <c r="AE1286">
        <v>1</v>
      </c>
      <c r="AF1286" t="s">
        <v>4127</v>
      </c>
      <c r="AG1286">
        <v>10</v>
      </c>
      <c r="AK1286" t="s">
        <v>98</v>
      </c>
      <c r="AM1286" t="s">
        <v>98</v>
      </c>
      <c r="AN1286" t="s">
        <v>99</v>
      </c>
      <c r="AO1286" t="s">
        <v>98</v>
      </c>
      <c r="AP1286" t="s">
        <v>100</v>
      </c>
      <c r="AQ1286" t="s">
        <v>101</v>
      </c>
      <c r="AV1286" t="s">
        <v>98</v>
      </c>
      <c r="AX1286" t="s">
        <v>3943</v>
      </c>
      <c r="AZ1286" t="s">
        <v>392</v>
      </c>
      <c r="BB1286" t="s">
        <v>813</v>
      </c>
      <c r="BC1286" t="s">
        <v>7528</v>
      </c>
      <c r="BD1286" t="s">
        <v>7528</v>
      </c>
      <c r="BF1286" t="s">
        <v>4132</v>
      </c>
      <c r="BG1286" t="s">
        <v>98</v>
      </c>
      <c r="BH1286" t="s">
        <v>98</v>
      </c>
      <c r="BI1286" t="s">
        <v>98</v>
      </c>
      <c r="BJ1286" t="s">
        <v>99</v>
      </c>
      <c r="BK1286" t="s">
        <v>453</v>
      </c>
      <c r="BL1286" t="s">
        <v>7528</v>
      </c>
      <c r="CA1286">
        <v>72736</v>
      </c>
      <c r="CB1286" t="s">
        <v>3943</v>
      </c>
      <c r="CL1286" t="s">
        <v>99</v>
      </c>
      <c r="CM1286" t="s">
        <v>98</v>
      </c>
      <c r="CN1286" t="s">
        <v>4123</v>
      </c>
      <c r="CO1286" s="1">
        <v>43539</v>
      </c>
      <c r="CP1286" s="1">
        <v>43633</v>
      </c>
    </row>
    <row r="1287" spans="1:94" x14ac:dyDescent="0.25">
      <c r="A1287" t="s">
        <v>4133</v>
      </c>
      <c r="B1287" t="str">
        <f xml:space="preserve"> "" &amp; 747396110806</f>
        <v>747396110806</v>
      </c>
      <c r="C1287" t="s">
        <v>4134</v>
      </c>
      <c r="D1287" t="s">
        <v>4135</v>
      </c>
      <c r="E1287" t="s">
        <v>4136</v>
      </c>
      <c r="F1287" t="s">
        <v>3188</v>
      </c>
      <c r="G1287">
        <v>1</v>
      </c>
      <c r="H1287">
        <v>1</v>
      </c>
      <c r="I1287" t="s">
        <v>97</v>
      </c>
      <c r="J1287" s="10">
        <v>110</v>
      </c>
      <c r="K1287" s="10">
        <v>330</v>
      </c>
      <c r="L1287" s="10">
        <v>0</v>
      </c>
      <c r="N1287" s="10">
        <v>0</v>
      </c>
      <c r="O1287" t="s">
        <v>99</v>
      </c>
      <c r="P1287" s="10">
        <v>234.95</v>
      </c>
      <c r="S1287">
        <v>14</v>
      </c>
      <c r="U1287">
        <v>6.25</v>
      </c>
      <c r="V1287">
        <v>7.25</v>
      </c>
      <c r="W1287">
        <v>4.72</v>
      </c>
      <c r="X1287">
        <v>1</v>
      </c>
      <c r="Y1287">
        <v>9.25</v>
      </c>
      <c r="Z1287">
        <v>17.75</v>
      </c>
      <c r="AA1287">
        <v>15.75</v>
      </c>
      <c r="AB1287">
        <v>1.4970000000000001</v>
      </c>
      <c r="AC1287">
        <v>6.75</v>
      </c>
      <c r="AE1287">
        <v>1</v>
      </c>
      <c r="AF1287" t="s">
        <v>559</v>
      </c>
      <c r="AG1287">
        <v>7</v>
      </c>
      <c r="AK1287" t="s">
        <v>99</v>
      </c>
      <c r="AM1287" t="s">
        <v>98</v>
      </c>
      <c r="AN1287" t="s">
        <v>99</v>
      </c>
      <c r="AO1287" t="s">
        <v>98</v>
      </c>
      <c r="AP1287" t="s">
        <v>100</v>
      </c>
      <c r="AQ1287" t="s">
        <v>101</v>
      </c>
      <c r="AV1287" t="s">
        <v>98</v>
      </c>
      <c r="AX1287" t="s">
        <v>3190</v>
      </c>
      <c r="AZ1287" t="s">
        <v>392</v>
      </c>
      <c r="BB1287" t="s">
        <v>7528</v>
      </c>
      <c r="BC1287" t="s">
        <v>4137</v>
      </c>
      <c r="BD1287" t="s">
        <v>7528</v>
      </c>
      <c r="BF1287" t="s">
        <v>4138</v>
      </c>
      <c r="BG1287" t="s">
        <v>98</v>
      </c>
      <c r="BH1287" t="s">
        <v>98</v>
      </c>
      <c r="BI1287" t="s">
        <v>98</v>
      </c>
      <c r="BJ1287" t="s">
        <v>99</v>
      </c>
      <c r="BK1287" t="s">
        <v>453</v>
      </c>
      <c r="BL1287" t="s">
        <v>7528</v>
      </c>
      <c r="BM1287">
        <v>4.5</v>
      </c>
      <c r="BN1287">
        <v>11</v>
      </c>
      <c r="CA1287" t="s">
        <v>4139</v>
      </c>
      <c r="CB1287" t="s">
        <v>3190</v>
      </c>
      <c r="CG1287">
        <v>3000</v>
      </c>
      <c r="CH1287">
        <v>92</v>
      </c>
      <c r="CI1287">
        <v>350</v>
      </c>
      <c r="CJ1287">
        <v>320</v>
      </c>
      <c r="CK1287">
        <v>30000</v>
      </c>
      <c r="CL1287" t="s">
        <v>99</v>
      </c>
      <c r="CM1287" t="s">
        <v>98</v>
      </c>
      <c r="CN1287" t="s">
        <v>3227</v>
      </c>
      <c r="CO1287" s="1">
        <v>43539</v>
      </c>
      <c r="CP1287" s="1">
        <v>43633</v>
      </c>
    </row>
    <row r="1288" spans="1:94" x14ac:dyDescent="0.25">
      <c r="A1288" t="s">
        <v>4140</v>
      </c>
      <c r="B1288" t="str">
        <f xml:space="preserve"> "" &amp; 747396110813</f>
        <v>747396110813</v>
      </c>
      <c r="C1288" t="s">
        <v>4134</v>
      </c>
      <c r="D1288" t="s">
        <v>4135</v>
      </c>
      <c r="E1288" t="s">
        <v>4136</v>
      </c>
      <c r="F1288" t="s">
        <v>3188</v>
      </c>
      <c r="G1288">
        <v>1</v>
      </c>
      <c r="H1288">
        <v>1</v>
      </c>
      <c r="I1288" t="s">
        <v>97</v>
      </c>
      <c r="J1288" s="10">
        <v>135</v>
      </c>
      <c r="K1288" s="10">
        <v>405</v>
      </c>
      <c r="L1288" s="10">
        <v>0</v>
      </c>
      <c r="N1288" s="10">
        <v>0</v>
      </c>
      <c r="O1288" t="s">
        <v>99</v>
      </c>
      <c r="P1288" s="10">
        <v>284.95</v>
      </c>
      <c r="S1288">
        <v>21</v>
      </c>
      <c r="U1288">
        <v>6.25</v>
      </c>
      <c r="V1288">
        <v>7.25</v>
      </c>
      <c r="W1288">
        <v>5.78</v>
      </c>
      <c r="X1288">
        <v>1</v>
      </c>
      <c r="Y1288">
        <v>9.25</v>
      </c>
      <c r="Z1288">
        <v>24.88</v>
      </c>
      <c r="AA1288">
        <v>15.75</v>
      </c>
      <c r="AB1288">
        <v>2.0979999999999999</v>
      </c>
      <c r="AC1288">
        <v>8.31</v>
      </c>
      <c r="AE1288">
        <v>1</v>
      </c>
      <c r="AF1288" t="s">
        <v>559</v>
      </c>
      <c r="AG1288">
        <v>9</v>
      </c>
      <c r="AK1288" t="s">
        <v>99</v>
      </c>
      <c r="AM1288" t="s">
        <v>98</v>
      </c>
      <c r="AN1288" t="s">
        <v>99</v>
      </c>
      <c r="AO1288" t="s">
        <v>98</v>
      </c>
      <c r="AP1288" t="s">
        <v>100</v>
      </c>
      <c r="AQ1288" t="s">
        <v>101</v>
      </c>
      <c r="AV1288" t="s">
        <v>98</v>
      </c>
      <c r="AX1288" t="s">
        <v>3190</v>
      </c>
      <c r="AZ1288" t="s">
        <v>392</v>
      </c>
      <c r="BB1288" t="s">
        <v>7528</v>
      </c>
      <c r="BC1288" t="s">
        <v>4137</v>
      </c>
      <c r="BD1288" t="s">
        <v>7528</v>
      </c>
      <c r="BF1288" t="s">
        <v>4141</v>
      </c>
      <c r="BG1288" t="s">
        <v>98</v>
      </c>
      <c r="BH1288" t="s">
        <v>98</v>
      </c>
      <c r="BI1288" t="s">
        <v>98</v>
      </c>
      <c r="BJ1288" t="s">
        <v>99</v>
      </c>
      <c r="BK1288" t="s">
        <v>453</v>
      </c>
      <c r="BL1288" t="s">
        <v>7528</v>
      </c>
      <c r="BM1288">
        <v>17</v>
      </c>
      <c r="BN1288">
        <v>4.5</v>
      </c>
      <c r="CA1288" t="s">
        <v>4142</v>
      </c>
      <c r="CB1288" t="s">
        <v>3190</v>
      </c>
      <c r="CG1288">
        <v>3000</v>
      </c>
      <c r="CH1288">
        <v>91</v>
      </c>
      <c r="CI1288">
        <v>437</v>
      </c>
      <c r="CJ1288">
        <v>339</v>
      </c>
      <c r="CK1288">
        <v>30000</v>
      </c>
      <c r="CL1288" t="s">
        <v>99</v>
      </c>
      <c r="CM1288" t="s">
        <v>98</v>
      </c>
      <c r="CN1288" t="s">
        <v>3227</v>
      </c>
      <c r="CO1288" s="1">
        <v>43539</v>
      </c>
      <c r="CP1288" s="1">
        <v>43633</v>
      </c>
    </row>
    <row r="1289" spans="1:94" x14ac:dyDescent="0.25">
      <c r="A1289" t="s">
        <v>4143</v>
      </c>
      <c r="B1289" t="str">
        <f xml:space="preserve"> "" &amp; 747396110820</f>
        <v>747396110820</v>
      </c>
      <c r="C1289" t="s">
        <v>4144</v>
      </c>
      <c r="D1289" t="s">
        <v>4135</v>
      </c>
      <c r="E1289" t="s">
        <v>4136</v>
      </c>
      <c r="F1289" t="s">
        <v>3188</v>
      </c>
      <c r="G1289">
        <v>1</v>
      </c>
      <c r="H1289">
        <v>1</v>
      </c>
      <c r="I1289" t="s">
        <v>97</v>
      </c>
      <c r="J1289" s="10">
        <v>185</v>
      </c>
      <c r="K1289" s="10">
        <v>555</v>
      </c>
      <c r="L1289" s="10">
        <v>0</v>
      </c>
      <c r="N1289" s="10">
        <v>0</v>
      </c>
      <c r="O1289" t="s">
        <v>99</v>
      </c>
      <c r="P1289" s="10">
        <v>389.95</v>
      </c>
      <c r="S1289">
        <v>26</v>
      </c>
      <c r="U1289">
        <v>6.25</v>
      </c>
      <c r="V1289">
        <v>7.25</v>
      </c>
      <c r="W1289">
        <v>7.1</v>
      </c>
      <c r="X1289">
        <v>1</v>
      </c>
      <c r="Y1289">
        <v>9.25</v>
      </c>
      <c r="Z1289">
        <v>30.38</v>
      </c>
      <c r="AA1289">
        <v>16.13</v>
      </c>
      <c r="AB1289">
        <v>2.6230000000000002</v>
      </c>
      <c r="AC1289">
        <v>10.14</v>
      </c>
      <c r="AE1289">
        <v>1</v>
      </c>
      <c r="AF1289" t="s">
        <v>559</v>
      </c>
      <c r="AG1289">
        <v>14</v>
      </c>
      <c r="AK1289" t="s">
        <v>99</v>
      </c>
      <c r="AM1289" t="s">
        <v>98</v>
      </c>
      <c r="AN1289" t="s">
        <v>99</v>
      </c>
      <c r="AO1289" t="s">
        <v>98</v>
      </c>
      <c r="AP1289" t="s">
        <v>100</v>
      </c>
      <c r="AQ1289" t="s">
        <v>101</v>
      </c>
      <c r="AV1289" t="s">
        <v>98</v>
      </c>
      <c r="AX1289" t="s">
        <v>3190</v>
      </c>
      <c r="AZ1289" t="s">
        <v>392</v>
      </c>
      <c r="BB1289" t="s">
        <v>7528</v>
      </c>
      <c r="BC1289" t="s">
        <v>4137</v>
      </c>
      <c r="BD1289" t="s">
        <v>7528</v>
      </c>
      <c r="BF1289" t="s">
        <v>4145</v>
      </c>
      <c r="BG1289" t="s">
        <v>98</v>
      </c>
      <c r="BH1289" t="s">
        <v>98</v>
      </c>
      <c r="BI1289" t="s">
        <v>98</v>
      </c>
      <c r="BJ1289" t="s">
        <v>99</v>
      </c>
      <c r="BK1289" t="s">
        <v>453</v>
      </c>
      <c r="BL1289" t="s">
        <v>7528</v>
      </c>
      <c r="BM1289">
        <v>22</v>
      </c>
      <c r="BN1289">
        <v>4.5</v>
      </c>
      <c r="CA1289" t="s">
        <v>4146</v>
      </c>
      <c r="CB1289" t="s">
        <v>3190</v>
      </c>
      <c r="CG1289">
        <v>3000</v>
      </c>
      <c r="CH1289">
        <v>91</v>
      </c>
      <c r="CI1289">
        <v>632</v>
      </c>
      <c r="CJ1289">
        <v>490</v>
      </c>
      <c r="CK1289">
        <v>30000</v>
      </c>
      <c r="CL1289" t="s">
        <v>99</v>
      </c>
      <c r="CM1289" t="s">
        <v>98</v>
      </c>
      <c r="CN1289" t="s">
        <v>3227</v>
      </c>
      <c r="CO1289" s="1">
        <v>43539</v>
      </c>
      <c r="CP1289" s="1">
        <v>43633</v>
      </c>
    </row>
    <row r="1290" spans="1:94" x14ac:dyDescent="0.25">
      <c r="A1290" t="s">
        <v>4147</v>
      </c>
      <c r="B1290" t="str">
        <f xml:space="preserve"> "" &amp; 747396110752</f>
        <v>747396110752</v>
      </c>
      <c r="C1290" t="s">
        <v>3185</v>
      </c>
      <c r="D1290" t="s">
        <v>4148</v>
      </c>
      <c r="E1290" t="s">
        <v>4149</v>
      </c>
      <c r="F1290" t="s">
        <v>2823</v>
      </c>
      <c r="G1290">
        <v>1</v>
      </c>
      <c r="H1290">
        <v>1</v>
      </c>
      <c r="I1290" t="s">
        <v>97</v>
      </c>
      <c r="J1290" s="10">
        <v>65</v>
      </c>
      <c r="K1290" s="10">
        <v>195</v>
      </c>
      <c r="L1290" s="10">
        <v>0</v>
      </c>
      <c r="N1290" s="10">
        <v>0</v>
      </c>
      <c r="O1290" t="s">
        <v>99</v>
      </c>
      <c r="P1290" s="10">
        <v>139.94999999999999</v>
      </c>
      <c r="S1290">
        <v>14.25</v>
      </c>
      <c r="U1290">
        <v>7.25</v>
      </c>
      <c r="V1290">
        <v>8.75</v>
      </c>
      <c r="W1290">
        <v>4.59</v>
      </c>
      <c r="X1290">
        <v>1</v>
      </c>
      <c r="Y1290">
        <v>17</v>
      </c>
      <c r="Z1290">
        <v>11.63</v>
      </c>
      <c r="AA1290">
        <v>9.75</v>
      </c>
      <c r="AB1290">
        <v>1.1160000000000001</v>
      </c>
      <c r="AC1290">
        <v>5.95</v>
      </c>
      <c r="AE1290">
        <v>1</v>
      </c>
      <c r="AF1290" t="s">
        <v>598</v>
      </c>
      <c r="AG1290">
        <v>100</v>
      </c>
      <c r="AK1290" t="s">
        <v>98</v>
      </c>
      <c r="AM1290" t="s">
        <v>98</v>
      </c>
      <c r="AN1290" t="s">
        <v>99</v>
      </c>
      <c r="AO1290" t="s">
        <v>98</v>
      </c>
      <c r="AP1290" t="s">
        <v>100</v>
      </c>
      <c r="AQ1290" t="s">
        <v>101</v>
      </c>
      <c r="AV1290" t="s">
        <v>98</v>
      </c>
      <c r="AX1290" t="s">
        <v>3943</v>
      </c>
      <c r="AZ1290" t="s">
        <v>102</v>
      </c>
      <c r="BB1290" t="s">
        <v>7528</v>
      </c>
      <c r="BC1290" t="s">
        <v>2591</v>
      </c>
      <c r="BD1290" t="s">
        <v>7528</v>
      </c>
      <c r="BF1290" t="s">
        <v>4150</v>
      </c>
      <c r="BG1290" t="s">
        <v>98</v>
      </c>
      <c r="BH1290" t="s">
        <v>98</v>
      </c>
      <c r="BI1290" t="s">
        <v>98</v>
      </c>
      <c r="BJ1290" t="s">
        <v>99</v>
      </c>
      <c r="BK1290" t="s">
        <v>453</v>
      </c>
      <c r="BL1290" t="s">
        <v>7528</v>
      </c>
      <c r="BM1290">
        <v>5</v>
      </c>
      <c r="BN1290">
        <v>7</v>
      </c>
      <c r="CA1290">
        <v>72751</v>
      </c>
      <c r="CB1290" t="s">
        <v>3943</v>
      </c>
      <c r="CL1290" t="s">
        <v>98</v>
      </c>
      <c r="CM1290" t="s">
        <v>98</v>
      </c>
      <c r="CN1290" t="s">
        <v>4151</v>
      </c>
      <c r="CO1290" s="1">
        <v>43539</v>
      </c>
      <c r="CP1290" s="1">
        <v>43633</v>
      </c>
    </row>
    <row r="1291" spans="1:94" x14ac:dyDescent="0.25">
      <c r="A1291" t="s">
        <v>4152</v>
      </c>
      <c r="B1291" t="str">
        <f xml:space="preserve"> "" &amp; 747396110769</f>
        <v>747396110769</v>
      </c>
      <c r="C1291" t="s">
        <v>4153</v>
      </c>
      <c r="D1291" t="s">
        <v>4154</v>
      </c>
      <c r="E1291" t="s">
        <v>4149</v>
      </c>
      <c r="F1291" t="s">
        <v>2823</v>
      </c>
      <c r="G1291">
        <v>1</v>
      </c>
      <c r="H1291">
        <v>1</v>
      </c>
      <c r="I1291" t="s">
        <v>97</v>
      </c>
      <c r="J1291" s="10">
        <v>85</v>
      </c>
      <c r="K1291" s="10">
        <v>255</v>
      </c>
      <c r="L1291" s="10">
        <v>0</v>
      </c>
      <c r="N1291" s="10">
        <v>0</v>
      </c>
      <c r="O1291" t="s">
        <v>99</v>
      </c>
      <c r="P1291" s="10">
        <v>179.95</v>
      </c>
      <c r="S1291">
        <v>19.5</v>
      </c>
      <c r="U1291">
        <v>9.25</v>
      </c>
      <c r="V1291">
        <v>11</v>
      </c>
      <c r="W1291">
        <v>7.36</v>
      </c>
      <c r="X1291">
        <v>1</v>
      </c>
      <c r="Y1291">
        <v>22.88</v>
      </c>
      <c r="Z1291">
        <v>14</v>
      </c>
      <c r="AA1291">
        <v>12.25</v>
      </c>
      <c r="AB1291">
        <v>2.2709999999999999</v>
      </c>
      <c r="AC1291">
        <v>9.3000000000000007</v>
      </c>
      <c r="AE1291">
        <v>4</v>
      </c>
      <c r="AF1291" t="s">
        <v>772</v>
      </c>
      <c r="AG1291">
        <v>60</v>
      </c>
      <c r="AK1291" t="s">
        <v>98</v>
      </c>
      <c r="AM1291" t="s">
        <v>98</v>
      </c>
      <c r="AN1291" t="s">
        <v>99</v>
      </c>
      <c r="AO1291" t="s">
        <v>98</v>
      </c>
      <c r="AP1291" t="s">
        <v>100</v>
      </c>
      <c r="AQ1291" t="s">
        <v>101</v>
      </c>
      <c r="AV1291" t="s">
        <v>98</v>
      </c>
      <c r="AX1291" t="s">
        <v>3943</v>
      </c>
      <c r="AZ1291" t="s">
        <v>102</v>
      </c>
      <c r="BB1291" t="s">
        <v>7528</v>
      </c>
      <c r="BC1291" t="s">
        <v>2591</v>
      </c>
      <c r="BD1291" t="s">
        <v>7528</v>
      </c>
      <c r="BF1291" t="s">
        <v>4155</v>
      </c>
      <c r="BG1291" t="s">
        <v>98</v>
      </c>
      <c r="BH1291" t="s">
        <v>98</v>
      </c>
      <c r="BI1291" t="s">
        <v>98</v>
      </c>
      <c r="BJ1291" t="s">
        <v>99</v>
      </c>
      <c r="BK1291" t="s">
        <v>453</v>
      </c>
      <c r="BL1291" t="s">
        <v>7528</v>
      </c>
      <c r="BM1291">
        <v>5.75</v>
      </c>
      <c r="BN1291">
        <v>8.25</v>
      </c>
      <c r="CA1291">
        <v>72752</v>
      </c>
      <c r="CB1291" t="s">
        <v>3943</v>
      </c>
      <c r="CL1291" t="s">
        <v>99</v>
      </c>
      <c r="CM1291" t="s">
        <v>98</v>
      </c>
      <c r="CN1291" t="s">
        <v>3236</v>
      </c>
      <c r="CO1291" s="1">
        <v>43539</v>
      </c>
      <c r="CP1291" s="1">
        <v>43633</v>
      </c>
    </row>
    <row r="1292" spans="1:94" x14ac:dyDescent="0.25">
      <c r="A1292" t="s">
        <v>4156</v>
      </c>
      <c r="B1292" t="str">
        <f xml:space="preserve"> "" &amp; 747396110776</f>
        <v>747396110776</v>
      </c>
      <c r="C1292" t="s">
        <v>3569</v>
      </c>
      <c r="D1292" t="s">
        <v>4154</v>
      </c>
      <c r="E1292" t="s">
        <v>4149</v>
      </c>
      <c r="F1292" t="s">
        <v>2823</v>
      </c>
      <c r="G1292">
        <v>1</v>
      </c>
      <c r="H1292">
        <v>1</v>
      </c>
      <c r="I1292" t="s">
        <v>97</v>
      </c>
      <c r="J1292" s="10">
        <v>125</v>
      </c>
      <c r="K1292" s="10">
        <v>375</v>
      </c>
      <c r="L1292" s="10">
        <v>0</v>
      </c>
      <c r="N1292" s="10">
        <v>0</v>
      </c>
      <c r="O1292" t="s">
        <v>99</v>
      </c>
      <c r="P1292" s="10">
        <v>259.95</v>
      </c>
      <c r="S1292">
        <v>23</v>
      </c>
      <c r="U1292">
        <v>11.25</v>
      </c>
      <c r="V1292">
        <v>13</v>
      </c>
      <c r="W1292">
        <v>11.95</v>
      </c>
      <c r="X1292">
        <v>1</v>
      </c>
      <c r="Y1292">
        <v>26.63</v>
      </c>
      <c r="Z1292">
        <v>15.75</v>
      </c>
      <c r="AA1292">
        <v>14</v>
      </c>
      <c r="AB1292">
        <v>3.3980000000000001</v>
      </c>
      <c r="AC1292">
        <v>14.9</v>
      </c>
      <c r="AE1292">
        <v>4</v>
      </c>
      <c r="AF1292" t="s">
        <v>772</v>
      </c>
      <c r="AG1292">
        <v>60</v>
      </c>
      <c r="AK1292" t="s">
        <v>98</v>
      </c>
      <c r="AM1292" t="s">
        <v>98</v>
      </c>
      <c r="AN1292" t="s">
        <v>99</v>
      </c>
      <c r="AO1292" t="s">
        <v>98</v>
      </c>
      <c r="AP1292" t="s">
        <v>100</v>
      </c>
      <c r="AQ1292" t="s">
        <v>101</v>
      </c>
      <c r="AV1292" t="s">
        <v>98</v>
      </c>
      <c r="AX1292" t="s">
        <v>3943</v>
      </c>
      <c r="AZ1292" t="s">
        <v>102</v>
      </c>
      <c r="BB1292" t="s">
        <v>7528</v>
      </c>
      <c r="BC1292" t="s">
        <v>2591</v>
      </c>
      <c r="BD1292" t="s">
        <v>7528</v>
      </c>
      <c r="BF1292" t="s">
        <v>4157</v>
      </c>
      <c r="BG1292" t="s">
        <v>98</v>
      </c>
      <c r="BH1292" t="s">
        <v>98</v>
      </c>
      <c r="BI1292" t="s">
        <v>98</v>
      </c>
      <c r="BJ1292" t="s">
        <v>99</v>
      </c>
      <c r="BK1292" t="s">
        <v>453</v>
      </c>
      <c r="BL1292" t="s">
        <v>7528</v>
      </c>
      <c r="BM1292">
        <v>5.75</v>
      </c>
      <c r="BN1292">
        <v>10</v>
      </c>
      <c r="CA1292">
        <v>72753</v>
      </c>
      <c r="CB1292" t="s">
        <v>3943</v>
      </c>
      <c r="CL1292" t="s">
        <v>99</v>
      </c>
      <c r="CM1292" t="s">
        <v>98</v>
      </c>
      <c r="CN1292" t="s">
        <v>4151</v>
      </c>
      <c r="CO1292" s="1">
        <v>43539</v>
      </c>
      <c r="CP1292" s="1">
        <v>43633</v>
      </c>
    </row>
    <row r="1293" spans="1:94" x14ac:dyDescent="0.25">
      <c r="A1293" t="s">
        <v>4158</v>
      </c>
      <c r="B1293" t="str">
        <f xml:space="preserve"> "" &amp; 747396110790</f>
        <v>747396110790</v>
      </c>
      <c r="C1293" t="s">
        <v>3812</v>
      </c>
      <c r="D1293" t="s">
        <v>4159</v>
      </c>
      <c r="E1293" t="s">
        <v>4149</v>
      </c>
      <c r="F1293" t="s">
        <v>2823</v>
      </c>
      <c r="G1293">
        <v>1</v>
      </c>
      <c r="H1293">
        <v>1</v>
      </c>
      <c r="I1293" t="s">
        <v>97</v>
      </c>
      <c r="J1293" s="10">
        <v>100</v>
      </c>
      <c r="K1293" s="10">
        <v>300</v>
      </c>
      <c r="L1293" s="10">
        <v>0</v>
      </c>
      <c r="N1293" s="10">
        <v>0</v>
      </c>
      <c r="O1293" t="s">
        <v>99</v>
      </c>
      <c r="P1293" s="10">
        <v>209.95</v>
      </c>
      <c r="S1293">
        <v>16.25</v>
      </c>
      <c r="U1293">
        <v>9.25</v>
      </c>
      <c r="V1293">
        <v>9.25</v>
      </c>
      <c r="W1293">
        <v>7.41</v>
      </c>
      <c r="X1293">
        <v>1</v>
      </c>
      <c r="Y1293">
        <v>19.75</v>
      </c>
      <c r="Z1293">
        <v>12.25</v>
      </c>
      <c r="AA1293">
        <v>12.25</v>
      </c>
      <c r="AB1293">
        <v>1.7150000000000001</v>
      </c>
      <c r="AC1293">
        <v>9.48</v>
      </c>
      <c r="AE1293">
        <v>4</v>
      </c>
      <c r="AF1293" t="s">
        <v>772</v>
      </c>
      <c r="AG1293">
        <v>60</v>
      </c>
      <c r="AK1293" t="s">
        <v>98</v>
      </c>
      <c r="AM1293" t="s">
        <v>98</v>
      </c>
      <c r="AN1293" t="s">
        <v>99</v>
      </c>
      <c r="AO1293" t="s">
        <v>98</v>
      </c>
      <c r="AP1293" t="s">
        <v>100</v>
      </c>
      <c r="AQ1293" t="s">
        <v>101</v>
      </c>
      <c r="AV1293" t="s">
        <v>98</v>
      </c>
      <c r="AX1293" t="s">
        <v>3943</v>
      </c>
      <c r="AZ1293" t="s">
        <v>102</v>
      </c>
      <c r="BB1293" t="s">
        <v>7528</v>
      </c>
      <c r="BC1293" t="s">
        <v>2591</v>
      </c>
      <c r="BD1293" t="s">
        <v>7528</v>
      </c>
      <c r="BF1293" t="s">
        <v>4160</v>
      </c>
      <c r="BG1293" t="s">
        <v>98</v>
      </c>
      <c r="BH1293" t="s">
        <v>98</v>
      </c>
      <c r="BI1293" t="s">
        <v>98</v>
      </c>
      <c r="BK1293" t="s">
        <v>127</v>
      </c>
      <c r="BL1293" t="s">
        <v>7528</v>
      </c>
      <c r="BM1293">
        <v>5</v>
      </c>
      <c r="BN1293">
        <v>1.5</v>
      </c>
      <c r="CA1293">
        <v>72754</v>
      </c>
      <c r="CB1293" t="s">
        <v>3943</v>
      </c>
      <c r="CL1293" t="s">
        <v>99</v>
      </c>
      <c r="CM1293" t="s">
        <v>99</v>
      </c>
      <c r="CN1293" t="s">
        <v>4151</v>
      </c>
      <c r="CO1293" s="1">
        <v>43539</v>
      </c>
      <c r="CP1293" s="1">
        <v>43633</v>
      </c>
    </row>
    <row r="1294" spans="1:94" x14ac:dyDescent="0.25">
      <c r="A1294" t="s">
        <v>4161</v>
      </c>
      <c r="B1294" t="str">
        <f xml:space="preserve"> "" &amp; 747396110783</f>
        <v>747396110783</v>
      </c>
      <c r="C1294" t="s">
        <v>4072</v>
      </c>
      <c r="D1294" t="s">
        <v>4162</v>
      </c>
      <c r="E1294" t="s">
        <v>4149</v>
      </c>
      <c r="F1294" t="s">
        <v>2823</v>
      </c>
      <c r="G1294">
        <v>1</v>
      </c>
      <c r="H1294">
        <v>1</v>
      </c>
      <c r="I1294" t="s">
        <v>97</v>
      </c>
      <c r="J1294" s="10">
        <v>100</v>
      </c>
      <c r="K1294" s="10">
        <v>300</v>
      </c>
      <c r="L1294" s="10">
        <v>0</v>
      </c>
      <c r="N1294" s="10">
        <v>0</v>
      </c>
      <c r="O1294" t="s">
        <v>99</v>
      </c>
      <c r="P1294" s="10">
        <v>209.95</v>
      </c>
      <c r="S1294">
        <v>19.75</v>
      </c>
      <c r="U1294">
        <v>9.25</v>
      </c>
      <c r="V1294">
        <v>9.25</v>
      </c>
      <c r="W1294">
        <v>5.91</v>
      </c>
      <c r="X1294">
        <v>1</v>
      </c>
      <c r="Y1294">
        <v>23.25</v>
      </c>
      <c r="Z1294">
        <v>12.25</v>
      </c>
      <c r="AA1294">
        <v>12.25</v>
      </c>
      <c r="AB1294">
        <v>2.0190000000000001</v>
      </c>
      <c r="AC1294">
        <v>7.98</v>
      </c>
      <c r="AE1294">
        <v>4</v>
      </c>
      <c r="AF1294" t="s">
        <v>772</v>
      </c>
      <c r="AG1294">
        <v>60</v>
      </c>
      <c r="AK1294" t="s">
        <v>98</v>
      </c>
      <c r="AM1294" t="s">
        <v>98</v>
      </c>
      <c r="AN1294" t="s">
        <v>99</v>
      </c>
      <c r="AO1294" t="s">
        <v>98</v>
      </c>
      <c r="AP1294" t="s">
        <v>100</v>
      </c>
      <c r="AQ1294" t="s">
        <v>101</v>
      </c>
      <c r="AV1294" t="s">
        <v>98</v>
      </c>
      <c r="AX1294" t="s">
        <v>3943</v>
      </c>
      <c r="AZ1294" t="s">
        <v>102</v>
      </c>
      <c r="BB1294" t="s">
        <v>7528</v>
      </c>
      <c r="BC1294" t="s">
        <v>2591</v>
      </c>
      <c r="BD1294" t="s">
        <v>7528</v>
      </c>
      <c r="BF1294" t="s">
        <v>4163</v>
      </c>
      <c r="BG1294" t="s">
        <v>98</v>
      </c>
      <c r="BH1294" t="s">
        <v>98</v>
      </c>
      <c r="BI1294" t="s">
        <v>98</v>
      </c>
      <c r="BJ1294" t="s">
        <v>99</v>
      </c>
      <c r="BK1294" t="s">
        <v>453</v>
      </c>
      <c r="BL1294" t="s">
        <v>7528</v>
      </c>
      <c r="CA1294">
        <v>72756</v>
      </c>
      <c r="CB1294" t="s">
        <v>3943</v>
      </c>
      <c r="CL1294" t="s">
        <v>99</v>
      </c>
      <c r="CM1294" t="s">
        <v>98</v>
      </c>
      <c r="CN1294" t="s">
        <v>4151</v>
      </c>
      <c r="CO1294" s="1">
        <v>43539</v>
      </c>
      <c r="CP1294" s="1">
        <v>43633</v>
      </c>
    </row>
    <row r="1295" spans="1:94" x14ac:dyDescent="0.25">
      <c r="A1295" t="s">
        <v>4164</v>
      </c>
      <c r="B1295" t="str">
        <f xml:space="preserve"> "" &amp; 747396110837</f>
        <v>747396110837</v>
      </c>
      <c r="C1295" t="s">
        <v>4134</v>
      </c>
      <c r="D1295" t="s">
        <v>4165</v>
      </c>
      <c r="E1295" t="s">
        <v>4166</v>
      </c>
      <c r="F1295" t="s">
        <v>3188</v>
      </c>
      <c r="G1295">
        <v>1</v>
      </c>
      <c r="H1295">
        <v>1</v>
      </c>
      <c r="I1295" t="s">
        <v>97</v>
      </c>
      <c r="J1295" s="10">
        <v>110</v>
      </c>
      <c r="K1295" s="10">
        <v>330</v>
      </c>
      <c r="L1295" s="10">
        <v>0</v>
      </c>
      <c r="N1295" s="10">
        <v>0</v>
      </c>
      <c r="O1295" t="s">
        <v>99</v>
      </c>
      <c r="P1295" s="10">
        <v>234.95</v>
      </c>
      <c r="S1295">
        <v>13.5</v>
      </c>
      <c r="U1295">
        <v>5.5</v>
      </c>
      <c r="V1295">
        <v>6</v>
      </c>
      <c r="W1295">
        <v>4.92</v>
      </c>
      <c r="X1295">
        <v>1</v>
      </c>
      <c r="Y1295">
        <v>8.5</v>
      </c>
      <c r="Z1295">
        <v>16.5</v>
      </c>
      <c r="AA1295">
        <v>13.75</v>
      </c>
      <c r="AB1295">
        <v>1.1160000000000001</v>
      </c>
      <c r="AC1295">
        <v>6.66</v>
      </c>
      <c r="AE1295">
        <v>1</v>
      </c>
      <c r="AF1295" t="s">
        <v>559</v>
      </c>
      <c r="AG1295">
        <v>9</v>
      </c>
      <c r="AK1295" t="s">
        <v>99</v>
      </c>
      <c r="AM1295" t="s">
        <v>98</v>
      </c>
      <c r="AN1295" t="s">
        <v>99</v>
      </c>
      <c r="AO1295" t="s">
        <v>98</v>
      </c>
      <c r="AP1295" t="s">
        <v>100</v>
      </c>
      <c r="AQ1295" t="s">
        <v>101</v>
      </c>
      <c r="AV1295" t="s">
        <v>98</v>
      </c>
      <c r="AX1295" t="s">
        <v>164</v>
      </c>
      <c r="AZ1295" t="s">
        <v>392</v>
      </c>
      <c r="BB1295" t="s">
        <v>7528</v>
      </c>
      <c r="BC1295" t="s">
        <v>4167</v>
      </c>
      <c r="BD1295" t="s">
        <v>7528</v>
      </c>
      <c r="BF1295" t="s">
        <v>4168</v>
      </c>
      <c r="BG1295" t="s">
        <v>98</v>
      </c>
      <c r="BH1295" t="s">
        <v>98</v>
      </c>
      <c r="BI1295" t="s">
        <v>98</v>
      </c>
      <c r="BJ1295" t="s">
        <v>99</v>
      </c>
      <c r="BK1295" t="s">
        <v>453</v>
      </c>
      <c r="BL1295" t="s">
        <v>236</v>
      </c>
      <c r="BM1295">
        <v>10.5</v>
      </c>
      <c r="BN1295">
        <v>4.75</v>
      </c>
      <c r="CA1295" t="s">
        <v>4169</v>
      </c>
      <c r="CB1295" t="s">
        <v>164</v>
      </c>
      <c r="CG1295">
        <v>3000</v>
      </c>
      <c r="CH1295">
        <v>94</v>
      </c>
      <c r="CI1295">
        <v>607.79999999999995</v>
      </c>
      <c r="CJ1295">
        <v>305.2</v>
      </c>
      <c r="CK1295">
        <v>30000</v>
      </c>
      <c r="CL1295" t="s">
        <v>99</v>
      </c>
      <c r="CM1295" t="s">
        <v>98</v>
      </c>
      <c r="CN1295" t="s">
        <v>3227</v>
      </c>
      <c r="CO1295" s="1">
        <v>43539</v>
      </c>
      <c r="CP1295" s="1">
        <v>43633</v>
      </c>
    </row>
    <row r="1296" spans="1:94" x14ac:dyDescent="0.25">
      <c r="A1296" t="s">
        <v>4170</v>
      </c>
      <c r="B1296" t="str">
        <f xml:space="preserve"> "" &amp; 747396110844</f>
        <v>747396110844</v>
      </c>
      <c r="C1296" t="s">
        <v>4134</v>
      </c>
      <c r="D1296" t="s">
        <v>4165</v>
      </c>
      <c r="E1296" t="s">
        <v>4166</v>
      </c>
      <c r="F1296" t="s">
        <v>3188</v>
      </c>
      <c r="G1296">
        <v>1</v>
      </c>
      <c r="H1296">
        <v>1</v>
      </c>
      <c r="I1296" t="s">
        <v>97</v>
      </c>
      <c r="J1296" s="10">
        <v>130</v>
      </c>
      <c r="K1296" s="10">
        <v>390</v>
      </c>
      <c r="L1296" s="10">
        <v>0</v>
      </c>
      <c r="N1296" s="10">
        <v>0</v>
      </c>
      <c r="O1296" t="s">
        <v>99</v>
      </c>
      <c r="P1296" s="10">
        <v>274.95</v>
      </c>
      <c r="S1296">
        <v>17.75</v>
      </c>
      <c r="U1296">
        <v>5.5</v>
      </c>
      <c r="V1296">
        <v>6</v>
      </c>
      <c r="W1296">
        <v>6.61</v>
      </c>
      <c r="X1296">
        <v>1</v>
      </c>
      <c r="Y1296">
        <v>8.5</v>
      </c>
      <c r="Z1296">
        <v>20.5</v>
      </c>
      <c r="AA1296">
        <v>14.13</v>
      </c>
      <c r="AB1296">
        <v>1.425</v>
      </c>
      <c r="AC1296">
        <v>8.5299999999999994</v>
      </c>
      <c r="AE1296">
        <v>1</v>
      </c>
      <c r="AF1296" t="s">
        <v>4171</v>
      </c>
      <c r="AG1296">
        <v>9</v>
      </c>
      <c r="AK1296" t="s">
        <v>99</v>
      </c>
      <c r="AM1296" t="s">
        <v>98</v>
      </c>
      <c r="AN1296" t="s">
        <v>99</v>
      </c>
      <c r="AO1296" t="s">
        <v>98</v>
      </c>
      <c r="AP1296" t="s">
        <v>100</v>
      </c>
      <c r="AQ1296" t="s">
        <v>101</v>
      </c>
      <c r="AV1296" t="s">
        <v>98</v>
      </c>
      <c r="AX1296" t="s">
        <v>164</v>
      </c>
      <c r="AZ1296" t="s">
        <v>392</v>
      </c>
      <c r="BB1296" t="s">
        <v>7528</v>
      </c>
      <c r="BC1296" t="s">
        <v>4167</v>
      </c>
      <c r="BD1296" t="s">
        <v>7528</v>
      </c>
      <c r="BF1296" t="s">
        <v>4172</v>
      </c>
      <c r="BG1296" t="s">
        <v>98</v>
      </c>
      <c r="BH1296" t="s">
        <v>98</v>
      </c>
      <c r="BI1296" t="s">
        <v>98</v>
      </c>
      <c r="BJ1296" t="s">
        <v>99</v>
      </c>
      <c r="BK1296" t="s">
        <v>453</v>
      </c>
      <c r="BL1296" t="s">
        <v>236</v>
      </c>
      <c r="BM1296">
        <v>13.75</v>
      </c>
      <c r="BN1296">
        <v>4.75</v>
      </c>
      <c r="CA1296" t="s">
        <v>4173</v>
      </c>
      <c r="CB1296" t="s">
        <v>164</v>
      </c>
      <c r="CG1296">
        <v>3000</v>
      </c>
      <c r="CH1296">
        <v>93</v>
      </c>
      <c r="CI1296">
        <v>923.1</v>
      </c>
      <c r="CJ1296">
        <v>480.8</v>
      </c>
      <c r="CK1296">
        <v>30000</v>
      </c>
      <c r="CL1296" t="s">
        <v>99</v>
      </c>
      <c r="CM1296" t="s">
        <v>98</v>
      </c>
      <c r="CN1296" t="s">
        <v>3227</v>
      </c>
      <c r="CO1296" s="1">
        <v>43539</v>
      </c>
      <c r="CP1296" s="1">
        <v>43633</v>
      </c>
    </row>
    <row r="1297" spans="1:94" x14ac:dyDescent="0.25">
      <c r="A1297" t="s">
        <v>4174</v>
      </c>
      <c r="B1297" t="str">
        <f xml:space="preserve"> "" &amp; 747396110851</f>
        <v>747396110851</v>
      </c>
      <c r="C1297" t="s">
        <v>4134</v>
      </c>
      <c r="D1297" t="s">
        <v>4165</v>
      </c>
      <c r="E1297" t="s">
        <v>4166</v>
      </c>
      <c r="F1297" t="s">
        <v>3188</v>
      </c>
      <c r="G1297">
        <v>1</v>
      </c>
      <c r="H1297">
        <v>1</v>
      </c>
      <c r="I1297" t="s">
        <v>97</v>
      </c>
      <c r="J1297" s="10">
        <v>160</v>
      </c>
      <c r="K1297" s="10">
        <v>480</v>
      </c>
      <c r="L1297" s="10">
        <v>0</v>
      </c>
      <c r="N1297" s="10">
        <v>0</v>
      </c>
      <c r="O1297" t="s">
        <v>99</v>
      </c>
      <c r="P1297" s="10">
        <v>339.95</v>
      </c>
      <c r="S1297">
        <v>21.5</v>
      </c>
      <c r="U1297">
        <v>5.5</v>
      </c>
      <c r="V1297">
        <v>6</v>
      </c>
      <c r="W1297">
        <v>7.94</v>
      </c>
      <c r="X1297">
        <v>1</v>
      </c>
      <c r="Y1297">
        <v>8.5</v>
      </c>
      <c r="Z1297">
        <v>24.38</v>
      </c>
      <c r="AA1297">
        <v>14.5</v>
      </c>
      <c r="AB1297">
        <v>1.7390000000000001</v>
      </c>
      <c r="AC1297">
        <v>10.25</v>
      </c>
      <c r="AE1297">
        <v>1</v>
      </c>
      <c r="AF1297" t="s">
        <v>559</v>
      </c>
      <c r="AG1297">
        <v>18</v>
      </c>
      <c r="AK1297" t="s">
        <v>99</v>
      </c>
      <c r="AM1297" t="s">
        <v>98</v>
      </c>
      <c r="AN1297" t="s">
        <v>99</v>
      </c>
      <c r="AO1297" t="s">
        <v>98</v>
      </c>
      <c r="AP1297" t="s">
        <v>100</v>
      </c>
      <c r="AQ1297" t="s">
        <v>101</v>
      </c>
      <c r="AV1297" t="s">
        <v>98</v>
      </c>
      <c r="AX1297" t="s">
        <v>164</v>
      </c>
      <c r="AZ1297" t="s">
        <v>392</v>
      </c>
      <c r="BB1297" t="s">
        <v>7528</v>
      </c>
      <c r="BC1297" t="s">
        <v>4167</v>
      </c>
      <c r="BD1297" t="s">
        <v>7528</v>
      </c>
      <c r="BF1297" t="s">
        <v>4175</v>
      </c>
      <c r="BG1297" t="s">
        <v>98</v>
      </c>
      <c r="BH1297" t="s">
        <v>98</v>
      </c>
      <c r="BI1297" t="s">
        <v>98</v>
      </c>
      <c r="BJ1297" t="s">
        <v>99</v>
      </c>
      <c r="BK1297" t="s">
        <v>453</v>
      </c>
      <c r="BL1297" t="s">
        <v>236</v>
      </c>
      <c r="BM1297">
        <v>17.5</v>
      </c>
      <c r="BN1297">
        <v>4.75</v>
      </c>
      <c r="CA1297" t="s">
        <v>4176</v>
      </c>
      <c r="CB1297" t="s">
        <v>164</v>
      </c>
      <c r="CG1297">
        <v>3000</v>
      </c>
      <c r="CH1297">
        <v>94</v>
      </c>
      <c r="CI1297">
        <v>1283.5999999999999</v>
      </c>
      <c r="CJ1297">
        <v>684.5</v>
      </c>
      <c r="CK1297">
        <v>30000</v>
      </c>
      <c r="CL1297" t="s">
        <v>99</v>
      </c>
      <c r="CM1297" t="s">
        <v>98</v>
      </c>
      <c r="CN1297" t="s">
        <v>3227</v>
      </c>
      <c r="CO1297" s="1">
        <v>43539</v>
      </c>
      <c r="CP1297" s="1">
        <v>43633</v>
      </c>
    </row>
    <row r="1298" spans="1:94" x14ac:dyDescent="0.25">
      <c r="A1298" t="s">
        <v>4177</v>
      </c>
      <c r="B1298" t="str">
        <f xml:space="preserve"> "" &amp; 747396111018</f>
        <v>747396111018</v>
      </c>
      <c r="C1298" t="s">
        <v>3185</v>
      </c>
      <c r="D1298" t="s">
        <v>4178</v>
      </c>
      <c r="E1298" t="s">
        <v>4179</v>
      </c>
      <c r="F1298" t="s">
        <v>2823</v>
      </c>
      <c r="G1298">
        <v>1</v>
      </c>
      <c r="H1298">
        <v>1</v>
      </c>
      <c r="I1298" t="s">
        <v>97</v>
      </c>
      <c r="J1298" s="10">
        <v>35</v>
      </c>
      <c r="K1298" s="10">
        <v>105</v>
      </c>
      <c r="L1298" s="10">
        <v>0</v>
      </c>
      <c r="N1298" s="10">
        <v>0</v>
      </c>
      <c r="O1298" t="s">
        <v>99</v>
      </c>
      <c r="P1298" s="10">
        <v>74.95</v>
      </c>
      <c r="S1298">
        <v>8.25</v>
      </c>
      <c r="U1298">
        <v>6.5</v>
      </c>
      <c r="V1298">
        <v>7.5</v>
      </c>
      <c r="W1298">
        <v>1.76</v>
      </c>
      <c r="X1298">
        <v>1</v>
      </c>
      <c r="Y1298">
        <v>14.5</v>
      </c>
      <c r="Z1298">
        <v>9.8800000000000008</v>
      </c>
      <c r="AA1298">
        <v>9.5</v>
      </c>
      <c r="AB1298">
        <v>0.78800000000000003</v>
      </c>
      <c r="AC1298">
        <v>2.82</v>
      </c>
      <c r="AE1298">
        <v>1</v>
      </c>
      <c r="AF1298" t="s">
        <v>662</v>
      </c>
      <c r="AG1298">
        <v>100</v>
      </c>
      <c r="AK1298" t="s">
        <v>98</v>
      </c>
      <c r="AM1298" t="s">
        <v>98</v>
      </c>
      <c r="AN1298" t="s">
        <v>99</v>
      </c>
      <c r="AO1298" t="s">
        <v>98</v>
      </c>
      <c r="AP1298" t="s">
        <v>100</v>
      </c>
      <c r="AQ1298" t="s">
        <v>101</v>
      </c>
      <c r="AV1298" t="s">
        <v>98</v>
      </c>
      <c r="AX1298" t="s">
        <v>164</v>
      </c>
      <c r="AZ1298" t="s">
        <v>102</v>
      </c>
      <c r="BB1298" t="s">
        <v>235</v>
      </c>
      <c r="BC1298" t="s">
        <v>1687</v>
      </c>
      <c r="BD1298" t="s">
        <v>7528</v>
      </c>
      <c r="BF1298" t="s">
        <v>4180</v>
      </c>
      <c r="BG1298" t="s">
        <v>98</v>
      </c>
      <c r="BH1298" t="s">
        <v>98</v>
      </c>
      <c r="BI1298" t="s">
        <v>98</v>
      </c>
      <c r="BJ1298" t="s">
        <v>99</v>
      </c>
      <c r="BK1298" t="s">
        <v>453</v>
      </c>
      <c r="BL1298" t="s">
        <v>128</v>
      </c>
      <c r="BM1298">
        <v>5</v>
      </c>
      <c r="BN1298">
        <v>0.88</v>
      </c>
      <c r="BO1298">
        <v>5</v>
      </c>
      <c r="BP1298">
        <v>5</v>
      </c>
      <c r="CA1298">
        <v>72771</v>
      </c>
      <c r="CB1298" t="s">
        <v>164</v>
      </c>
      <c r="CL1298" t="s">
        <v>99</v>
      </c>
      <c r="CM1298" t="s">
        <v>98</v>
      </c>
      <c r="CN1298" t="s">
        <v>3738</v>
      </c>
      <c r="CO1298" s="1">
        <v>43480</v>
      </c>
      <c r="CP1298" s="1">
        <v>43633</v>
      </c>
    </row>
    <row r="1299" spans="1:94" x14ac:dyDescent="0.25">
      <c r="A1299" t="s">
        <v>4181</v>
      </c>
      <c r="B1299" t="str">
        <f xml:space="preserve"> "" &amp; 747396111025</f>
        <v>747396111025</v>
      </c>
      <c r="C1299" t="s">
        <v>4182</v>
      </c>
      <c r="D1299" t="s">
        <v>4178</v>
      </c>
      <c r="E1299" t="s">
        <v>4179</v>
      </c>
      <c r="F1299" t="s">
        <v>2823</v>
      </c>
      <c r="G1299">
        <v>1</v>
      </c>
      <c r="H1299">
        <v>1</v>
      </c>
      <c r="I1299" t="s">
        <v>97</v>
      </c>
      <c r="J1299" s="10">
        <v>45</v>
      </c>
      <c r="K1299" s="10">
        <v>135</v>
      </c>
      <c r="L1299" s="10">
        <v>0</v>
      </c>
      <c r="N1299" s="10">
        <v>0</v>
      </c>
      <c r="O1299" t="s">
        <v>99</v>
      </c>
      <c r="P1299" s="10">
        <v>94.95</v>
      </c>
      <c r="S1299">
        <v>9.75</v>
      </c>
      <c r="U1299">
        <v>8</v>
      </c>
      <c r="V1299">
        <v>9.25</v>
      </c>
      <c r="W1299">
        <v>2.5099999999999998</v>
      </c>
      <c r="X1299">
        <v>1</v>
      </c>
      <c r="Y1299">
        <v>16.75</v>
      </c>
      <c r="Z1299">
        <v>12.25</v>
      </c>
      <c r="AA1299">
        <v>11</v>
      </c>
      <c r="AB1299">
        <v>1.306</v>
      </c>
      <c r="AC1299">
        <v>3.88</v>
      </c>
      <c r="AE1299">
        <v>1</v>
      </c>
      <c r="AF1299" t="s">
        <v>233</v>
      </c>
      <c r="AG1299">
        <v>100</v>
      </c>
      <c r="AK1299" t="s">
        <v>98</v>
      </c>
      <c r="AM1299" t="s">
        <v>98</v>
      </c>
      <c r="AN1299" t="s">
        <v>99</v>
      </c>
      <c r="AO1299" t="s">
        <v>98</v>
      </c>
      <c r="AP1299" t="s">
        <v>100</v>
      </c>
      <c r="AQ1299" t="s">
        <v>101</v>
      </c>
      <c r="AV1299" t="s">
        <v>98</v>
      </c>
      <c r="AX1299" t="s">
        <v>164</v>
      </c>
      <c r="AZ1299" t="s">
        <v>102</v>
      </c>
      <c r="BB1299" t="s">
        <v>235</v>
      </c>
      <c r="BC1299" t="s">
        <v>1687</v>
      </c>
      <c r="BD1299" t="s">
        <v>7528</v>
      </c>
      <c r="BF1299" t="s">
        <v>4183</v>
      </c>
      <c r="BG1299" t="s">
        <v>98</v>
      </c>
      <c r="BH1299" t="s">
        <v>98</v>
      </c>
      <c r="BI1299" t="s">
        <v>98</v>
      </c>
      <c r="BJ1299" t="s">
        <v>99</v>
      </c>
      <c r="BK1299" t="s">
        <v>453</v>
      </c>
      <c r="BL1299" t="s">
        <v>128</v>
      </c>
      <c r="BM1299">
        <v>6</v>
      </c>
      <c r="BN1299">
        <v>0.88</v>
      </c>
      <c r="BO1299">
        <v>6</v>
      </c>
      <c r="BP1299">
        <v>6</v>
      </c>
      <c r="CA1299">
        <v>72772</v>
      </c>
      <c r="CB1299" t="s">
        <v>164</v>
      </c>
      <c r="CL1299" t="s">
        <v>99</v>
      </c>
      <c r="CM1299" t="s">
        <v>98</v>
      </c>
      <c r="CN1299" t="s">
        <v>3738</v>
      </c>
      <c r="CO1299" s="1">
        <v>43480</v>
      </c>
      <c r="CP1299" s="1">
        <v>43633</v>
      </c>
    </row>
    <row r="1300" spans="1:94" x14ac:dyDescent="0.25">
      <c r="A1300" t="s">
        <v>4184</v>
      </c>
      <c r="B1300" t="str">
        <f xml:space="preserve"> "" &amp; 747396111032</f>
        <v>747396111032</v>
      </c>
      <c r="C1300" t="s">
        <v>3185</v>
      </c>
      <c r="D1300" t="s">
        <v>4178</v>
      </c>
      <c r="E1300" t="s">
        <v>4179</v>
      </c>
      <c r="F1300" t="s">
        <v>2823</v>
      </c>
      <c r="G1300">
        <v>1</v>
      </c>
      <c r="H1300">
        <v>1</v>
      </c>
      <c r="I1300" t="s">
        <v>97</v>
      </c>
      <c r="J1300" s="10">
        <v>55</v>
      </c>
      <c r="K1300" s="10">
        <v>165</v>
      </c>
      <c r="L1300" s="10">
        <v>0</v>
      </c>
      <c r="N1300" s="10">
        <v>0</v>
      </c>
      <c r="O1300" t="s">
        <v>99</v>
      </c>
      <c r="P1300" s="10">
        <v>114.95</v>
      </c>
      <c r="S1300">
        <v>13</v>
      </c>
      <c r="U1300">
        <v>8</v>
      </c>
      <c r="V1300">
        <v>9.25</v>
      </c>
      <c r="W1300">
        <v>3.17</v>
      </c>
      <c r="X1300">
        <v>1</v>
      </c>
      <c r="Y1300">
        <v>21.25</v>
      </c>
      <c r="Z1300">
        <v>12.25</v>
      </c>
      <c r="AA1300">
        <v>11</v>
      </c>
      <c r="AB1300">
        <v>1.657</v>
      </c>
      <c r="AC1300">
        <v>4.9400000000000004</v>
      </c>
      <c r="AE1300">
        <v>1</v>
      </c>
      <c r="AF1300" t="s">
        <v>233</v>
      </c>
      <c r="AG1300">
        <v>100</v>
      </c>
      <c r="AK1300" t="s">
        <v>98</v>
      </c>
      <c r="AM1300" t="s">
        <v>98</v>
      </c>
      <c r="AN1300" t="s">
        <v>99</v>
      </c>
      <c r="AO1300" t="s">
        <v>98</v>
      </c>
      <c r="AP1300" t="s">
        <v>100</v>
      </c>
      <c r="AQ1300" t="s">
        <v>101</v>
      </c>
      <c r="AV1300" t="s">
        <v>98</v>
      </c>
      <c r="AX1300" t="s">
        <v>164</v>
      </c>
      <c r="AZ1300" t="s">
        <v>102</v>
      </c>
      <c r="BB1300" t="s">
        <v>235</v>
      </c>
      <c r="BC1300" t="s">
        <v>1687</v>
      </c>
      <c r="BD1300" t="s">
        <v>7528</v>
      </c>
      <c r="BF1300" t="s">
        <v>4185</v>
      </c>
      <c r="BG1300" t="s">
        <v>98</v>
      </c>
      <c r="BH1300" t="s">
        <v>98</v>
      </c>
      <c r="BI1300" t="s">
        <v>98</v>
      </c>
      <c r="BJ1300" t="s">
        <v>99</v>
      </c>
      <c r="BK1300" t="s">
        <v>453</v>
      </c>
      <c r="BL1300" t="s">
        <v>128</v>
      </c>
      <c r="BM1300">
        <v>6</v>
      </c>
      <c r="BN1300">
        <v>0.88</v>
      </c>
      <c r="BO1300">
        <v>6</v>
      </c>
      <c r="BP1300">
        <v>6</v>
      </c>
      <c r="CA1300">
        <v>72773</v>
      </c>
      <c r="CB1300" t="s">
        <v>164</v>
      </c>
      <c r="CL1300" t="s">
        <v>99</v>
      </c>
      <c r="CM1300" t="s">
        <v>98</v>
      </c>
      <c r="CN1300" t="s">
        <v>3738</v>
      </c>
      <c r="CO1300" s="1">
        <v>43480</v>
      </c>
      <c r="CP1300" s="1">
        <v>43633</v>
      </c>
    </row>
    <row r="1301" spans="1:94" x14ac:dyDescent="0.25">
      <c r="A1301" t="s">
        <v>4186</v>
      </c>
      <c r="B1301" t="str">
        <f xml:space="preserve"> "" &amp; 747396090863</f>
        <v>747396090863</v>
      </c>
      <c r="C1301" t="s">
        <v>1577</v>
      </c>
      <c r="D1301" t="s">
        <v>6853</v>
      </c>
      <c r="E1301" t="s">
        <v>4187</v>
      </c>
      <c r="F1301" t="s">
        <v>2823</v>
      </c>
      <c r="G1301">
        <v>1</v>
      </c>
      <c r="H1301">
        <v>1</v>
      </c>
      <c r="I1301" t="s">
        <v>97</v>
      </c>
      <c r="J1301" s="10">
        <v>78</v>
      </c>
      <c r="K1301" s="10">
        <v>234</v>
      </c>
      <c r="L1301" s="10">
        <v>0</v>
      </c>
      <c r="N1301" s="10">
        <v>0</v>
      </c>
      <c r="O1301" t="s">
        <v>99</v>
      </c>
      <c r="P1301" s="10">
        <v>154.94999999999999</v>
      </c>
      <c r="S1301">
        <v>13.75</v>
      </c>
      <c r="T1301">
        <v>11.5</v>
      </c>
      <c r="U1301">
        <v>7</v>
      </c>
      <c r="V1301">
        <v>6.5</v>
      </c>
      <c r="W1301">
        <v>4.28</v>
      </c>
      <c r="Y1301">
        <v>16</v>
      </c>
      <c r="Z1301">
        <v>11.5</v>
      </c>
      <c r="AA1301">
        <v>8.75</v>
      </c>
      <c r="AB1301">
        <v>0.93200000000000005</v>
      </c>
      <c r="AC1301">
        <v>5.75</v>
      </c>
      <c r="AE1301">
        <v>1</v>
      </c>
      <c r="AF1301" t="s">
        <v>2629</v>
      </c>
      <c r="AG1301">
        <v>60</v>
      </c>
      <c r="AK1301" t="s">
        <v>98</v>
      </c>
      <c r="AM1301" t="s">
        <v>98</v>
      </c>
      <c r="AN1301" t="s">
        <v>99</v>
      </c>
      <c r="AO1301" t="s">
        <v>98</v>
      </c>
      <c r="AP1301" t="s">
        <v>100</v>
      </c>
      <c r="AQ1301" t="s">
        <v>101</v>
      </c>
      <c r="AV1301" t="s">
        <v>98</v>
      </c>
      <c r="AX1301" t="s">
        <v>3421</v>
      </c>
      <c r="AZ1301" t="s">
        <v>124</v>
      </c>
      <c r="BB1301" t="s">
        <v>235</v>
      </c>
      <c r="BC1301" t="s">
        <v>7528</v>
      </c>
      <c r="BD1301" t="s">
        <v>7528</v>
      </c>
      <c r="BF1301" t="s">
        <v>4188</v>
      </c>
      <c r="BG1301" t="s">
        <v>98</v>
      </c>
      <c r="BH1301" t="s">
        <v>98</v>
      </c>
      <c r="BI1301" t="s">
        <v>98</v>
      </c>
      <c r="BJ1301" t="s">
        <v>99</v>
      </c>
      <c r="BK1301" t="s">
        <v>453</v>
      </c>
      <c r="BL1301" t="s">
        <v>7528</v>
      </c>
      <c r="BR1301">
        <v>9</v>
      </c>
      <c r="BT1301">
        <v>4.63</v>
      </c>
      <c r="CA1301">
        <v>73091</v>
      </c>
      <c r="CB1301" t="s">
        <v>3421</v>
      </c>
      <c r="CL1301" t="s">
        <v>98</v>
      </c>
      <c r="CM1301" t="s">
        <v>98</v>
      </c>
      <c r="CN1301" t="s">
        <v>3694</v>
      </c>
      <c r="CO1301" s="1">
        <v>41719</v>
      </c>
      <c r="CP1301" s="1">
        <v>43633</v>
      </c>
    </row>
    <row r="1302" spans="1:94" x14ac:dyDescent="0.25">
      <c r="A1302" t="s">
        <v>4189</v>
      </c>
      <c r="B1302" t="str">
        <f xml:space="preserve"> "" &amp; 747396090870</f>
        <v>747396090870</v>
      </c>
      <c r="C1302" t="s">
        <v>1550</v>
      </c>
      <c r="D1302" t="s">
        <v>4190</v>
      </c>
      <c r="E1302" t="s">
        <v>4187</v>
      </c>
      <c r="F1302" t="s">
        <v>2823</v>
      </c>
      <c r="G1302">
        <v>1</v>
      </c>
      <c r="H1302">
        <v>1</v>
      </c>
      <c r="I1302" t="s">
        <v>97</v>
      </c>
      <c r="J1302" s="10">
        <v>115</v>
      </c>
      <c r="K1302" s="10">
        <v>345</v>
      </c>
      <c r="L1302" s="10">
        <v>0</v>
      </c>
      <c r="N1302" s="10">
        <v>0</v>
      </c>
      <c r="O1302" t="s">
        <v>99</v>
      </c>
      <c r="P1302" s="10">
        <v>229.95</v>
      </c>
      <c r="S1302">
        <v>7.25</v>
      </c>
      <c r="T1302">
        <v>9</v>
      </c>
      <c r="U1302">
        <v>19</v>
      </c>
      <c r="W1302">
        <v>6.44</v>
      </c>
      <c r="Y1302">
        <v>17.75</v>
      </c>
      <c r="Z1302">
        <v>14.25</v>
      </c>
      <c r="AA1302">
        <v>9.75</v>
      </c>
      <c r="AB1302">
        <v>1.427</v>
      </c>
      <c r="AC1302">
        <v>8.11</v>
      </c>
      <c r="AE1302">
        <v>2</v>
      </c>
      <c r="AF1302" t="s">
        <v>7546</v>
      </c>
      <c r="AG1302">
        <v>60</v>
      </c>
      <c r="AK1302" t="s">
        <v>98</v>
      </c>
      <c r="AM1302" t="s">
        <v>98</v>
      </c>
      <c r="AN1302" t="s">
        <v>99</v>
      </c>
      <c r="AO1302" t="s">
        <v>98</v>
      </c>
      <c r="AP1302" t="s">
        <v>100</v>
      </c>
      <c r="AQ1302" t="s">
        <v>101</v>
      </c>
      <c r="AV1302" t="s">
        <v>98</v>
      </c>
      <c r="AX1302" t="s">
        <v>3421</v>
      </c>
      <c r="AZ1302" t="s">
        <v>124</v>
      </c>
      <c r="BB1302" t="s">
        <v>235</v>
      </c>
      <c r="BC1302" t="s">
        <v>2591</v>
      </c>
      <c r="BD1302" t="s">
        <v>7528</v>
      </c>
      <c r="BF1302" t="s">
        <v>4191</v>
      </c>
      <c r="BG1302" t="s">
        <v>98</v>
      </c>
      <c r="BH1302" t="s">
        <v>98</v>
      </c>
      <c r="BI1302" t="s">
        <v>98</v>
      </c>
      <c r="BJ1302" t="s">
        <v>99</v>
      </c>
      <c r="BK1302" t="s">
        <v>453</v>
      </c>
      <c r="BL1302" t="s">
        <v>7528</v>
      </c>
      <c r="BR1302">
        <v>9</v>
      </c>
      <c r="BT1302">
        <v>4.63</v>
      </c>
      <c r="CA1302">
        <v>73092</v>
      </c>
      <c r="CB1302" t="s">
        <v>3421</v>
      </c>
      <c r="CL1302" t="s">
        <v>98</v>
      </c>
      <c r="CM1302" t="s">
        <v>98</v>
      </c>
      <c r="CN1302" t="s">
        <v>3694</v>
      </c>
      <c r="CO1302" s="1">
        <v>41719</v>
      </c>
      <c r="CP1302" s="1">
        <v>43633</v>
      </c>
    </row>
    <row r="1303" spans="1:94" x14ac:dyDescent="0.25">
      <c r="A1303" t="s">
        <v>4192</v>
      </c>
      <c r="B1303" t="str">
        <f xml:space="preserve"> "" &amp; 747396090887</f>
        <v>747396090887</v>
      </c>
      <c r="C1303" t="s">
        <v>3394</v>
      </c>
      <c r="D1303" t="s">
        <v>4193</v>
      </c>
      <c r="E1303" t="s">
        <v>4187</v>
      </c>
      <c r="F1303" t="s">
        <v>2823</v>
      </c>
      <c r="G1303">
        <v>1</v>
      </c>
      <c r="H1303">
        <v>1</v>
      </c>
      <c r="I1303" t="s">
        <v>97</v>
      </c>
      <c r="J1303" s="10">
        <v>139</v>
      </c>
      <c r="K1303" s="10">
        <v>417</v>
      </c>
      <c r="L1303" s="10">
        <v>0</v>
      </c>
      <c r="N1303" s="10">
        <v>0</v>
      </c>
      <c r="O1303" t="s">
        <v>99</v>
      </c>
      <c r="P1303" s="10">
        <v>279.95</v>
      </c>
      <c r="S1303">
        <v>22</v>
      </c>
      <c r="U1303">
        <v>11</v>
      </c>
      <c r="V1303">
        <v>8.75</v>
      </c>
      <c r="W1303">
        <v>8.42</v>
      </c>
      <c r="Y1303">
        <v>19.75</v>
      </c>
      <c r="Z1303">
        <v>15.25</v>
      </c>
      <c r="AA1303">
        <v>11</v>
      </c>
      <c r="AB1303">
        <v>1.917</v>
      </c>
      <c r="AC1303">
        <v>10.54</v>
      </c>
      <c r="AE1303">
        <v>4</v>
      </c>
      <c r="AF1303" t="s">
        <v>7546</v>
      </c>
      <c r="AG1303">
        <v>60</v>
      </c>
      <c r="AK1303" t="s">
        <v>98</v>
      </c>
      <c r="AM1303" t="s">
        <v>98</v>
      </c>
      <c r="AN1303" t="s">
        <v>99</v>
      </c>
      <c r="AO1303" t="s">
        <v>98</v>
      </c>
      <c r="AP1303" t="s">
        <v>100</v>
      </c>
      <c r="AQ1303" t="s">
        <v>101</v>
      </c>
      <c r="AV1303" t="s">
        <v>98</v>
      </c>
      <c r="AX1303" t="s">
        <v>3421</v>
      </c>
      <c r="AZ1303" t="s">
        <v>124</v>
      </c>
      <c r="BB1303" t="s">
        <v>235</v>
      </c>
      <c r="BC1303" t="s">
        <v>2591</v>
      </c>
      <c r="BD1303" t="s">
        <v>7528</v>
      </c>
      <c r="BF1303" t="s">
        <v>4194</v>
      </c>
      <c r="BG1303" t="s">
        <v>98</v>
      </c>
      <c r="BH1303" t="s">
        <v>98</v>
      </c>
      <c r="BI1303" t="s">
        <v>98</v>
      </c>
      <c r="BJ1303" t="s">
        <v>99</v>
      </c>
      <c r="BK1303" t="s">
        <v>453</v>
      </c>
      <c r="BL1303" t="s">
        <v>7528</v>
      </c>
      <c r="BR1303">
        <v>9</v>
      </c>
      <c r="BT1303">
        <v>4.63</v>
      </c>
      <c r="CA1303">
        <v>73093</v>
      </c>
      <c r="CB1303" t="s">
        <v>3421</v>
      </c>
      <c r="CL1303" t="s">
        <v>98</v>
      </c>
      <c r="CM1303" t="s">
        <v>98</v>
      </c>
      <c r="CN1303" t="s">
        <v>3694</v>
      </c>
      <c r="CO1303" s="1">
        <v>41719</v>
      </c>
      <c r="CP1303" s="1">
        <v>43633</v>
      </c>
    </row>
    <row r="1304" spans="1:94" x14ac:dyDescent="0.25">
      <c r="A1304" t="s">
        <v>4195</v>
      </c>
      <c r="B1304" t="str">
        <f xml:space="preserve"> "" &amp; 747396090900</f>
        <v>747396090900</v>
      </c>
      <c r="C1304" t="s">
        <v>3403</v>
      </c>
      <c r="D1304" t="s">
        <v>4196</v>
      </c>
      <c r="E1304" t="s">
        <v>4187</v>
      </c>
      <c r="F1304" t="s">
        <v>2823</v>
      </c>
      <c r="G1304">
        <v>1</v>
      </c>
      <c r="H1304">
        <v>1</v>
      </c>
      <c r="I1304" t="s">
        <v>97</v>
      </c>
      <c r="J1304" s="10">
        <v>108</v>
      </c>
      <c r="K1304" s="10">
        <v>324</v>
      </c>
      <c r="L1304" s="10">
        <v>0</v>
      </c>
      <c r="N1304" s="10">
        <v>0</v>
      </c>
      <c r="O1304" t="s">
        <v>99</v>
      </c>
      <c r="P1304" s="10">
        <v>214.95</v>
      </c>
      <c r="S1304">
        <v>17</v>
      </c>
      <c r="U1304">
        <v>9</v>
      </c>
      <c r="V1304">
        <v>6.25</v>
      </c>
      <c r="W1304">
        <v>5.8</v>
      </c>
      <c r="Y1304">
        <v>20.25</v>
      </c>
      <c r="Z1304">
        <v>11.25</v>
      </c>
      <c r="AA1304">
        <v>11</v>
      </c>
      <c r="AB1304">
        <v>1.45</v>
      </c>
      <c r="AC1304">
        <v>7.87</v>
      </c>
      <c r="AE1304">
        <v>3</v>
      </c>
      <c r="AF1304" t="s">
        <v>7546</v>
      </c>
      <c r="AG1304">
        <v>60</v>
      </c>
      <c r="AK1304" t="s">
        <v>98</v>
      </c>
      <c r="AM1304" t="s">
        <v>98</v>
      </c>
      <c r="AN1304" t="s">
        <v>99</v>
      </c>
      <c r="AO1304" t="s">
        <v>98</v>
      </c>
      <c r="AP1304" t="s">
        <v>100</v>
      </c>
      <c r="AQ1304" t="s">
        <v>101</v>
      </c>
      <c r="AV1304" t="s">
        <v>98</v>
      </c>
      <c r="AX1304" t="s">
        <v>3421</v>
      </c>
      <c r="AZ1304" t="s">
        <v>124</v>
      </c>
      <c r="BB1304" t="s">
        <v>235</v>
      </c>
      <c r="BC1304" t="s">
        <v>2591</v>
      </c>
      <c r="BD1304" t="s">
        <v>7528</v>
      </c>
      <c r="BF1304" t="s">
        <v>4197</v>
      </c>
      <c r="BG1304" t="s">
        <v>98</v>
      </c>
      <c r="BH1304" t="s">
        <v>98</v>
      </c>
      <c r="BI1304" t="s">
        <v>98</v>
      </c>
      <c r="BJ1304" t="s">
        <v>99</v>
      </c>
      <c r="BK1304" t="s">
        <v>453</v>
      </c>
      <c r="BL1304" t="s">
        <v>7528</v>
      </c>
      <c r="CA1304">
        <v>73096</v>
      </c>
      <c r="CB1304" t="s">
        <v>3421</v>
      </c>
      <c r="CL1304" t="s">
        <v>99</v>
      </c>
      <c r="CM1304" t="s">
        <v>98</v>
      </c>
      <c r="CN1304" t="s">
        <v>3694</v>
      </c>
      <c r="CO1304" s="1">
        <v>41719</v>
      </c>
      <c r="CP1304" s="1">
        <v>43633</v>
      </c>
    </row>
    <row r="1305" spans="1:94" x14ac:dyDescent="0.25">
      <c r="A1305" t="s">
        <v>4198</v>
      </c>
      <c r="B1305" t="str">
        <f xml:space="preserve"> "" &amp; 747396090917</f>
        <v>747396090917</v>
      </c>
      <c r="C1305" t="s">
        <v>3332</v>
      </c>
      <c r="D1305" t="s">
        <v>4199</v>
      </c>
      <c r="E1305" t="s">
        <v>4200</v>
      </c>
      <c r="F1305" t="s">
        <v>3188</v>
      </c>
      <c r="G1305">
        <v>1</v>
      </c>
      <c r="H1305">
        <v>1</v>
      </c>
      <c r="I1305" t="s">
        <v>97</v>
      </c>
      <c r="J1305" s="10">
        <v>72</v>
      </c>
      <c r="K1305" s="10">
        <v>216</v>
      </c>
      <c r="L1305" s="10">
        <v>0</v>
      </c>
      <c r="N1305" s="10">
        <v>0</v>
      </c>
      <c r="O1305" t="s">
        <v>99</v>
      </c>
      <c r="P1305" s="10">
        <v>144.94999999999999</v>
      </c>
      <c r="S1305">
        <v>10.75</v>
      </c>
      <c r="T1305">
        <v>8.75</v>
      </c>
      <c r="U1305">
        <v>5.5</v>
      </c>
      <c r="V1305">
        <v>5.5</v>
      </c>
      <c r="W1305">
        <v>2.36</v>
      </c>
      <c r="Y1305">
        <v>13.25</v>
      </c>
      <c r="Z1305">
        <v>8.75</v>
      </c>
      <c r="AA1305">
        <v>7.75</v>
      </c>
      <c r="AB1305">
        <v>0.52</v>
      </c>
      <c r="AC1305">
        <v>3.22</v>
      </c>
      <c r="AE1305">
        <v>1</v>
      </c>
      <c r="AF1305" t="s">
        <v>3776</v>
      </c>
      <c r="AG1305">
        <v>13</v>
      </c>
      <c r="AK1305" t="s">
        <v>99</v>
      </c>
      <c r="AM1305" t="s">
        <v>98</v>
      </c>
      <c r="AN1305" t="s">
        <v>99</v>
      </c>
      <c r="AO1305" t="s">
        <v>98</v>
      </c>
      <c r="AP1305" t="s">
        <v>100</v>
      </c>
      <c r="AQ1305" t="s">
        <v>101</v>
      </c>
      <c r="AV1305" t="s">
        <v>98</v>
      </c>
      <c r="AX1305" t="s">
        <v>3182</v>
      </c>
      <c r="AZ1305" t="s">
        <v>102</v>
      </c>
      <c r="BB1305" t="s">
        <v>235</v>
      </c>
      <c r="BC1305" t="s">
        <v>1304</v>
      </c>
      <c r="BD1305" t="s">
        <v>7528</v>
      </c>
      <c r="BF1305" t="s">
        <v>4201</v>
      </c>
      <c r="BG1305" t="s">
        <v>98</v>
      </c>
      <c r="BH1305" t="s">
        <v>98</v>
      </c>
      <c r="BI1305" t="s">
        <v>98</v>
      </c>
      <c r="BJ1305" t="s">
        <v>99</v>
      </c>
      <c r="BK1305" t="s">
        <v>453</v>
      </c>
      <c r="BL1305" t="s">
        <v>7528</v>
      </c>
      <c r="BM1305">
        <v>5</v>
      </c>
      <c r="BN1305">
        <v>8</v>
      </c>
      <c r="CA1305">
        <v>73101</v>
      </c>
      <c r="CB1305" t="s">
        <v>3182</v>
      </c>
      <c r="CG1305">
        <v>3000</v>
      </c>
      <c r="CH1305">
        <v>92</v>
      </c>
      <c r="CI1305">
        <v>734.4</v>
      </c>
      <c r="CJ1305">
        <v>638.6</v>
      </c>
      <c r="CK1305">
        <v>30000</v>
      </c>
      <c r="CL1305" t="s">
        <v>99</v>
      </c>
      <c r="CM1305" t="s">
        <v>98</v>
      </c>
      <c r="CN1305" t="s">
        <v>3236</v>
      </c>
      <c r="CO1305" s="1">
        <v>41729</v>
      </c>
      <c r="CP1305" s="1">
        <v>43633</v>
      </c>
    </row>
    <row r="1306" spans="1:94" x14ac:dyDescent="0.25">
      <c r="A1306" t="s">
        <v>4202</v>
      </c>
      <c r="B1306" t="str">
        <f xml:space="preserve"> "" &amp; 747396090924</f>
        <v>747396090924</v>
      </c>
      <c r="C1306" t="s">
        <v>3332</v>
      </c>
      <c r="D1306" t="s">
        <v>4199</v>
      </c>
      <c r="E1306" t="s">
        <v>4200</v>
      </c>
      <c r="F1306" t="s">
        <v>3188</v>
      </c>
      <c r="G1306">
        <v>1</v>
      </c>
      <c r="H1306">
        <v>1</v>
      </c>
      <c r="I1306" t="s">
        <v>97</v>
      </c>
      <c r="J1306" s="10">
        <v>85</v>
      </c>
      <c r="K1306" s="10">
        <v>255</v>
      </c>
      <c r="L1306" s="10">
        <v>0</v>
      </c>
      <c r="N1306" s="10">
        <v>0</v>
      </c>
      <c r="O1306" t="s">
        <v>99</v>
      </c>
      <c r="P1306" s="10">
        <v>169.95</v>
      </c>
      <c r="S1306">
        <v>12.75</v>
      </c>
      <c r="T1306">
        <v>10.25</v>
      </c>
      <c r="U1306">
        <v>7</v>
      </c>
      <c r="V1306">
        <v>7</v>
      </c>
      <c r="W1306">
        <v>3.15</v>
      </c>
      <c r="Y1306">
        <v>15.75</v>
      </c>
      <c r="Z1306">
        <v>10.25</v>
      </c>
      <c r="AA1306">
        <v>9.5</v>
      </c>
      <c r="AB1306">
        <v>0.88800000000000001</v>
      </c>
      <c r="AC1306">
        <v>4.67</v>
      </c>
      <c r="AE1306">
        <v>1</v>
      </c>
      <c r="AF1306" t="s">
        <v>3776</v>
      </c>
      <c r="AG1306">
        <v>13</v>
      </c>
      <c r="AK1306" t="s">
        <v>99</v>
      </c>
      <c r="AM1306" t="s">
        <v>98</v>
      </c>
      <c r="AN1306" t="s">
        <v>99</v>
      </c>
      <c r="AO1306" t="s">
        <v>98</v>
      </c>
      <c r="AP1306" t="s">
        <v>100</v>
      </c>
      <c r="AQ1306" t="s">
        <v>101</v>
      </c>
      <c r="AV1306" t="s">
        <v>98</v>
      </c>
      <c r="AX1306" t="s">
        <v>3182</v>
      </c>
      <c r="AZ1306" t="s">
        <v>102</v>
      </c>
      <c r="BB1306" t="s">
        <v>235</v>
      </c>
      <c r="BC1306" t="s">
        <v>1304</v>
      </c>
      <c r="BD1306" t="s">
        <v>7528</v>
      </c>
      <c r="BF1306" t="s">
        <v>4203</v>
      </c>
      <c r="BG1306" t="s">
        <v>98</v>
      </c>
      <c r="BH1306" t="s">
        <v>98</v>
      </c>
      <c r="BI1306" t="s">
        <v>98</v>
      </c>
      <c r="BJ1306" t="s">
        <v>99</v>
      </c>
      <c r="BK1306" t="s">
        <v>453</v>
      </c>
      <c r="BL1306" t="s">
        <v>7528</v>
      </c>
      <c r="BM1306">
        <v>5</v>
      </c>
      <c r="BN1306">
        <v>8</v>
      </c>
      <c r="CA1306">
        <v>73102</v>
      </c>
      <c r="CB1306" t="s">
        <v>3182</v>
      </c>
      <c r="CG1306">
        <v>3000</v>
      </c>
      <c r="CH1306">
        <v>92</v>
      </c>
      <c r="CI1306">
        <v>734.4</v>
      </c>
      <c r="CJ1306">
        <v>638.6</v>
      </c>
      <c r="CK1306">
        <v>30000</v>
      </c>
      <c r="CL1306" t="s">
        <v>99</v>
      </c>
      <c r="CM1306" t="s">
        <v>98</v>
      </c>
      <c r="CN1306" t="s">
        <v>3236</v>
      </c>
      <c r="CO1306" s="1">
        <v>41729</v>
      </c>
      <c r="CP1306" s="1">
        <v>43633</v>
      </c>
    </row>
    <row r="1307" spans="1:94" x14ac:dyDescent="0.25">
      <c r="A1307" t="s">
        <v>4204</v>
      </c>
      <c r="B1307" t="str">
        <f xml:space="preserve"> "" &amp; 747396090931</f>
        <v>747396090931</v>
      </c>
      <c r="C1307" t="s">
        <v>3332</v>
      </c>
      <c r="D1307" t="s">
        <v>4199</v>
      </c>
      <c r="E1307" t="s">
        <v>4200</v>
      </c>
      <c r="F1307" t="s">
        <v>3188</v>
      </c>
      <c r="G1307">
        <v>1</v>
      </c>
      <c r="H1307">
        <v>1</v>
      </c>
      <c r="I1307" t="s">
        <v>97</v>
      </c>
      <c r="J1307" s="10">
        <v>109</v>
      </c>
      <c r="K1307" s="10">
        <v>327</v>
      </c>
      <c r="L1307" s="10">
        <v>0</v>
      </c>
      <c r="N1307" s="10">
        <v>0</v>
      </c>
      <c r="O1307" t="s">
        <v>99</v>
      </c>
      <c r="P1307" s="10">
        <v>219.95</v>
      </c>
      <c r="S1307">
        <v>15.75</v>
      </c>
      <c r="U1307">
        <v>9</v>
      </c>
      <c r="V1307">
        <v>8.25</v>
      </c>
      <c r="W1307">
        <v>4.5</v>
      </c>
      <c r="Y1307">
        <v>18.25</v>
      </c>
      <c r="Z1307">
        <v>12.25</v>
      </c>
      <c r="AA1307">
        <v>10.5</v>
      </c>
      <c r="AB1307">
        <v>1.3580000000000001</v>
      </c>
      <c r="AC1307">
        <v>6.13</v>
      </c>
      <c r="AE1307">
        <v>1</v>
      </c>
      <c r="AF1307" t="s">
        <v>3776</v>
      </c>
      <c r="AG1307">
        <v>13</v>
      </c>
      <c r="AK1307" t="s">
        <v>99</v>
      </c>
      <c r="AM1307" t="s">
        <v>98</v>
      </c>
      <c r="AN1307" t="s">
        <v>99</v>
      </c>
      <c r="AO1307" t="s">
        <v>98</v>
      </c>
      <c r="AP1307" t="s">
        <v>100</v>
      </c>
      <c r="AQ1307" t="s">
        <v>101</v>
      </c>
      <c r="AV1307" t="s">
        <v>98</v>
      </c>
      <c r="AX1307" t="s">
        <v>3182</v>
      </c>
      <c r="AZ1307" t="s">
        <v>102</v>
      </c>
      <c r="BB1307" t="s">
        <v>235</v>
      </c>
      <c r="BC1307" t="s">
        <v>1304</v>
      </c>
      <c r="BD1307" t="s">
        <v>7528</v>
      </c>
      <c r="BF1307" t="s">
        <v>4205</v>
      </c>
      <c r="BG1307" t="s">
        <v>98</v>
      </c>
      <c r="BH1307" t="s">
        <v>98</v>
      </c>
      <c r="BI1307" t="s">
        <v>98</v>
      </c>
      <c r="BJ1307" t="s">
        <v>99</v>
      </c>
      <c r="BK1307" t="s">
        <v>453</v>
      </c>
      <c r="BL1307" t="s">
        <v>7528</v>
      </c>
      <c r="BM1307">
        <v>5</v>
      </c>
      <c r="BN1307">
        <v>8</v>
      </c>
      <c r="CA1307">
        <v>73103</v>
      </c>
      <c r="CB1307" t="s">
        <v>3182</v>
      </c>
      <c r="CG1307">
        <v>3000</v>
      </c>
      <c r="CH1307">
        <v>92</v>
      </c>
      <c r="CI1307">
        <v>734.4</v>
      </c>
      <c r="CJ1307">
        <v>638.6</v>
      </c>
      <c r="CK1307">
        <v>30000</v>
      </c>
      <c r="CL1307" t="s">
        <v>99</v>
      </c>
      <c r="CM1307" t="s">
        <v>98</v>
      </c>
      <c r="CN1307" t="s">
        <v>3448</v>
      </c>
      <c r="CO1307" s="1">
        <v>41727</v>
      </c>
      <c r="CP1307" s="1">
        <v>43633</v>
      </c>
    </row>
    <row r="1308" spans="1:94" x14ac:dyDescent="0.25">
      <c r="A1308" t="s">
        <v>4206</v>
      </c>
      <c r="B1308" t="str">
        <f xml:space="preserve"> "" &amp; 747396090948</f>
        <v>747396090948</v>
      </c>
      <c r="C1308" t="s">
        <v>3594</v>
      </c>
      <c r="D1308" t="s">
        <v>4207</v>
      </c>
      <c r="E1308" t="s">
        <v>4200</v>
      </c>
      <c r="F1308" t="s">
        <v>3188</v>
      </c>
      <c r="G1308">
        <v>1</v>
      </c>
      <c r="H1308">
        <v>1</v>
      </c>
      <c r="I1308" t="s">
        <v>97</v>
      </c>
      <c r="J1308" s="10">
        <v>85</v>
      </c>
      <c r="K1308" s="10">
        <v>255</v>
      </c>
      <c r="L1308" s="10">
        <v>0</v>
      </c>
      <c r="N1308" s="10">
        <v>0</v>
      </c>
      <c r="O1308" t="s">
        <v>99</v>
      </c>
      <c r="P1308" s="10">
        <v>169.95</v>
      </c>
      <c r="S1308">
        <v>15</v>
      </c>
      <c r="T1308">
        <v>10</v>
      </c>
      <c r="U1308">
        <v>7</v>
      </c>
      <c r="V1308">
        <v>6</v>
      </c>
      <c r="W1308">
        <v>2.95</v>
      </c>
      <c r="Y1308">
        <v>17.5</v>
      </c>
      <c r="Z1308">
        <v>10</v>
      </c>
      <c r="AA1308">
        <v>9</v>
      </c>
      <c r="AB1308">
        <v>0.91100000000000003</v>
      </c>
      <c r="AC1308">
        <v>4.41</v>
      </c>
      <c r="AE1308">
        <v>1</v>
      </c>
      <c r="AF1308" t="s">
        <v>3776</v>
      </c>
      <c r="AG1308">
        <v>13</v>
      </c>
      <c r="AK1308" t="s">
        <v>99</v>
      </c>
      <c r="AM1308" t="s">
        <v>98</v>
      </c>
      <c r="AN1308" t="s">
        <v>99</v>
      </c>
      <c r="AO1308" t="s">
        <v>98</v>
      </c>
      <c r="AP1308" t="s">
        <v>100</v>
      </c>
      <c r="AQ1308" t="s">
        <v>101</v>
      </c>
      <c r="AV1308" t="s">
        <v>98</v>
      </c>
      <c r="AX1308" t="s">
        <v>3182</v>
      </c>
      <c r="AZ1308" t="s">
        <v>102</v>
      </c>
      <c r="BB1308" t="s">
        <v>235</v>
      </c>
      <c r="BC1308" t="s">
        <v>1304</v>
      </c>
      <c r="BD1308" t="s">
        <v>7528</v>
      </c>
      <c r="BF1308" t="s">
        <v>4208</v>
      </c>
      <c r="BG1308" t="s">
        <v>98</v>
      </c>
      <c r="BH1308" t="s">
        <v>98</v>
      </c>
      <c r="BI1308" t="s">
        <v>98</v>
      </c>
      <c r="BJ1308" t="s">
        <v>99</v>
      </c>
      <c r="BK1308" t="s">
        <v>453</v>
      </c>
      <c r="BL1308" t="s">
        <v>7528</v>
      </c>
      <c r="CA1308">
        <v>73106</v>
      </c>
      <c r="CB1308" t="s">
        <v>3182</v>
      </c>
      <c r="CG1308">
        <v>3000</v>
      </c>
      <c r="CH1308">
        <v>92</v>
      </c>
      <c r="CI1308">
        <v>734.4</v>
      </c>
      <c r="CJ1308">
        <v>638.6</v>
      </c>
      <c r="CK1308">
        <v>30000</v>
      </c>
      <c r="CL1308" t="s">
        <v>99</v>
      </c>
      <c r="CM1308" t="s">
        <v>98</v>
      </c>
      <c r="CN1308" t="s">
        <v>3236</v>
      </c>
      <c r="CO1308" s="1">
        <v>41729</v>
      </c>
      <c r="CP1308" s="1">
        <v>43633</v>
      </c>
    </row>
    <row r="1309" spans="1:94" x14ac:dyDescent="0.25">
      <c r="A1309" t="s">
        <v>4209</v>
      </c>
      <c r="B1309" t="str">
        <f xml:space="preserve"> "" &amp; 747396056883</f>
        <v>747396056883</v>
      </c>
      <c r="C1309" t="s">
        <v>230</v>
      </c>
      <c r="D1309" t="s">
        <v>6854</v>
      </c>
      <c r="E1309" t="s">
        <v>4210</v>
      </c>
      <c r="F1309" t="s">
        <v>232</v>
      </c>
      <c r="G1309">
        <v>1</v>
      </c>
      <c r="H1309">
        <v>1</v>
      </c>
      <c r="I1309" t="s">
        <v>97</v>
      </c>
      <c r="J1309" s="10">
        <v>39</v>
      </c>
      <c r="K1309" s="10">
        <v>117</v>
      </c>
      <c r="L1309" s="10">
        <v>0</v>
      </c>
      <c r="N1309" s="10">
        <v>0</v>
      </c>
      <c r="O1309" t="s">
        <v>99</v>
      </c>
      <c r="P1309" s="10">
        <v>79.95</v>
      </c>
      <c r="S1309">
        <v>11</v>
      </c>
      <c r="U1309">
        <v>8.5</v>
      </c>
      <c r="V1309">
        <v>4.5</v>
      </c>
      <c r="W1309">
        <v>2.76</v>
      </c>
      <c r="X1309">
        <v>1</v>
      </c>
      <c r="Y1309">
        <v>8.5</v>
      </c>
      <c r="Z1309">
        <v>13.5</v>
      </c>
      <c r="AA1309">
        <v>11</v>
      </c>
      <c r="AB1309">
        <v>0.73</v>
      </c>
      <c r="AC1309">
        <v>4.08</v>
      </c>
      <c r="AE1309">
        <v>1</v>
      </c>
      <c r="AF1309" t="s">
        <v>466</v>
      </c>
      <c r="AG1309">
        <v>100</v>
      </c>
      <c r="AH1309">
        <v>0</v>
      </c>
      <c r="AJ1309">
        <v>0</v>
      </c>
      <c r="AK1309" t="s">
        <v>98</v>
      </c>
      <c r="AM1309" t="s">
        <v>98</v>
      </c>
      <c r="AN1309" t="s">
        <v>98</v>
      </c>
      <c r="AO1309" t="s">
        <v>99</v>
      </c>
      <c r="AP1309" t="s">
        <v>100</v>
      </c>
      <c r="AQ1309" t="s">
        <v>101</v>
      </c>
      <c r="AV1309" t="s">
        <v>98</v>
      </c>
      <c r="AX1309" t="s">
        <v>4211</v>
      </c>
      <c r="AZ1309" t="s">
        <v>124</v>
      </c>
      <c r="BB1309" t="s">
        <v>235</v>
      </c>
      <c r="BC1309" t="s">
        <v>7619</v>
      </c>
      <c r="BD1309" t="s">
        <v>7528</v>
      </c>
      <c r="BF1309" t="s">
        <v>4212</v>
      </c>
      <c r="BG1309" t="s">
        <v>98</v>
      </c>
      <c r="BH1309" t="s">
        <v>98</v>
      </c>
      <c r="BI1309" t="s">
        <v>98</v>
      </c>
      <c r="BK1309" t="s">
        <v>127</v>
      </c>
      <c r="BL1309" t="s">
        <v>236</v>
      </c>
      <c r="BR1309">
        <v>5</v>
      </c>
      <c r="BT1309">
        <v>7.13</v>
      </c>
      <c r="CA1309">
        <v>734</v>
      </c>
      <c r="CB1309" t="s">
        <v>4211</v>
      </c>
      <c r="CL1309" t="s">
        <v>99</v>
      </c>
      <c r="CM1309" t="s">
        <v>98</v>
      </c>
      <c r="CN1309" t="s">
        <v>442</v>
      </c>
      <c r="CO1309" s="1">
        <v>38912</v>
      </c>
      <c r="CP1309" s="1">
        <v>43633</v>
      </c>
    </row>
    <row r="1310" spans="1:94" x14ac:dyDescent="0.25">
      <c r="A1310" t="s">
        <v>4213</v>
      </c>
      <c r="B1310" t="str">
        <f xml:space="preserve"> "" &amp; 747396015187</f>
        <v>747396015187</v>
      </c>
      <c r="C1310" t="s">
        <v>243</v>
      </c>
      <c r="D1310" t="s">
        <v>6855</v>
      </c>
      <c r="E1310" t="s">
        <v>4214</v>
      </c>
      <c r="F1310" t="s">
        <v>240</v>
      </c>
      <c r="G1310">
        <v>1</v>
      </c>
      <c r="H1310">
        <v>1</v>
      </c>
      <c r="I1310" t="s">
        <v>97</v>
      </c>
      <c r="J1310" s="10">
        <v>50</v>
      </c>
      <c r="K1310" s="10">
        <v>150</v>
      </c>
      <c r="L1310" s="10">
        <v>0</v>
      </c>
      <c r="N1310" s="10">
        <v>0</v>
      </c>
      <c r="S1310">
        <v>30.5</v>
      </c>
      <c r="T1310">
        <v>23.5</v>
      </c>
      <c r="U1310">
        <v>23.5</v>
      </c>
      <c r="W1310">
        <v>14.75</v>
      </c>
      <c r="X1310">
        <v>1</v>
      </c>
      <c r="Y1310">
        <v>12</v>
      </c>
      <c r="Z1310">
        <v>27</v>
      </c>
      <c r="AA1310">
        <v>18</v>
      </c>
      <c r="AB1310">
        <v>3.375</v>
      </c>
      <c r="AC1310">
        <v>18.739999999999998</v>
      </c>
      <c r="AE1310">
        <v>3</v>
      </c>
      <c r="AF1310" t="s">
        <v>466</v>
      </c>
      <c r="AG1310">
        <v>60</v>
      </c>
      <c r="AH1310">
        <v>0</v>
      </c>
      <c r="AK1310" t="s">
        <v>98</v>
      </c>
      <c r="AM1310" t="s">
        <v>98</v>
      </c>
      <c r="AN1310" t="s">
        <v>99</v>
      </c>
      <c r="AO1310" t="s">
        <v>98</v>
      </c>
      <c r="AP1310" t="s">
        <v>100</v>
      </c>
      <c r="AQ1310" t="s">
        <v>101</v>
      </c>
      <c r="AV1310" t="s">
        <v>98</v>
      </c>
      <c r="AX1310" t="s">
        <v>4215</v>
      </c>
      <c r="AZ1310" t="s">
        <v>124</v>
      </c>
      <c r="BB1310" t="s">
        <v>235</v>
      </c>
      <c r="BC1310" t="s">
        <v>4216</v>
      </c>
      <c r="BD1310" t="s">
        <v>4217</v>
      </c>
      <c r="BF1310" t="s">
        <v>4218</v>
      </c>
      <c r="BG1310" t="s">
        <v>98</v>
      </c>
      <c r="BH1310" t="s">
        <v>98</v>
      </c>
      <c r="BI1310" t="s">
        <v>98</v>
      </c>
      <c r="BK1310" t="s">
        <v>110</v>
      </c>
      <c r="BL1310" t="s">
        <v>128</v>
      </c>
      <c r="BR1310">
        <v>1.25</v>
      </c>
      <c r="BT1310">
        <v>5.25</v>
      </c>
      <c r="CA1310">
        <v>773</v>
      </c>
      <c r="CB1310" t="s">
        <v>4215</v>
      </c>
      <c r="CL1310" t="s">
        <v>99</v>
      </c>
      <c r="CM1310" t="s">
        <v>99</v>
      </c>
      <c r="CN1310" t="s">
        <v>513</v>
      </c>
      <c r="CO1310" s="1">
        <v>39720</v>
      </c>
      <c r="CP1310" s="1">
        <v>43633</v>
      </c>
    </row>
    <row r="1311" spans="1:94" x14ac:dyDescent="0.25">
      <c r="A1311" t="s">
        <v>4219</v>
      </c>
      <c r="B1311" t="str">
        <f xml:space="preserve"> "" &amp; 747396049533</f>
        <v>747396049533</v>
      </c>
      <c r="C1311" t="s">
        <v>4220</v>
      </c>
      <c r="D1311" t="s">
        <v>6856</v>
      </c>
      <c r="E1311" t="s">
        <v>7528</v>
      </c>
      <c r="F1311" t="s">
        <v>2823</v>
      </c>
      <c r="G1311">
        <v>1</v>
      </c>
      <c r="H1311">
        <v>1</v>
      </c>
      <c r="I1311" t="s">
        <v>97</v>
      </c>
      <c r="J1311" s="10">
        <v>64.95</v>
      </c>
      <c r="K1311" s="10">
        <v>194.85</v>
      </c>
      <c r="L1311" s="10">
        <v>0</v>
      </c>
      <c r="N1311" s="10">
        <v>0</v>
      </c>
      <c r="S1311">
        <v>96</v>
      </c>
      <c r="T1311">
        <v>3</v>
      </c>
      <c r="U1311">
        <v>3</v>
      </c>
      <c r="W1311">
        <v>5.78</v>
      </c>
      <c r="X1311">
        <v>1</v>
      </c>
      <c r="Y1311">
        <v>3.75</v>
      </c>
      <c r="Z1311">
        <v>97.5</v>
      </c>
      <c r="AA1311">
        <v>3.75</v>
      </c>
      <c r="AB1311">
        <v>0.79300000000000004</v>
      </c>
      <c r="AC1311">
        <v>7.67</v>
      </c>
      <c r="AE1311">
        <v>0</v>
      </c>
      <c r="AF1311" t="s">
        <v>7528</v>
      </c>
      <c r="AG1311">
        <v>0</v>
      </c>
      <c r="AH1311">
        <v>0</v>
      </c>
      <c r="AJ1311">
        <v>0</v>
      </c>
      <c r="AK1311" t="s">
        <v>98</v>
      </c>
      <c r="AM1311" t="s">
        <v>98</v>
      </c>
      <c r="AN1311" t="s">
        <v>98</v>
      </c>
      <c r="AO1311" t="s">
        <v>98</v>
      </c>
      <c r="AP1311" t="s">
        <v>259</v>
      </c>
      <c r="AQ1311" t="s">
        <v>101</v>
      </c>
      <c r="AV1311" t="s">
        <v>98</v>
      </c>
      <c r="AX1311" t="s">
        <v>4221</v>
      </c>
      <c r="AZ1311" t="s">
        <v>7528</v>
      </c>
      <c r="BB1311" t="s">
        <v>7528</v>
      </c>
      <c r="BC1311" t="s">
        <v>7528</v>
      </c>
      <c r="BD1311" t="s">
        <v>7528</v>
      </c>
      <c r="BF1311" t="s">
        <v>4222</v>
      </c>
      <c r="BG1311" t="s">
        <v>98</v>
      </c>
      <c r="BH1311" t="s">
        <v>98</v>
      </c>
      <c r="BI1311" t="s">
        <v>98</v>
      </c>
      <c r="BK1311" t="e">
        <v>#N/A</v>
      </c>
      <c r="BL1311" t="s">
        <v>7528</v>
      </c>
      <c r="BR1311">
        <v>0</v>
      </c>
      <c r="BT1311">
        <v>0</v>
      </c>
      <c r="CA1311">
        <v>7900</v>
      </c>
      <c r="CB1311" t="s">
        <v>4221</v>
      </c>
      <c r="CG1311">
        <v>0</v>
      </c>
      <c r="CL1311" t="s">
        <v>98</v>
      </c>
      <c r="CM1311" t="s">
        <v>98</v>
      </c>
      <c r="CN1311" t="s">
        <v>3227</v>
      </c>
      <c r="CO1311" s="1">
        <v>38484</v>
      </c>
      <c r="CP1311" s="1">
        <v>43633</v>
      </c>
    </row>
    <row r="1312" spans="1:94" x14ac:dyDescent="0.25">
      <c r="A1312" t="s">
        <v>4223</v>
      </c>
      <c r="B1312" t="str">
        <f xml:space="preserve"> "" &amp; 747396049540</f>
        <v>747396049540</v>
      </c>
      <c r="C1312" t="s">
        <v>4220</v>
      </c>
      <c r="D1312" t="s">
        <v>6856</v>
      </c>
      <c r="E1312" t="s">
        <v>7528</v>
      </c>
      <c r="F1312" t="s">
        <v>2823</v>
      </c>
      <c r="G1312">
        <v>1</v>
      </c>
      <c r="H1312">
        <v>1</v>
      </c>
      <c r="I1312" t="s">
        <v>97</v>
      </c>
      <c r="J1312" s="10">
        <v>64.95</v>
      </c>
      <c r="K1312" s="10">
        <v>194.85</v>
      </c>
      <c r="L1312" s="10">
        <v>0</v>
      </c>
      <c r="N1312" s="10">
        <v>0</v>
      </c>
      <c r="S1312">
        <v>96</v>
      </c>
      <c r="T1312">
        <v>3</v>
      </c>
      <c r="U1312">
        <v>3</v>
      </c>
      <c r="W1312">
        <v>5.78</v>
      </c>
      <c r="X1312">
        <v>1</v>
      </c>
      <c r="Y1312">
        <v>3.75</v>
      </c>
      <c r="Z1312">
        <v>97.5</v>
      </c>
      <c r="AA1312">
        <v>3.75</v>
      </c>
      <c r="AB1312">
        <v>0.79300000000000004</v>
      </c>
      <c r="AC1312">
        <v>7.67</v>
      </c>
      <c r="AE1312">
        <v>0</v>
      </c>
      <c r="AF1312" t="s">
        <v>7528</v>
      </c>
      <c r="AG1312">
        <v>0</v>
      </c>
      <c r="AH1312">
        <v>0</v>
      </c>
      <c r="AJ1312">
        <v>0</v>
      </c>
      <c r="AK1312" t="s">
        <v>98</v>
      </c>
      <c r="AM1312" t="s">
        <v>98</v>
      </c>
      <c r="AN1312" t="s">
        <v>98</v>
      </c>
      <c r="AO1312" t="s">
        <v>98</v>
      </c>
      <c r="AP1312" t="s">
        <v>100</v>
      </c>
      <c r="AQ1312" t="s">
        <v>101</v>
      </c>
      <c r="AV1312" t="s">
        <v>98</v>
      </c>
      <c r="AX1312" t="s">
        <v>234</v>
      </c>
      <c r="AZ1312" t="s">
        <v>7528</v>
      </c>
      <c r="BB1312" t="s">
        <v>7528</v>
      </c>
      <c r="BC1312" t="s">
        <v>7528</v>
      </c>
      <c r="BD1312" t="s">
        <v>7528</v>
      </c>
      <c r="BF1312" t="s">
        <v>4224</v>
      </c>
      <c r="BG1312" t="s">
        <v>98</v>
      </c>
      <c r="BH1312" t="s">
        <v>98</v>
      </c>
      <c r="BI1312" t="s">
        <v>98</v>
      </c>
      <c r="BK1312" t="e">
        <v>#N/A</v>
      </c>
      <c r="BL1312" t="s">
        <v>7528</v>
      </c>
      <c r="BR1312">
        <v>0</v>
      </c>
      <c r="BT1312">
        <v>0</v>
      </c>
      <c r="CA1312">
        <v>7900</v>
      </c>
      <c r="CB1312" t="s">
        <v>234</v>
      </c>
      <c r="CG1312">
        <v>0</v>
      </c>
      <c r="CL1312" t="s">
        <v>98</v>
      </c>
      <c r="CM1312" t="s">
        <v>98</v>
      </c>
      <c r="CN1312" t="s">
        <v>3227</v>
      </c>
      <c r="CO1312" s="1">
        <v>38484</v>
      </c>
      <c r="CP1312" s="1">
        <v>43633</v>
      </c>
    </row>
    <row r="1313" spans="1:94" x14ac:dyDescent="0.25">
      <c r="A1313" t="s">
        <v>4225</v>
      </c>
      <c r="B1313" t="str">
        <f xml:space="preserve"> "" &amp; 747396049472</f>
        <v>747396049472</v>
      </c>
      <c r="C1313" t="s">
        <v>4220</v>
      </c>
      <c r="D1313" t="s">
        <v>6856</v>
      </c>
      <c r="E1313" t="s">
        <v>7528</v>
      </c>
      <c r="F1313" t="s">
        <v>2823</v>
      </c>
      <c r="G1313">
        <v>1</v>
      </c>
      <c r="H1313">
        <v>1</v>
      </c>
      <c r="I1313" t="s">
        <v>97</v>
      </c>
      <c r="J1313" s="10">
        <v>64.95</v>
      </c>
      <c r="K1313" s="10">
        <v>194.85</v>
      </c>
      <c r="L1313" s="10">
        <v>0</v>
      </c>
      <c r="N1313" s="10">
        <v>0</v>
      </c>
      <c r="S1313">
        <v>96</v>
      </c>
      <c r="T1313">
        <v>3</v>
      </c>
      <c r="U1313">
        <v>3</v>
      </c>
      <c r="W1313">
        <v>5.78</v>
      </c>
      <c r="X1313">
        <v>1</v>
      </c>
      <c r="Y1313">
        <v>3.75</v>
      </c>
      <c r="Z1313">
        <v>97.5</v>
      </c>
      <c r="AA1313">
        <v>3.75</v>
      </c>
      <c r="AB1313">
        <v>0.79300000000000004</v>
      </c>
      <c r="AC1313">
        <v>7.67</v>
      </c>
      <c r="AE1313">
        <v>0</v>
      </c>
      <c r="AF1313" t="s">
        <v>7528</v>
      </c>
      <c r="AG1313">
        <v>0</v>
      </c>
      <c r="AH1313">
        <v>0</v>
      </c>
      <c r="AJ1313">
        <v>0</v>
      </c>
      <c r="AK1313" t="s">
        <v>98</v>
      </c>
      <c r="AM1313" t="s">
        <v>98</v>
      </c>
      <c r="AN1313" t="s">
        <v>98</v>
      </c>
      <c r="AO1313" t="s">
        <v>98</v>
      </c>
      <c r="AP1313" t="s">
        <v>100</v>
      </c>
      <c r="AQ1313" t="s">
        <v>101</v>
      </c>
      <c r="AV1313" t="s">
        <v>98</v>
      </c>
      <c r="AX1313" t="s">
        <v>4226</v>
      </c>
      <c r="AZ1313" t="s">
        <v>7528</v>
      </c>
      <c r="BB1313" t="s">
        <v>7528</v>
      </c>
      <c r="BC1313" t="s">
        <v>7528</v>
      </c>
      <c r="BD1313" t="s">
        <v>7528</v>
      </c>
      <c r="BF1313" t="s">
        <v>4227</v>
      </c>
      <c r="BG1313" t="s">
        <v>98</v>
      </c>
      <c r="BH1313" t="s">
        <v>98</v>
      </c>
      <c r="BI1313" t="s">
        <v>98</v>
      </c>
      <c r="BK1313" t="e">
        <v>#N/A</v>
      </c>
      <c r="BL1313" t="s">
        <v>7528</v>
      </c>
      <c r="BR1313">
        <v>0</v>
      </c>
      <c r="BT1313">
        <v>0</v>
      </c>
      <c r="CA1313">
        <v>7900</v>
      </c>
      <c r="CB1313" t="s">
        <v>4226</v>
      </c>
      <c r="CG1313">
        <v>0</v>
      </c>
      <c r="CL1313" t="s">
        <v>98</v>
      </c>
      <c r="CM1313" t="s">
        <v>98</v>
      </c>
      <c r="CN1313" t="s">
        <v>3227</v>
      </c>
      <c r="CO1313" s="1">
        <v>38484</v>
      </c>
      <c r="CP1313" s="1">
        <v>43633</v>
      </c>
    </row>
    <row r="1314" spans="1:94" x14ac:dyDescent="0.25">
      <c r="A1314" t="s">
        <v>4228</v>
      </c>
      <c r="B1314" t="str">
        <f xml:space="preserve"> "" &amp; 747396049489</f>
        <v>747396049489</v>
      </c>
      <c r="C1314" t="s">
        <v>4220</v>
      </c>
      <c r="D1314" t="s">
        <v>6856</v>
      </c>
      <c r="E1314" t="s">
        <v>7528</v>
      </c>
      <c r="F1314" t="s">
        <v>2823</v>
      </c>
      <c r="G1314">
        <v>1</v>
      </c>
      <c r="H1314">
        <v>1</v>
      </c>
      <c r="I1314" t="s">
        <v>97</v>
      </c>
      <c r="J1314" s="10">
        <v>64.95</v>
      </c>
      <c r="K1314" s="10">
        <v>194.85</v>
      </c>
      <c r="L1314" s="10">
        <v>0</v>
      </c>
      <c r="N1314" s="10">
        <v>0</v>
      </c>
      <c r="S1314">
        <v>96</v>
      </c>
      <c r="T1314">
        <v>3</v>
      </c>
      <c r="U1314">
        <v>3</v>
      </c>
      <c r="W1314">
        <v>5.78</v>
      </c>
      <c r="X1314">
        <v>1</v>
      </c>
      <c r="Y1314">
        <v>0</v>
      </c>
      <c r="Z1314">
        <v>0</v>
      </c>
      <c r="AA1314">
        <v>0</v>
      </c>
      <c r="AB1314">
        <v>0</v>
      </c>
      <c r="AC1314">
        <v>7.67</v>
      </c>
      <c r="AE1314">
        <v>0</v>
      </c>
      <c r="AF1314" t="s">
        <v>7528</v>
      </c>
      <c r="AG1314">
        <v>0</v>
      </c>
      <c r="AH1314">
        <v>0</v>
      </c>
      <c r="AJ1314">
        <v>0</v>
      </c>
      <c r="AK1314" t="s">
        <v>98</v>
      </c>
      <c r="AM1314" t="s">
        <v>98</v>
      </c>
      <c r="AN1314" t="s">
        <v>98</v>
      </c>
      <c r="AO1314" t="s">
        <v>98</v>
      </c>
      <c r="AP1314" t="s">
        <v>259</v>
      </c>
      <c r="AQ1314" t="s">
        <v>101</v>
      </c>
      <c r="AV1314" t="s">
        <v>98</v>
      </c>
      <c r="AX1314" t="s">
        <v>164</v>
      </c>
      <c r="AZ1314" t="s">
        <v>7528</v>
      </c>
      <c r="BB1314" t="s">
        <v>7528</v>
      </c>
      <c r="BC1314" t="s">
        <v>7528</v>
      </c>
      <c r="BD1314" t="s">
        <v>7528</v>
      </c>
      <c r="BF1314" t="s">
        <v>4229</v>
      </c>
      <c r="BG1314" t="s">
        <v>98</v>
      </c>
      <c r="BH1314" t="s">
        <v>98</v>
      </c>
      <c r="BI1314" t="s">
        <v>98</v>
      </c>
      <c r="BK1314" t="e">
        <v>#N/A</v>
      </c>
      <c r="BL1314" t="s">
        <v>7528</v>
      </c>
      <c r="BR1314">
        <v>0</v>
      </c>
      <c r="BT1314">
        <v>0</v>
      </c>
      <c r="CA1314">
        <v>7900</v>
      </c>
      <c r="CB1314" t="s">
        <v>164</v>
      </c>
      <c r="CG1314">
        <v>0</v>
      </c>
      <c r="CL1314" t="s">
        <v>98</v>
      </c>
      <c r="CM1314" t="s">
        <v>98</v>
      </c>
      <c r="CN1314" t="s">
        <v>3227</v>
      </c>
      <c r="CO1314" s="1">
        <v>38484</v>
      </c>
      <c r="CP1314" s="1">
        <v>43633</v>
      </c>
    </row>
    <row r="1315" spans="1:94" x14ac:dyDescent="0.25">
      <c r="A1315" t="s">
        <v>4230</v>
      </c>
      <c r="B1315" t="str">
        <f xml:space="preserve"> "" &amp; 747396049496</f>
        <v>747396049496</v>
      </c>
      <c r="C1315" t="s">
        <v>4220</v>
      </c>
      <c r="D1315" t="s">
        <v>6856</v>
      </c>
      <c r="E1315" t="s">
        <v>7528</v>
      </c>
      <c r="F1315" t="s">
        <v>2823</v>
      </c>
      <c r="G1315">
        <v>1</v>
      </c>
      <c r="H1315">
        <v>1</v>
      </c>
      <c r="I1315" t="s">
        <v>97</v>
      </c>
      <c r="J1315" s="10">
        <v>64.95</v>
      </c>
      <c r="K1315" s="10">
        <v>194.85</v>
      </c>
      <c r="L1315" s="10">
        <v>0</v>
      </c>
      <c r="N1315" s="10">
        <v>0</v>
      </c>
      <c r="S1315">
        <v>96</v>
      </c>
      <c r="T1315">
        <v>3</v>
      </c>
      <c r="U1315">
        <v>3</v>
      </c>
      <c r="W1315">
        <v>5.78</v>
      </c>
      <c r="X1315">
        <v>1</v>
      </c>
      <c r="Y1315">
        <v>3.75</v>
      </c>
      <c r="Z1315">
        <v>97.5</v>
      </c>
      <c r="AA1315">
        <v>3.75</v>
      </c>
      <c r="AB1315">
        <v>0.79300000000000004</v>
      </c>
      <c r="AC1315">
        <v>7.67</v>
      </c>
      <c r="AE1315">
        <v>0</v>
      </c>
      <c r="AF1315" t="s">
        <v>7528</v>
      </c>
      <c r="AG1315">
        <v>0</v>
      </c>
      <c r="AH1315">
        <v>0</v>
      </c>
      <c r="AJ1315">
        <v>0</v>
      </c>
      <c r="AK1315" t="s">
        <v>98</v>
      </c>
      <c r="AM1315" t="s">
        <v>98</v>
      </c>
      <c r="AN1315" t="s">
        <v>98</v>
      </c>
      <c r="AO1315" t="s">
        <v>98</v>
      </c>
      <c r="AP1315" t="s">
        <v>100</v>
      </c>
      <c r="AQ1315" t="s">
        <v>101</v>
      </c>
      <c r="AV1315" t="s">
        <v>98</v>
      </c>
      <c r="AX1315" t="s">
        <v>3202</v>
      </c>
      <c r="AZ1315" t="s">
        <v>7528</v>
      </c>
      <c r="BB1315" t="s">
        <v>7528</v>
      </c>
      <c r="BC1315" t="s">
        <v>7528</v>
      </c>
      <c r="BD1315" t="s">
        <v>7528</v>
      </c>
      <c r="BF1315" t="s">
        <v>4231</v>
      </c>
      <c r="BG1315" t="s">
        <v>98</v>
      </c>
      <c r="BH1315" t="s">
        <v>98</v>
      </c>
      <c r="BI1315" t="s">
        <v>98</v>
      </c>
      <c r="BK1315" t="e">
        <v>#N/A</v>
      </c>
      <c r="BL1315" t="s">
        <v>7528</v>
      </c>
      <c r="BR1315">
        <v>0</v>
      </c>
      <c r="BT1315">
        <v>0</v>
      </c>
      <c r="CA1315">
        <v>7900</v>
      </c>
      <c r="CB1315" t="s">
        <v>3202</v>
      </c>
      <c r="CG1315">
        <v>0</v>
      </c>
      <c r="CL1315" t="s">
        <v>98</v>
      </c>
      <c r="CM1315" t="s">
        <v>98</v>
      </c>
      <c r="CN1315" t="s">
        <v>3227</v>
      </c>
      <c r="CO1315" s="1">
        <v>38484</v>
      </c>
      <c r="CP1315" s="1">
        <v>43633</v>
      </c>
    </row>
    <row r="1316" spans="1:94" x14ac:dyDescent="0.25">
      <c r="A1316" t="s">
        <v>4232</v>
      </c>
      <c r="B1316" t="str">
        <f xml:space="preserve"> "" &amp; 747396049502</f>
        <v>747396049502</v>
      </c>
      <c r="C1316" t="s">
        <v>4220</v>
      </c>
      <c r="D1316" t="s">
        <v>4220</v>
      </c>
      <c r="E1316" t="s">
        <v>7528</v>
      </c>
      <c r="F1316" t="s">
        <v>2823</v>
      </c>
      <c r="G1316">
        <v>1</v>
      </c>
      <c r="H1316">
        <v>1</v>
      </c>
      <c r="I1316" t="s">
        <v>97</v>
      </c>
      <c r="J1316" s="10">
        <v>64.95</v>
      </c>
      <c r="K1316" s="10">
        <v>194.85</v>
      </c>
      <c r="L1316" s="10">
        <v>0</v>
      </c>
      <c r="N1316" s="10">
        <v>0</v>
      </c>
      <c r="S1316">
        <v>96</v>
      </c>
      <c r="T1316">
        <v>3</v>
      </c>
      <c r="U1316">
        <v>3</v>
      </c>
      <c r="W1316">
        <v>5.78</v>
      </c>
      <c r="X1316">
        <v>1</v>
      </c>
      <c r="Y1316">
        <v>3.75</v>
      </c>
      <c r="Z1316">
        <v>97.5</v>
      </c>
      <c r="AA1316">
        <v>3.75</v>
      </c>
      <c r="AB1316">
        <v>0.79300000000000004</v>
      </c>
      <c r="AC1316">
        <v>7.67</v>
      </c>
      <c r="AE1316">
        <v>0</v>
      </c>
      <c r="AF1316" t="s">
        <v>7528</v>
      </c>
      <c r="AG1316">
        <v>0</v>
      </c>
      <c r="AH1316">
        <v>0</v>
      </c>
      <c r="AJ1316">
        <v>0</v>
      </c>
      <c r="AK1316" t="s">
        <v>98</v>
      </c>
      <c r="AM1316" t="s">
        <v>98</v>
      </c>
      <c r="AN1316" t="s">
        <v>98</v>
      </c>
      <c r="AO1316" t="s">
        <v>98</v>
      </c>
      <c r="AP1316" t="s">
        <v>100</v>
      </c>
      <c r="AQ1316" t="s">
        <v>101</v>
      </c>
      <c r="AV1316" t="s">
        <v>98</v>
      </c>
      <c r="AX1316" t="s">
        <v>4233</v>
      </c>
      <c r="AZ1316" t="s">
        <v>7528</v>
      </c>
      <c r="BB1316" t="s">
        <v>7528</v>
      </c>
      <c r="BC1316" t="s">
        <v>7528</v>
      </c>
      <c r="BD1316" t="s">
        <v>7528</v>
      </c>
      <c r="BF1316" t="s">
        <v>4234</v>
      </c>
      <c r="BG1316" t="s">
        <v>98</v>
      </c>
      <c r="BH1316" t="s">
        <v>98</v>
      </c>
      <c r="BI1316" t="s">
        <v>98</v>
      </c>
      <c r="BK1316" t="e">
        <v>#N/A</v>
      </c>
      <c r="BL1316" t="s">
        <v>7528</v>
      </c>
      <c r="BR1316">
        <v>0</v>
      </c>
      <c r="BT1316">
        <v>0</v>
      </c>
      <c r="CA1316">
        <v>7900</v>
      </c>
      <c r="CB1316" t="s">
        <v>4233</v>
      </c>
      <c r="CG1316">
        <v>0</v>
      </c>
      <c r="CL1316" t="s">
        <v>98</v>
      </c>
      <c r="CM1316" t="s">
        <v>98</v>
      </c>
      <c r="CN1316" t="s">
        <v>3227</v>
      </c>
      <c r="CO1316" s="1">
        <v>38484</v>
      </c>
      <c r="CP1316" s="1">
        <v>43633</v>
      </c>
    </row>
    <row r="1317" spans="1:94" x14ac:dyDescent="0.25">
      <c r="A1317" t="s">
        <v>4235</v>
      </c>
      <c r="B1317" t="str">
        <f xml:space="preserve"> "" &amp; 747396043210</f>
        <v>747396043210</v>
      </c>
      <c r="C1317" t="s">
        <v>4220</v>
      </c>
      <c r="D1317" t="s">
        <v>6856</v>
      </c>
      <c r="E1317" t="s">
        <v>7528</v>
      </c>
      <c r="F1317" t="s">
        <v>2823</v>
      </c>
      <c r="G1317">
        <v>1</v>
      </c>
      <c r="H1317">
        <v>1</v>
      </c>
      <c r="I1317" t="s">
        <v>97</v>
      </c>
      <c r="J1317" s="10">
        <v>99</v>
      </c>
      <c r="K1317" s="10">
        <v>297</v>
      </c>
      <c r="L1317" s="10">
        <v>0</v>
      </c>
      <c r="N1317" s="10">
        <v>0</v>
      </c>
      <c r="S1317">
        <v>102.5</v>
      </c>
      <c r="T1317">
        <v>54</v>
      </c>
      <c r="U1317">
        <v>3.5</v>
      </c>
      <c r="W1317">
        <v>8.4</v>
      </c>
      <c r="X1317">
        <v>1</v>
      </c>
      <c r="Y1317">
        <v>7.1</v>
      </c>
      <c r="Z1317">
        <v>54</v>
      </c>
      <c r="AA1317">
        <v>4.33</v>
      </c>
      <c r="AB1317">
        <v>0.96099999999999997</v>
      </c>
      <c r="AC1317">
        <v>10.25</v>
      </c>
      <c r="AE1317">
        <v>0</v>
      </c>
      <c r="AF1317" t="s">
        <v>7528</v>
      </c>
      <c r="AG1317">
        <v>0</v>
      </c>
      <c r="AH1317">
        <v>0</v>
      </c>
      <c r="AK1317" t="s">
        <v>98</v>
      </c>
      <c r="AM1317" t="s">
        <v>98</v>
      </c>
      <c r="AN1317" t="s">
        <v>98</v>
      </c>
      <c r="AO1317" t="s">
        <v>98</v>
      </c>
      <c r="AP1317" t="s">
        <v>259</v>
      </c>
      <c r="AQ1317" t="s">
        <v>101</v>
      </c>
      <c r="AV1317" t="s">
        <v>98</v>
      </c>
      <c r="AX1317" t="s">
        <v>4236</v>
      </c>
      <c r="AZ1317" t="s">
        <v>7528</v>
      </c>
      <c r="BB1317" t="s">
        <v>7528</v>
      </c>
      <c r="BC1317" t="s">
        <v>7528</v>
      </c>
      <c r="BD1317" t="s">
        <v>7528</v>
      </c>
      <c r="BF1317" t="s">
        <v>4237</v>
      </c>
      <c r="BG1317" t="s">
        <v>98</v>
      </c>
      <c r="BH1317" t="s">
        <v>98</v>
      </c>
      <c r="BI1317" t="s">
        <v>98</v>
      </c>
      <c r="BJ1317" t="s">
        <v>99</v>
      </c>
      <c r="BK1317" t="s">
        <v>453</v>
      </c>
      <c r="BL1317" t="s">
        <v>7528</v>
      </c>
      <c r="BR1317">
        <v>0</v>
      </c>
      <c r="BT1317">
        <v>0</v>
      </c>
      <c r="CA1317">
        <v>7901</v>
      </c>
      <c r="CB1317" t="s">
        <v>4236</v>
      </c>
      <c r="CG1317">
        <v>0</v>
      </c>
      <c r="CL1317" t="s">
        <v>98</v>
      </c>
      <c r="CM1317" t="s">
        <v>98</v>
      </c>
      <c r="CN1317" t="s">
        <v>3227</v>
      </c>
      <c r="CO1317" s="1">
        <v>39694</v>
      </c>
      <c r="CP1317" s="1">
        <v>43633</v>
      </c>
    </row>
    <row r="1318" spans="1:94" x14ac:dyDescent="0.25">
      <c r="A1318" t="s">
        <v>4238</v>
      </c>
      <c r="B1318" t="str">
        <f xml:space="preserve"> "" &amp; 747396023021</f>
        <v>747396023021</v>
      </c>
      <c r="C1318" t="s">
        <v>4220</v>
      </c>
      <c r="D1318" t="s">
        <v>6856</v>
      </c>
      <c r="E1318" t="s">
        <v>7528</v>
      </c>
      <c r="F1318" t="s">
        <v>2823</v>
      </c>
      <c r="G1318">
        <v>1</v>
      </c>
      <c r="H1318">
        <v>1</v>
      </c>
      <c r="I1318" t="s">
        <v>97</v>
      </c>
      <c r="J1318" s="10">
        <v>99</v>
      </c>
      <c r="K1318" s="10">
        <v>297</v>
      </c>
      <c r="L1318" s="10">
        <v>0</v>
      </c>
      <c r="N1318" s="10">
        <v>0</v>
      </c>
      <c r="S1318">
        <v>102.5</v>
      </c>
      <c r="T1318">
        <v>54</v>
      </c>
      <c r="U1318">
        <v>3.5</v>
      </c>
      <c r="W1318">
        <v>8.4</v>
      </c>
      <c r="X1318">
        <v>1</v>
      </c>
      <c r="Y1318">
        <v>7.1</v>
      </c>
      <c r="Z1318">
        <v>54</v>
      </c>
      <c r="AA1318">
        <v>4.33</v>
      </c>
      <c r="AB1318">
        <v>0.96099999999999997</v>
      </c>
      <c r="AC1318">
        <v>10.25</v>
      </c>
      <c r="AE1318">
        <v>0</v>
      </c>
      <c r="AF1318" t="s">
        <v>4239</v>
      </c>
      <c r="AG1318">
        <v>0</v>
      </c>
      <c r="AH1318">
        <v>0</v>
      </c>
      <c r="AK1318" t="s">
        <v>98</v>
      </c>
      <c r="AM1318" t="s">
        <v>98</v>
      </c>
      <c r="AN1318" t="s">
        <v>98</v>
      </c>
      <c r="AO1318" t="s">
        <v>98</v>
      </c>
      <c r="AP1318" t="s">
        <v>259</v>
      </c>
      <c r="AQ1318" t="s">
        <v>101</v>
      </c>
      <c r="AV1318" t="s">
        <v>98</v>
      </c>
      <c r="AX1318" t="s">
        <v>164</v>
      </c>
      <c r="AZ1318" t="s">
        <v>7528</v>
      </c>
      <c r="BB1318" t="s">
        <v>7528</v>
      </c>
      <c r="BC1318" t="s">
        <v>7528</v>
      </c>
      <c r="BD1318" t="s">
        <v>7528</v>
      </c>
      <c r="BF1318" t="s">
        <v>4240</v>
      </c>
      <c r="BG1318" t="s">
        <v>98</v>
      </c>
      <c r="BH1318" t="s">
        <v>98</v>
      </c>
      <c r="BI1318" t="s">
        <v>98</v>
      </c>
      <c r="BK1318" t="s">
        <v>7528</v>
      </c>
      <c r="BL1318" t="s">
        <v>7528</v>
      </c>
      <c r="BR1318">
        <v>0</v>
      </c>
      <c r="BT1318">
        <v>0</v>
      </c>
      <c r="CA1318">
        <v>7901</v>
      </c>
      <c r="CB1318" t="s">
        <v>164</v>
      </c>
      <c r="CG1318">
        <v>0</v>
      </c>
      <c r="CL1318" t="s">
        <v>98</v>
      </c>
      <c r="CM1318" t="s">
        <v>98</v>
      </c>
      <c r="CN1318" t="s">
        <v>3227</v>
      </c>
      <c r="CO1318" s="1">
        <v>39678</v>
      </c>
      <c r="CP1318" s="1">
        <v>43633</v>
      </c>
    </row>
    <row r="1319" spans="1:94" x14ac:dyDescent="0.25">
      <c r="A1319" t="s">
        <v>4241</v>
      </c>
      <c r="B1319" t="str">
        <f xml:space="preserve"> "" &amp; 747396065359</f>
        <v>747396065359</v>
      </c>
      <c r="C1319" t="s">
        <v>4242</v>
      </c>
      <c r="D1319" t="s">
        <v>6857</v>
      </c>
      <c r="E1319" t="s">
        <v>4243</v>
      </c>
      <c r="F1319" t="s">
        <v>2823</v>
      </c>
      <c r="G1319">
        <v>1</v>
      </c>
      <c r="H1319">
        <v>1</v>
      </c>
      <c r="I1319" t="s">
        <v>97</v>
      </c>
      <c r="J1319" s="10">
        <v>149.94999999999999</v>
      </c>
      <c r="K1319" s="10">
        <v>449.85</v>
      </c>
      <c r="L1319" s="10">
        <v>0</v>
      </c>
      <c r="N1319" s="10">
        <v>0</v>
      </c>
      <c r="S1319">
        <v>83.25</v>
      </c>
      <c r="U1319">
        <v>10</v>
      </c>
      <c r="W1319">
        <v>16.09</v>
      </c>
      <c r="X1319">
        <v>1</v>
      </c>
      <c r="Y1319">
        <v>12.875</v>
      </c>
      <c r="Z1319">
        <v>34.875</v>
      </c>
      <c r="AA1319">
        <v>10.25</v>
      </c>
      <c r="AB1319">
        <v>2.6629999999999998</v>
      </c>
      <c r="AC1319">
        <v>20.04</v>
      </c>
      <c r="AE1319">
        <v>0</v>
      </c>
      <c r="AF1319" t="s">
        <v>7528</v>
      </c>
      <c r="AG1319">
        <v>0</v>
      </c>
      <c r="AH1319">
        <v>0</v>
      </c>
      <c r="AK1319" t="s">
        <v>98</v>
      </c>
      <c r="AM1319" t="s">
        <v>98</v>
      </c>
      <c r="AN1319" t="s">
        <v>98</v>
      </c>
      <c r="AO1319" t="s">
        <v>98</v>
      </c>
      <c r="AP1319" t="s">
        <v>100</v>
      </c>
      <c r="AQ1319" t="s">
        <v>101</v>
      </c>
      <c r="AV1319" t="s">
        <v>98</v>
      </c>
      <c r="AX1319" t="s">
        <v>4244</v>
      </c>
      <c r="AZ1319" t="s">
        <v>7528</v>
      </c>
      <c r="BB1319" t="s">
        <v>7528</v>
      </c>
      <c r="BC1319" t="s">
        <v>7528</v>
      </c>
      <c r="BD1319" t="s">
        <v>7528</v>
      </c>
      <c r="BF1319" t="s">
        <v>4245</v>
      </c>
      <c r="BG1319" t="s">
        <v>98</v>
      </c>
      <c r="BH1319" t="s">
        <v>98</v>
      </c>
      <c r="BI1319" t="s">
        <v>98</v>
      </c>
      <c r="BK1319" t="s">
        <v>7528</v>
      </c>
      <c r="BL1319" t="s">
        <v>7528</v>
      </c>
      <c r="BR1319">
        <v>0</v>
      </c>
      <c r="BT1319">
        <v>0</v>
      </c>
      <c r="CA1319">
        <v>7902</v>
      </c>
      <c r="CB1319" t="s">
        <v>4244</v>
      </c>
      <c r="CG1319">
        <v>0</v>
      </c>
      <c r="CL1319" t="s">
        <v>98</v>
      </c>
      <c r="CM1319" t="s">
        <v>98</v>
      </c>
      <c r="CN1319" t="s">
        <v>4246</v>
      </c>
      <c r="CO1319" s="1">
        <v>39393</v>
      </c>
      <c r="CP1319" s="1">
        <v>43633</v>
      </c>
    </row>
    <row r="1320" spans="1:94" x14ac:dyDescent="0.25">
      <c r="A1320" t="s">
        <v>4247</v>
      </c>
      <c r="B1320" t="str">
        <f xml:space="preserve"> "" &amp; 747396023083</f>
        <v>747396023083</v>
      </c>
      <c r="C1320" t="s">
        <v>4242</v>
      </c>
      <c r="D1320" t="s">
        <v>6857</v>
      </c>
      <c r="E1320" t="s">
        <v>4243</v>
      </c>
      <c r="F1320" t="s">
        <v>2823</v>
      </c>
      <c r="G1320">
        <v>1</v>
      </c>
      <c r="H1320">
        <v>1</v>
      </c>
      <c r="I1320" t="s">
        <v>97</v>
      </c>
      <c r="J1320" s="10">
        <v>159</v>
      </c>
      <c r="K1320" s="10">
        <v>477</v>
      </c>
      <c r="L1320" s="10">
        <v>0</v>
      </c>
      <c r="N1320" s="10">
        <v>0</v>
      </c>
      <c r="S1320">
        <v>83.25</v>
      </c>
      <c r="U1320">
        <v>10</v>
      </c>
      <c r="W1320">
        <v>16.09</v>
      </c>
      <c r="X1320">
        <v>1</v>
      </c>
      <c r="Y1320">
        <v>12.88</v>
      </c>
      <c r="Z1320">
        <v>34.880000000000003</v>
      </c>
      <c r="AA1320">
        <v>10.25</v>
      </c>
      <c r="AB1320">
        <v>2.665</v>
      </c>
      <c r="AC1320">
        <v>20.04</v>
      </c>
      <c r="AE1320">
        <v>0</v>
      </c>
      <c r="AF1320" t="s">
        <v>7528</v>
      </c>
      <c r="AG1320">
        <v>0</v>
      </c>
      <c r="AH1320">
        <v>0</v>
      </c>
      <c r="AK1320" t="s">
        <v>98</v>
      </c>
      <c r="AM1320" t="s">
        <v>98</v>
      </c>
      <c r="AN1320" t="s">
        <v>98</v>
      </c>
      <c r="AO1320" t="s">
        <v>98</v>
      </c>
      <c r="AP1320" t="s">
        <v>100</v>
      </c>
      <c r="AQ1320" t="s">
        <v>101</v>
      </c>
      <c r="AV1320" t="s">
        <v>98</v>
      </c>
      <c r="AX1320" t="s">
        <v>4226</v>
      </c>
      <c r="AZ1320" t="s">
        <v>7528</v>
      </c>
      <c r="BB1320" t="s">
        <v>7528</v>
      </c>
      <c r="BC1320" t="s">
        <v>7528</v>
      </c>
      <c r="BD1320" t="s">
        <v>7528</v>
      </c>
      <c r="BF1320" t="s">
        <v>4248</v>
      </c>
      <c r="BG1320" t="s">
        <v>98</v>
      </c>
      <c r="BH1320" t="s">
        <v>98</v>
      </c>
      <c r="BI1320" t="s">
        <v>98</v>
      </c>
      <c r="BK1320" t="s">
        <v>7528</v>
      </c>
      <c r="BL1320" t="s">
        <v>7528</v>
      </c>
      <c r="BR1320">
        <v>0</v>
      </c>
      <c r="BT1320">
        <v>0</v>
      </c>
      <c r="CA1320">
        <v>7902</v>
      </c>
      <c r="CB1320" t="s">
        <v>4226</v>
      </c>
      <c r="CG1320">
        <v>0</v>
      </c>
      <c r="CL1320" t="s">
        <v>98</v>
      </c>
      <c r="CM1320" t="s">
        <v>98</v>
      </c>
      <c r="CN1320" t="s">
        <v>4246</v>
      </c>
      <c r="CO1320" s="1">
        <v>39393</v>
      </c>
      <c r="CP1320" s="1">
        <v>43633</v>
      </c>
    </row>
    <row r="1321" spans="1:94" x14ac:dyDescent="0.25">
      <c r="A1321" t="s">
        <v>4249</v>
      </c>
      <c r="B1321" t="str">
        <f xml:space="preserve"> "" &amp; 747396023113</f>
        <v>747396023113</v>
      </c>
      <c r="C1321" t="s">
        <v>4242</v>
      </c>
      <c r="D1321" t="s">
        <v>6857</v>
      </c>
      <c r="E1321" t="s">
        <v>4243</v>
      </c>
      <c r="F1321" t="s">
        <v>2823</v>
      </c>
      <c r="G1321">
        <v>1</v>
      </c>
      <c r="H1321">
        <v>1</v>
      </c>
      <c r="I1321" t="s">
        <v>97</v>
      </c>
      <c r="J1321" s="10">
        <v>159</v>
      </c>
      <c r="K1321" s="10">
        <v>477</v>
      </c>
      <c r="L1321" s="10">
        <v>0</v>
      </c>
      <c r="N1321" s="10">
        <v>0</v>
      </c>
      <c r="S1321">
        <v>83.25</v>
      </c>
      <c r="U1321">
        <v>10</v>
      </c>
      <c r="W1321">
        <v>16.09</v>
      </c>
      <c r="X1321">
        <v>1</v>
      </c>
      <c r="Y1321">
        <v>12.875</v>
      </c>
      <c r="Z1321">
        <v>34.875</v>
      </c>
      <c r="AA1321">
        <v>10.25</v>
      </c>
      <c r="AB1321">
        <v>2.6629999999999998</v>
      </c>
      <c r="AC1321">
        <v>20.04</v>
      </c>
      <c r="AE1321">
        <v>0</v>
      </c>
      <c r="AF1321" t="s">
        <v>7528</v>
      </c>
      <c r="AG1321">
        <v>0</v>
      </c>
      <c r="AH1321">
        <v>0</v>
      </c>
      <c r="AK1321" t="s">
        <v>98</v>
      </c>
      <c r="AM1321" t="s">
        <v>98</v>
      </c>
      <c r="AN1321" t="s">
        <v>98</v>
      </c>
      <c r="AO1321" t="s">
        <v>98</v>
      </c>
      <c r="AP1321" t="s">
        <v>259</v>
      </c>
      <c r="AQ1321" t="s">
        <v>101</v>
      </c>
      <c r="AV1321" t="s">
        <v>98</v>
      </c>
      <c r="AX1321" t="s">
        <v>164</v>
      </c>
      <c r="AZ1321" t="s">
        <v>7528</v>
      </c>
      <c r="BB1321" t="s">
        <v>7528</v>
      </c>
      <c r="BC1321" t="s">
        <v>7528</v>
      </c>
      <c r="BD1321" t="s">
        <v>7528</v>
      </c>
      <c r="BF1321" t="s">
        <v>4250</v>
      </c>
      <c r="BG1321" t="s">
        <v>98</v>
      </c>
      <c r="BH1321" t="s">
        <v>98</v>
      </c>
      <c r="BI1321" t="s">
        <v>98</v>
      </c>
      <c r="BK1321" t="s">
        <v>7528</v>
      </c>
      <c r="BL1321" t="s">
        <v>7528</v>
      </c>
      <c r="BR1321">
        <v>0</v>
      </c>
      <c r="BT1321">
        <v>0</v>
      </c>
      <c r="CA1321">
        <v>7902</v>
      </c>
      <c r="CB1321" t="s">
        <v>164</v>
      </c>
      <c r="CG1321">
        <v>0</v>
      </c>
      <c r="CL1321" t="s">
        <v>98</v>
      </c>
      <c r="CM1321" t="s">
        <v>98</v>
      </c>
      <c r="CN1321" t="s">
        <v>4246</v>
      </c>
      <c r="CO1321" s="1">
        <v>39393</v>
      </c>
      <c r="CP1321" s="1">
        <v>43633</v>
      </c>
    </row>
    <row r="1322" spans="1:94" x14ac:dyDescent="0.25">
      <c r="A1322" t="s">
        <v>4251</v>
      </c>
      <c r="B1322" t="str">
        <f xml:space="preserve"> "" &amp; 747396023137</f>
        <v>747396023137</v>
      </c>
      <c r="C1322" t="s">
        <v>4242</v>
      </c>
      <c r="D1322" t="s">
        <v>6857</v>
      </c>
      <c r="E1322" t="s">
        <v>4243</v>
      </c>
      <c r="F1322" t="s">
        <v>2823</v>
      </c>
      <c r="G1322">
        <v>1</v>
      </c>
      <c r="H1322">
        <v>1</v>
      </c>
      <c r="I1322" t="s">
        <v>97</v>
      </c>
      <c r="J1322" s="10">
        <v>159</v>
      </c>
      <c r="K1322" s="10">
        <v>477</v>
      </c>
      <c r="L1322" s="10">
        <v>0</v>
      </c>
      <c r="N1322" s="10">
        <v>0</v>
      </c>
      <c r="S1322">
        <v>83.25</v>
      </c>
      <c r="U1322">
        <v>10</v>
      </c>
      <c r="W1322">
        <v>16.09</v>
      </c>
      <c r="X1322">
        <v>1</v>
      </c>
      <c r="Y1322">
        <v>12.88</v>
      </c>
      <c r="Z1322">
        <v>34.880000000000003</v>
      </c>
      <c r="AA1322">
        <v>10.25</v>
      </c>
      <c r="AB1322">
        <v>2.665</v>
      </c>
      <c r="AC1322">
        <v>20.04</v>
      </c>
      <c r="AE1322">
        <v>0</v>
      </c>
      <c r="AF1322" t="s">
        <v>7528</v>
      </c>
      <c r="AG1322">
        <v>0</v>
      </c>
      <c r="AH1322">
        <v>0</v>
      </c>
      <c r="AK1322" t="s">
        <v>98</v>
      </c>
      <c r="AM1322" t="s">
        <v>98</v>
      </c>
      <c r="AN1322" t="s">
        <v>98</v>
      </c>
      <c r="AO1322" t="s">
        <v>98</v>
      </c>
      <c r="AP1322" t="s">
        <v>259</v>
      </c>
      <c r="AQ1322" t="s">
        <v>101</v>
      </c>
      <c r="AV1322" t="s">
        <v>98</v>
      </c>
      <c r="AX1322" t="s">
        <v>4233</v>
      </c>
      <c r="AZ1322" t="s">
        <v>7528</v>
      </c>
      <c r="BB1322" t="s">
        <v>7528</v>
      </c>
      <c r="BC1322" t="s">
        <v>7528</v>
      </c>
      <c r="BD1322" t="s">
        <v>7528</v>
      </c>
      <c r="BF1322" t="s">
        <v>4252</v>
      </c>
      <c r="BG1322" t="s">
        <v>98</v>
      </c>
      <c r="BH1322" t="s">
        <v>98</v>
      </c>
      <c r="BI1322" t="s">
        <v>98</v>
      </c>
      <c r="BK1322" t="s">
        <v>7528</v>
      </c>
      <c r="BL1322" t="s">
        <v>7528</v>
      </c>
      <c r="BR1322">
        <v>0</v>
      </c>
      <c r="BT1322">
        <v>0</v>
      </c>
      <c r="CA1322">
        <v>7902</v>
      </c>
      <c r="CB1322" t="s">
        <v>4233</v>
      </c>
      <c r="CG1322">
        <v>0</v>
      </c>
      <c r="CL1322" t="s">
        <v>98</v>
      </c>
      <c r="CM1322" t="s">
        <v>98</v>
      </c>
      <c r="CN1322" t="s">
        <v>4246</v>
      </c>
      <c r="CO1322" s="1">
        <v>39393</v>
      </c>
      <c r="CP1322" s="1">
        <v>43633</v>
      </c>
    </row>
    <row r="1323" spans="1:94" x14ac:dyDescent="0.25">
      <c r="A1323" t="s">
        <v>4253</v>
      </c>
      <c r="B1323" t="str">
        <f xml:space="preserve"> "" &amp; 747396023175</f>
        <v>747396023175</v>
      </c>
      <c r="C1323" t="s">
        <v>4242</v>
      </c>
      <c r="D1323" t="s">
        <v>6857</v>
      </c>
      <c r="E1323" t="s">
        <v>4243</v>
      </c>
      <c r="F1323" t="s">
        <v>2823</v>
      </c>
      <c r="G1323">
        <v>1</v>
      </c>
      <c r="H1323">
        <v>1</v>
      </c>
      <c r="I1323" t="s">
        <v>97</v>
      </c>
      <c r="J1323" s="10">
        <v>335</v>
      </c>
      <c r="K1323" s="10">
        <v>1005</v>
      </c>
      <c r="L1323" s="10">
        <v>0</v>
      </c>
      <c r="N1323" s="10">
        <v>0</v>
      </c>
      <c r="S1323">
        <v>96</v>
      </c>
      <c r="U1323">
        <v>13</v>
      </c>
      <c r="W1323">
        <v>34.57</v>
      </c>
      <c r="X1323">
        <v>1</v>
      </c>
      <c r="Y1323">
        <v>17.13</v>
      </c>
      <c r="Z1323">
        <v>36.22</v>
      </c>
      <c r="AA1323">
        <v>17.75</v>
      </c>
      <c r="AB1323">
        <v>6.3730000000000002</v>
      </c>
      <c r="AC1323">
        <v>39.99</v>
      </c>
      <c r="AE1323">
        <v>0</v>
      </c>
      <c r="AF1323" t="s">
        <v>7528</v>
      </c>
      <c r="AG1323">
        <v>0</v>
      </c>
      <c r="AH1323">
        <v>0</v>
      </c>
      <c r="AK1323" t="s">
        <v>98</v>
      </c>
      <c r="AM1323" t="s">
        <v>98</v>
      </c>
      <c r="AN1323" t="s">
        <v>98</v>
      </c>
      <c r="AO1323" t="s">
        <v>98</v>
      </c>
      <c r="AP1323" t="s">
        <v>259</v>
      </c>
      <c r="AQ1323" t="s">
        <v>101</v>
      </c>
      <c r="AV1323" t="s">
        <v>98</v>
      </c>
      <c r="AX1323" t="s">
        <v>164</v>
      </c>
      <c r="AZ1323" t="s">
        <v>7528</v>
      </c>
      <c r="BB1323" t="s">
        <v>7528</v>
      </c>
      <c r="BC1323" t="s">
        <v>7528</v>
      </c>
      <c r="BD1323" t="s">
        <v>7528</v>
      </c>
      <c r="BF1323" t="s">
        <v>4254</v>
      </c>
      <c r="BG1323" t="s">
        <v>98</v>
      </c>
      <c r="BH1323" t="s">
        <v>98</v>
      </c>
      <c r="BI1323" t="s">
        <v>98</v>
      </c>
      <c r="BK1323" t="s">
        <v>7528</v>
      </c>
      <c r="BL1323" t="s">
        <v>7528</v>
      </c>
      <c r="BR1323">
        <v>0</v>
      </c>
      <c r="BT1323">
        <v>0</v>
      </c>
      <c r="CA1323">
        <v>7907</v>
      </c>
      <c r="CB1323" t="s">
        <v>164</v>
      </c>
      <c r="CG1323">
        <v>0</v>
      </c>
      <c r="CL1323" t="s">
        <v>98</v>
      </c>
      <c r="CM1323" t="s">
        <v>98</v>
      </c>
      <c r="CN1323" t="s">
        <v>4255</v>
      </c>
      <c r="CO1323" s="1">
        <v>39393</v>
      </c>
      <c r="CP1323" s="1">
        <v>43633</v>
      </c>
    </row>
    <row r="1324" spans="1:94" x14ac:dyDescent="0.25">
      <c r="A1324" t="s">
        <v>4256</v>
      </c>
      <c r="B1324" t="str">
        <f xml:space="preserve"> "" &amp; 747396023243</f>
        <v>747396023243</v>
      </c>
      <c r="C1324" t="s">
        <v>4257</v>
      </c>
      <c r="D1324" t="s">
        <v>6858</v>
      </c>
      <c r="E1324" t="s">
        <v>7528</v>
      </c>
      <c r="F1324" t="s">
        <v>2823</v>
      </c>
      <c r="G1324">
        <v>1</v>
      </c>
      <c r="H1324">
        <v>1</v>
      </c>
      <c r="I1324" t="s">
        <v>97</v>
      </c>
      <c r="J1324" s="10">
        <v>56</v>
      </c>
      <c r="K1324" s="10">
        <v>168</v>
      </c>
      <c r="L1324" s="10">
        <v>0</v>
      </c>
      <c r="N1324" s="10">
        <v>0</v>
      </c>
      <c r="S1324">
        <v>9</v>
      </c>
      <c r="U1324">
        <v>8.25</v>
      </c>
      <c r="W1324">
        <v>3.53</v>
      </c>
      <c r="X1324">
        <v>1</v>
      </c>
      <c r="Y1324">
        <v>11.5</v>
      </c>
      <c r="Z1324">
        <v>9.5</v>
      </c>
      <c r="AA1324">
        <v>9.5</v>
      </c>
      <c r="AB1324">
        <v>0.60099999999999998</v>
      </c>
      <c r="AC1324">
        <v>5.07</v>
      </c>
      <c r="AE1324">
        <v>0</v>
      </c>
      <c r="AF1324" t="s">
        <v>7528</v>
      </c>
      <c r="AG1324">
        <v>0</v>
      </c>
      <c r="AH1324">
        <v>0</v>
      </c>
      <c r="AJ1324">
        <v>0</v>
      </c>
      <c r="AK1324" t="s">
        <v>98</v>
      </c>
      <c r="AM1324" t="s">
        <v>98</v>
      </c>
      <c r="AN1324" t="s">
        <v>98</v>
      </c>
      <c r="AO1324" t="s">
        <v>98</v>
      </c>
      <c r="AP1324" t="s">
        <v>100</v>
      </c>
      <c r="AQ1324" t="s">
        <v>101</v>
      </c>
      <c r="AV1324" t="s">
        <v>98</v>
      </c>
      <c r="AX1324" t="s">
        <v>164</v>
      </c>
      <c r="AZ1324" t="s">
        <v>7528</v>
      </c>
      <c r="BB1324" t="s">
        <v>7528</v>
      </c>
      <c r="BC1324" t="s">
        <v>7528</v>
      </c>
      <c r="BD1324" t="s">
        <v>7528</v>
      </c>
      <c r="BF1324" t="s">
        <v>4258</v>
      </c>
      <c r="BG1324" t="s">
        <v>98</v>
      </c>
      <c r="BH1324" t="s">
        <v>98</v>
      </c>
      <c r="BI1324" t="s">
        <v>98</v>
      </c>
      <c r="BK1324" t="s">
        <v>7528</v>
      </c>
      <c r="BL1324" t="s">
        <v>7528</v>
      </c>
      <c r="BR1324">
        <v>0</v>
      </c>
      <c r="BT1324">
        <v>0</v>
      </c>
      <c r="CA1324">
        <v>7910</v>
      </c>
      <c r="CB1324" t="s">
        <v>164</v>
      </c>
      <c r="CG1324">
        <v>0</v>
      </c>
      <c r="CL1324" t="s">
        <v>98</v>
      </c>
      <c r="CM1324" t="s">
        <v>98</v>
      </c>
      <c r="CN1324" t="s">
        <v>4259</v>
      </c>
      <c r="CO1324" s="1">
        <v>38545</v>
      </c>
      <c r="CP1324" s="1">
        <v>43633</v>
      </c>
    </row>
    <row r="1325" spans="1:94" x14ac:dyDescent="0.25">
      <c r="A1325" t="s">
        <v>4260</v>
      </c>
      <c r="B1325" t="str">
        <f xml:space="preserve"> "" &amp; 747396049571</f>
        <v>747396049571</v>
      </c>
      <c r="C1325" t="s">
        <v>4257</v>
      </c>
      <c r="D1325" t="s">
        <v>6858</v>
      </c>
      <c r="E1325" t="s">
        <v>7528</v>
      </c>
      <c r="F1325" t="s">
        <v>2823</v>
      </c>
      <c r="G1325">
        <v>1</v>
      </c>
      <c r="H1325">
        <v>1</v>
      </c>
      <c r="I1325" t="s">
        <v>97</v>
      </c>
      <c r="J1325" s="10">
        <v>11.75</v>
      </c>
      <c r="K1325" s="10">
        <v>35.25</v>
      </c>
      <c r="L1325" s="10">
        <v>0</v>
      </c>
      <c r="N1325" s="10">
        <v>0</v>
      </c>
      <c r="S1325">
        <v>3.5</v>
      </c>
      <c r="T1325">
        <v>5.75</v>
      </c>
      <c r="U1325">
        <v>5.75</v>
      </c>
      <c r="W1325">
        <v>0.44</v>
      </c>
      <c r="X1325">
        <v>1</v>
      </c>
      <c r="Y1325">
        <v>4</v>
      </c>
      <c r="Z1325">
        <v>6.38</v>
      </c>
      <c r="AA1325">
        <v>6.38</v>
      </c>
      <c r="AB1325">
        <v>9.4E-2</v>
      </c>
      <c r="AC1325">
        <v>0.77</v>
      </c>
      <c r="AE1325">
        <v>0</v>
      </c>
      <c r="AF1325" t="s">
        <v>7528</v>
      </c>
      <c r="AG1325">
        <v>0</v>
      </c>
      <c r="AH1325">
        <v>0</v>
      </c>
      <c r="AJ1325">
        <v>0</v>
      </c>
      <c r="AK1325" t="s">
        <v>98</v>
      </c>
      <c r="AM1325" t="s">
        <v>98</v>
      </c>
      <c r="AN1325" t="s">
        <v>98</v>
      </c>
      <c r="AO1325" t="s">
        <v>98</v>
      </c>
      <c r="AP1325" t="s">
        <v>100</v>
      </c>
      <c r="AQ1325" t="s">
        <v>101</v>
      </c>
      <c r="AV1325" t="s">
        <v>98</v>
      </c>
      <c r="AX1325" t="s">
        <v>4261</v>
      </c>
      <c r="AZ1325" t="s">
        <v>7528</v>
      </c>
      <c r="BB1325" t="s">
        <v>7528</v>
      </c>
      <c r="BC1325" t="s">
        <v>7528</v>
      </c>
      <c r="BD1325" t="s">
        <v>7528</v>
      </c>
      <c r="BF1325" t="s">
        <v>4262</v>
      </c>
      <c r="BG1325" t="s">
        <v>98</v>
      </c>
      <c r="BH1325" t="s">
        <v>98</v>
      </c>
      <c r="BI1325" t="s">
        <v>98</v>
      </c>
      <c r="BK1325" t="s">
        <v>7528</v>
      </c>
      <c r="BL1325" t="s">
        <v>7528</v>
      </c>
      <c r="BR1325">
        <v>0</v>
      </c>
      <c r="BT1325">
        <v>0</v>
      </c>
      <c r="CA1325">
        <v>7930</v>
      </c>
      <c r="CB1325" t="s">
        <v>4261</v>
      </c>
      <c r="CG1325">
        <v>0</v>
      </c>
      <c r="CL1325" t="s">
        <v>98</v>
      </c>
      <c r="CM1325" t="s">
        <v>98</v>
      </c>
      <c r="CN1325" t="s">
        <v>3218</v>
      </c>
      <c r="CO1325" s="1">
        <v>39393</v>
      </c>
      <c r="CP1325" s="1">
        <v>43633</v>
      </c>
    </row>
    <row r="1326" spans="1:94" x14ac:dyDescent="0.25">
      <c r="A1326" t="s">
        <v>4263</v>
      </c>
      <c r="B1326" t="str">
        <f xml:space="preserve"> "" &amp; 747396049564</f>
        <v>747396049564</v>
      </c>
      <c r="C1326" t="s">
        <v>4257</v>
      </c>
      <c r="D1326" t="s">
        <v>6858</v>
      </c>
      <c r="E1326" t="s">
        <v>7528</v>
      </c>
      <c r="F1326" t="s">
        <v>2823</v>
      </c>
      <c r="G1326">
        <v>1</v>
      </c>
      <c r="H1326">
        <v>1</v>
      </c>
      <c r="I1326" t="s">
        <v>97</v>
      </c>
      <c r="J1326" s="10">
        <v>11.75</v>
      </c>
      <c r="K1326" s="10">
        <v>35.25</v>
      </c>
      <c r="L1326" s="10">
        <v>0</v>
      </c>
      <c r="N1326" s="10">
        <v>0</v>
      </c>
      <c r="S1326">
        <v>3.5</v>
      </c>
      <c r="T1326">
        <v>5.75</v>
      </c>
      <c r="U1326">
        <v>5.75</v>
      </c>
      <c r="W1326">
        <v>0.62</v>
      </c>
      <c r="X1326">
        <v>1</v>
      </c>
      <c r="Y1326">
        <v>4</v>
      </c>
      <c r="Z1326">
        <v>6.38</v>
      </c>
      <c r="AA1326">
        <v>6.38</v>
      </c>
      <c r="AB1326">
        <v>9.4E-2</v>
      </c>
      <c r="AC1326">
        <v>0.84</v>
      </c>
      <c r="AE1326">
        <v>0</v>
      </c>
      <c r="AF1326" t="s">
        <v>7528</v>
      </c>
      <c r="AG1326">
        <v>0</v>
      </c>
      <c r="AH1326">
        <v>0</v>
      </c>
      <c r="AJ1326">
        <v>0</v>
      </c>
      <c r="AK1326" t="s">
        <v>98</v>
      </c>
      <c r="AM1326" t="s">
        <v>98</v>
      </c>
      <c r="AN1326" t="s">
        <v>98</v>
      </c>
      <c r="AO1326" t="s">
        <v>98</v>
      </c>
      <c r="AP1326" t="s">
        <v>100</v>
      </c>
      <c r="AQ1326" t="s">
        <v>101</v>
      </c>
      <c r="AV1326" t="s">
        <v>98</v>
      </c>
      <c r="AX1326" t="s">
        <v>4221</v>
      </c>
      <c r="AZ1326" t="s">
        <v>7528</v>
      </c>
      <c r="BB1326" t="s">
        <v>7528</v>
      </c>
      <c r="BC1326" t="s">
        <v>7528</v>
      </c>
      <c r="BD1326" t="s">
        <v>7528</v>
      </c>
      <c r="BF1326" t="s">
        <v>4264</v>
      </c>
      <c r="BG1326" t="s">
        <v>98</v>
      </c>
      <c r="BH1326" t="s">
        <v>98</v>
      </c>
      <c r="BI1326" t="s">
        <v>98</v>
      </c>
      <c r="BK1326" t="s">
        <v>7528</v>
      </c>
      <c r="BL1326" t="s">
        <v>7528</v>
      </c>
      <c r="BR1326">
        <v>0</v>
      </c>
      <c r="BT1326">
        <v>0</v>
      </c>
      <c r="CA1326">
        <v>7930</v>
      </c>
      <c r="CB1326" t="s">
        <v>4221</v>
      </c>
      <c r="CG1326">
        <v>0</v>
      </c>
      <c r="CL1326" t="s">
        <v>98</v>
      </c>
      <c r="CM1326" t="s">
        <v>98</v>
      </c>
      <c r="CN1326" t="s">
        <v>3218</v>
      </c>
      <c r="CO1326" s="1">
        <v>39393</v>
      </c>
      <c r="CP1326" s="1">
        <v>43633</v>
      </c>
    </row>
    <row r="1327" spans="1:94" x14ac:dyDescent="0.25">
      <c r="A1327" t="s">
        <v>4265</v>
      </c>
      <c r="B1327" t="str">
        <f xml:space="preserve"> "" &amp; 747396041209</f>
        <v>747396041209</v>
      </c>
      <c r="C1327" t="s">
        <v>4257</v>
      </c>
      <c r="D1327" t="s">
        <v>6858</v>
      </c>
      <c r="E1327" t="s">
        <v>7528</v>
      </c>
      <c r="F1327" t="s">
        <v>2823</v>
      </c>
      <c r="G1327">
        <v>1</v>
      </c>
      <c r="H1327">
        <v>1</v>
      </c>
      <c r="I1327" t="s">
        <v>97</v>
      </c>
      <c r="J1327" s="10">
        <v>11.75</v>
      </c>
      <c r="K1327" s="10">
        <v>35.25</v>
      </c>
      <c r="L1327" s="10">
        <v>0</v>
      </c>
      <c r="N1327" s="10">
        <v>0</v>
      </c>
      <c r="S1327">
        <v>3.5</v>
      </c>
      <c r="T1327">
        <v>5.75</v>
      </c>
      <c r="U1327">
        <v>5.75</v>
      </c>
      <c r="W1327">
        <v>0.44</v>
      </c>
      <c r="X1327">
        <v>1</v>
      </c>
      <c r="Y1327">
        <v>4</v>
      </c>
      <c r="Z1327">
        <v>6.38</v>
      </c>
      <c r="AA1327">
        <v>6.38</v>
      </c>
      <c r="AB1327">
        <v>9.4E-2</v>
      </c>
      <c r="AC1327">
        <v>0.77</v>
      </c>
      <c r="AE1327">
        <v>0</v>
      </c>
      <c r="AF1327" t="s">
        <v>7528</v>
      </c>
      <c r="AG1327">
        <v>0</v>
      </c>
      <c r="AH1327">
        <v>0</v>
      </c>
      <c r="AJ1327">
        <v>0</v>
      </c>
      <c r="AK1327" t="s">
        <v>98</v>
      </c>
      <c r="AM1327" t="s">
        <v>98</v>
      </c>
      <c r="AN1327" t="s">
        <v>98</v>
      </c>
      <c r="AO1327" t="s">
        <v>98</v>
      </c>
      <c r="AP1327" t="s">
        <v>100</v>
      </c>
      <c r="AQ1327" t="s">
        <v>101</v>
      </c>
      <c r="AV1327" t="s">
        <v>98</v>
      </c>
      <c r="AX1327" t="s">
        <v>234</v>
      </c>
      <c r="AZ1327" t="s">
        <v>7528</v>
      </c>
      <c r="BB1327" t="s">
        <v>7528</v>
      </c>
      <c r="BC1327" t="s">
        <v>7528</v>
      </c>
      <c r="BD1327" t="s">
        <v>7528</v>
      </c>
      <c r="BF1327" t="s">
        <v>4266</v>
      </c>
      <c r="BG1327" t="s">
        <v>98</v>
      </c>
      <c r="BH1327" t="s">
        <v>98</v>
      </c>
      <c r="BI1327" t="s">
        <v>98</v>
      </c>
      <c r="BK1327" t="s">
        <v>7528</v>
      </c>
      <c r="BL1327" t="s">
        <v>7528</v>
      </c>
      <c r="BR1327">
        <v>0</v>
      </c>
      <c r="BT1327">
        <v>0</v>
      </c>
      <c r="CA1327">
        <v>7930</v>
      </c>
      <c r="CB1327" t="s">
        <v>234</v>
      </c>
      <c r="CG1327">
        <v>0</v>
      </c>
      <c r="CL1327" t="s">
        <v>98</v>
      </c>
      <c r="CM1327" t="s">
        <v>98</v>
      </c>
      <c r="CN1327" t="s">
        <v>3218</v>
      </c>
      <c r="CO1327" s="1">
        <v>39393</v>
      </c>
      <c r="CP1327" s="1">
        <v>43633</v>
      </c>
    </row>
    <row r="1328" spans="1:94" x14ac:dyDescent="0.25">
      <c r="A1328" t="s">
        <v>4267</v>
      </c>
      <c r="B1328" t="str">
        <f xml:space="preserve"> "" &amp; 747396023311</f>
        <v>747396023311</v>
      </c>
      <c r="C1328" t="s">
        <v>4257</v>
      </c>
      <c r="D1328" t="s">
        <v>6858</v>
      </c>
      <c r="E1328" t="s">
        <v>7528</v>
      </c>
      <c r="F1328" t="s">
        <v>2823</v>
      </c>
      <c r="G1328">
        <v>1</v>
      </c>
      <c r="H1328">
        <v>1</v>
      </c>
      <c r="I1328" t="s">
        <v>97</v>
      </c>
      <c r="J1328" s="10">
        <v>11.75</v>
      </c>
      <c r="K1328" s="10">
        <v>35.25</v>
      </c>
      <c r="L1328" s="10">
        <v>0</v>
      </c>
      <c r="N1328" s="10">
        <v>0</v>
      </c>
      <c r="S1328">
        <v>3.5</v>
      </c>
      <c r="T1328">
        <v>5.75</v>
      </c>
      <c r="U1328">
        <v>5.75</v>
      </c>
      <c r="W1328">
        <v>0.44</v>
      </c>
      <c r="X1328">
        <v>1</v>
      </c>
      <c r="Y1328">
        <v>4</v>
      </c>
      <c r="Z1328">
        <v>6.38</v>
      </c>
      <c r="AA1328">
        <v>6.38</v>
      </c>
      <c r="AB1328">
        <v>9.4E-2</v>
      </c>
      <c r="AC1328">
        <v>0.77</v>
      </c>
      <c r="AE1328">
        <v>0</v>
      </c>
      <c r="AF1328" t="s">
        <v>7528</v>
      </c>
      <c r="AG1328">
        <v>0</v>
      </c>
      <c r="AH1328">
        <v>0</v>
      </c>
      <c r="AJ1328">
        <v>0</v>
      </c>
      <c r="AK1328" t="s">
        <v>98</v>
      </c>
      <c r="AM1328" t="s">
        <v>98</v>
      </c>
      <c r="AN1328" t="s">
        <v>98</v>
      </c>
      <c r="AO1328" t="s">
        <v>98</v>
      </c>
      <c r="AP1328" t="s">
        <v>100</v>
      </c>
      <c r="AQ1328" t="s">
        <v>101</v>
      </c>
      <c r="AV1328" t="s">
        <v>98</v>
      </c>
      <c r="AX1328" t="s">
        <v>4268</v>
      </c>
      <c r="AZ1328" t="s">
        <v>7528</v>
      </c>
      <c r="BB1328" t="s">
        <v>7528</v>
      </c>
      <c r="BC1328" t="s">
        <v>7528</v>
      </c>
      <c r="BD1328" t="s">
        <v>7528</v>
      </c>
      <c r="BF1328" t="s">
        <v>4269</v>
      </c>
      <c r="BG1328" t="s">
        <v>98</v>
      </c>
      <c r="BH1328" t="s">
        <v>98</v>
      </c>
      <c r="BI1328" t="s">
        <v>98</v>
      </c>
      <c r="BK1328" t="s">
        <v>7528</v>
      </c>
      <c r="BL1328" t="s">
        <v>7528</v>
      </c>
      <c r="BR1328">
        <v>0</v>
      </c>
      <c r="BT1328">
        <v>0</v>
      </c>
      <c r="CA1328">
        <v>7930</v>
      </c>
      <c r="CB1328" t="s">
        <v>4268</v>
      </c>
      <c r="CG1328">
        <v>0</v>
      </c>
      <c r="CL1328" t="s">
        <v>98</v>
      </c>
      <c r="CM1328" t="s">
        <v>98</v>
      </c>
      <c r="CN1328" t="s">
        <v>3218</v>
      </c>
      <c r="CO1328" s="1">
        <v>39595</v>
      </c>
      <c r="CP1328" s="1">
        <v>43633</v>
      </c>
    </row>
    <row r="1329" spans="1:94" x14ac:dyDescent="0.25">
      <c r="A1329" t="s">
        <v>4270</v>
      </c>
      <c r="B1329" t="str">
        <f xml:space="preserve"> "" &amp; 747396041216</f>
        <v>747396041216</v>
      </c>
      <c r="C1329" t="s">
        <v>4257</v>
      </c>
      <c r="D1329" t="s">
        <v>6858</v>
      </c>
      <c r="E1329" t="s">
        <v>7528</v>
      </c>
      <c r="F1329" t="s">
        <v>2823</v>
      </c>
      <c r="G1329">
        <v>1</v>
      </c>
      <c r="H1329">
        <v>1</v>
      </c>
      <c r="I1329" t="s">
        <v>97</v>
      </c>
      <c r="J1329" s="10">
        <v>11.75</v>
      </c>
      <c r="K1329" s="10">
        <v>35.25</v>
      </c>
      <c r="L1329" s="10">
        <v>0</v>
      </c>
      <c r="N1329" s="10">
        <v>0</v>
      </c>
      <c r="S1329">
        <v>3.5</v>
      </c>
      <c r="T1329">
        <v>5.75</v>
      </c>
      <c r="U1329">
        <v>5.75</v>
      </c>
      <c r="W1329">
        <v>0.44</v>
      </c>
      <c r="X1329">
        <v>1</v>
      </c>
      <c r="Y1329">
        <v>4</v>
      </c>
      <c r="Z1329">
        <v>6.38</v>
      </c>
      <c r="AA1329">
        <v>6.38</v>
      </c>
      <c r="AB1329">
        <v>9.4E-2</v>
      </c>
      <c r="AC1329">
        <v>0.77</v>
      </c>
      <c r="AE1329">
        <v>0</v>
      </c>
      <c r="AF1329" t="s">
        <v>7528</v>
      </c>
      <c r="AG1329">
        <v>0</v>
      </c>
      <c r="AH1329">
        <v>0</v>
      </c>
      <c r="AJ1329">
        <v>0</v>
      </c>
      <c r="AK1329" t="s">
        <v>98</v>
      </c>
      <c r="AM1329" t="s">
        <v>98</v>
      </c>
      <c r="AN1329" t="s">
        <v>98</v>
      </c>
      <c r="AO1329" t="s">
        <v>98</v>
      </c>
      <c r="AP1329" t="s">
        <v>100</v>
      </c>
      <c r="AQ1329" t="s">
        <v>101</v>
      </c>
      <c r="AV1329" t="s">
        <v>98</v>
      </c>
      <c r="AX1329" t="s">
        <v>4236</v>
      </c>
      <c r="AZ1329" t="s">
        <v>7528</v>
      </c>
      <c r="BB1329" t="s">
        <v>7528</v>
      </c>
      <c r="BC1329" t="s">
        <v>7528</v>
      </c>
      <c r="BD1329" t="s">
        <v>7528</v>
      </c>
      <c r="BF1329" t="s">
        <v>4271</v>
      </c>
      <c r="BG1329" t="s">
        <v>98</v>
      </c>
      <c r="BH1329" t="s">
        <v>98</v>
      </c>
      <c r="BI1329" t="s">
        <v>98</v>
      </c>
      <c r="BK1329" t="s">
        <v>7528</v>
      </c>
      <c r="BL1329" t="s">
        <v>7528</v>
      </c>
      <c r="BR1329">
        <v>0</v>
      </c>
      <c r="BT1329">
        <v>0</v>
      </c>
      <c r="CA1329">
        <v>7930</v>
      </c>
      <c r="CB1329" t="s">
        <v>4236</v>
      </c>
      <c r="CG1329">
        <v>0</v>
      </c>
      <c r="CL1329" t="s">
        <v>98</v>
      </c>
      <c r="CM1329" t="s">
        <v>98</v>
      </c>
      <c r="CN1329" t="s">
        <v>3218</v>
      </c>
      <c r="CO1329" s="1">
        <v>39393</v>
      </c>
      <c r="CP1329" s="1">
        <v>43633</v>
      </c>
    </row>
    <row r="1330" spans="1:94" x14ac:dyDescent="0.25">
      <c r="A1330" t="s">
        <v>4272</v>
      </c>
      <c r="B1330" t="str">
        <f xml:space="preserve"> "" &amp; 747396023342</f>
        <v>747396023342</v>
      </c>
      <c r="C1330" t="s">
        <v>4257</v>
      </c>
      <c r="D1330" t="s">
        <v>6858</v>
      </c>
      <c r="E1330" t="s">
        <v>7528</v>
      </c>
      <c r="F1330" t="s">
        <v>2823</v>
      </c>
      <c r="G1330">
        <v>1</v>
      </c>
      <c r="H1330">
        <v>1</v>
      </c>
      <c r="I1330" t="s">
        <v>97</v>
      </c>
      <c r="J1330" s="10">
        <v>37</v>
      </c>
      <c r="K1330" s="10">
        <v>111</v>
      </c>
      <c r="L1330" s="10">
        <v>0</v>
      </c>
      <c r="N1330" s="10">
        <v>0</v>
      </c>
      <c r="S1330">
        <v>3.5</v>
      </c>
      <c r="T1330">
        <v>5.75</v>
      </c>
      <c r="U1330">
        <v>5.75</v>
      </c>
      <c r="W1330">
        <v>2.31</v>
      </c>
      <c r="X1330">
        <v>1</v>
      </c>
      <c r="Y1330">
        <v>4</v>
      </c>
      <c r="Z1330">
        <v>6.5</v>
      </c>
      <c r="AA1330">
        <v>6.5</v>
      </c>
      <c r="AB1330">
        <v>9.8000000000000004E-2</v>
      </c>
      <c r="AC1330">
        <v>2.54</v>
      </c>
      <c r="AE1330">
        <v>0</v>
      </c>
      <c r="AF1330" t="s">
        <v>7528</v>
      </c>
      <c r="AG1330">
        <v>0</v>
      </c>
      <c r="AH1330">
        <v>0</v>
      </c>
      <c r="AJ1330">
        <v>0</v>
      </c>
      <c r="AK1330" t="s">
        <v>98</v>
      </c>
      <c r="AM1330" t="s">
        <v>98</v>
      </c>
      <c r="AN1330" t="s">
        <v>98</v>
      </c>
      <c r="AO1330" t="s">
        <v>98</v>
      </c>
      <c r="AP1330" t="s">
        <v>100</v>
      </c>
      <c r="AQ1330" t="s">
        <v>101</v>
      </c>
      <c r="AV1330" t="s">
        <v>98</v>
      </c>
      <c r="AX1330" t="s">
        <v>4273</v>
      </c>
      <c r="AZ1330" t="s">
        <v>7528</v>
      </c>
      <c r="BB1330" t="s">
        <v>7528</v>
      </c>
      <c r="BC1330" t="s">
        <v>7528</v>
      </c>
      <c r="BD1330" t="s">
        <v>7528</v>
      </c>
      <c r="BF1330" t="s">
        <v>4274</v>
      </c>
      <c r="BG1330" t="s">
        <v>98</v>
      </c>
      <c r="BH1330" t="s">
        <v>98</v>
      </c>
      <c r="BI1330" t="s">
        <v>98</v>
      </c>
      <c r="BJ1330" t="s">
        <v>99</v>
      </c>
      <c r="BK1330" t="s">
        <v>453</v>
      </c>
      <c r="BL1330" t="s">
        <v>7528</v>
      </c>
      <c r="BR1330">
        <v>0</v>
      </c>
      <c r="BT1330">
        <v>0</v>
      </c>
      <c r="CA1330">
        <v>7930</v>
      </c>
      <c r="CB1330" t="s">
        <v>4273</v>
      </c>
      <c r="CG1330">
        <v>0</v>
      </c>
      <c r="CL1330" t="s">
        <v>98</v>
      </c>
      <c r="CM1330" t="s">
        <v>98</v>
      </c>
      <c r="CN1330" t="s">
        <v>7649</v>
      </c>
      <c r="CO1330" s="1">
        <v>39343</v>
      </c>
      <c r="CP1330" s="1">
        <v>43633</v>
      </c>
    </row>
    <row r="1331" spans="1:94" x14ac:dyDescent="0.25">
      <c r="A1331" t="s">
        <v>4275</v>
      </c>
      <c r="B1331" t="str">
        <f xml:space="preserve"> "" &amp; 747396023380</f>
        <v>747396023380</v>
      </c>
      <c r="C1331" t="s">
        <v>4257</v>
      </c>
      <c r="D1331" t="s">
        <v>6858</v>
      </c>
      <c r="E1331" t="s">
        <v>7528</v>
      </c>
      <c r="F1331" t="s">
        <v>2823</v>
      </c>
      <c r="G1331">
        <v>1</v>
      </c>
      <c r="H1331">
        <v>1</v>
      </c>
      <c r="I1331" t="s">
        <v>97</v>
      </c>
      <c r="J1331" s="10">
        <v>37</v>
      </c>
      <c r="K1331" s="10">
        <v>111</v>
      </c>
      <c r="L1331" s="10">
        <v>0</v>
      </c>
      <c r="N1331" s="10">
        <v>0</v>
      </c>
      <c r="S1331">
        <v>3.5</v>
      </c>
      <c r="T1331">
        <v>5.75</v>
      </c>
      <c r="U1331">
        <v>5.75</v>
      </c>
      <c r="W1331">
        <v>2.31</v>
      </c>
      <c r="X1331">
        <v>1</v>
      </c>
      <c r="Y1331">
        <v>4</v>
      </c>
      <c r="Z1331">
        <v>6.5</v>
      </c>
      <c r="AA1331">
        <v>6.5</v>
      </c>
      <c r="AB1331">
        <v>9.8000000000000004E-2</v>
      </c>
      <c r="AC1331">
        <v>2.54</v>
      </c>
      <c r="AE1331">
        <v>0</v>
      </c>
      <c r="AF1331" t="s">
        <v>7528</v>
      </c>
      <c r="AG1331">
        <v>0</v>
      </c>
      <c r="AH1331">
        <v>0</v>
      </c>
      <c r="AJ1331">
        <v>0</v>
      </c>
      <c r="AK1331" t="s">
        <v>98</v>
      </c>
      <c r="AM1331" t="s">
        <v>98</v>
      </c>
      <c r="AN1331" t="s">
        <v>98</v>
      </c>
      <c r="AO1331" t="s">
        <v>98</v>
      </c>
      <c r="AP1331" t="s">
        <v>100</v>
      </c>
      <c r="AQ1331" t="s">
        <v>101</v>
      </c>
      <c r="AV1331" t="s">
        <v>98</v>
      </c>
      <c r="AX1331" t="s">
        <v>4276</v>
      </c>
      <c r="AZ1331" t="s">
        <v>7528</v>
      </c>
      <c r="BB1331" t="s">
        <v>7528</v>
      </c>
      <c r="BC1331" t="s">
        <v>7528</v>
      </c>
      <c r="BD1331" t="s">
        <v>7528</v>
      </c>
      <c r="BF1331" t="s">
        <v>4277</v>
      </c>
      <c r="BG1331" t="s">
        <v>98</v>
      </c>
      <c r="BH1331" t="s">
        <v>98</v>
      </c>
      <c r="BI1331" t="s">
        <v>98</v>
      </c>
      <c r="BK1331" t="s">
        <v>7528</v>
      </c>
      <c r="BL1331" t="s">
        <v>7528</v>
      </c>
      <c r="BR1331">
        <v>0</v>
      </c>
      <c r="BT1331">
        <v>0</v>
      </c>
      <c r="CA1331">
        <v>7930</v>
      </c>
      <c r="CB1331" t="s">
        <v>4276</v>
      </c>
      <c r="CG1331">
        <v>0</v>
      </c>
      <c r="CL1331" t="s">
        <v>98</v>
      </c>
      <c r="CM1331" t="s">
        <v>98</v>
      </c>
      <c r="CN1331" t="s">
        <v>3227</v>
      </c>
      <c r="CO1331" s="1">
        <v>39343</v>
      </c>
      <c r="CP1331" s="1">
        <v>43633</v>
      </c>
    </row>
    <row r="1332" spans="1:94" x14ac:dyDescent="0.25">
      <c r="A1332" t="s">
        <v>4278</v>
      </c>
      <c r="B1332" t="str">
        <f xml:space="preserve"> "" &amp; 747396023397</f>
        <v>747396023397</v>
      </c>
      <c r="C1332" t="s">
        <v>4257</v>
      </c>
      <c r="D1332" t="s">
        <v>6858</v>
      </c>
      <c r="E1332" t="s">
        <v>7528</v>
      </c>
      <c r="F1332" t="s">
        <v>2823</v>
      </c>
      <c r="G1332">
        <v>1</v>
      </c>
      <c r="H1332">
        <v>1</v>
      </c>
      <c r="I1332" t="s">
        <v>97</v>
      </c>
      <c r="J1332" s="10">
        <v>11.75</v>
      </c>
      <c r="K1332" s="10">
        <v>35.25</v>
      </c>
      <c r="L1332" s="10">
        <v>0</v>
      </c>
      <c r="N1332" s="10">
        <v>0</v>
      </c>
      <c r="S1332">
        <v>3.5</v>
      </c>
      <c r="T1332">
        <v>5.75</v>
      </c>
      <c r="U1332">
        <v>5.75</v>
      </c>
      <c r="W1332">
        <v>0.44</v>
      </c>
      <c r="X1332">
        <v>1</v>
      </c>
      <c r="Y1332">
        <v>4</v>
      </c>
      <c r="Z1332">
        <v>6.38</v>
      </c>
      <c r="AA1332">
        <v>6.38</v>
      </c>
      <c r="AB1332">
        <v>9.4E-2</v>
      </c>
      <c r="AC1332">
        <v>0.77</v>
      </c>
      <c r="AE1332">
        <v>0</v>
      </c>
      <c r="AF1332" t="s">
        <v>7528</v>
      </c>
      <c r="AG1332">
        <v>0</v>
      </c>
      <c r="AH1332">
        <v>0</v>
      </c>
      <c r="AJ1332">
        <v>0</v>
      </c>
      <c r="AK1332" t="s">
        <v>98</v>
      </c>
      <c r="AM1332" t="s">
        <v>98</v>
      </c>
      <c r="AN1332" t="s">
        <v>98</v>
      </c>
      <c r="AO1332" t="s">
        <v>98</v>
      </c>
      <c r="AP1332" t="s">
        <v>100</v>
      </c>
      <c r="AQ1332" t="s">
        <v>101</v>
      </c>
      <c r="AV1332" t="s">
        <v>98</v>
      </c>
      <c r="AX1332" t="s">
        <v>4226</v>
      </c>
      <c r="AZ1332" t="s">
        <v>7528</v>
      </c>
      <c r="BB1332" t="s">
        <v>7528</v>
      </c>
      <c r="BC1332" t="s">
        <v>7528</v>
      </c>
      <c r="BD1332" t="s">
        <v>7528</v>
      </c>
      <c r="BF1332" t="s">
        <v>4279</v>
      </c>
      <c r="BG1332" t="s">
        <v>98</v>
      </c>
      <c r="BH1332" t="s">
        <v>98</v>
      </c>
      <c r="BI1332" t="s">
        <v>98</v>
      </c>
      <c r="BK1332" t="s">
        <v>7528</v>
      </c>
      <c r="BL1332" t="s">
        <v>7528</v>
      </c>
      <c r="BR1332">
        <v>0</v>
      </c>
      <c r="BT1332">
        <v>0</v>
      </c>
      <c r="CA1332">
        <v>7930</v>
      </c>
      <c r="CB1332" t="s">
        <v>4226</v>
      </c>
      <c r="CG1332">
        <v>0</v>
      </c>
      <c r="CL1332" t="s">
        <v>98</v>
      </c>
      <c r="CM1332" t="s">
        <v>98</v>
      </c>
      <c r="CN1332" t="s">
        <v>3227</v>
      </c>
      <c r="CO1332" s="1">
        <v>39393</v>
      </c>
      <c r="CP1332" s="1">
        <v>43633</v>
      </c>
    </row>
    <row r="1333" spans="1:94" x14ac:dyDescent="0.25">
      <c r="A1333" t="s">
        <v>4280</v>
      </c>
      <c r="B1333" t="str">
        <f xml:space="preserve"> "" &amp; 747396051666</f>
        <v>747396051666</v>
      </c>
      <c r="C1333" t="s">
        <v>4257</v>
      </c>
      <c r="D1333" t="s">
        <v>6858</v>
      </c>
      <c r="E1333" t="s">
        <v>7528</v>
      </c>
      <c r="F1333" t="s">
        <v>2823</v>
      </c>
      <c r="G1333">
        <v>1</v>
      </c>
      <c r="H1333">
        <v>1</v>
      </c>
      <c r="I1333" t="s">
        <v>97</v>
      </c>
      <c r="J1333" s="10">
        <v>11.75</v>
      </c>
      <c r="K1333" s="10">
        <v>35.25</v>
      </c>
      <c r="L1333" s="10">
        <v>0</v>
      </c>
      <c r="N1333" s="10">
        <v>0</v>
      </c>
      <c r="S1333">
        <v>3.5</v>
      </c>
      <c r="T1333">
        <v>5.75</v>
      </c>
      <c r="U1333">
        <v>5.75</v>
      </c>
      <c r="W1333">
        <v>0.44</v>
      </c>
      <c r="X1333">
        <v>1</v>
      </c>
      <c r="Y1333">
        <v>4</v>
      </c>
      <c r="Z1333">
        <v>6.38</v>
      </c>
      <c r="AA1333">
        <v>6.38</v>
      </c>
      <c r="AB1333">
        <v>9.4E-2</v>
      </c>
      <c r="AC1333">
        <v>0.77</v>
      </c>
      <c r="AE1333">
        <v>0</v>
      </c>
      <c r="AF1333" t="s">
        <v>7528</v>
      </c>
      <c r="AG1333">
        <v>0</v>
      </c>
      <c r="AH1333">
        <v>0</v>
      </c>
      <c r="AJ1333">
        <v>0</v>
      </c>
      <c r="AK1333" t="s">
        <v>98</v>
      </c>
      <c r="AM1333" t="s">
        <v>98</v>
      </c>
      <c r="AN1333" t="s">
        <v>98</v>
      </c>
      <c r="AO1333" t="s">
        <v>98</v>
      </c>
      <c r="AP1333" t="s">
        <v>100</v>
      </c>
      <c r="AQ1333" t="s">
        <v>101</v>
      </c>
      <c r="AV1333" t="s">
        <v>98</v>
      </c>
      <c r="AX1333" t="s">
        <v>3491</v>
      </c>
      <c r="AZ1333" t="s">
        <v>7528</v>
      </c>
      <c r="BB1333" t="s">
        <v>7528</v>
      </c>
      <c r="BC1333" t="s">
        <v>7528</v>
      </c>
      <c r="BD1333" t="s">
        <v>7528</v>
      </c>
      <c r="BF1333" t="s">
        <v>4281</v>
      </c>
      <c r="BG1333" t="s">
        <v>98</v>
      </c>
      <c r="BH1333" t="s">
        <v>98</v>
      </c>
      <c r="BI1333" t="s">
        <v>98</v>
      </c>
      <c r="BK1333" t="s">
        <v>7528</v>
      </c>
      <c r="BL1333" t="s">
        <v>7528</v>
      </c>
      <c r="BR1333">
        <v>0</v>
      </c>
      <c r="BT1333">
        <v>0</v>
      </c>
      <c r="CA1333">
        <v>7930</v>
      </c>
      <c r="CB1333" t="s">
        <v>3491</v>
      </c>
      <c r="CG1333">
        <v>0</v>
      </c>
      <c r="CL1333" t="s">
        <v>98</v>
      </c>
      <c r="CM1333" t="s">
        <v>98</v>
      </c>
      <c r="CN1333" t="s">
        <v>3218</v>
      </c>
      <c r="CO1333" s="1">
        <v>39678</v>
      </c>
      <c r="CP1333" s="1">
        <v>43633</v>
      </c>
    </row>
    <row r="1334" spans="1:94" x14ac:dyDescent="0.25">
      <c r="A1334" t="s">
        <v>4282</v>
      </c>
      <c r="B1334" t="str">
        <f xml:space="preserve"> "" &amp; 747396023427</f>
        <v>747396023427</v>
      </c>
      <c r="C1334" t="s">
        <v>4257</v>
      </c>
      <c r="D1334" t="s">
        <v>6858</v>
      </c>
      <c r="E1334" t="s">
        <v>7528</v>
      </c>
      <c r="F1334" t="s">
        <v>2823</v>
      </c>
      <c r="G1334">
        <v>1</v>
      </c>
      <c r="H1334">
        <v>1</v>
      </c>
      <c r="I1334" t="s">
        <v>97</v>
      </c>
      <c r="J1334" s="10">
        <v>11.75</v>
      </c>
      <c r="K1334" s="10">
        <v>35.25</v>
      </c>
      <c r="L1334" s="10">
        <v>0</v>
      </c>
      <c r="N1334" s="10">
        <v>0</v>
      </c>
      <c r="S1334">
        <v>3.5</v>
      </c>
      <c r="T1334">
        <v>5.75</v>
      </c>
      <c r="U1334">
        <v>5.75</v>
      </c>
      <c r="W1334">
        <v>0.44</v>
      </c>
      <c r="X1334">
        <v>1</v>
      </c>
      <c r="Y1334">
        <v>4</v>
      </c>
      <c r="Z1334">
        <v>6.38</v>
      </c>
      <c r="AA1334">
        <v>6.38</v>
      </c>
      <c r="AB1334">
        <v>9.4E-2</v>
      </c>
      <c r="AC1334">
        <v>0.77</v>
      </c>
      <c r="AE1334">
        <v>0</v>
      </c>
      <c r="AF1334" t="s">
        <v>7528</v>
      </c>
      <c r="AG1334">
        <v>0</v>
      </c>
      <c r="AH1334">
        <v>0</v>
      </c>
      <c r="AJ1334">
        <v>0</v>
      </c>
      <c r="AK1334" t="s">
        <v>98</v>
      </c>
      <c r="AM1334" t="s">
        <v>98</v>
      </c>
      <c r="AN1334" t="s">
        <v>98</v>
      </c>
      <c r="AO1334" t="s">
        <v>98</v>
      </c>
      <c r="AP1334" t="s">
        <v>100</v>
      </c>
      <c r="AQ1334" t="s">
        <v>101</v>
      </c>
      <c r="AV1334" t="s">
        <v>98</v>
      </c>
      <c r="AX1334" t="s">
        <v>164</v>
      </c>
      <c r="AZ1334" t="s">
        <v>7528</v>
      </c>
      <c r="BB1334" t="s">
        <v>7528</v>
      </c>
      <c r="BC1334" t="s">
        <v>7528</v>
      </c>
      <c r="BD1334" t="s">
        <v>7528</v>
      </c>
      <c r="BF1334" t="s">
        <v>4283</v>
      </c>
      <c r="BG1334" t="s">
        <v>98</v>
      </c>
      <c r="BH1334" t="s">
        <v>98</v>
      </c>
      <c r="BI1334" t="s">
        <v>98</v>
      </c>
      <c r="BK1334" t="s">
        <v>7528</v>
      </c>
      <c r="BL1334" t="s">
        <v>7528</v>
      </c>
      <c r="BR1334">
        <v>0</v>
      </c>
      <c r="BT1334">
        <v>0</v>
      </c>
      <c r="CA1334">
        <v>7930</v>
      </c>
      <c r="CB1334" t="s">
        <v>164</v>
      </c>
      <c r="CG1334">
        <v>0</v>
      </c>
      <c r="CL1334" t="s">
        <v>98</v>
      </c>
      <c r="CM1334" t="s">
        <v>98</v>
      </c>
      <c r="CN1334" t="s">
        <v>3218</v>
      </c>
      <c r="CO1334" s="1">
        <v>39393</v>
      </c>
      <c r="CP1334" s="1">
        <v>43633</v>
      </c>
    </row>
    <row r="1335" spans="1:94" x14ac:dyDescent="0.25">
      <c r="A1335" t="s">
        <v>4284</v>
      </c>
      <c r="B1335" t="str">
        <f xml:space="preserve"> "" &amp; 747396023489</f>
        <v>747396023489</v>
      </c>
      <c r="C1335" t="s">
        <v>4257</v>
      </c>
      <c r="D1335" t="s">
        <v>6858</v>
      </c>
      <c r="E1335" t="s">
        <v>7528</v>
      </c>
      <c r="F1335" t="s">
        <v>2823</v>
      </c>
      <c r="G1335">
        <v>1</v>
      </c>
      <c r="H1335">
        <v>1</v>
      </c>
      <c r="I1335" t="s">
        <v>97</v>
      </c>
      <c r="J1335" s="10">
        <v>11.75</v>
      </c>
      <c r="K1335" s="10">
        <v>35.25</v>
      </c>
      <c r="L1335" s="10">
        <v>0</v>
      </c>
      <c r="N1335" s="10">
        <v>0</v>
      </c>
      <c r="S1335">
        <v>3.5</v>
      </c>
      <c r="T1335">
        <v>5.75</v>
      </c>
      <c r="U1335">
        <v>5.75</v>
      </c>
      <c r="W1335">
        <v>0.44</v>
      </c>
      <c r="X1335">
        <v>1</v>
      </c>
      <c r="Y1335">
        <v>4</v>
      </c>
      <c r="Z1335">
        <v>6.38</v>
      </c>
      <c r="AA1335">
        <v>6.38</v>
      </c>
      <c r="AB1335">
        <v>9.4E-2</v>
      </c>
      <c r="AC1335">
        <v>0.77</v>
      </c>
      <c r="AE1335">
        <v>0</v>
      </c>
      <c r="AF1335" t="s">
        <v>7528</v>
      </c>
      <c r="AG1335">
        <v>0</v>
      </c>
      <c r="AH1335">
        <v>0</v>
      </c>
      <c r="AJ1335">
        <v>0</v>
      </c>
      <c r="AK1335" t="s">
        <v>98</v>
      </c>
      <c r="AM1335" t="s">
        <v>98</v>
      </c>
      <c r="AN1335" t="s">
        <v>98</v>
      </c>
      <c r="AO1335" t="s">
        <v>98</v>
      </c>
      <c r="AP1335" t="s">
        <v>100</v>
      </c>
      <c r="AQ1335" t="s">
        <v>101</v>
      </c>
      <c r="AV1335" t="s">
        <v>98</v>
      </c>
      <c r="AX1335" t="s">
        <v>4233</v>
      </c>
      <c r="AZ1335" t="s">
        <v>7528</v>
      </c>
      <c r="BB1335" t="s">
        <v>7528</v>
      </c>
      <c r="BC1335" t="s">
        <v>7528</v>
      </c>
      <c r="BD1335" t="s">
        <v>7528</v>
      </c>
      <c r="BF1335" t="s">
        <v>4285</v>
      </c>
      <c r="BG1335" t="s">
        <v>98</v>
      </c>
      <c r="BH1335" t="s">
        <v>98</v>
      </c>
      <c r="BI1335" t="s">
        <v>98</v>
      </c>
      <c r="BK1335" t="s">
        <v>7528</v>
      </c>
      <c r="BL1335" t="s">
        <v>7528</v>
      </c>
      <c r="BR1335">
        <v>0</v>
      </c>
      <c r="BT1335">
        <v>0</v>
      </c>
      <c r="CA1335">
        <v>7930</v>
      </c>
      <c r="CB1335" t="s">
        <v>4233</v>
      </c>
      <c r="CG1335">
        <v>0</v>
      </c>
      <c r="CL1335" t="s">
        <v>98</v>
      </c>
      <c r="CM1335" t="s">
        <v>98</v>
      </c>
      <c r="CN1335" t="s">
        <v>3218</v>
      </c>
      <c r="CO1335" s="1">
        <v>37093</v>
      </c>
      <c r="CP1335" s="1">
        <v>43633</v>
      </c>
    </row>
    <row r="1336" spans="1:94" x14ac:dyDescent="0.25">
      <c r="A1336" t="s">
        <v>4286</v>
      </c>
      <c r="B1336" t="str">
        <f xml:space="preserve"> "" &amp; 747396023557</f>
        <v>747396023557</v>
      </c>
      <c r="C1336" t="s">
        <v>4257</v>
      </c>
      <c r="D1336" t="s">
        <v>4287</v>
      </c>
      <c r="E1336" t="s">
        <v>7528</v>
      </c>
      <c r="F1336" t="s">
        <v>2823</v>
      </c>
      <c r="G1336">
        <v>1</v>
      </c>
      <c r="H1336">
        <v>1</v>
      </c>
      <c r="I1336" t="s">
        <v>97</v>
      </c>
      <c r="J1336" s="10">
        <v>95</v>
      </c>
      <c r="K1336" s="10">
        <v>285</v>
      </c>
      <c r="L1336" s="10">
        <v>0</v>
      </c>
      <c r="N1336" s="10">
        <v>0</v>
      </c>
      <c r="S1336">
        <v>14.25</v>
      </c>
      <c r="T1336">
        <v>12</v>
      </c>
      <c r="U1336">
        <v>12.5</v>
      </c>
      <c r="W1336">
        <v>6.44</v>
      </c>
      <c r="X1336">
        <v>1</v>
      </c>
      <c r="Y1336">
        <v>16.75</v>
      </c>
      <c r="Z1336">
        <v>12</v>
      </c>
      <c r="AA1336">
        <v>12</v>
      </c>
      <c r="AB1336">
        <v>1.3959999999999999</v>
      </c>
      <c r="AC1336">
        <v>8.7100000000000009</v>
      </c>
      <c r="AE1336">
        <v>0</v>
      </c>
      <c r="AF1336" t="s">
        <v>7528</v>
      </c>
      <c r="AG1336">
        <v>0</v>
      </c>
      <c r="AH1336">
        <v>0</v>
      </c>
      <c r="AJ1336">
        <v>0</v>
      </c>
      <c r="AK1336" t="s">
        <v>98</v>
      </c>
      <c r="AM1336" t="s">
        <v>98</v>
      </c>
      <c r="AN1336" t="s">
        <v>98</v>
      </c>
      <c r="AO1336" t="s">
        <v>98</v>
      </c>
      <c r="AP1336" t="s">
        <v>100</v>
      </c>
      <c r="AQ1336" t="s">
        <v>101</v>
      </c>
      <c r="AV1336" t="s">
        <v>98</v>
      </c>
      <c r="AX1336" t="s">
        <v>4233</v>
      </c>
      <c r="AZ1336" t="s">
        <v>7528</v>
      </c>
      <c r="BB1336" t="s">
        <v>7528</v>
      </c>
      <c r="BC1336" t="s">
        <v>7528</v>
      </c>
      <c r="BD1336" t="s">
        <v>7528</v>
      </c>
      <c r="BF1336" t="s">
        <v>4288</v>
      </c>
      <c r="BG1336" t="s">
        <v>98</v>
      </c>
      <c r="BH1336" t="s">
        <v>98</v>
      </c>
      <c r="BI1336" t="s">
        <v>98</v>
      </c>
      <c r="BK1336" t="s">
        <v>7528</v>
      </c>
      <c r="BL1336" t="s">
        <v>7528</v>
      </c>
      <c r="BR1336">
        <v>0</v>
      </c>
      <c r="BT1336">
        <v>0</v>
      </c>
      <c r="CA1336">
        <v>7940</v>
      </c>
      <c r="CB1336" t="s">
        <v>4233</v>
      </c>
      <c r="CG1336">
        <v>0</v>
      </c>
      <c r="CL1336" t="s">
        <v>98</v>
      </c>
      <c r="CM1336" t="s">
        <v>98</v>
      </c>
      <c r="CN1336" t="s">
        <v>4259</v>
      </c>
      <c r="CO1336" s="1">
        <v>37116</v>
      </c>
      <c r="CP1336" s="1">
        <v>43633</v>
      </c>
    </row>
    <row r="1337" spans="1:94" x14ac:dyDescent="0.25">
      <c r="A1337" t="s">
        <v>4289</v>
      </c>
      <c r="B1337" t="str">
        <f xml:space="preserve"> "" &amp; 747396111278</f>
        <v>747396111278</v>
      </c>
      <c r="C1337" t="s">
        <v>3185</v>
      </c>
      <c r="D1337" t="s">
        <v>4290</v>
      </c>
      <c r="E1337" t="s">
        <v>4291</v>
      </c>
      <c r="F1337" t="s">
        <v>2823</v>
      </c>
      <c r="G1337">
        <v>1</v>
      </c>
      <c r="H1337">
        <v>1</v>
      </c>
      <c r="I1337" t="s">
        <v>97</v>
      </c>
      <c r="J1337" s="10">
        <v>25</v>
      </c>
      <c r="K1337" s="10">
        <v>75</v>
      </c>
      <c r="L1337" s="10">
        <v>0</v>
      </c>
      <c r="N1337" s="10">
        <v>0</v>
      </c>
      <c r="O1337" t="s">
        <v>99</v>
      </c>
      <c r="P1337" s="10">
        <v>59.95</v>
      </c>
      <c r="S1337">
        <v>8.5</v>
      </c>
      <c r="U1337">
        <v>6</v>
      </c>
      <c r="V1337">
        <v>12</v>
      </c>
      <c r="W1337">
        <v>2.0099999999999998</v>
      </c>
      <c r="X1337">
        <v>1</v>
      </c>
      <c r="Y1337">
        <v>13.25</v>
      </c>
      <c r="Z1337">
        <v>17.25</v>
      </c>
      <c r="AA1337">
        <v>14.5</v>
      </c>
      <c r="AB1337">
        <v>1.9179999999999999</v>
      </c>
      <c r="AC1337">
        <v>2.73</v>
      </c>
      <c r="AE1337">
        <v>0</v>
      </c>
      <c r="AF1337" t="s">
        <v>4127</v>
      </c>
      <c r="AG1337">
        <v>100</v>
      </c>
      <c r="AK1337" t="s">
        <v>98</v>
      </c>
      <c r="AM1337" t="s">
        <v>98</v>
      </c>
      <c r="AN1337" t="s">
        <v>99</v>
      </c>
      <c r="AO1337" t="s">
        <v>98</v>
      </c>
      <c r="AP1337" t="s">
        <v>100</v>
      </c>
      <c r="AQ1337" t="s">
        <v>101</v>
      </c>
      <c r="AV1337" t="s">
        <v>98</v>
      </c>
      <c r="AX1337" t="s">
        <v>164</v>
      </c>
      <c r="AZ1337" t="s">
        <v>7528</v>
      </c>
      <c r="BB1337" t="s">
        <v>7528</v>
      </c>
      <c r="BC1337" t="s">
        <v>7528</v>
      </c>
      <c r="BD1337" t="s">
        <v>7528</v>
      </c>
      <c r="BF1337" t="s">
        <v>4292</v>
      </c>
      <c r="BG1337" t="s">
        <v>98</v>
      </c>
      <c r="BH1337" t="s">
        <v>98</v>
      </c>
      <c r="BI1337" t="s">
        <v>98</v>
      </c>
      <c r="BK1337" t="s">
        <v>7528</v>
      </c>
      <c r="BL1337" t="s">
        <v>7528</v>
      </c>
      <c r="BM1337">
        <v>6.75</v>
      </c>
      <c r="BN1337">
        <v>6</v>
      </c>
      <c r="CA1337" t="s">
        <v>4293</v>
      </c>
      <c r="CB1337" t="s">
        <v>164</v>
      </c>
      <c r="CL1337" t="s">
        <v>99</v>
      </c>
      <c r="CM1337" t="s">
        <v>98</v>
      </c>
      <c r="CN1337" t="s">
        <v>7528</v>
      </c>
      <c r="CO1337" s="1">
        <v>43542</v>
      </c>
      <c r="CP1337" s="1">
        <v>43633</v>
      </c>
    </row>
    <row r="1338" spans="1:94" x14ac:dyDescent="0.25">
      <c r="A1338" t="s">
        <v>4294</v>
      </c>
      <c r="B1338" t="str">
        <f xml:space="preserve"> "" &amp; 747396111285</f>
        <v>747396111285</v>
      </c>
      <c r="C1338" t="s">
        <v>3185</v>
      </c>
      <c r="D1338" t="s">
        <v>4295</v>
      </c>
      <c r="E1338" t="s">
        <v>4291</v>
      </c>
      <c r="F1338" t="s">
        <v>2823</v>
      </c>
      <c r="G1338">
        <v>1</v>
      </c>
      <c r="H1338">
        <v>1</v>
      </c>
      <c r="I1338" t="s">
        <v>97</v>
      </c>
      <c r="J1338" s="10">
        <v>35</v>
      </c>
      <c r="K1338" s="10">
        <v>105</v>
      </c>
      <c r="L1338" s="10">
        <v>0</v>
      </c>
      <c r="N1338" s="10">
        <v>0</v>
      </c>
      <c r="O1338" t="s">
        <v>99</v>
      </c>
      <c r="P1338" s="10">
        <v>79.95</v>
      </c>
      <c r="S1338">
        <v>8.5</v>
      </c>
      <c r="U1338">
        <v>6</v>
      </c>
      <c r="V1338">
        <v>16.75</v>
      </c>
      <c r="W1338">
        <v>2.16</v>
      </c>
      <c r="X1338">
        <v>1</v>
      </c>
      <c r="Y1338">
        <v>13.25</v>
      </c>
      <c r="Z1338">
        <v>20.25</v>
      </c>
      <c r="AA1338">
        <v>16.75</v>
      </c>
      <c r="AB1338">
        <v>2.601</v>
      </c>
      <c r="AC1338">
        <v>3.11</v>
      </c>
      <c r="AE1338">
        <v>0</v>
      </c>
      <c r="AF1338" t="s">
        <v>4127</v>
      </c>
      <c r="AG1338">
        <v>100</v>
      </c>
      <c r="AK1338" t="s">
        <v>98</v>
      </c>
      <c r="AM1338" t="s">
        <v>98</v>
      </c>
      <c r="AN1338" t="s">
        <v>99</v>
      </c>
      <c r="AO1338" t="s">
        <v>98</v>
      </c>
      <c r="AP1338" t="s">
        <v>100</v>
      </c>
      <c r="AQ1338" t="s">
        <v>101</v>
      </c>
      <c r="AV1338" t="s">
        <v>98</v>
      </c>
      <c r="AX1338" t="s">
        <v>164</v>
      </c>
      <c r="AZ1338" t="s">
        <v>7528</v>
      </c>
      <c r="BB1338" t="s">
        <v>7528</v>
      </c>
      <c r="BC1338" t="s">
        <v>7528</v>
      </c>
      <c r="BD1338" t="s">
        <v>7528</v>
      </c>
      <c r="BF1338" t="s">
        <v>4296</v>
      </c>
      <c r="BG1338" t="s">
        <v>98</v>
      </c>
      <c r="BH1338" t="s">
        <v>98</v>
      </c>
      <c r="BI1338" t="s">
        <v>98</v>
      </c>
      <c r="BK1338" t="s">
        <v>7528</v>
      </c>
      <c r="BL1338" t="s">
        <v>7528</v>
      </c>
      <c r="BM1338">
        <v>6.75</v>
      </c>
      <c r="BN1338">
        <v>6</v>
      </c>
      <c r="CA1338" t="s">
        <v>4297</v>
      </c>
      <c r="CB1338" t="s">
        <v>164</v>
      </c>
      <c r="CL1338" t="s">
        <v>99</v>
      </c>
      <c r="CM1338" t="s">
        <v>98</v>
      </c>
      <c r="CN1338" t="s">
        <v>7528</v>
      </c>
      <c r="CO1338" s="1">
        <v>43542</v>
      </c>
      <c r="CP1338" s="1">
        <v>43633</v>
      </c>
    </row>
    <row r="1339" spans="1:94" x14ac:dyDescent="0.25">
      <c r="A1339" t="s">
        <v>4298</v>
      </c>
      <c r="B1339" t="str">
        <f xml:space="preserve"> "" &amp; 747396111292</f>
        <v>747396111292</v>
      </c>
      <c r="C1339" t="s">
        <v>3185</v>
      </c>
      <c r="D1339" t="s">
        <v>4299</v>
      </c>
      <c r="E1339" t="s">
        <v>4291</v>
      </c>
      <c r="F1339" t="s">
        <v>2823</v>
      </c>
      <c r="G1339">
        <v>1</v>
      </c>
      <c r="H1339">
        <v>1</v>
      </c>
      <c r="I1339" t="s">
        <v>97</v>
      </c>
      <c r="J1339" s="10">
        <v>45</v>
      </c>
      <c r="K1339" s="10">
        <v>135</v>
      </c>
      <c r="L1339" s="10">
        <v>0</v>
      </c>
      <c r="N1339" s="10">
        <v>0</v>
      </c>
      <c r="O1339" t="s">
        <v>99</v>
      </c>
      <c r="P1339" s="10">
        <v>94.95</v>
      </c>
      <c r="S1339">
        <v>8.75</v>
      </c>
      <c r="U1339">
        <v>6</v>
      </c>
      <c r="V1339">
        <v>23.75</v>
      </c>
      <c r="W1339">
        <v>2.89</v>
      </c>
      <c r="X1339">
        <v>1</v>
      </c>
      <c r="Y1339">
        <v>13.25</v>
      </c>
      <c r="Z1339">
        <v>26.5</v>
      </c>
      <c r="AA1339">
        <v>16.75</v>
      </c>
      <c r="AB1339">
        <v>3.4039999999999999</v>
      </c>
      <c r="AC1339">
        <v>4.01</v>
      </c>
      <c r="AE1339">
        <v>0</v>
      </c>
      <c r="AF1339" t="s">
        <v>4127</v>
      </c>
      <c r="AG1339">
        <v>100</v>
      </c>
      <c r="AK1339" t="s">
        <v>98</v>
      </c>
      <c r="AM1339" t="s">
        <v>98</v>
      </c>
      <c r="AN1339" t="s">
        <v>99</v>
      </c>
      <c r="AO1339" t="s">
        <v>98</v>
      </c>
      <c r="AP1339" t="s">
        <v>100</v>
      </c>
      <c r="AQ1339" t="s">
        <v>101</v>
      </c>
      <c r="AV1339" t="s">
        <v>98</v>
      </c>
      <c r="AX1339" t="s">
        <v>164</v>
      </c>
      <c r="AZ1339" t="s">
        <v>7528</v>
      </c>
      <c r="BB1339" t="s">
        <v>7528</v>
      </c>
      <c r="BC1339" t="s">
        <v>7528</v>
      </c>
      <c r="BD1339" t="s">
        <v>7528</v>
      </c>
      <c r="BF1339" t="s">
        <v>4300</v>
      </c>
      <c r="BG1339" t="s">
        <v>98</v>
      </c>
      <c r="BH1339" t="s">
        <v>98</v>
      </c>
      <c r="BI1339" t="s">
        <v>98</v>
      </c>
      <c r="BK1339" t="s">
        <v>7528</v>
      </c>
      <c r="BL1339" t="s">
        <v>7528</v>
      </c>
      <c r="BM1339">
        <v>6.75</v>
      </c>
      <c r="BN1339">
        <v>6</v>
      </c>
      <c r="CA1339" t="s">
        <v>4301</v>
      </c>
      <c r="CB1339" t="s">
        <v>164</v>
      </c>
      <c r="CL1339" t="s">
        <v>99</v>
      </c>
      <c r="CM1339" t="s">
        <v>98</v>
      </c>
      <c r="CN1339" t="s">
        <v>7528</v>
      </c>
      <c r="CO1339" s="1">
        <v>43542</v>
      </c>
      <c r="CP1339" s="1">
        <v>43633</v>
      </c>
    </row>
    <row r="1340" spans="1:94" x14ac:dyDescent="0.25">
      <c r="A1340" t="s">
        <v>4302</v>
      </c>
      <c r="B1340" t="str">
        <f xml:space="preserve"> "" &amp; 747396112084</f>
        <v>747396112084</v>
      </c>
      <c r="C1340" t="s">
        <v>4303</v>
      </c>
      <c r="D1340" t="s">
        <v>6859</v>
      </c>
      <c r="E1340" t="s">
        <v>4291</v>
      </c>
      <c r="F1340" t="s">
        <v>2823</v>
      </c>
      <c r="G1340">
        <v>1</v>
      </c>
      <c r="H1340">
        <v>1</v>
      </c>
      <c r="I1340" t="s">
        <v>97</v>
      </c>
      <c r="J1340" s="10">
        <v>45</v>
      </c>
      <c r="K1340" s="10">
        <v>135</v>
      </c>
      <c r="L1340" s="10">
        <v>0</v>
      </c>
      <c r="N1340" s="10">
        <v>0</v>
      </c>
      <c r="O1340" t="s">
        <v>99</v>
      </c>
      <c r="P1340" s="10">
        <v>99.95</v>
      </c>
      <c r="S1340">
        <v>8.5</v>
      </c>
      <c r="U1340">
        <v>6</v>
      </c>
      <c r="V1340">
        <v>28.75</v>
      </c>
      <c r="W1340">
        <v>3.13</v>
      </c>
      <c r="X1340">
        <v>1</v>
      </c>
      <c r="Y1340">
        <v>13.25</v>
      </c>
      <c r="Z1340">
        <v>32.130000000000003</v>
      </c>
      <c r="AA1340">
        <v>16.75</v>
      </c>
      <c r="AB1340">
        <v>4.1269999999999998</v>
      </c>
      <c r="AC1340">
        <v>4.45</v>
      </c>
      <c r="AE1340">
        <v>0</v>
      </c>
      <c r="AF1340" t="s">
        <v>4127</v>
      </c>
      <c r="AG1340">
        <v>100</v>
      </c>
      <c r="AK1340" t="s">
        <v>98</v>
      </c>
      <c r="AM1340" t="s">
        <v>98</v>
      </c>
      <c r="AN1340" t="s">
        <v>99</v>
      </c>
      <c r="AO1340" t="s">
        <v>98</v>
      </c>
      <c r="AP1340" t="s">
        <v>100</v>
      </c>
      <c r="AQ1340" t="s">
        <v>101</v>
      </c>
      <c r="AV1340" t="s">
        <v>98</v>
      </c>
      <c r="AX1340" t="s">
        <v>164</v>
      </c>
      <c r="AZ1340" t="s">
        <v>392</v>
      </c>
      <c r="BB1340" t="s">
        <v>7528</v>
      </c>
      <c r="BC1340" t="s">
        <v>7528</v>
      </c>
      <c r="BD1340" t="s">
        <v>7528</v>
      </c>
      <c r="BF1340" t="s">
        <v>4304</v>
      </c>
      <c r="BG1340" t="s">
        <v>98</v>
      </c>
      <c r="BH1340" t="s">
        <v>98</v>
      </c>
      <c r="BI1340" t="s">
        <v>98</v>
      </c>
      <c r="BJ1340" t="s">
        <v>99</v>
      </c>
      <c r="BK1340" t="s">
        <v>453</v>
      </c>
      <c r="BL1340" t="s">
        <v>7528</v>
      </c>
      <c r="BM1340">
        <v>6.75</v>
      </c>
      <c r="BN1340">
        <v>6</v>
      </c>
      <c r="CA1340">
        <v>7971</v>
      </c>
      <c r="CB1340" t="s">
        <v>164</v>
      </c>
      <c r="CL1340" t="s">
        <v>99</v>
      </c>
      <c r="CM1340" t="s">
        <v>98</v>
      </c>
      <c r="CN1340" t="s">
        <v>7528</v>
      </c>
      <c r="CO1340" s="1">
        <v>43563</v>
      </c>
      <c r="CP1340" s="1">
        <v>43623</v>
      </c>
    </row>
    <row r="1341" spans="1:94" x14ac:dyDescent="0.25">
      <c r="A1341" t="s">
        <v>4305</v>
      </c>
      <c r="B1341" t="str">
        <f xml:space="preserve"> "" &amp; 747396111322</f>
        <v>747396111322</v>
      </c>
      <c r="C1341" t="s">
        <v>3185</v>
      </c>
      <c r="D1341" t="s">
        <v>4306</v>
      </c>
      <c r="E1341" t="s">
        <v>4291</v>
      </c>
      <c r="F1341" t="s">
        <v>2823</v>
      </c>
      <c r="G1341">
        <v>1</v>
      </c>
      <c r="H1341">
        <v>1</v>
      </c>
      <c r="I1341" t="s">
        <v>97</v>
      </c>
      <c r="J1341" s="10">
        <v>35</v>
      </c>
      <c r="K1341" s="10">
        <v>105</v>
      </c>
      <c r="L1341" s="10">
        <v>0</v>
      </c>
      <c r="N1341" s="10">
        <v>0</v>
      </c>
      <c r="O1341" t="s">
        <v>99</v>
      </c>
      <c r="P1341" s="10">
        <v>79.95</v>
      </c>
      <c r="S1341">
        <v>8</v>
      </c>
      <c r="U1341">
        <v>6</v>
      </c>
      <c r="V1341">
        <v>14.75</v>
      </c>
      <c r="W1341">
        <v>2.31</v>
      </c>
      <c r="X1341">
        <v>1</v>
      </c>
      <c r="Y1341">
        <v>13.25</v>
      </c>
      <c r="Z1341">
        <v>19</v>
      </c>
      <c r="AA1341">
        <v>15</v>
      </c>
      <c r="AB1341">
        <v>2.1850000000000001</v>
      </c>
      <c r="AC1341">
        <v>3.06</v>
      </c>
      <c r="AE1341">
        <v>0</v>
      </c>
      <c r="AF1341" t="s">
        <v>4127</v>
      </c>
      <c r="AG1341">
        <v>100</v>
      </c>
      <c r="AK1341" t="s">
        <v>98</v>
      </c>
      <c r="AM1341" t="s">
        <v>98</v>
      </c>
      <c r="AN1341" t="s">
        <v>99</v>
      </c>
      <c r="AO1341" t="s">
        <v>98</v>
      </c>
      <c r="AP1341" t="s">
        <v>100</v>
      </c>
      <c r="AQ1341" t="s">
        <v>101</v>
      </c>
      <c r="AV1341" t="s">
        <v>98</v>
      </c>
      <c r="AX1341" t="s">
        <v>164</v>
      </c>
      <c r="AZ1341" t="s">
        <v>7528</v>
      </c>
      <c r="BB1341" t="s">
        <v>7528</v>
      </c>
      <c r="BC1341" t="s">
        <v>7528</v>
      </c>
      <c r="BD1341" t="s">
        <v>7528</v>
      </c>
      <c r="BF1341" t="s">
        <v>4307</v>
      </c>
      <c r="BG1341" t="s">
        <v>98</v>
      </c>
      <c r="BH1341" t="s">
        <v>98</v>
      </c>
      <c r="BI1341" t="s">
        <v>98</v>
      </c>
      <c r="BK1341" t="s">
        <v>7528</v>
      </c>
      <c r="BL1341" t="s">
        <v>7528</v>
      </c>
      <c r="BM1341">
        <v>6.75</v>
      </c>
      <c r="BN1341">
        <v>6</v>
      </c>
      <c r="CA1341" t="s">
        <v>4308</v>
      </c>
      <c r="CB1341" t="s">
        <v>164</v>
      </c>
      <c r="CL1341" t="s">
        <v>99</v>
      </c>
      <c r="CM1341" t="s">
        <v>98</v>
      </c>
      <c r="CN1341" t="s">
        <v>7528</v>
      </c>
      <c r="CO1341" s="1">
        <v>43542</v>
      </c>
      <c r="CP1341" s="1">
        <v>43633</v>
      </c>
    </row>
    <row r="1342" spans="1:94" x14ac:dyDescent="0.25">
      <c r="A1342" t="s">
        <v>4309</v>
      </c>
      <c r="B1342" t="str">
        <f xml:space="preserve"> "" &amp; 747396112039</f>
        <v>747396112039</v>
      </c>
      <c r="C1342" t="s">
        <v>3185</v>
      </c>
      <c r="D1342" t="s">
        <v>6860</v>
      </c>
      <c r="E1342" t="s">
        <v>4291</v>
      </c>
      <c r="F1342" t="s">
        <v>2823</v>
      </c>
      <c r="G1342">
        <v>1</v>
      </c>
      <c r="H1342">
        <v>1</v>
      </c>
      <c r="I1342" t="s">
        <v>97</v>
      </c>
      <c r="J1342" s="10">
        <v>45</v>
      </c>
      <c r="K1342" s="10">
        <v>135</v>
      </c>
      <c r="L1342" s="10">
        <v>0</v>
      </c>
      <c r="N1342" s="10">
        <v>0</v>
      </c>
      <c r="O1342" t="s">
        <v>99</v>
      </c>
      <c r="P1342" s="10">
        <v>94.95</v>
      </c>
      <c r="S1342">
        <v>8</v>
      </c>
      <c r="U1342">
        <v>6</v>
      </c>
      <c r="V1342">
        <v>21.75</v>
      </c>
      <c r="W1342">
        <v>2.69</v>
      </c>
      <c r="X1342">
        <v>1</v>
      </c>
      <c r="Y1342">
        <v>13.25</v>
      </c>
      <c r="Z1342">
        <v>26</v>
      </c>
      <c r="AA1342">
        <v>15</v>
      </c>
      <c r="AB1342">
        <v>2.99</v>
      </c>
      <c r="AC1342">
        <v>3.7</v>
      </c>
      <c r="AE1342">
        <v>0</v>
      </c>
      <c r="AF1342" t="s">
        <v>4127</v>
      </c>
      <c r="AG1342">
        <v>100</v>
      </c>
      <c r="AK1342" t="s">
        <v>98</v>
      </c>
      <c r="AM1342" t="s">
        <v>98</v>
      </c>
      <c r="AN1342" t="s">
        <v>99</v>
      </c>
      <c r="AO1342" t="s">
        <v>98</v>
      </c>
      <c r="AP1342" t="s">
        <v>100</v>
      </c>
      <c r="AQ1342" t="s">
        <v>101</v>
      </c>
      <c r="AV1342" t="s">
        <v>98</v>
      </c>
      <c r="AX1342" t="s">
        <v>164</v>
      </c>
      <c r="AZ1342" t="s">
        <v>7528</v>
      </c>
      <c r="BB1342" t="s">
        <v>7528</v>
      </c>
      <c r="BC1342" t="s">
        <v>7528</v>
      </c>
      <c r="BD1342" t="s">
        <v>7528</v>
      </c>
      <c r="BF1342" t="s">
        <v>4310</v>
      </c>
      <c r="BG1342" t="s">
        <v>98</v>
      </c>
      <c r="BH1342" t="s">
        <v>98</v>
      </c>
      <c r="BI1342" t="s">
        <v>98</v>
      </c>
      <c r="BJ1342" t="s">
        <v>99</v>
      </c>
      <c r="BK1342" t="s">
        <v>453</v>
      </c>
      <c r="BL1342" t="s">
        <v>7528</v>
      </c>
      <c r="BM1342">
        <v>6.75</v>
      </c>
      <c r="BN1342">
        <v>6</v>
      </c>
      <c r="CA1342" t="s">
        <v>4311</v>
      </c>
      <c r="CB1342" t="s">
        <v>164</v>
      </c>
      <c r="CL1342" t="s">
        <v>99</v>
      </c>
      <c r="CM1342" t="s">
        <v>98</v>
      </c>
      <c r="CN1342" t="s">
        <v>4312</v>
      </c>
      <c r="CO1342" s="1">
        <v>43542</v>
      </c>
      <c r="CP1342" s="1">
        <v>43621</v>
      </c>
    </row>
    <row r="1343" spans="1:94" x14ac:dyDescent="0.25">
      <c r="A1343" t="s">
        <v>4313</v>
      </c>
      <c r="B1343" t="str">
        <f xml:space="preserve"> "" &amp; 747396112046</f>
        <v>747396112046</v>
      </c>
      <c r="C1343" t="s">
        <v>3185</v>
      </c>
      <c r="D1343" t="s">
        <v>6859</v>
      </c>
      <c r="E1343" t="s">
        <v>4291</v>
      </c>
      <c r="F1343" t="s">
        <v>2823</v>
      </c>
      <c r="G1343">
        <v>1</v>
      </c>
      <c r="H1343">
        <v>1</v>
      </c>
      <c r="I1343" t="s">
        <v>97</v>
      </c>
      <c r="J1343" s="10">
        <v>55</v>
      </c>
      <c r="K1343" s="10">
        <v>165</v>
      </c>
      <c r="L1343" s="10">
        <v>0</v>
      </c>
      <c r="N1343" s="10">
        <v>0</v>
      </c>
      <c r="O1343" t="s">
        <v>99</v>
      </c>
      <c r="P1343" s="10">
        <v>109.95</v>
      </c>
      <c r="S1343">
        <v>8</v>
      </c>
      <c r="U1343">
        <v>6</v>
      </c>
      <c r="V1343">
        <v>28.75</v>
      </c>
      <c r="W1343">
        <v>3</v>
      </c>
      <c r="X1343">
        <v>1</v>
      </c>
      <c r="Y1343">
        <v>13.25</v>
      </c>
      <c r="Z1343">
        <v>33</v>
      </c>
      <c r="AA1343">
        <v>15</v>
      </c>
      <c r="AB1343">
        <v>3.7959999999999998</v>
      </c>
      <c r="AC1343">
        <v>4.28</v>
      </c>
      <c r="AE1343">
        <v>0</v>
      </c>
      <c r="AF1343" t="s">
        <v>4127</v>
      </c>
      <c r="AG1343">
        <v>100</v>
      </c>
      <c r="AK1343" t="s">
        <v>98</v>
      </c>
      <c r="AM1343" t="s">
        <v>98</v>
      </c>
      <c r="AN1343" t="s">
        <v>99</v>
      </c>
      <c r="AO1343" t="s">
        <v>98</v>
      </c>
      <c r="AP1343" t="s">
        <v>100</v>
      </c>
      <c r="AQ1343" t="s">
        <v>101</v>
      </c>
      <c r="AV1343" t="s">
        <v>98</v>
      </c>
      <c r="AX1343" t="s">
        <v>164</v>
      </c>
      <c r="AZ1343" t="s">
        <v>7528</v>
      </c>
      <c r="BB1343" t="s">
        <v>7528</v>
      </c>
      <c r="BC1343" t="s">
        <v>7528</v>
      </c>
      <c r="BD1343" t="s">
        <v>7528</v>
      </c>
      <c r="BF1343" t="s">
        <v>4314</v>
      </c>
      <c r="BG1343" t="s">
        <v>98</v>
      </c>
      <c r="BH1343" t="s">
        <v>98</v>
      </c>
      <c r="BI1343" t="s">
        <v>98</v>
      </c>
      <c r="BK1343" t="s">
        <v>7528</v>
      </c>
      <c r="BL1343" t="s">
        <v>7528</v>
      </c>
      <c r="BM1343">
        <v>6.75</v>
      </c>
      <c r="BN1343">
        <v>6</v>
      </c>
      <c r="CA1343">
        <v>7972</v>
      </c>
      <c r="CB1343" t="s">
        <v>164</v>
      </c>
      <c r="CL1343" t="s">
        <v>99</v>
      </c>
      <c r="CM1343" t="s">
        <v>98</v>
      </c>
      <c r="CN1343" t="s">
        <v>4315</v>
      </c>
      <c r="CO1343" s="1">
        <v>43563</v>
      </c>
      <c r="CP1343" s="1">
        <v>43621</v>
      </c>
    </row>
    <row r="1344" spans="1:94" x14ac:dyDescent="0.25">
      <c r="A1344" t="s">
        <v>4316</v>
      </c>
      <c r="B1344" t="str">
        <f xml:space="preserve"> "" &amp; 747396112053</f>
        <v>747396112053</v>
      </c>
      <c r="C1344" t="s">
        <v>3185</v>
      </c>
      <c r="D1344" t="s">
        <v>6861</v>
      </c>
      <c r="E1344" t="s">
        <v>4291</v>
      </c>
      <c r="F1344" t="s">
        <v>2823</v>
      </c>
      <c r="G1344">
        <v>1</v>
      </c>
      <c r="H1344">
        <v>1</v>
      </c>
      <c r="I1344" t="s">
        <v>97</v>
      </c>
      <c r="J1344" s="10">
        <v>55</v>
      </c>
      <c r="K1344" s="10">
        <v>165</v>
      </c>
      <c r="L1344" s="10">
        <v>0</v>
      </c>
      <c r="N1344" s="10">
        <v>0</v>
      </c>
      <c r="O1344" t="s">
        <v>99</v>
      </c>
      <c r="P1344" s="10">
        <v>109.95</v>
      </c>
      <c r="S1344">
        <v>11.75</v>
      </c>
      <c r="U1344">
        <v>6</v>
      </c>
      <c r="V1344">
        <v>18</v>
      </c>
      <c r="W1344">
        <v>2.34</v>
      </c>
      <c r="X1344">
        <v>1</v>
      </c>
      <c r="Y1344">
        <v>15.25</v>
      </c>
      <c r="Z1344">
        <v>23</v>
      </c>
      <c r="AA1344">
        <v>16</v>
      </c>
      <c r="AB1344">
        <v>3.2480000000000002</v>
      </c>
      <c r="AC1344">
        <v>3.44</v>
      </c>
      <c r="AE1344">
        <v>0</v>
      </c>
      <c r="AF1344" t="s">
        <v>4127</v>
      </c>
      <c r="AG1344">
        <v>100</v>
      </c>
      <c r="AK1344" t="s">
        <v>98</v>
      </c>
      <c r="AM1344" t="s">
        <v>98</v>
      </c>
      <c r="AN1344" t="s">
        <v>99</v>
      </c>
      <c r="AO1344" t="s">
        <v>98</v>
      </c>
      <c r="AP1344" t="s">
        <v>100</v>
      </c>
      <c r="AQ1344" t="s">
        <v>101</v>
      </c>
      <c r="AV1344" t="s">
        <v>98</v>
      </c>
      <c r="AX1344" t="s">
        <v>164</v>
      </c>
      <c r="AZ1344" t="s">
        <v>7528</v>
      </c>
      <c r="BB1344" t="s">
        <v>7528</v>
      </c>
      <c r="BC1344" t="s">
        <v>7528</v>
      </c>
      <c r="BD1344" t="s">
        <v>7528</v>
      </c>
      <c r="BF1344" t="s">
        <v>4317</v>
      </c>
      <c r="BG1344" t="s">
        <v>98</v>
      </c>
      <c r="BH1344" t="s">
        <v>98</v>
      </c>
      <c r="BI1344" t="s">
        <v>98</v>
      </c>
      <c r="BK1344" t="s">
        <v>7528</v>
      </c>
      <c r="BL1344" t="s">
        <v>7528</v>
      </c>
      <c r="BM1344">
        <v>6.75</v>
      </c>
      <c r="BN1344">
        <v>6</v>
      </c>
      <c r="CA1344" t="s">
        <v>4318</v>
      </c>
      <c r="CB1344" t="s">
        <v>164</v>
      </c>
      <c r="CL1344" t="s">
        <v>99</v>
      </c>
      <c r="CM1344" t="s">
        <v>98</v>
      </c>
      <c r="CN1344" t="s">
        <v>3227</v>
      </c>
      <c r="CO1344" s="1">
        <v>43542</v>
      </c>
      <c r="CP1344" s="1">
        <v>43621</v>
      </c>
    </row>
    <row r="1345" spans="1:94" x14ac:dyDescent="0.25">
      <c r="A1345" t="s">
        <v>4319</v>
      </c>
      <c r="B1345" t="str">
        <f xml:space="preserve"> "" &amp; 747396112060</f>
        <v>747396112060</v>
      </c>
      <c r="C1345" t="s">
        <v>3185</v>
      </c>
      <c r="D1345" t="s">
        <v>6862</v>
      </c>
      <c r="E1345" t="s">
        <v>4291</v>
      </c>
      <c r="F1345" t="s">
        <v>2823</v>
      </c>
      <c r="G1345">
        <v>1</v>
      </c>
      <c r="H1345">
        <v>1</v>
      </c>
      <c r="I1345" t="s">
        <v>97</v>
      </c>
      <c r="J1345" s="10">
        <v>65</v>
      </c>
      <c r="K1345" s="10">
        <v>195</v>
      </c>
      <c r="L1345" s="10">
        <v>0</v>
      </c>
      <c r="N1345" s="10">
        <v>0</v>
      </c>
      <c r="O1345" t="s">
        <v>99</v>
      </c>
      <c r="P1345" s="10">
        <v>139.94999999999999</v>
      </c>
      <c r="S1345">
        <v>13.5</v>
      </c>
      <c r="U1345">
        <v>6</v>
      </c>
      <c r="V1345">
        <v>24</v>
      </c>
      <c r="W1345">
        <v>3.28</v>
      </c>
      <c r="X1345">
        <v>1</v>
      </c>
      <c r="Y1345">
        <v>15.25</v>
      </c>
      <c r="Z1345">
        <v>28.75</v>
      </c>
      <c r="AA1345">
        <v>17.75</v>
      </c>
      <c r="AB1345">
        <v>4.5039999999999996</v>
      </c>
      <c r="AC1345">
        <v>6.39</v>
      </c>
      <c r="AE1345">
        <v>0</v>
      </c>
      <c r="AF1345" t="s">
        <v>4127</v>
      </c>
      <c r="AG1345">
        <v>100</v>
      </c>
      <c r="AK1345" t="s">
        <v>98</v>
      </c>
      <c r="AM1345" t="s">
        <v>98</v>
      </c>
      <c r="AN1345" t="s">
        <v>99</v>
      </c>
      <c r="AO1345" t="s">
        <v>98</v>
      </c>
      <c r="AP1345" t="s">
        <v>100</v>
      </c>
      <c r="AQ1345" t="s">
        <v>101</v>
      </c>
      <c r="AV1345" t="s">
        <v>98</v>
      </c>
      <c r="AX1345" t="s">
        <v>164</v>
      </c>
      <c r="AZ1345" t="s">
        <v>7528</v>
      </c>
      <c r="BB1345" t="s">
        <v>7528</v>
      </c>
      <c r="BC1345" t="s">
        <v>7528</v>
      </c>
      <c r="BD1345" t="s">
        <v>7528</v>
      </c>
      <c r="BF1345" t="s">
        <v>4320</v>
      </c>
      <c r="BG1345" t="s">
        <v>98</v>
      </c>
      <c r="BH1345" t="s">
        <v>98</v>
      </c>
      <c r="BI1345" t="s">
        <v>98</v>
      </c>
      <c r="BJ1345" t="s">
        <v>99</v>
      </c>
      <c r="BK1345" t="s">
        <v>453</v>
      </c>
      <c r="BL1345" t="s">
        <v>7528</v>
      </c>
      <c r="BM1345">
        <v>6.75</v>
      </c>
      <c r="BN1345">
        <v>6</v>
      </c>
      <c r="CA1345" t="s">
        <v>4321</v>
      </c>
      <c r="CB1345" t="s">
        <v>164</v>
      </c>
      <c r="CL1345" t="s">
        <v>99</v>
      </c>
      <c r="CM1345" t="s">
        <v>98</v>
      </c>
      <c r="CN1345" t="s">
        <v>7528</v>
      </c>
      <c r="CO1345" s="1">
        <v>43542</v>
      </c>
      <c r="CP1345" s="1">
        <v>43621</v>
      </c>
    </row>
    <row r="1346" spans="1:94" x14ac:dyDescent="0.25">
      <c r="A1346" t="s">
        <v>4322</v>
      </c>
      <c r="B1346" t="str">
        <f xml:space="preserve"> "" &amp; 747396112077</f>
        <v>747396112077</v>
      </c>
      <c r="C1346" t="s">
        <v>3185</v>
      </c>
      <c r="D1346" t="s">
        <v>6863</v>
      </c>
      <c r="E1346" t="s">
        <v>4291</v>
      </c>
      <c r="F1346" t="s">
        <v>2823</v>
      </c>
      <c r="G1346">
        <v>1</v>
      </c>
      <c r="H1346">
        <v>1</v>
      </c>
      <c r="I1346" t="s">
        <v>97</v>
      </c>
      <c r="J1346" s="10">
        <v>85</v>
      </c>
      <c r="K1346" s="10">
        <v>255</v>
      </c>
      <c r="L1346" s="10">
        <v>0</v>
      </c>
      <c r="N1346" s="10">
        <v>0</v>
      </c>
      <c r="O1346" t="s">
        <v>99</v>
      </c>
      <c r="P1346" s="10">
        <v>169.95</v>
      </c>
      <c r="S1346">
        <v>15.75</v>
      </c>
      <c r="U1346">
        <v>6</v>
      </c>
      <c r="V1346">
        <v>30</v>
      </c>
      <c r="W1346">
        <v>3.68</v>
      </c>
      <c r="X1346">
        <v>1</v>
      </c>
      <c r="Y1346">
        <v>15.25</v>
      </c>
      <c r="Z1346">
        <v>34.75</v>
      </c>
      <c r="AA1346">
        <v>19.75</v>
      </c>
      <c r="AB1346">
        <v>6.0570000000000004</v>
      </c>
      <c r="AC1346">
        <v>11.02</v>
      </c>
      <c r="AE1346">
        <v>0</v>
      </c>
      <c r="AF1346" t="s">
        <v>4127</v>
      </c>
      <c r="AG1346">
        <v>100</v>
      </c>
      <c r="AK1346" t="s">
        <v>98</v>
      </c>
      <c r="AM1346" t="s">
        <v>98</v>
      </c>
      <c r="AN1346" t="s">
        <v>99</v>
      </c>
      <c r="AO1346" t="s">
        <v>98</v>
      </c>
      <c r="AP1346" t="s">
        <v>100</v>
      </c>
      <c r="AQ1346" t="s">
        <v>101</v>
      </c>
      <c r="AV1346" t="s">
        <v>98</v>
      </c>
      <c r="AX1346" t="s">
        <v>164</v>
      </c>
      <c r="AZ1346" t="s">
        <v>7528</v>
      </c>
      <c r="BB1346" t="s">
        <v>7528</v>
      </c>
      <c r="BC1346" t="s">
        <v>7528</v>
      </c>
      <c r="BD1346" t="s">
        <v>7528</v>
      </c>
      <c r="BF1346" t="s">
        <v>4323</v>
      </c>
      <c r="BG1346" t="s">
        <v>98</v>
      </c>
      <c r="BH1346" t="s">
        <v>98</v>
      </c>
      <c r="BI1346" t="s">
        <v>98</v>
      </c>
      <c r="BJ1346" t="s">
        <v>99</v>
      </c>
      <c r="BK1346" t="s">
        <v>453</v>
      </c>
      <c r="BL1346" t="s">
        <v>7528</v>
      </c>
      <c r="BM1346">
        <v>6.75</v>
      </c>
      <c r="BN1346">
        <v>6</v>
      </c>
      <c r="CA1346" t="s">
        <v>4324</v>
      </c>
      <c r="CB1346" t="s">
        <v>164</v>
      </c>
      <c r="CL1346" t="s">
        <v>99</v>
      </c>
      <c r="CM1346" t="s">
        <v>98</v>
      </c>
      <c r="CN1346" t="s">
        <v>7528</v>
      </c>
      <c r="CO1346" s="1">
        <v>43542</v>
      </c>
      <c r="CP1346" s="1">
        <v>43621</v>
      </c>
    </row>
    <row r="1347" spans="1:94" x14ac:dyDescent="0.25">
      <c r="A1347" t="s">
        <v>4325</v>
      </c>
      <c r="B1347" t="str">
        <f xml:space="preserve"> "" &amp; 747396111230</f>
        <v>747396111230</v>
      </c>
      <c r="C1347" t="s">
        <v>4326</v>
      </c>
      <c r="D1347" t="s">
        <v>4327</v>
      </c>
      <c r="E1347" t="s">
        <v>4291</v>
      </c>
      <c r="F1347" t="s">
        <v>627</v>
      </c>
      <c r="G1347">
        <v>1</v>
      </c>
      <c r="H1347">
        <v>1</v>
      </c>
      <c r="I1347" t="s">
        <v>97</v>
      </c>
      <c r="J1347" s="10">
        <v>15</v>
      </c>
      <c r="K1347" s="10">
        <v>45</v>
      </c>
      <c r="L1347" s="10">
        <v>0</v>
      </c>
      <c r="N1347" s="10">
        <v>0</v>
      </c>
      <c r="O1347" t="s">
        <v>99</v>
      </c>
      <c r="P1347" s="10">
        <v>34.950000000000003</v>
      </c>
      <c r="S1347">
        <v>7.5</v>
      </c>
      <c r="U1347">
        <v>8</v>
      </c>
      <c r="V1347">
        <v>7</v>
      </c>
      <c r="W1347">
        <v>0.53</v>
      </c>
      <c r="X1347">
        <v>1</v>
      </c>
      <c r="Y1347">
        <v>12.63</v>
      </c>
      <c r="Z1347">
        <v>10</v>
      </c>
      <c r="AA1347">
        <v>10</v>
      </c>
      <c r="AB1347">
        <v>0.73099999999999998</v>
      </c>
      <c r="AC1347">
        <v>0.84</v>
      </c>
      <c r="AE1347">
        <v>0</v>
      </c>
      <c r="AF1347" t="s">
        <v>7528</v>
      </c>
      <c r="AG1347">
        <v>60</v>
      </c>
      <c r="AK1347" t="s">
        <v>98</v>
      </c>
      <c r="AM1347" t="s">
        <v>98</v>
      </c>
      <c r="AN1347" t="s">
        <v>99</v>
      </c>
      <c r="AO1347" t="s">
        <v>98</v>
      </c>
      <c r="AP1347" t="s">
        <v>100</v>
      </c>
      <c r="AQ1347" t="s">
        <v>101</v>
      </c>
      <c r="AV1347" t="s">
        <v>98</v>
      </c>
      <c r="AX1347" t="s">
        <v>3982</v>
      </c>
      <c r="AZ1347" t="s">
        <v>7528</v>
      </c>
      <c r="BB1347" t="s">
        <v>7528</v>
      </c>
      <c r="BC1347" t="s">
        <v>7528</v>
      </c>
      <c r="BD1347" t="s">
        <v>7528</v>
      </c>
      <c r="BF1347" t="s">
        <v>4328</v>
      </c>
      <c r="BG1347" t="s">
        <v>98</v>
      </c>
      <c r="BH1347" t="s">
        <v>98</v>
      </c>
      <c r="BI1347" t="s">
        <v>98</v>
      </c>
      <c r="BJ1347" t="s">
        <v>99</v>
      </c>
      <c r="BK1347" t="s">
        <v>453</v>
      </c>
      <c r="BL1347" t="s">
        <v>7528</v>
      </c>
      <c r="CA1347" t="s">
        <v>4329</v>
      </c>
      <c r="CB1347" t="s">
        <v>3982</v>
      </c>
      <c r="CL1347" t="s">
        <v>98</v>
      </c>
      <c r="CM1347" t="s">
        <v>98</v>
      </c>
      <c r="CN1347" t="s">
        <v>3227</v>
      </c>
      <c r="CO1347" s="1">
        <v>43543</v>
      </c>
      <c r="CP1347" s="1">
        <v>43633</v>
      </c>
    </row>
    <row r="1348" spans="1:94" x14ac:dyDescent="0.25">
      <c r="A1348" t="s">
        <v>4330</v>
      </c>
      <c r="B1348" t="str">
        <f xml:space="preserve"> "" &amp; 747396111254</f>
        <v>747396111254</v>
      </c>
      <c r="C1348" t="s">
        <v>4331</v>
      </c>
      <c r="D1348" t="s">
        <v>4332</v>
      </c>
      <c r="E1348" t="s">
        <v>4291</v>
      </c>
      <c r="F1348" t="s">
        <v>627</v>
      </c>
      <c r="G1348">
        <v>1</v>
      </c>
      <c r="H1348">
        <v>1</v>
      </c>
      <c r="I1348" t="s">
        <v>97</v>
      </c>
      <c r="J1348" s="10">
        <v>35</v>
      </c>
      <c r="K1348" s="10">
        <v>105</v>
      </c>
      <c r="L1348" s="10">
        <v>0</v>
      </c>
      <c r="N1348" s="10">
        <v>0</v>
      </c>
      <c r="O1348" t="s">
        <v>99</v>
      </c>
      <c r="P1348" s="10">
        <v>74.95</v>
      </c>
      <c r="S1348">
        <v>8.5</v>
      </c>
      <c r="U1348">
        <v>8</v>
      </c>
      <c r="V1348">
        <v>8</v>
      </c>
      <c r="W1348">
        <v>1.26</v>
      </c>
      <c r="X1348">
        <v>1</v>
      </c>
      <c r="Y1348">
        <v>10.5</v>
      </c>
      <c r="Z1348">
        <v>13</v>
      </c>
      <c r="AA1348">
        <v>10</v>
      </c>
      <c r="AB1348">
        <v>0.79</v>
      </c>
      <c r="AC1348">
        <v>1.46</v>
      </c>
      <c r="AF1348" t="s">
        <v>7528</v>
      </c>
      <c r="AG1348">
        <v>0</v>
      </c>
      <c r="AK1348" t="s">
        <v>98</v>
      </c>
      <c r="AM1348" t="s">
        <v>98</v>
      </c>
      <c r="AN1348" t="s">
        <v>99</v>
      </c>
      <c r="AO1348" t="s">
        <v>98</v>
      </c>
      <c r="AP1348" t="s">
        <v>100</v>
      </c>
      <c r="AQ1348" t="s">
        <v>101</v>
      </c>
      <c r="AV1348" t="s">
        <v>98</v>
      </c>
      <c r="AX1348" t="s">
        <v>3321</v>
      </c>
      <c r="AZ1348" t="s">
        <v>7528</v>
      </c>
      <c r="BB1348" t="s">
        <v>7528</v>
      </c>
      <c r="BC1348" t="s">
        <v>7528</v>
      </c>
      <c r="BD1348" t="s">
        <v>7528</v>
      </c>
      <c r="BF1348" t="s">
        <v>4333</v>
      </c>
      <c r="BG1348" t="s">
        <v>98</v>
      </c>
      <c r="BH1348" t="s">
        <v>98</v>
      </c>
      <c r="BI1348" t="s">
        <v>98</v>
      </c>
      <c r="BJ1348" t="s">
        <v>99</v>
      </c>
      <c r="BK1348" t="s">
        <v>453</v>
      </c>
      <c r="BL1348" t="s">
        <v>7528</v>
      </c>
      <c r="CA1348" t="s">
        <v>4334</v>
      </c>
      <c r="CB1348" t="s">
        <v>3321</v>
      </c>
      <c r="CL1348" t="s">
        <v>98</v>
      </c>
      <c r="CM1348" t="s">
        <v>98</v>
      </c>
      <c r="CN1348" t="s">
        <v>7528</v>
      </c>
      <c r="CO1348" s="1">
        <v>43543</v>
      </c>
      <c r="CP1348" s="1">
        <v>43633</v>
      </c>
    </row>
    <row r="1349" spans="1:94" x14ac:dyDescent="0.25">
      <c r="A1349" t="s">
        <v>4335</v>
      </c>
      <c r="B1349" t="str">
        <f xml:space="preserve"> "" &amp; 747396111261</f>
        <v>747396111261</v>
      </c>
      <c r="C1349" t="s">
        <v>4336</v>
      </c>
      <c r="D1349" t="s">
        <v>4337</v>
      </c>
      <c r="E1349" t="s">
        <v>4291</v>
      </c>
      <c r="F1349" t="s">
        <v>627</v>
      </c>
      <c r="G1349">
        <v>1</v>
      </c>
      <c r="H1349">
        <v>1</v>
      </c>
      <c r="I1349" t="s">
        <v>97</v>
      </c>
      <c r="J1349" s="10">
        <v>35</v>
      </c>
      <c r="K1349" s="10">
        <v>105</v>
      </c>
      <c r="L1349" s="10">
        <v>0</v>
      </c>
      <c r="N1349" s="10">
        <v>0</v>
      </c>
      <c r="O1349" t="s">
        <v>99</v>
      </c>
      <c r="P1349" s="10">
        <v>74.95</v>
      </c>
      <c r="S1349">
        <v>8.75</v>
      </c>
      <c r="U1349">
        <v>8</v>
      </c>
      <c r="V1349">
        <v>7.25</v>
      </c>
      <c r="W1349">
        <v>1.21</v>
      </c>
      <c r="X1349">
        <v>1</v>
      </c>
      <c r="Y1349">
        <v>10.75</v>
      </c>
      <c r="Z1349">
        <v>15.25</v>
      </c>
      <c r="AA1349">
        <v>10</v>
      </c>
      <c r="AB1349">
        <v>0.94899999999999995</v>
      </c>
      <c r="AC1349">
        <v>1.57</v>
      </c>
      <c r="AE1349">
        <v>0</v>
      </c>
      <c r="AF1349" t="s">
        <v>7528</v>
      </c>
      <c r="AK1349" t="s">
        <v>98</v>
      </c>
      <c r="AM1349" t="s">
        <v>98</v>
      </c>
      <c r="AN1349" t="s">
        <v>99</v>
      </c>
      <c r="AO1349" t="s">
        <v>98</v>
      </c>
      <c r="AP1349" t="s">
        <v>100</v>
      </c>
      <c r="AQ1349" t="s">
        <v>101</v>
      </c>
      <c r="AV1349" t="s">
        <v>98</v>
      </c>
      <c r="AX1349" t="s">
        <v>3325</v>
      </c>
      <c r="AZ1349" t="s">
        <v>7528</v>
      </c>
      <c r="BB1349" t="s">
        <v>7528</v>
      </c>
      <c r="BC1349" t="s">
        <v>7528</v>
      </c>
      <c r="BD1349" t="s">
        <v>7528</v>
      </c>
      <c r="BF1349" t="s">
        <v>4338</v>
      </c>
      <c r="BG1349" t="s">
        <v>98</v>
      </c>
      <c r="BH1349" t="s">
        <v>98</v>
      </c>
      <c r="BI1349" t="s">
        <v>98</v>
      </c>
      <c r="BJ1349" t="s">
        <v>99</v>
      </c>
      <c r="BK1349" t="s">
        <v>453</v>
      </c>
      <c r="BL1349" t="s">
        <v>7528</v>
      </c>
      <c r="CA1349" t="s">
        <v>4339</v>
      </c>
      <c r="CB1349" t="s">
        <v>3325</v>
      </c>
      <c r="CL1349" t="s">
        <v>98</v>
      </c>
      <c r="CM1349" t="s">
        <v>98</v>
      </c>
      <c r="CN1349" t="s">
        <v>3227</v>
      </c>
      <c r="CO1349" s="1">
        <v>43543</v>
      </c>
      <c r="CP1349" s="1">
        <v>43633</v>
      </c>
    </row>
    <row r="1350" spans="1:94" x14ac:dyDescent="0.25">
      <c r="A1350" t="s">
        <v>4340</v>
      </c>
      <c r="B1350" t="str">
        <f xml:space="preserve"> "" &amp; 747396111247</f>
        <v>747396111247</v>
      </c>
      <c r="C1350" t="s">
        <v>4341</v>
      </c>
      <c r="D1350" t="s">
        <v>4327</v>
      </c>
      <c r="E1350" t="s">
        <v>4291</v>
      </c>
      <c r="F1350" t="s">
        <v>627</v>
      </c>
      <c r="G1350">
        <v>1</v>
      </c>
      <c r="H1350">
        <v>1</v>
      </c>
      <c r="I1350" t="s">
        <v>97</v>
      </c>
      <c r="J1350" s="10">
        <v>35</v>
      </c>
      <c r="K1350" s="10">
        <v>105</v>
      </c>
      <c r="L1350" s="10">
        <v>0</v>
      </c>
      <c r="N1350" s="10">
        <v>0</v>
      </c>
      <c r="O1350" t="s">
        <v>99</v>
      </c>
      <c r="P1350" s="10">
        <v>74.95</v>
      </c>
      <c r="S1350">
        <v>9</v>
      </c>
      <c r="U1350">
        <v>8</v>
      </c>
      <c r="V1350">
        <v>8</v>
      </c>
      <c r="W1350">
        <v>1.23</v>
      </c>
      <c r="X1350">
        <v>1</v>
      </c>
      <c r="Y1350">
        <v>10</v>
      </c>
      <c r="Z1350">
        <v>14.25</v>
      </c>
      <c r="AA1350">
        <v>10</v>
      </c>
      <c r="AB1350">
        <v>0.82499999999999996</v>
      </c>
      <c r="AC1350">
        <v>1.52</v>
      </c>
      <c r="AE1350">
        <v>0</v>
      </c>
      <c r="AF1350" t="s">
        <v>7528</v>
      </c>
      <c r="AK1350" t="s">
        <v>98</v>
      </c>
      <c r="AM1350" t="s">
        <v>98</v>
      </c>
      <c r="AN1350" t="s">
        <v>99</v>
      </c>
      <c r="AO1350" t="s">
        <v>98</v>
      </c>
      <c r="AP1350" t="s">
        <v>100</v>
      </c>
      <c r="AQ1350" t="s">
        <v>101</v>
      </c>
      <c r="AV1350" t="s">
        <v>98</v>
      </c>
      <c r="AX1350" t="s">
        <v>3987</v>
      </c>
      <c r="AZ1350" t="s">
        <v>7528</v>
      </c>
      <c r="BB1350" t="s">
        <v>7528</v>
      </c>
      <c r="BC1350" t="s">
        <v>7528</v>
      </c>
      <c r="BD1350" t="s">
        <v>7528</v>
      </c>
      <c r="BF1350" t="s">
        <v>4342</v>
      </c>
      <c r="BG1350" t="s">
        <v>98</v>
      </c>
      <c r="BH1350" t="s">
        <v>98</v>
      </c>
      <c r="BI1350" t="s">
        <v>98</v>
      </c>
      <c r="BJ1350" t="s">
        <v>99</v>
      </c>
      <c r="BK1350" t="s">
        <v>453</v>
      </c>
      <c r="BL1350" t="s">
        <v>7528</v>
      </c>
      <c r="CA1350" t="s">
        <v>4343</v>
      </c>
      <c r="CB1350" t="s">
        <v>3987</v>
      </c>
      <c r="CL1350" t="s">
        <v>98</v>
      </c>
      <c r="CM1350" t="s">
        <v>98</v>
      </c>
      <c r="CN1350" t="s">
        <v>3227</v>
      </c>
      <c r="CO1350" s="1">
        <v>43543</v>
      </c>
      <c r="CP1350" s="1">
        <v>43633</v>
      </c>
    </row>
    <row r="1351" spans="1:94" x14ac:dyDescent="0.25">
      <c r="A1351" t="s">
        <v>4344</v>
      </c>
      <c r="B1351" t="str">
        <f xml:space="preserve"> "" &amp; 747396111179</f>
        <v>747396111179</v>
      </c>
      <c r="C1351" t="s">
        <v>4341</v>
      </c>
      <c r="D1351" t="s">
        <v>4345</v>
      </c>
      <c r="E1351" t="s">
        <v>4291</v>
      </c>
      <c r="F1351" t="s">
        <v>627</v>
      </c>
      <c r="G1351">
        <v>1</v>
      </c>
      <c r="H1351">
        <v>1</v>
      </c>
      <c r="I1351" t="s">
        <v>97</v>
      </c>
      <c r="J1351" s="10">
        <v>35</v>
      </c>
      <c r="K1351" s="10">
        <v>105</v>
      </c>
      <c r="L1351" s="10">
        <v>0</v>
      </c>
      <c r="N1351" s="10">
        <v>0</v>
      </c>
      <c r="O1351" t="s">
        <v>99</v>
      </c>
      <c r="P1351" s="10">
        <v>79.95</v>
      </c>
      <c r="S1351">
        <v>6.25</v>
      </c>
      <c r="U1351">
        <v>14</v>
      </c>
      <c r="W1351">
        <v>1.7</v>
      </c>
      <c r="X1351">
        <v>1</v>
      </c>
      <c r="Y1351">
        <v>13.5</v>
      </c>
      <c r="Z1351">
        <v>16</v>
      </c>
      <c r="AA1351">
        <v>16</v>
      </c>
      <c r="AB1351">
        <v>2</v>
      </c>
      <c r="AC1351">
        <v>2.62</v>
      </c>
      <c r="AE1351">
        <v>0</v>
      </c>
      <c r="AF1351" t="s">
        <v>7528</v>
      </c>
      <c r="AK1351" t="s">
        <v>98</v>
      </c>
      <c r="AM1351" t="s">
        <v>98</v>
      </c>
      <c r="AN1351" t="s">
        <v>99</v>
      </c>
      <c r="AO1351" t="s">
        <v>98</v>
      </c>
      <c r="AP1351" t="s">
        <v>100</v>
      </c>
      <c r="AQ1351" t="s">
        <v>101</v>
      </c>
      <c r="AV1351" t="s">
        <v>98</v>
      </c>
      <c r="AX1351" t="s">
        <v>3190</v>
      </c>
      <c r="AZ1351" t="s">
        <v>7528</v>
      </c>
      <c r="BB1351" t="s">
        <v>1446</v>
      </c>
      <c r="BC1351" t="s">
        <v>7528</v>
      </c>
      <c r="BD1351" t="s">
        <v>7528</v>
      </c>
      <c r="BF1351" t="s">
        <v>4346</v>
      </c>
      <c r="BG1351" t="s">
        <v>98</v>
      </c>
      <c r="BH1351" t="s">
        <v>98</v>
      </c>
      <c r="BI1351" t="s">
        <v>98</v>
      </c>
      <c r="BJ1351" t="s">
        <v>99</v>
      </c>
      <c r="BK1351" t="s">
        <v>453</v>
      </c>
      <c r="BL1351" t="s">
        <v>7528</v>
      </c>
      <c r="CA1351" t="s">
        <v>4347</v>
      </c>
      <c r="CB1351" t="s">
        <v>3190</v>
      </c>
      <c r="CL1351" t="s">
        <v>98</v>
      </c>
      <c r="CM1351" t="s">
        <v>98</v>
      </c>
      <c r="CN1351" t="s">
        <v>3448</v>
      </c>
      <c r="CO1351" s="1">
        <v>43542</v>
      </c>
      <c r="CP1351" s="1">
        <v>43633</v>
      </c>
    </row>
    <row r="1352" spans="1:94" x14ac:dyDescent="0.25">
      <c r="A1352" t="s">
        <v>4348</v>
      </c>
      <c r="B1352" t="str">
        <f xml:space="preserve"> "" &amp; 747396111186</f>
        <v>747396111186</v>
      </c>
      <c r="C1352" t="s">
        <v>4341</v>
      </c>
      <c r="D1352" t="s">
        <v>4349</v>
      </c>
      <c r="E1352" t="s">
        <v>4291</v>
      </c>
      <c r="F1352" t="s">
        <v>627</v>
      </c>
      <c r="G1352">
        <v>1</v>
      </c>
      <c r="H1352">
        <v>1</v>
      </c>
      <c r="I1352" t="s">
        <v>97</v>
      </c>
      <c r="J1352" s="10">
        <v>49</v>
      </c>
      <c r="K1352" s="10">
        <v>147</v>
      </c>
      <c r="L1352" s="10">
        <v>0</v>
      </c>
      <c r="N1352" s="10">
        <v>0</v>
      </c>
      <c r="O1352" t="s">
        <v>99</v>
      </c>
      <c r="P1352" s="10">
        <v>99.95</v>
      </c>
      <c r="S1352">
        <v>6.25</v>
      </c>
      <c r="U1352">
        <v>18</v>
      </c>
      <c r="W1352">
        <v>2.2000000000000002</v>
      </c>
      <c r="X1352">
        <v>1</v>
      </c>
      <c r="Y1352">
        <v>13.5</v>
      </c>
      <c r="Z1352">
        <v>20</v>
      </c>
      <c r="AA1352">
        <v>20</v>
      </c>
      <c r="AB1352">
        <v>3.125</v>
      </c>
      <c r="AC1352">
        <v>3.46</v>
      </c>
      <c r="AE1352">
        <v>0</v>
      </c>
      <c r="AF1352" t="s">
        <v>7528</v>
      </c>
      <c r="AG1352">
        <v>60</v>
      </c>
      <c r="AK1352" t="s">
        <v>98</v>
      </c>
      <c r="AM1352" t="s">
        <v>98</v>
      </c>
      <c r="AN1352" t="s">
        <v>99</v>
      </c>
      <c r="AO1352" t="s">
        <v>98</v>
      </c>
      <c r="AP1352" t="s">
        <v>100</v>
      </c>
      <c r="AQ1352" t="s">
        <v>101</v>
      </c>
      <c r="AV1352" t="s">
        <v>98</v>
      </c>
      <c r="AX1352" t="s">
        <v>3190</v>
      </c>
      <c r="AZ1352" t="s">
        <v>7528</v>
      </c>
      <c r="BB1352" t="s">
        <v>1446</v>
      </c>
      <c r="BC1352" t="s">
        <v>7528</v>
      </c>
      <c r="BD1352" t="s">
        <v>7528</v>
      </c>
      <c r="BF1352" t="s">
        <v>4350</v>
      </c>
      <c r="BG1352" t="s">
        <v>98</v>
      </c>
      <c r="BH1352" t="s">
        <v>98</v>
      </c>
      <c r="BI1352" t="s">
        <v>98</v>
      </c>
      <c r="BJ1352" t="s">
        <v>99</v>
      </c>
      <c r="BK1352" t="s">
        <v>453</v>
      </c>
      <c r="BL1352" t="s">
        <v>7528</v>
      </c>
      <c r="CA1352" t="s">
        <v>4351</v>
      </c>
      <c r="CB1352" t="s">
        <v>3190</v>
      </c>
      <c r="CL1352" t="s">
        <v>98</v>
      </c>
      <c r="CM1352" t="s">
        <v>98</v>
      </c>
      <c r="CN1352" t="s">
        <v>3448</v>
      </c>
      <c r="CO1352" s="1">
        <v>43542</v>
      </c>
      <c r="CP1352" s="1">
        <v>43633</v>
      </c>
    </row>
    <row r="1353" spans="1:94" x14ac:dyDescent="0.25">
      <c r="A1353" t="s">
        <v>4352</v>
      </c>
      <c r="B1353" t="str">
        <f xml:space="preserve"> "" &amp; 747396111216</f>
        <v>747396111216</v>
      </c>
      <c r="C1353" t="s">
        <v>4341</v>
      </c>
      <c r="D1353" t="s">
        <v>4345</v>
      </c>
      <c r="E1353" t="s">
        <v>4291</v>
      </c>
      <c r="F1353" t="s">
        <v>627</v>
      </c>
      <c r="G1353">
        <v>1</v>
      </c>
      <c r="H1353">
        <v>1</v>
      </c>
      <c r="I1353" t="s">
        <v>97</v>
      </c>
      <c r="J1353" s="10">
        <v>29</v>
      </c>
      <c r="K1353" s="10">
        <v>87</v>
      </c>
      <c r="L1353" s="10">
        <v>0</v>
      </c>
      <c r="N1353" s="10">
        <v>0</v>
      </c>
      <c r="O1353" t="s">
        <v>99</v>
      </c>
      <c r="P1353" s="10">
        <v>59.95</v>
      </c>
      <c r="S1353">
        <v>5.25</v>
      </c>
      <c r="U1353">
        <v>14</v>
      </c>
      <c r="W1353">
        <v>0.99</v>
      </c>
      <c r="X1353">
        <v>1</v>
      </c>
      <c r="Y1353">
        <v>10.5</v>
      </c>
      <c r="Z1353">
        <v>16</v>
      </c>
      <c r="AA1353">
        <v>16</v>
      </c>
      <c r="AB1353">
        <v>1.556</v>
      </c>
      <c r="AC1353">
        <v>1.61</v>
      </c>
      <c r="AF1353" t="s">
        <v>7528</v>
      </c>
      <c r="AK1353" t="s">
        <v>98</v>
      </c>
      <c r="AM1353" t="s">
        <v>98</v>
      </c>
      <c r="AN1353" t="s">
        <v>99</v>
      </c>
      <c r="AO1353" t="s">
        <v>98</v>
      </c>
      <c r="AP1353" t="s">
        <v>100</v>
      </c>
      <c r="AQ1353" t="s">
        <v>101</v>
      </c>
      <c r="AV1353" t="s">
        <v>98</v>
      </c>
      <c r="AX1353" t="s">
        <v>3325</v>
      </c>
      <c r="AZ1353" t="s">
        <v>7528</v>
      </c>
      <c r="BB1353" t="s">
        <v>7528</v>
      </c>
      <c r="BC1353" t="s">
        <v>7528</v>
      </c>
      <c r="BD1353" t="s">
        <v>7528</v>
      </c>
      <c r="BF1353" t="s">
        <v>4353</v>
      </c>
      <c r="BG1353" t="s">
        <v>98</v>
      </c>
      <c r="BH1353" t="s">
        <v>98</v>
      </c>
      <c r="BI1353" t="s">
        <v>98</v>
      </c>
      <c r="BJ1353" t="s">
        <v>99</v>
      </c>
      <c r="BK1353" t="s">
        <v>453</v>
      </c>
      <c r="BL1353" t="s">
        <v>7528</v>
      </c>
      <c r="CA1353" t="s">
        <v>4354</v>
      </c>
      <c r="CB1353" t="s">
        <v>3325</v>
      </c>
      <c r="CL1353" t="s">
        <v>98</v>
      </c>
      <c r="CM1353" t="s">
        <v>98</v>
      </c>
      <c r="CN1353" t="s">
        <v>7528</v>
      </c>
      <c r="CO1353" s="1">
        <v>43542</v>
      </c>
      <c r="CP1353" s="1">
        <v>43633</v>
      </c>
    </row>
    <row r="1354" spans="1:94" x14ac:dyDescent="0.25">
      <c r="A1354" t="s">
        <v>4355</v>
      </c>
      <c r="B1354" t="str">
        <f xml:space="preserve"> "" &amp; 747396111223</f>
        <v>747396111223</v>
      </c>
      <c r="C1354" t="s">
        <v>4341</v>
      </c>
      <c r="D1354" t="s">
        <v>4349</v>
      </c>
      <c r="E1354" t="s">
        <v>4291</v>
      </c>
      <c r="F1354" t="s">
        <v>627</v>
      </c>
      <c r="G1354">
        <v>1</v>
      </c>
      <c r="H1354">
        <v>1</v>
      </c>
      <c r="I1354" t="s">
        <v>97</v>
      </c>
      <c r="J1354" s="10">
        <v>35</v>
      </c>
      <c r="K1354" s="10">
        <v>105</v>
      </c>
      <c r="L1354" s="10">
        <v>0</v>
      </c>
      <c r="N1354" s="10">
        <v>0</v>
      </c>
      <c r="O1354" t="s">
        <v>99</v>
      </c>
      <c r="P1354" s="10">
        <v>79.95</v>
      </c>
      <c r="S1354">
        <v>6.25</v>
      </c>
      <c r="U1354">
        <v>18</v>
      </c>
      <c r="W1354">
        <v>1.72</v>
      </c>
      <c r="X1354">
        <v>1</v>
      </c>
      <c r="Y1354">
        <v>10.5</v>
      </c>
      <c r="Z1354">
        <v>20</v>
      </c>
      <c r="AA1354">
        <v>20</v>
      </c>
      <c r="AB1354">
        <v>2.431</v>
      </c>
      <c r="AC1354">
        <v>2.62</v>
      </c>
      <c r="AF1354" t="s">
        <v>7528</v>
      </c>
      <c r="AK1354" t="s">
        <v>98</v>
      </c>
      <c r="AM1354" t="s">
        <v>98</v>
      </c>
      <c r="AN1354" t="s">
        <v>99</v>
      </c>
      <c r="AO1354" t="s">
        <v>98</v>
      </c>
      <c r="AP1354" t="s">
        <v>100</v>
      </c>
      <c r="AQ1354" t="s">
        <v>101</v>
      </c>
      <c r="AV1354" t="s">
        <v>98</v>
      </c>
      <c r="AX1354" t="s">
        <v>4356</v>
      </c>
      <c r="AZ1354" t="s">
        <v>7528</v>
      </c>
      <c r="BB1354" t="s">
        <v>7528</v>
      </c>
      <c r="BC1354" t="s">
        <v>7528</v>
      </c>
      <c r="BD1354" t="s">
        <v>7528</v>
      </c>
      <c r="BF1354" t="s">
        <v>4357</v>
      </c>
      <c r="BG1354" t="s">
        <v>98</v>
      </c>
      <c r="BH1354" t="s">
        <v>98</v>
      </c>
      <c r="BI1354" t="s">
        <v>98</v>
      </c>
      <c r="BJ1354" t="s">
        <v>99</v>
      </c>
      <c r="BK1354" t="s">
        <v>453</v>
      </c>
      <c r="BL1354" t="s">
        <v>7528</v>
      </c>
      <c r="CA1354" t="s">
        <v>4358</v>
      </c>
      <c r="CB1354" t="s">
        <v>4356</v>
      </c>
      <c r="CL1354" t="s">
        <v>98</v>
      </c>
      <c r="CM1354" t="s">
        <v>98</v>
      </c>
      <c r="CN1354" t="s">
        <v>7528</v>
      </c>
      <c r="CO1354" s="1">
        <v>43543</v>
      </c>
      <c r="CP1354" s="1">
        <v>43633</v>
      </c>
    </row>
    <row r="1355" spans="1:94" x14ac:dyDescent="0.25">
      <c r="A1355" t="s">
        <v>4359</v>
      </c>
      <c r="B1355" t="str">
        <f xml:space="preserve"> "" &amp; 747396111193</f>
        <v>747396111193</v>
      </c>
      <c r="C1355" t="s">
        <v>4341</v>
      </c>
      <c r="D1355" t="s">
        <v>4345</v>
      </c>
      <c r="E1355" t="s">
        <v>4291</v>
      </c>
      <c r="F1355" t="s">
        <v>627</v>
      </c>
      <c r="G1355">
        <v>1</v>
      </c>
      <c r="H1355">
        <v>1</v>
      </c>
      <c r="I1355" t="s">
        <v>97</v>
      </c>
      <c r="J1355" s="10">
        <v>29</v>
      </c>
      <c r="K1355" s="10">
        <v>87</v>
      </c>
      <c r="L1355" s="10">
        <v>0</v>
      </c>
      <c r="N1355" s="10">
        <v>0</v>
      </c>
      <c r="O1355" t="s">
        <v>99</v>
      </c>
      <c r="P1355" s="10">
        <v>59.95</v>
      </c>
      <c r="S1355">
        <v>5.25</v>
      </c>
      <c r="U1355">
        <v>14</v>
      </c>
      <c r="W1355">
        <v>0.97</v>
      </c>
      <c r="X1355">
        <v>1</v>
      </c>
      <c r="Y1355">
        <v>10.75</v>
      </c>
      <c r="Z1355">
        <v>16</v>
      </c>
      <c r="AA1355">
        <v>16</v>
      </c>
      <c r="AB1355">
        <v>1.593</v>
      </c>
      <c r="AC1355">
        <v>1.59</v>
      </c>
      <c r="AF1355" t="s">
        <v>7528</v>
      </c>
      <c r="AK1355" t="s">
        <v>98</v>
      </c>
      <c r="AM1355" t="s">
        <v>98</v>
      </c>
      <c r="AN1355" t="s">
        <v>99</v>
      </c>
      <c r="AO1355" t="s">
        <v>98</v>
      </c>
      <c r="AP1355" t="s">
        <v>100</v>
      </c>
      <c r="AQ1355" t="s">
        <v>101</v>
      </c>
      <c r="AV1355" t="s">
        <v>98</v>
      </c>
      <c r="AX1355" t="s">
        <v>276</v>
      </c>
      <c r="AZ1355" t="s">
        <v>7528</v>
      </c>
      <c r="BB1355" t="s">
        <v>7528</v>
      </c>
      <c r="BC1355" t="s">
        <v>7528</v>
      </c>
      <c r="BD1355" t="s">
        <v>7528</v>
      </c>
      <c r="BF1355" t="s">
        <v>4360</v>
      </c>
      <c r="BG1355" t="s">
        <v>98</v>
      </c>
      <c r="BH1355" t="s">
        <v>98</v>
      </c>
      <c r="BI1355" t="s">
        <v>98</v>
      </c>
      <c r="BJ1355" t="s">
        <v>99</v>
      </c>
      <c r="BK1355" t="s">
        <v>453</v>
      </c>
      <c r="BL1355" t="s">
        <v>7528</v>
      </c>
      <c r="CA1355" t="s">
        <v>4361</v>
      </c>
      <c r="CB1355" t="s">
        <v>276</v>
      </c>
      <c r="CL1355" t="s">
        <v>98</v>
      </c>
      <c r="CM1355" t="s">
        <v>98</v>
      </c>
      <c r="CN1355" t="s">
        <v>7528</v>
      </c>
      <c r="CO1355" s="1">
        <v>43542</v>
      </c>
      <c r="CP1355" s="1">
        <v>43633</v>
      </c>
    </row>
    <row r="1356" spans="1:94" x14ac:dyDescent="0.25">
      <c r="A1356" t="s">
        <v>4362</v>
      </c>
      <c r="B1356" t="str">
        <f xml:space="preserve"> "" &amp; 747396112015</f>
        <v>747396112015</v>
      </c>
      <c r="C1356" t="s">
        <v>4341</v>
      </c>
      <c r="D1356" t="s">
        <v>4345</v>
      </c>
      <c r="E1356" t="s">
        <v>4291</v>
      </c>
      <c r="F1356" t="s">
        <v>2823</v>
      </c>
      <c r="G1356">
        <v>1</v>
      </c>
      <c r="H1356">
        <v>1</v>
      </c>
      <c r="I1356" t="s">
        <v>97</v>
      </c>
      <c r="J1356" s="10">
        <v>29</v>
      </c>
      <c r="K1356" s="10">
        <v>87</v>
      </c>
      <c r="L1356" s="10">
        <v>0</v>
      </c>
      <c r="N1356" s="10">
        <v>0</v>
      </c>
      <c r="O1356" t="s">
        <v>99</v>
      </c>
      <c r="P1356" s="10">
        <v>59.95</v>
      </c>
      <c r="S1356">
        <v>5.25</v>
      </c>
      <c r="U1356">
        <v>14</v>
      </c>
      <c r="W1356">
        <v>0.97</v>
      </c>
      <c r="X1356">
        <v>1</v>
      </c>
      <c r="Y1356">
        <v>10.75</v>
      </c>
      <c r="Z1356">
        <v>16</v>
      </c>
      <c r="AA1356">
        <v>16</v>
      </c>
      <c r="AB1356">
        <v>1.593</v>
      </c>
      <c r="AC1356">
        <v>1.59</v>
      </c>
      <c r="AE1356">
        <v>0</v>
      </c>
      <c r="AF1356" t="s">
        <v>7528</v>
      </c>
      <c r="AK1356" t="s">
        <v>98</v>
      </c>
      <c r="AM1356" t="s">
        <v>98</v>
      </c>
      <c r="AN1356" t="s">
        <v>99</v>
      </c>
      <c r="AO1356" t="s">
        <v>98</v>
      </c>
      <c r="AP1356" t="s">
        <v>100</v>
      </c>
      <c r="AQ1356" t="s">
        <v>101</v>
      </c>
      <c r="AV1356" t="s">
        <v>98</v>
      </c>
      <c r="AX1356" t="s">
        <v>4356</v>
      </c>
      <c r="AZ1356" t="s">
        <v>7528</v>
      </c>
      <c r="BB1356" t="s">
        <v>7528</v>
      </c>
      <c r="BC1356" t="s">
        <v>7528</v>
      </c>
      <c r="BD1356" t="s">
        <v>7528</v>
      </c>
      <c r="BF1356" t="s">
        <v>4363</v>
      </c>
      <c r="BG1356" t="s">
        <v>98</v>
      </c>
      <c r="BH1356" t="s">
        <v>98</v>
      </c>
      <c r="BI1356" t="s">
        <v>98</v>
      </c>
      <c r="BJ1356" t="s">
        <v>99</v>
      </c>
      <c r="BK1356" t="s">
        <v>453</v>
      </c>
      <c r="BL1356" t="s">
        <v>7528</v>
      </c>
      <c r="CA1356">
        <v>7986</v>
      </c>
      <c r="CB1356" t="s">
        <v>4356</v>
      </c>
      <c r="CL1356" t="s">
        <v>98</v>
      </c>
      <c r="CM1356" t="s">
        <v>98</v>
      </c>
      <c r="CN1356" t="s">
        <v>3227</v>
      </c>
      <c r="CO1356" s="1">
        <v>43564</v>
      </c>
      <c r="CP1356" s="1">
        <v>43621</v>
      </c>
    </row>
    <row r="1357" spans="1:94" x14ac:dyDescent="0.25">
      <c r="A1357" t="s">
        <v>4364</v>
      </c>
      <c r="B1357" t="str">
        <f xml:space="preserve"> "" &amp; 747396112022</f>
        <v>747396112022</v>
      </c>
      <c r="C1357" t="s">
        <v>4341</v>
      </c>
      <c r="D1357" t="s">
        <v>4349</v>
      </c>
      <c r="E1357" t="s">
        <v>4291</v>
      </c>
      <c r="F1357" t="s">
        <v>2823</v>
      </c>
      <c r="G1357">
        <v>1</v>
      </c>
      <c r="H1357">
        <v>1</v>
      </c>
      <c r="I1357" t="s">
        <v>97</v>
      </c>
      <c r="J1357" s="10">
        <v>35</v>
      </c>
      <c r="K1357" s="10">
        <v>105</v>
      </c>
      <c r="L1357" s="10">
        <v>0</v>
      </c>
      <c r="N1357" s="10">
        <v>0</v>
      </c>
      <c r="O1357" t="s">
        <v>99</v>
      </c>
      <c r="P1357" s="10">
        <v>79.95</v>
      </c>
      <c r="S1357">
        <v>5.25</v>
      </c>
      <c r="U1357">
        <v>18</v>
      </c>
      <c r="W1357">
        <v>1.57</v>
      </c>
      <c r="X1357">
        <v>1</v>
      </c>
      <c r="Y1357">
        <v>10.25</v>
      </c>
      <c r="Z1357">
        <v>20</v>
      </c>
      <c r="AA1357">
        <v>20</v>
      </c>
      <c r="AB1357">
        <v>2.3730000000000002</v>
      </c>
      <c r="AC1357">
        <v>2.56</v>
      </c>
      <c r="AE1357">
        <v>0</v>
      </c>
      <c r="AF1357" t="s">
        <v>7528</v>
      </c>
      <c r="AK1357" t="s">
        <v>98</v>
      </c>
      <c r="AM1357" t="s">
        <v>98</v>
      </c>
      <c r="AN1357" t="s">
        <v>99</v>
      </c>
      <c r="AO1357" t="s">
        <v>98</v>
      </c>
      <c r="AP1357" t="s">
        <v>100</v>
      </c>
      <c r="AQ1357" t="s">
        <v>101</v>
      </c>
      <c r="AV1357" t="s">
        <v>98</v>
      </c>
      <c r="AX1357" t="s">
        <v>276</v>
      </c>
      <c r="AZ1357" t="s">
        <v>7528</v>
      </c>
      <c r="BB1357" t="s">
        <v>7528</v>
      </c>
      <c r="BC1357" t="s">
        <v>7528</v>
      </c>
      <c r="BD1357" t="s">
        <v>7528</v>
      </c>
      <c r="BF1357" t="s">
        <v>4365</v>
      </c>
      <c r="BG1357" t="s">
        <v>98</v>
      </c>
      <c r="BH1357" t="s">
        <v>98</v>
      </c>
      <c r="BI1357" t="s">
        <v>98</v>
      </c>
      <c r="BJ1357" t="s">
        <v>99</v>
      </c>
      <c r="BK1357" t="s">
        <v>453</v>
      </c>
      <c r="BL1357" t="s">
        <v>7528</v>
      </c>
      <c r="CA1357">
        <v>7986</v>
      </c>
      <c r="CB1357" t="s">
        <v>276</v>
      </c>
      <c r="CL1357" t="s">
        <v>98</v>
      </c>
      <c r="CM1357" t="s">
        <v>98</v>
      </c>
      <c r="CN1357" t="s">
        <v>3227</v>
      </c>
      <c r="CO1357" s="1">
        <v>43564</v>
      </c>
      <c r="CP1357" s="1">
        <v>43621</v>
      </c>
    </row>
    <row r="1358" spans="1:94" x14ac:dyDescent="0.25">
      <c r="A1358" t="s">
        <v>4366</v>
      </c>
      <c r="B1358" t="str">
        <f xml:space="preserve"> "" &amp; 747396111209</f>
        <v>747396111209</v>
      </c>
      <c r="C1358" t="s">
        <v>4341</v>
      </c>
      <c r="D1358" t="s">
        <v>4349</v>
      </c>
      <c r="E1358" t="s">
        <v>4291</v>
      </c>
      <c r="F1358" t="s">
        <v>627</v>
      </c>
      <c r="G1358">
        <v>1</v>
      </c>
      <c r="H1358">
        <v>1</v>
      </c>
      <c r="I1358" t="s">
        <v>97</v>
      </c>
      <c r="J1358" s="10">
        <v>35</v>
      </c>
      <c r="K1358" s="10">
        <v>105</v>
      </c>
      <c r="L1358" s="10">
        <v>0</v>
      </c>
      <c r="N1358" s="10">
        <v>0</v>
      </c>
      <c r="O1358" t="s">
        <v>99</v>
      </c>
      <c r="P1358" s="10">
        <v>79.95</v>
      </c>
      <c r="S1358">
        <v>5.25</v>
      </c>
      <c r="U1358">
        <v>18</v>
      </c>
      <c r="V1358">
        <v>18</v>
      </c>
      <c r="W1358">
        <v>1.57</v>
      </c>
      <c r="X1358">
        <v>1</v>
      </c>
      <c r="Y1358">
        <v>10.25</v>
      </c>
      <c r="Z1358">
        <v>20</v>
      </c>
      <c r="AA1358">
        <v>20</v>
      </c>
      <c r="AB1358">
        <v>2.3730000000000002</v>
      </c>
      <c r="AC1358">
        <v>2.62</v>
      </c>
      <c r="AE1358">
        <v>0</v>
      </c>
      <c r="AF1358" t="s">
        <v>7528</v>
      </c>
      <c r="AK1358" t="s">
        <v>98</v>
      </c>
      <c r="AM1358" t="s">
        <v>98</v>
      </c>
      <c r="AN1358" t="s">
        <v>99</v>
      </c>
      <c r="AO1358" t="s">
        <v>98</v>
      </c>
      <c r="AP1358" t="s">
        <v>100</v>
      </c>
      <c r="AQ1358" t="s">
        <v>101</v>
      </c>
      <c r="AV1358" t="s">
        <v>98</v>
      </c>
      <c r="AX1358" t="s">
        <v>4356</v>
      </c>
      <c r="AZ1358" t="s">
        <v>7528</v>
      </c>
      <c r="BB1358" t="s">
        <v>7528</v>
      </c>
      <c r="BC1358" t="s">
        <v>7528</v>
      </c>
      <c r="BD1358" t="s">
        <v>7528</v>
      </c>
      <c r="BF1358" t="s">
        <v>4367</v>
      </c>
      <c r="BG1358" t="s">
        <v>98</v>
      </c>
      <c r="BH1358" t="s">
        <v>98</v>
      </c>
      <c r="BI1358" t="s">
        <v>98</v>
      </c>
      <c r="BJ1358" t="s">
        <v>99</v>
      </c>
      <c r="BK1358" t="s">
        <v>453</v>
      </c>
      <c r="BL1358" t="s">
        <v>7528</v>
      </c>
      <c r="CA1358" t="s">
        <v>4368</v>
      </c>
      <c r="CB1358" t="s">
        <v>4356</v>
      </c>
      <c r="CL1358" t="s">
        <v>98</v>
      </c>
      <c r="CM1358" t="s">
        <v>98</v>
      </c>
      <c r="CN1358" t="s">
        <v>3227</v>
      </c>
      <c r="CO1358" s="1">
        <v>43542</v>
      </c>
      <c r="CP1358" s="1">
        <v>43633</v>
      </c>
    </row>
    <row r="1359" spans="1:94" x14ac:dyDescent="0.25">
      <c r="A1359" t="s">
        <v>4369</v>
      </c>
      <c r="B1359" t="str">
        <f xml:space="preserve"> "" &amp; 747396079714</f>
        <v>747396079714</v>
      </c>
      <c r="C1359" t="s">
        <v>1577</v>
      </c>
      <c r="D1359" t="s">
        <v>6864</v>
      </c>
      <c r="E1359" t="s">
        <v>4370</v>
      </c>
      <c r="F1359" t="s">
        <v>2823</v>
      </c>
      <c r="G1359">
        <v>1</v>
      </c>
      <c r="H1359">
        <v>1</v>
      </c>
      <c r="I1359" t="s">
        <v>97</v>
      </c>
      <c r="J1359" s="10">
        <v>32</v>
      </c>
      <c r="K1359" s="10">
        <v>96</v>
      </c>
      <c r="L1359" s="10">
        <v>0</v>
      </c>
      <c r="N1359" s="10">
        <v>0</v>
      </c>
      <c r="O1359" t="s">
        <v>99</v>
      </c>
      <c r="P1359" s="10">
        <v>64.95</v>
      </c>
      <c r="S1359">
        <v>6</v>
      </c>
      <c r="T1359">
        <v>13</v>
      </c>
      <c r="U1359">
        <v>8.5</v>
      </c>
      <c r="V1359">
        <v>10.5</v>
      </c>
      <c r="W1359">
        <v>0.9</v>
      </c>
      <c r="X1359">
        <v>1</v>
      </c>
      <c r="Y1359">
        <v>8</v>
      </c>
      <c r="Z1359">
        <v>13</v>
      </c>
      <c r="AA1359">
        <v>11</v>
      </c>
      <c r="AB1359">
        <v>0.66200000000000003</v>
      </c>
      <c r="AC1359">
        <v>2.0499999999999998</v>
      </c>
      <c r="AE1359">
        <v>1</v>
      </c>
      <c r="AF1359" t="s">
        <v>4371</v>
      </c>
      <c r="AG1359">
        <v>60</v>
      </c>
      <c r="AK1359" t="s">
        <v>98</v>
      </c>
      <c r="AM1359" t="s">
        <v>98</v>
      </c>
      <c r="AN1359" t="s">
        <v>99</v>
      </c>
      <c r="AO1359" t="s">
        <v>98</v>
      </c>
      <c r="AP1359" t="s">
        <v>100</v>
      </c>
      <c r="AQ1359" t="s">
        <v>101</v>
      </c>
      <c r="AV1359" t="s">
        <v>98</v>
      </c>
      <c r="AX1359" t="s">
        <v>640</v>
      </c>
      <c r="AZ1359" t="s">
        <v>124</v>
      </c>
      <c r="BB1359" t="s">
        <v>7528</v>
      </c>
      <c r="BC1359" t="s">
        <v>7528</v>
      </c>
      <c r="BD1359" t="s">
        <v>7528</v>
      </c>
      <c r="BF1359" t="s">
        <v>4372</v>
      </c>
      <c r="BG1359" t="s">
        <v>99</v>
      </c>
      <c r="BH1359" t="s">
        <v>98</v>
      </c>
      <c r="BI1359" t="s">
        <v>98</v>
      </c>
      <c r="BJ1359" t="s">
        <v>99</v>
      </c>
      <c r="BK1359" t="s">
        <v>453</v>
      </c>
      <c r="BL1359" t="s">
        <v>128</v>
      </c>
      <c r="BT1359">
        <v>5.13</v>
      </c>
      <c r="CA1359">
        <v>8101</v>
      </c>
      <c r="CB1359" t="s">
        <v>640</v>
      </c>
      <c r="CL1359" t="s">
        <v>99</v>
      </c>
      <c r="CM1359" t="s">
        <v>98</v>
      </c>
      <c r="CN1359" t="s">
        <v>3227</v>
      </c>
      <c r="CO1359" s="1">
        <v>40618</v>
      </c>
      <c r="CP1359" s="1">
        <v>43633</v>
      </c>
    </row>
    <row r="1360" spans="1:94" x14ac:dyDescent="0.25">
      <c r="A1360" t="s">
        <v>4373</v>
      </c>
      <c r="B1360" t="str">
        <f xml:space="preserve"> "" &amp; 747396087207</f>
        <v>747396087207</v>
      </c>
      <c r="C1360" t="s">
        <v>3332</v>
      </c>
      <c r="D1360" t="s">
        <v>6865</v>
      </c>
      <c r="E1360" t="s">
        <v>4370</v>
      </c>
      <c r="F1360" t="s">
        <v>3188</v>
      </c>
      <c r="G1360">
        <v>1</v>
      </c>
      <c r="H1360">
        <v>1</v>
      </c>
      <c r="I1360" t="s">
        <v>97</v>
      </c>
      <c r="J1360" s="10">
        <v>64</v>
      </c>
      <c r="K1360" s="10">
        <v>192</v>
      </c>
      <c r="L1360" s="10">
        <v>0</v>
      </c>
      <c r="N1360" s="10">
        <v>0</v>
      </c>
      <c r="O1360" t="s">
        <v>99</v>
      </c>
      <c r="P1360" s="10">
        <v>129.94999999999999</v>
      </c>
      <c r="S1360">
        <v>6</v>
      </c>
      <c r="T1360">
        <v>13</v>
      </c>
      <c r="U1360">
        <v>8.5</v>
      </c>
      <c r="V1360">
        <v>10.5</v>
      </c>
      <c r="W1360">
        <v>1.43</v>
      </c>
      <c r="X1360">
        <v>1</v>
      </c>
      <c r="Y1360">
        <v>8</v>
      </c>
      <c r="Z1360">
        <v>13</v>
      </c>
      <c r="AA1360">
        <v>11</v>
      </c>
      <c r="AB1360">
        <v>0.66200000000000003</v>
      </c>
      <c r="AC1360">
        <v>2.65</v>
      </c>
      <c r="AE1360">
        <v>1</v>
      </c>
      <c r="AF1360" t="s">
        <v>3586</v>
      </c>
      <c r="AG1360">
        <v>10</v>
      </c>
      <c r="AK1360" t="s">
        <v>99</v>
      </c>
      <c r="AM1360" t="s">
        <v>98</v>
      </c>
      <c r="AN1360" t="s">
        <v>99</v>
      </c>
      <c r="AO1360" t="s">
        <v>98</v>
      </c>
      <c r="AP1360" t="s">
        <v>100</v>
      </c>
      <c r="AQ1360" t="s">
        <v>101</v>
      </c>
      <c r="AV1360" t="s">
        <v>98</v>
      </c>
      <c r="AX1360" t="s">
        <v>640</v>
      </c>
      <c r="AZ1360" t="s">
        <v>124</v>
      </c>
      <c r="BB1360" t="s">
        <v>7528</v>
      </c>
      <c r="BC1360" t="s">
        <v>4374</v>
      </c>
      <c r="BD1360" t="s">
        <v>7528</v>
      </c>
      <c r="BF1360" t="s">
        <v>4375</v>
      </c>
      <c r="BG1360" t="s">
        <v>99</v>
      </c>
      <c r="BH1360" t="s">
        <v>98</v>
      </c>
      <c r="BI1360" t="s">
        <v>98</v>
      </c>
      <c r="BJ1360" t="s">
        <v>99</v>
      </c>
      <c r="BK1360" t="s">
        <v>453</v>
      </c>
      <c r="BL1360" t="s">
        <v>128</v>
      </c>
      <c r="BM1360">
        <v>5.13</v>
      </c>
      <c r="BO1360">
        <v>5.13</v>
      </c>
      <c r="BP1360">
        <v>5.13</v>
      </c>
      <c r="CA1360" t="s">
        <v>4376</v>
      </c>
      <c r="CB1360" t="s">
        <v>640</v>
      </c>
      <c r="CG1360">
        <v>2700</v>
      </c>
      <c r="CH1360">
        <v>79</v>
      </c>
      <c r="CI1360">
        <v>450</v>
      </c>
      <c r="CJ1360">
        <v>288.2</v>
      </c>
      <c r="CK1360">
        <v>30000</v>
      </c>
      <c r="CL1360" t="s">
        <v>98</v>
      </c>
      <c r="CM1360" t="s">
        <v>98</v>
      </c>
      <c r="CN1360" t="s">
        <v>3227</v>
      </c>
      <c r="CO1360" s="1">
        <v>41369</v>
      </c>
      <c r="CP1360" s="1">
        <v>43633</v>
      </c>
    </row>
    <row r="1361" spans="1:94" x14ac:dyDescent="0.25">
      <c r="A1361" t="s">
        <v>4377</v>
      </c>
      <c r="B1361" t="str">
        <f xml:space="preserve"> "" &amp; 747396079721</f>
        <v>747396079721</v>
      </c>
      <c r="C1361" t="s">
        <v>1577</v>
      </c>
      <c r="D1361" t="s">
        <v>6864</v>
      </c>
      <c r="E1361" t="s">
        <v>4370</v>
      </c>
      <c r="F1361" t="s">
        <v>2823</v>
      </c>
      <c r="G1361">
        <v>1</v>
      </c>
      <c r="H1361">
        <v>1</v>
      </c>
      <c r="I1361" t="s">
        <v>97</v>
      </c>
      <c r="J1361" s="10">
        <v>44</v>
      </c>
      <c r="K1361" s="10">
        <v>132</v>
      </c>
      <c r="L1361" s="10">
        <v>0</v>
      </c>
      <c r="N1361" s="10">
        <v>0</v>
      </c>
      <c r="O1361" t="s">
        <v>99</v>
      </c>
      <c r="P1361" s="10">
        <v>89.95</v>
      </c>
      <c r="S1361">
        <v>6.5</v>
      </c>
      <c r="U1361">
        <v>11</v>
      </c>
      <c r="V1361">
        <v>12.25</v>
      </c>
      <c r="W1361">
        <v>1.04</v>
      </c>
      <c r="X1361">
        <v>1</v>
      </c>
      <c r="Y1361">
        <v>9</v>
      </c>
      <c r="Z1361">
        <v>15</v>
      </c>
      <c r="AA1361">
        <v>13.5</v>
      </c>
      <c r="AB1361">
        <v>1.0549999999999999</v>
      </c>
      <c r="AC1361">
        <v>2.87</v>
      </c>
      <c r="AE1361">
        <v>1</v>
      </c>
      <c r="AF1361" t="s">
        <v>4371</v>
      </c>
      <c r="AG1361">
        <v>60</v>
      </c>
      <c r="AK1361" t="s">
        <v>98</v>
      </c>
      <c r="AM1361" t="s">
        <v>98</v>
      </c>
      <c r="AN1361" t="s">
        <v>99</v>
      </c>
      <c r="AO1361" t="s">
        <v>98</v>
      </c>
      <c r="AP1361" t="s">
        <v>100</v>
      </c>
      <c r="AQ1361" t="s">
        <v>101</v>
      </c>
      <c r="AV1361" t="s">
        <v>98</v>
      </c>
      <c r="AX1361" t="s">
        <v>640</v>
      </c>
      <c r="AZ1361" t="s">
        <v>124</v>
      </c>
      <c r="BB1361" t="s">
        <v>7528</v>
      </c>
      <c r="BC1361" t="s">
        <v>7528</v>
      </c>
      <c r="BD1361" t="s">
        <v>7528</v>
      </c>
      <c r="BF1361" t="s">
        <v>4378</v>
      </c>
      <c r="BG1361" t="s">
        <v>99</v>
      </c>
      <c r="BH1361" t="s">
        <v>98</v>
      </c>
      <c r="BI1361" t="s">
        <v>98</v>
      </c>
      <c r="BJ1361" t="s">
        <v>99</v>
      </c>
      <c r="BK1361" t="s">
        <v>453</v>
      </c>
      <c r="BL1361" t="s">
        <v>128</v>
      </c>
      <c r="BT1361">
        <v>6</v>
      </c>
      <c r="CA1361">
        <v>8102</v>
      </c>
      <c r="CB1361" t="s">
        <v>640</v>
      </c>
      <c r="CL1361" t="s">
        <v>99</v>
      </c>
      <c r="CM1361" t="s">
        <v>98</v>
      </c>
      <c r="CN1361" t="s">
        <v>3227</v>
      </c>
      <c r="CO1361" s="1">
        <v>40618</v>
      </c>
      <c r="CP1361" s="1">
        <v>43633</v>
      </c>
    </row>
    <row r="1362" spans="1:94" x14ac:dyDescent="0.25">
      <c r="A1362" t="s">
        <v>4379</v>
      </c>
      <c r="B1362" t="str">
        <f xml:space="preserve"> "" &amp; 747396087214</f>
        <v>747396087214</v>
      </c>
      <c r="C1362" t="s">
        <v>3332</v>
      </c>
      <c r="D1362" t="s">
        <v>6865</v>
      </c>
      <c r="E1362" t="s">
        <v>4370</v>
      </c>
      <c r="F1362" t="s">
        <v>3188</v>
      </c>
      <c r="G1362">
        <v>1</v>
      </c>
      <c r="H1362">
        <v>1</v>
      </c>
      <c r="I1362" t="s">
        <v>97</v>
      </c>
      <c r="J1362" s="10">
        <v>69</v>
      </c>
      <c r="K1362" s="10">
        <v>207</v>
      </c>
      <c r="L1362" s="10">
        <v>0</v>
      </c>
      <c r="N1362" s="10">
        <v>0</v>
      </c>
      <c r="O1362" t="s">
        <v>99</v>
      </c>
      <c r="P1362" s="10">
        <v>139.94999999999999</v>
      </c>
      <c r="S1362">
        <v>6.5</v>
      </c>
      <c r="U1362">
        <v>11</v>
      </c>
      <c r="V1362">
        <v>12.25</v>
      </c>
      <c r="W1362">
        <v>1.57</v>
      </c>
      <c r="Y1362">
        <v>9</v>
      </c>
      <c r="Z1362">
        <v>15</v>
      </c>
      <c r="AA1362">
        <v>13.5</v>
      </c>
      <c r="AB1362">
        <v>1.0549999999999999</v>
      </c>
      <c r="AC1362">
        <v>3.22</v>
      </c>
      <c r="AE1362">
        <v>1</v>
      </c>
      <c r="AF1362" t="s">
        <v>3586</v>
      </c>
      <c r="AG1362">
        <v>10</v>
      </c>
      <c r="AK1362" t="s">
        <v>99</v>
      </c>
      <c r="AM1362" t="s">
        <v>98</v>
      </c>
      <c r="AN1362" t="s">
        <v>99</v>
      </c>
      <c r="AO1362" t="s">
        <v>98</v>
      </c>
      <c r="AP1362" t="s">
        <v>100</v>
      </c>
      <c r="AQ1362" t="s">
        <v>101</v>
      </c>
      <c r="AV1362" t="s">
        <v>98</v>
      </c>
      <c r="AX1362" t="s">
        <v>640</v>
      </c>
      <c r="AZ1362" t="s">
        <v>124</v>
      </c>
      <c r="BB1362" t="s">
        <v>7528</v>
      </c>
      <c r="BC1362" t="s">
        <v>4374</v>
      </c>
      <c r="BD1362" t="s">
        <v>7528</v>
      </c>
      <c r="BF1362" t="s">
        <v>4380</v>
      </c>
      <c r="BG1362" t="s">
        <v>99</v>
      </c>
      <c r="BH1362" t="s">
        <v>98</v>
      </c>
      <c r="BI1362" t="s">
        <v>98</v>
      </c>
      <c r="BJ1362" t="s">
        <v>99</v>
      </c>
      <c r="BK1362" t="s">
        <v>453</v>
      </c>
      <c r="BL1362" t="s">
        <v>128</v>
      </c>
      <c r="BM1362">
        <v>6</v>
      </c>
      <c r="BO1362">
        <v>6</v>
      </c>
      <c r="BP1362">
        <v>6</v>
      </c>
      <c r="CA1362" t="s">
        <v>4381</v>
      </c>
      <c r="CB1362" t="s">
        <v>640</v>
      </c>
      <c r="CG1362">
        <v>2700</v>
      </c>
      <c r="CH1362">
        <v>78</v>
      </c>
      <c r="CI1362">
        <v>450</v>
      </c>
      <c r="CJ1362">
        <v>269.3</v>
      </c>
      <c r="CK1362">
        <v>30000</v>
      </c>
      <c r="CL1362" t="s">
        <v>98</v>
      </c>
      <c r="CM1362" t="s">
        <v>98</v>
      </c>
      <c r="CN1362" t="s">
        <v>3227</v>
      </c>
      <c r="CO1362" s="1">
        <v>41369</v>
      </c>
      <c r="CP1362" s="1">
        <v>43633</v>
      </c>
    </row>
    <row r="1363" spans="1:94" x14ac:dyDescent="0.25">
      <c r="A1363" t="s">
        <v>4382</v>
      </c>
      <c r="B1363" t="str">
        <f xml:space="preserve"> "" &amp; 747396079738</f>
        <v>747396079738</v>
      </c>
      <c r="C1363" t="s">
        <v>447</v>
      </c>
      <c r="D1363" t="s">
        <v>6866</v>
      </c>
      <c r="E1363" t="s">
        <v>4370</v>
      </c>
      <c r="F1363" t="s">
        <v>2823</v>
      </c>
      <c r="G1363">
        <v>1</v>
      </c>
      <c r="H1363">
        <v>1</v>
      </c>
      <c r="I1363" t="s">
        <v>97</v>
      </c>
      <c r="J1363" s="10">
        <v>44</v>
      </c>
      <c r="K1363" s="10">
        <v>132</v>
      </c>
      <c r="L1363" s="10">
        <v>0</v>
      </c>
      <c r="N1363" s="10">
        <v>0</v>
      </c>
      <c r="O1363" t="s">
        <v>99</v>
      </c>
      <c r="P1363" s="10">
        <v>89.95</v>
      </c>
      <c r="S1363">
        <v>11</v>
      </c>
      <c r="T1363">
        <v>11.75</v>
      </c>
      <c r="U1363">
        <v>8.5</v>
      </c>
      <c r="W1363">
        <v>1.19</v>
      </c>
      <c r="X1363">
        <v>1</v>
      </c>
      <c r="Y1363">
        <v>13</v>
      </c>
      <c r="Z1363">
        <v>14</v>
      </c>
      <c r="AA1363">
        <v>10.5</v>
      </c>
      <c r="AB1363">
        <v>1.1060000000000001</v>
      </c>
      <c r="AC1363">
        <v>2.84</v>
      </c>
      <c r="AE1363">
        <v>1</v>
      </c>
      <c r="AF1363" t="s">
        <v>4371</v>
      </c>
      <c r="AG1363">
        <v>60</v>
      </c>
      <c r="AK1363" t="s">
        <v>98</v>
      </c>
      <c r="AM1363" t="s">
        <v>98</v>
      </c>
      <c r="AN1363" t="s">
        <v>99</v>
      </c>
      <c r="AO1363" t="s">
        <v>98</v>
      </c>
      <c r="AP1363" t="s">
        <v>100</v>
      </c>
      <c r="AQ1363" t="s">
        <v>101</v>
      </c>
      <c r="AV1363" t="s">
        <v>98</v>
      </c>
      <c r="AX1363" t="s">
        <v>640</v>
      </c>
      <c r="AZ1363" t="s">
        <v>124</v>
      </c>
      <c r="BB1363" t="s">
        <v>7528</v>
      </c>
      <c r="BC1363" t="s">
        <v>7528</v>
      </c>
      <c r="BD1363" t="s">
        <v>7528</v>
      </c>
      <c r="BF1363" t="s">
        <v>4383</v>
      </c>
      <c r="BG1363" t="s">
        <v>99</v>
      </c>
      <c r="BH1363" t="s">
        <v>98</v>
      </c>
      <c r="BI1363" t="s">
        <v>98</v>
      </c>
      <c r="BJ1363" t="s">
        <v>99</v>
      </c>
      <c r="BK1363" t="s">
        <v>453</v>
      </c>
      <c r="BL1363" t="s">
        <v>128</v>
      </c>
      <c r="CA1363">
        <v>8106</v>
      </c>
      <c r="CB1363" t="s">
        <v>640</v>
      </c>
      <c r="CL1363" t="s">
        <v>99</v>
      </c>
      <c r="CM1363" t="s">
        <v>98</v>
      </c>
      <c r="CN1363" t="s">
        <v>3227</v>
      </c>
      <c r="CO1363" s="1">
        <v>40618</v>
      </c>
      <c r="CP1363" s="1">
        <v>43633</v>
      </c>
    </row>
    <row r="1364" spans="1:94" x14ac:dyDescent="0.25">
      <c r="A1364" t="s">
        <v>4384</v>
      </c>
      <c r="B1364" t="str">
        <f xml:space="preserve"> "" &amp; 747396087221</f>
        <v>747396087221</v>
      </c>
      <c r="C1364" t="s">
        <v>4385</v>
      </c>
      <c r="D1364" t="s">
        <v>6867</v>
      </c>
      <c r="E1364" t="s">
        <v>4370</v>
      </c>
      <c r="F1364" t="s">
        <v>3188</v>
      </c>
      <c r="G1364">
        <v>1</v>
      </c>
      <c r="H1364">
        <v>1</v>
      </c>
      <c r="I1364" t="s">
        <v>97</v>
      </c>
      <c r="J1364" s="10">
        <v>69</v>
      </c>
      <c r="K1364" s="10">
        <v>207</v>
      </c>
      <c r="L1364" s="10">
        <v>0</v>
      </c>
      <c r="N1364" s="10">
        <v>0</v>
      </c>
      <c r="O1364" t="s">
        <v>99</v>
      </c>
      <c r="P1364" s="10">
        <v>139.94999999999999</v>
      </c>
      <c r="S1364">
        <v>11</v>
      </c>
      <c r="U1364">
        <v>8.5</v>
      </c>
      <c r="V1364">
        <v>11.75</v>
      </c>
      <c r="W1364">
        <v>1.59</v>
      </c>
      <c r="Y1364">
        <v>13</v>
      </c>
      <c r="Z1364">
        <v>14</v>
      </c>
      <c r="AA1364">
        <v>10.5</v>
      </c>
      <c r="AB1364">
        <v>1.1060000000000001</v>
      </c>
      <c r="AC1364">
        <v>3.13</v>
      </c>
      <c r="AE1364">
        <v>1</v>
      </c>
      <c r="AF1364" t="s">
        <v>3586</v>
      </c>
      <c r="AG1364">
        <v>10</v>
      </c>
      <c r="AK1364" t="s">
        <v>98</v>
      </c>
      <c r="AM1364" t="s">
        <v>98</v>
      </c>
      <c r="AN1364" t="s">
        <v>99</v>
      </c>
      <c r="AO1364" t="s">
        <v>98</v>
      </c>
      <c r="AP1364" t="s">
        <v>100</v>
      </c>
      <c r="AQ1364" t="s">
        <v>101</v>
      </c>
      <c r="AV1364" t="s">
        <v>98</v>
      </c>
      <c r="AX1364" t="s">
        <v>640</v>
      </c>
      <c r="AZ1364" t="s">
        <v>124</v>
      </c>
      <c r="BB1364" t="s">
        <v>235</v>
      </c>
      <c r="BC1364" t="s">
        <v>4374</v>
      </c>
      <c r="BD1364" t="s">
        <v>7528</v>
      </c>
      <c r="BF1364" t="s">
        <v>4386</v>
      </c>
      <c r="BG1364" t="s">
        <v>99</v>
      </c>
      <c r="BH1364" t="s">
        <v>98</v>
      </c>
      <c r="BI1364" t="s">
        <v>98</v>
      </c>
      <c r="BJ1364" t="s">
        <v>99</v>
      </c>
      <c r="BK1364" t="s">
        <v>453</v>
      </c>
      <c r="BL1364" t="s">
        <v>128</v>
      </c>
      <c r="CA1364" t="s">
        <v>4387</v>
      </c>
      <c r="CB1364" t="s">
        <v>640</v>
      </c>
      <c r="CG1364">
        <v>2700</v>
      </c>
      <c r="CH1364">
        <v>78</v>
      </c>
      <c r="CI1364">
        <v>450</v>
      </c>
      <c r="CJ1364">
        <v>313.26</v>
      </c>
      <c r="CK1364">
        <v>30000</v>
      </c>
      <c r="CL1364" t="s">
        <v>99</v>
      </c>
      <c r="CM1364" t="s">
        <v>98</v>
      </c>
      <c r="CN1364" t="s">
        <v>3227</v>
      </c>
      <c r="CO1364" s="1">
        <v>41369</v>
      </c>
      <c r="CP1364" s="1">
        <v>43633</v>
      </c>
    </row>
    <row r="1365" spans="1:94" x14ac:dyDescent="0.25">
      <c r="A1365" t="s">
        <v>4388</v>
      </c>
      <c r="B1365" t="str">
        <f xml:space="preserve"> "" &amp; 747396079745</f>
        <v>747396079745</v>
      </c>
      <c r="C1365" t="s">
        <v>1577</v>
      </c>
      <c r="D1365" t="s">
        <v>6868</v>
      </c>
      <c r="E1365" t="s">
        <v>4389</v>
      </c>
      <c r="F1365" t="s">
        <v>449</v>
      </c>
      <c r="G1365">
        <v>1</v>
      </c>
      <c r="H1365">
        <v>1</v>
      </c>
      <c r="I1365" t="s">
        <v>97</v>
      </c>
      <c r="J1365" s="10">
        <v>72</v>
      </c>
      <c r="K1365" s="10">
        <v>216</v>
      </c>
      <c r="L1365" s="10">
        <v>0</v>
      </c>
      <c r="N1365" s="10">
        <v>0</v>
      </c>
      <c r="O1365" t="s">
        <v>99</v>
      </c>
      <c r="P1365" s="10">
        <v>144.94999999999999</v>
      </c>
      <c r="S1365">
        <v>11</v>
      </c>
      <c r="U1365">
        <v>9</v>
      </c>
      <c r="V1365">
        <v>11.75</v>
      </c>
      <c r="W1365">
        <v>2.29</v>
      </c>
      <c r="X1365">
        <v>1</v>
      </c>
      <c r="Y1365">
        <v>13.5</v>
      </c>
      <c r="Z1365">
        <v>14</v>
      </c>
      <c r="AA1365">
        <v>10.5</v>
      </c>
      <c r="AB1365">
        <v>1.1479999999999999</v>
      </c>
      <c r="AC1365">
        <v>3.73</v>
      </c>
      <c r="AE1365">
        <v>1</v>
      </c>
      <c r="AF1365" t="s">
        <v>3223</v>
      </c>
      <c r="AG1365">
        <v>13</v>
      </c>
      <c r="AK1365" t="s">
        <v>99</v>
      </c>
      <c r="AM1365" t="s">
        <v>98</v>
      </c>
      <c r="AN1365" t="s">
        <v>99</v>
      </c>
      <c r="AO1365" t="s">
        <v>98</v>
      </c>
      <c r="AP1365" t="s">
        <v>100</v>
      </c>
      <c r="AQ1365" t="s">
        <v>101</v>
      </c>
      <c r="AV1365" t="s">
        <v>98</v>
      </c>
      <c r="AX1365" t="s">
        <v>4390</v>
      </c>
      <c r="AZ1365" t="s">
        <v>124</v>
      </c>
      <c r="BB1365" t="s">
        <v>235</v>
      </c>
      <c r="BC1365" t="s">
        <v>3224</v>
      </c>
      <c r="BD1365" t="s">
        <v>7528</v>
      </c>
      <c r="BF1365" t="s">
        <v>4391</v>
      </c>
      <c r="BG1365" t="s">
        <v>99</v>
      </c>
      <c r="BH1365" t="s">
        <v>98</v>
      </c>
      <c r="BI1365" t="s">
        <v>98</v>
      </c>
      <c r="BJ1365" t="s">
        <v>99</v>
      </c>
      <c r="BK1365" t="s">
        <v>453</v>
      </c>
      <c r="BL1365" t="s">
        <v>128</v>
      </c>
      <c r="BR1365">
        <v>7.25</v>
      </c>
      <c r="BT1365">
        <v>5</v>
      </c>
      <c r="CA1365" t="s">
        <v>4392</v>
      </c>
      <c r="CB1365" t="s">
        <v>4390</v>
      </c>
      <c r="CG1365">
        <v>2700</v>
      </c>
      <c r="CL1365" t="s">
        <v>98</v>
      </c>
      <c r="CM1365" t="s">
        <v>98</v>
      </c>
      <c r="CN1365" t="s">
        <v>3227</v>
      </c>
      <c r="CO1365" s="1">
        <v>40618</v>
      </c>
      <c r="CP1365" s="1">
        <v>43633</v>
      </c>
    </row>
    <row r="1366" spans="1:94" x14ac:dyDescent="0.25">
      <c r="A1366" t="s">
        <v>4393</v>
      </c>
      <c r="B1366" t="str">
        <f xml:space="preserve"> "" &amp; 747396079752</f>
        <v>747396079752</v>
      </c>
      <c r="C1366" t="s">
        <v>1577</v>
      </c>
      <c r="D1366" t="s">
        <v>6868</v>
      </c>
      <c r="E1366" t="s">
        <v>4389</v>
      </c>
      <c r="F1366" t="s">
        <v>449</v>
      </c>
      <c r="G1366">
        <v>1</v>
      </c>
      <c r="H1366">
        <v>1</v>
      </c>
      <c r="I1366" t="s">
        <v>97</v>
      </c>
      <c r="J1366" s="10">
        <v>83</v>
      </c>
      <c r="K1366" s="10">
        <v>249</v>
      </c>
      <c r="L1366" s="10">
        <v>0</v>
      </c>
      <c r="N1366" s="10">
        <v>0</v>
      </c>
      <c r="O1366" t="s">
        <v>99</v>
      </c>
      <c r="P1366" s="10">
        <v>164.95</v>
      </c>
      <c r="S1366">
        <v>11.5</v>
      </c>
      <c r="U1366">
        <v>12</v>
      </c>
      <c r="V1366">
        <v>14.75</v>
      </c>
      <c r="W1366">
        <v>4.01</v>
      </c>
      <c r="X1366">
        <v>1</v>
      </c>
      <c r="Y1366">
        <v>14.5</v>
      </c>
      <c r="Z1366">
        <v>17.25</v>
      </c>
      <c r="AA1366">
        <v>14</v>
      </c>
      <c r="AB1366">
        <v>2.0259999999999998</v>
      </c>
      <c r="AC1366">
        <v>6.79</v>
      </c>
      <c r="AE1366">
        <v>1</v>
      </c>
      <c r="AF1366" t="s">
        <v>3223</v>
      </c>
      <c r="AG1366">
        <v>13</v>
      </c>
      <c r="AK1366" t="s">
        <v>99</v>
      </c>
      <c r="AM1366" t="s">
        <v>98</v>
      </c>
      <c r="AN1366" t="s">
        <v>99</v>
      </c>
      <c r="AO1366" t="s">
        <v>98</v>
      </c>
      <c r="AP1366" t="s">
        <v>100</v>
      </c>
      <c r="AQ1366" t="s">
        <v>101</v>
      </c>
      <c r="AV1366" t="s">
        <v>98</v>
      </c>
      <c r="AX1366" t="s">
        <v>4390</v>
      </c>
      <c r="AZ1366" t="s">
        <v>124</v>
      </c>
      <c r="BB1366" t="s">
        <v>235</v>
      </c>
      <c r="BC1366" t="s">
        <v>4394</v>
      </c>
      <c r="BD1366" t="s">
        <v>7528</v>
      </c>
      <c r="BF1366" t="s">
        <v>4395</v>
      </c>
      <c r="BG1366" t="s">
        <v>99</v>
      </c>
      <c r="BH1366" t="s">
        <v>98</v>
      </c>
      <c r="BI1366" t="s">
        <v>98</v>
      </c>
      <c r="BJ1366" t="s">
        <v>99</v>
      </c>
      <c r="BK1366" t="s">
        <v>453</v>
      </c>
      <c r="BL1366" t="s">
        <v>128</v>
      </c>
      <c r="BR1366">
        <v>7.25</v>
      </c>
      <c r="BT1366">
        <v>5</v>
      </c>
      <c r="CA1366" t="s">
        <v>4396</v>
      </c>
      <c r="CB1366" t="s">
        <v>4390</v>
      </c>
      <c r="CG1366">
        <v>2700</v>
      </c>
      <c r="CL1366" t="s">
        <v>98</v>
      </c>
      <c r="CM1366" t="s">
        <v>98</v>
      </c>
      <c r="CN1366" t="s">
        <v>3227</v>
      </c>
      <c r="CO1366" s="1">
        <v>40624</v>
      </c>
      <c r="CP1366" s="1">
        <v>43633</v>
      </c>
    </row>
    <row r="1367" spans="1:94" x14ac:dyDescent="0.25">
      <c r="A1367" t="s">
        <v>4397</v>
      </c>
      <c r="B1367" t="str">
        <f xml:space="preserve"> "" &amp; 747396079769</f>
        <v>747396079769</v>
      </c>
      <c r="C1367" t="s">
        <v>447</v>
      </c>
      <c r="D1367" t="s">
        <v>6869</v>
      </c>
      <c r="E1367" t="s">
        <v>4389</v>
      </c>
      <c r="F1367" t="s">
        <v>449</v>
      </c>
      <c r="G1367">
        <v>1</v>
      </c>
      <c r="H1367">
        <v>1</v>
      </c>
      <c r="I1367" t="s">
        <v>97</v>
      </c>
      <c r="J1367" s="10">
        <v>88</v>
      </c>
      <c r="K1367" s="10">
        <v>264</v>
      </c>
      <c r="L1367" s="10">
        <v>0</v>
      </c>
      <c r="N1367" s="10">
        <v>0</v>
      </c>
      <c r="O1367" t="s">
        <v>99</v>
      </c>
      <c r="P1367" s="10">
        <v>174.95</v>
      </c>
      <c r="S1367">
        <v>15.75</v>
      </c>
      <c r="T1367">
        <v>15.88</v>
      </c>
      <c r="U1367">
        <v>12</v>
      </c>
      <c r="W1367">
        <v>4.1399999999999997</v>
      </c>
      <c r="X1367">
        <v>1</v>
      </c>
      <c r="Y1367">
        <v>18.5</v>
      </c>
      <c r="Z1367">
        <v>18</v>
      </c>
      <c r="AA1367">
        <v>14.5</v>
      </c>
      <c r="AB1367">
        <v>2.794</v>
      </c>
      <c r="AC1367">
        <v>7.98</v>
      </c>
      <c r="AE1367">
        <v>1</v>
      </c>
      <c r="AF1367" t="s">
        <v>3223</v>
      </c>
      <c r="AG1367">
        <v>13</v>
      </c>
      <c r="AK1367" t="s">
        <v>99</v>
      </c>
      <c r="AM1367" t="s">
        <v>98</v>
      </c>
      <c r="AN1367" t="s">
        <v>99</v>
      </c>
      <c r="AO1367" t="s">
        <v>98</v>
      </c>
      <c r="AP1367" t="s">
        <v>100</v>
      </c>
      <c r="AQ1367" t="s">
        <v>101</v>
      </c>
      <c r="AV1367" t="s">
        <v>98</v>
      </c>
      <c r="AX1367" t="s">
        <v>4390</v>
      </c>
      <c r="AZ1367" t="s">
        <v>124</v>
      </c>
      <c r="BB1367" t="s">
        <v>235</v>
      </c>
      <c r="BC1367" t="s">
        <v>4394</v>
      </c>
      <c r="BD1367" t="s">
        <v>7528</v>
      </c>
      <c r="BF1367" t="s">
        <v>4398</v>
      </c>
      <c r="BG1367" t="s">
        <v>99</v>
      </c>
      <c r="BH1367" t="s">
        <v>98</v>
      </c>
      <c r="BI1367" t="s">
        <v>98</v>
      </c>
      <c r="BJ1367" t="s">
        <v>99</v>
      </c>
      <c r="BK1367" t="s">
        <v>453</v>
      </c>
      <c r="BL1367" t="s">
        <v>7528</v>
      </c>
      <c r="CA1367" t="s">
        <v>4399</v>
      </c>
      <c r="CB1367" t="s">
        <v>4390</v>
      </c>
      <c r="CG1367">
        <v>2700</v>
      </c>
      <c r="CL1367" t="s">
        <v>98</v>
      </c>
      <c r="CM1367" t="s">
        <v>98</v>
      </c>
      <c r="CN1367" t="s">
        <v>3227</v>
      </c>
      <c r="CO1367" s="1">
        <v>40624</v>
      </c>
      <c r="CP1367" s="1">
        <v>43633</v>
      </c>
    </row>
    <row r="1368" spans="1:94" x14ac:dyDescent="0.25">
      <c r="A1368" t="s">
        <v>4400</v>
      </c>
      <c r="B1368" t="str">
        <f xml:space="preserve"> "" &amp; 747396094441</f>
        <v>747396094441</v>
      </c>
      <c r="C1368" t="s">
        <v>3332</v>
      </c>
      <c r="D1368" t="s">
        <v>4401</v>
      </c>
      <c r="E1368" t="s">
        <v>4402</v>
      </c>
      <c r="F1368" t="s">
        <v>3188</v>
      </c>
      <c r="G1368">
        <v>1</v>
      </c>
      <c r="H1368">
        <v>1</v>
      </c>
      <c r="I1368" t="s">
        <v>97</v>
      </c>
      <c r="J1368" s="10">
        <v>74</v>
      </c>
      <c r="K1368" s="10">
        <v>222</v>
      </c>
      <c r="L1368" s="10">
        <v>0</v>
      </c>
      <c r="N1368" s="10">
        <v>0</v>
      </c>
      <c r="O1368" t="s">
        <v>99</v>
      </c>
      <c r="P1368" s="10">
        <v>157.4</v>
      </c>
      <c r="S1368">
        <v>10</v>
      </c>
      <c r="U1368">
        <v>8</v>
      </c>
      <c r="V1368">
        <v>8.75</v>
      </c>
      <c r="W1368">
        <v>3.53</v>
      </c>
      <c r="Y1368">
        <v>14.25</v>
      </c>
      <c r="Z1368">
        <v>10.75</v>
      </c>
      <c r="AA1368">
        <v>9.75</v>
      </c>
      <c r="AB1368">
        <v>0.86399999999999999</v>
      </c>
      <c r="AC1368">
        <v>4.41</v>
      </c>
      <c r="AE1368">
        <v>1</v>
      </c>
      <c r="AF1368" t="s">
        <v>3683</v>
      </c>
      <c r="AG1368">
        <v>14</v>
      </c>
      <c r="AK1368" t="s">
        <v>99</v>
      </c>
      <c r="AM1368" t="s">
        <v>98</v>
      </c>
      <c r="AN1368" t="s">
        <v>99</v>
      </c>
      <c r="AO1368" t="s">
        <v>98</v>
      </c>
      <c r="AP1368" t="s">
        <v>100</v>
      </c>
      <c r="AQ1368" t="s">
        <v>101</v>
      </c>
      <c r="AV1368" t="s">
        <v>98</v>
      </c>
      <c r="AX1368" t="s">
        <v>4403</v>
      </c>
      <c r="AZ1368" t="s">
        <v>124</v>
      </c>
      <c r="BB1368" t="s">
        <v>235</v>
      </c>
      <c r="BC1368" t="s">
        <v>460</v>
      </c>
      <c r="BD1368" t="s">
        <v>7528</v>
      </c>
      <c r="BF1368" t="s">
        <v>4404</v>
      </c>
      <c r="BG1368" t="s">
        <v>98</v>
      </c>
      <c r="BH1368" t="s">
        <v>98</v>
      </c>
      <c r="BI1368" t="s">
        <v>98</v>
      </c>
      <c r="BJ1368" t="s">
        <v>99</v>
      </c>
      <c r="BK1368" t="s">
        <v>453</v>
      </c>
      <c r="BL1368" t="s">
        <v>7528</v>
      </c>
      <c r="BM1368">
        <v>5</v>
      </c>
      <c r="BN1368">
        <v>7</v>
      </c>
      <c r="CA1368">
        <v>8131</v>
      </c>
      <c r="CB1368" t="s">
        <v>4403</v>
      </c>
      <c r="CG1368">
        <v>2700</v>
      </c>
      <c r="CH1368">
        <v>80</v>
      </c>
      <c r="CI1368">
        <v>980</v>
      </c>
      <c r="CJ1368">
        <v>600.20000000000005</v>
      </c>
      <c r="CK1368">
        <v>30000</v>
      </c>
      <c r="CL1368" t="s">
        <v>98</v>
      </c>
      <c r="CM1368" t="s">
        <v>98</v>
      </c>
      <c r="CN1368" t="s">
        <v>3685</v>
      </c>
      <c r="CO1368" s="1">
        <v>41928</v>
      </c>
      <c r="CP1368" s="1">
        <v>43633</v>
      </c>
    </row>
    <row r="1369" spans="1:94" x14ac:dyDescent="0.25">
      <c r="A1369" t="s">
        <v>4405</v>
      </c>
      <c r="B1369" t="str">
        <f xml:space="preserve"> "" &amp; 747396094458</f>
        <v>747396094458</v>
      </c>
      <c r="C1369" t="s">
        <v>3332</v>
      </c>
      <c r="D1369" t="s">
        <v>4401</v>
      </c>
      <c r="E1369" t="s">
        <v>4402</v>
      </c>
      <c r="F1369" t="s">
        <v>3188</v>
      </c>
      <c r="G1369">
        <v>1</v>
      </c>
      <c r="H1369">
        <v>1</v>
      </c>
      <c r="I1369" t="s">
        <v>97</v>
      </c>
      <c r="J1369" s="10">
        <v>91</v>
      </c>
      <c r="K1369" s="10">
        <v>273</v>
      </c>
      <c r="L1369" s="10">
        <v>0</v>
      </c>
      <c r="N1369" s="10">
        <v>0</v>
      </c>
      <c r="O1369" t="s">
        <v>99</v>
      </c>
      <c r="P1369" s="10">
        <v>194.95</v>
      </c>
      <c r="S1369">
        <v>12.75</v>
      </c>
      <c r="U1369">
        <v>10</v>
      </c>
      <c r="V1369">
        <v>10.75</v>
      </c>
      <c r="W1369">
        <v>3.86</v>
      </c>
      <c r="Y1369">
        <v>16.25</v>
      </c>
      <c r="Z1369">
        <v>12.75</v>
      </c>
      <c r="AA1369">
        <v>12.25</v>
      </c>
      <c r="AB1369">
        <v>1.4690000000000001</v>
      </c>
      <c r="AC1369">
        <v>5.29</v>
      </c>
      <c r="AE1369">
        <v>1</v>
      </c>
      <c r="AF1369" t="s">
        <v>3683</v>
      </c>
      <c r="AG1369">
        <v>14</v>
      </c>
      <c r="AK1369" t="s">
        <v>99</v>
      </c>
      <c r="AM1369" t="s">
        <v>98</v>
      </c>
      <c r="AN1369" t="s">
        <v>99</v>
      </c>
      <c r="AO1369" t="s">
        <v>98</v>
      </c>
      <c r="AP1369" t="s">
        <v>100</v>
      </c>
      <c r="AQ1369" t="s">
        <v>101</v>
      </c>
      <c r="AV1369" t="s">
        <v>98</v>
      </c>
      <c r="AX1369" t="s">
        <v>4403</v>
      </c>
      <c r="AZ1369" t="s">
        <v>124</v>
      </c>
      <c r="BB1369" t="s">
        <v>235</v>
      </c>
      <c r="BC1369" t="s">
        <v>460</v>
      </c>
      <c r="BD1369" t="s">
        <v>7528</v>
      </c>
      <c r="BF1369" t="s">
        <v>4406</v>
      </c>
      <c r="BG1369" t="s">
        <v>98</v>
      </c>
      <c r="BH1369" t="s">
        <v>98</v>
      </c>
      <c r="BI1369" t="s">
        <v>98</v>
      </c>
      <c r="BJ1369" t="s">
        <v>99</v>
      </c>
      <c r="BK1369" t="s">
        <v>453</v>
      </c>
      <c r="BL1369" t="s">
        <v>7528</v>
      </c>
      <c r="BM1369">
        <v>5</v>
      </c>
      <c r="BN1369">
        <v>7</v>
      </c>
      <c r="CA1369">
        <v>8132</v>
      </c>
      <c r="CB1369" t="s">
        <v>4403</v>
      </c>
      <c r="CG1369">
        <v>2700</v>
      </c>
      <c r="CH1369">
        <v>80</v>
      </c>
      <c r="CI1369">
        <v>980</v>
      </c>
      <c r="CJ1369">
        <v>433.1</v>
      </c>
      <c r="CK1369">
        <v>30000</v>
      </c>
      <c r="CL1369" t="s">
        <v>98</v>
      </c>
      <c r="CM1369" t="s">
        <v>98</v>
      </c>
      <c r="CN1369" t="s">
        <v>3685</v>
      </c>
      <c r="CO1369" s="1">
        <v>41928</v>
      </c>
      <c r="CP1369" s="1">
        <v>43633</v>
      </c>
    </row>
    <row r="1370" spans="1:94" x14ac:dyDescent="0.25">
      <c r="A1370" t="s">
        <v>4407</v>
      </c>
      <c r="B1370" t="str">
        <f xml:space="preserve"> "" &amp; 747396094472</f>
        <v>747396094472</v>
      </c>
      <c r="C1370" t="s">
        <v>4408</v>
      </c>
      <c r="D1370" t="s">
        <v>6870</v>
      </c>
      <c r="E1370" t="s">
        <v>4402</v>
      </c>
      <c r="F1370" t="s">
        <v>3188</v>
      </c>
      <c r="G1370">
        <v>1</v>
      </c>
      <c r="H1370">
        <v>1</v>
      </c>
      <c r="I1370" t="s">
        <v>97</v>
      </c>
      <c r="J1370" s="10">
        <v>84</v>
      </c>
      <c r="K1370" s="10">
        <v>252</v>
      </c>
      <c r="L1370" s="10">
        <v>0</v>
      </c>
      <c r="N1370" s="10">
        <v>0</v>
      </c>
      <c r="O1370" t="s">
        <v>99</v>
      </c>
      <c r="P1370" s="10">
        <v>199.4</v>
      </c>
      <c r="S1370">
        <v>17</v>
      </c>
      <c r="T1370">
        <v>10</v>
      </c>
      <c r="U1370">
        <v>10</v>
      </c>
      <c r="V1370">
        <v>10</v>
      </c>
      <c r="W1370">
        <v>3.97</v>
      </c>
      <c r="Y1370">
        <v>19.75</v>
      </c>
      <c r="Z1370">
        <v>12</v>
      </c>
      <c r="AA1370">
        <v>12</v>
      </c>
      <c r="AB1370">
        <v>1.6459999999999999</v>
      </c>
      <c r="AC1370">
        <v>5.73</v>
      </c>
      <c r="AE1370">
        <v>1</v>
      </c>
      <c r="AF1370" t="s">
        <v>3683</v>
      </c>
      <c r="AG1370">
        <v>14</v>
      </c>
      <c r="AK1370" t="s">
        <v>99</v>
      </c>
      <c r="AM1370" t="s">
        <v>98</v>
      </c>
      <c r="AN1370" t="s">
        <v>99</v>
      </c>
      <c r="AO1370" t="s">
        <v>98</v>
      </c>
      <c r="AP1370" t="s">
        <v>100</v>
      </c>
      <c r="AQ1370" t="s">
        <v>101</v>
      </c>
      <c r="AV1370" t="s">
        <v>98</v>
      </c>
      <c r="AX1370" t="s">
        <v>4403</v>
      </c>
      <c r="AZ1370" t="s">
        <v>124</v>
      </c>
      <c r="BB1370" t="s">
        <v>235</v>
      </c>
      <c r="BC1370" t="s">
        <v>460</v>
      </c>
      <c r="BD1370" t="s">
        <v>7528</v>
      </c>
      <c r="BF1370" t="s">
        <v>4409</v>
      </c>
      <c r="BG1370" t="s">
        <v>98</v>
      </c>
      <c r="BH1370" t="s">
        <v>98</v>
      </c>
      <c r="BI1370" t="s">
        <v>98</v>
      </c>
      <c r="BJ1370" t="s">
        <v>99</v>
      </c>
      <c r="BK1370" t="s">
        <v>453</v>
      </c>
      <c r="BL1370" t="s">
        <v>7528</v>
      </c>
      <c r="CA1370">
        <v>8136</v>
      </c>
      <c r="CB1370" t="s">
        <v>4403</v>
      </c>
      <c r="CG1370">
        <v>2700</v>
      </c>
      <c r="CH1370">
        <v>80</v>
      </c>
      <c r="CI1370">
        <v>980</v>
      </c>
      <c r="CJ1370">
        <v>457.3</v>
      </c>
      <c r="CK1370">
        <v>30000</v>
      </c>
      <c r="CL1370" t="s">
        <v>99</v>
      </c>
      <c r="CM1370" t="s">
        <v>98</v>
      </c>
      <c r="CN1370" t="s">
        <v>3685</v>
      </c>
      <c r="CO1370" s="1">
        <v>41928</v>
      </c>
      <c r="CP1370" s="1">
        <v>43633</v>
      </c>
    </row>
    <row r="1371" spans="1:94" x14ac:dyDescent="0.25">
      <c r="A1371" t="s">
        <v>4410</v>
      </c>
      <c r="B1371" t="str">
        <f xml:space="preserve"> "" &amp; 747396094311</f>
        <v>747396094311</v>
      </c>
      <c r="C1371" t="s">
        <v>4411</v>
      </c>
      <c r="D1371" t="s">
        <v>4412</v>
      </c>
      <c r="E1371" t="s">
        <v>4413</v>
      </c>
      <c r="F1371" t="s">
        <v>3188</v>
      </c>
      <c r="G1371">
        <v>1</v>
      </c>
      <c r="H1371">
        <v>1</v>
      </c>
      <c r="I1371" t="s">
        <v>97</v>
      </c>
      <c r="J1371" s="10">
        <v>25</v>
      </c>
      <c r="K1371" s="10">
        <v>75</v>
      </c>
      <c r="L1371" s="10">
        <v>0</v>
      </c>
      <c r="N1371" s="10">
        <v>0</v>
      </c>
      <c r="S1371">
        <v>10.75</v>
      </c>
      <c r="T1371">
        <v>5</v>
      </c>
      <c r="U1371">
        <v>5</v>
      </c>
      <c r="W1371">
        <v>3.75</v>
      </c>
      <c r="Y1371">
        <v>17.75</v>
      </c>
      <c r="Z1371">
        <v>8.25</v>
      </c>
      <c r="AA1371">
        <v>8.25</v>
      </c>
      <c r="AB1371">
        <v>0.69899999999999995</v>
      </c>
      <c r="AC1371">
        <v>4.8499999999999996</v>
      </c>
      <c r="AE1371">
        <v>1</v>
      </c>
      <c r="AF1371" t="s">
        <v>3683</v>
      </c>
      <c r="AG1371">
        <v>14</v>
      </c>
      <c r="AK1371" t="s">
        <v>99</v>
      </c>
      <c r="AM1371" t="s">
        <v>98</v>
      </c>
      <c r="AN1371" t="s">
        <v>99</v>
      </c>
      <c r="AO1371" t="s">
        <v>98</v>
      </c>
      <c r="AP1371" t="s">
        <v>100</v>
      </c>
      <c r="AQ1371" t="s">
        <v>101</v>
      </c>
      <c r="AV1371" t="s">
        <v>98</v>
      </c>
      <c r="AX1371" t="s">
        <v>4414</v>
      </c>
      <c r="AZ1371" t="s">
        <v>102</v>
      </c>
      <c r="BB1371" t="s">
        <v>235</v>
      </c>
      <c r="BC1371" t="s">
        <v>460</v>
      </c>
      <c r="BD1371" t="s">
        <v>7528</v>
      </c>
      <c r="BF1371" t="s">
        <v>4415</v>
      </c>
      <c r="BG1371" t="s">
        <v>98</v>
      </c>
      <c r="BH1371" t="s">
        <v>98</v>
      </c>
      <c r="BI1371" t="s">
        <v>98</v>
      </c>
      <c r="BK1371" t="s">
        <v>127</v>
      </c>
      <c r="BL1371" t="s">
        <v>7528</v>
      </c>
      <c r="BR1371">
        <v>1</v>
      </c>
      <c r="BT1371">
        <v>5</v>
      </c>
      <c r="CA1371">
        <v>8154</v>
      </c>
      <c r="CB1371" t="s">
        <v>4414</v>
      </c>
      <c r="CG1371">
        <v>2700</v>
      </c>
      <c r="CH1371">
        <v>78</v>
      </c>
      <c r="CI1371">
        <v>980</v>
      </c>
      <c r="CJ1371">
        <v>687.7</v>
      </c>
      <c r="CK1371">
        <v>30000</v>
      </c>
      <c r="CL1371" t="s">
        <v>98</v>
      </c>
      <c r="CM1371" t="s">
        <v>98</v>
      </c>
      <c r="CN1371" t="s">
        <v>3685</v>
      </c>
      <c r="CO1371" s="1">
        <v>42293</v>
      </c>
      <c r="CP1371" s="1">
        <v>43633</v>
      </c>
    </row>
    <row r="1372" spans="1:94" x14ac:dyDescent="0.25">
      <c r="A1372" t="s">
        <v>4416</v>
      </c>
      <c r="B1372" t="str">
        <f xml:space="preserve"> "" &amp; 747396094328</f>
        <v>747396094328</v>
      </c>
      <c r="C1372" t="s">
        <v>3332</v>
      </c>
      <c r="D1372" t="s">
        <v>4417</v>
      </c>
      <c r="E1372" t="s">
        <v>4418</v>
      </c>
      <c r="F1372" t="s">
        <v>3188</v>
      </c>
      <c r="G1372">
        <v>1</v>
      </c>
      <c r="H1372">
        <v>1</v>
      </c>
      <c r="I1372" t="s">
        <v>97</v>
      </c>
      <c r="J1372" s="10">
        <v>82</v>
      </c>
      <c r="K1372" s="10">
        <v>246</v>
      </c>
      <c r="L1372" s="10">
        <v>0</v>
      </c>
      <c r="N1372" s="10">
        <v>0</v>
      </c>
      <c r="O1372" t="s">
        <v>99</v>
      </c>
      <c r="P1372" s="10">
        <v>174.95</v>
      </c>
      <c r="S1372">
        <v>10.75</v>
      </c>
      <c r="U1372">
        <v>7</v>
      </c>
      <c r="V1372">
        <v>8</v>
      </c>
      <c r="W1372">
        <v>4.0999999999999996</v>
      </c>
      <c r="Y1372">
        <v>14</v>
      </c>
      <c r="Z1372">
        <v>10.25</v>
      </c>
      <c r="AA1372">
        <v>9</v>
      </c>
      <c r="AB1372">
        <v>0.747</v>
      </c>
      <c r="AC1372">
        <v>5.07</v>
      </c>
      <c r="AE1372">
        <v>1</v>
      </c>
      <c r="AF1372" t="s">
        <v>3683</v>
      </c>
      <c r="AG1372">
        <v>14</v>
      </c>
      <c r="AK1372" t="s">
        <v>99</v>
      </c>
      <c r="AM1372" t="s">
        <v>98</v>
      </c>
      <c r="AN1372" t="s">
        <v>99</v>
      </c>
      <c r="AO1372" t="s">
        <v>98</v>
      </c>
      <c r="AP1372" t="s">
        <v>100</v>
      </c>
      <c r="AQ1372" t="s">
        <v>101</v>
      </c>
      <c r="AV1372" t="s">
        <v>98</v>
      </c>
      <c r="AX1372" t="s">
        <v>3491</v>
      </c>
      <c r="AZ1372" t="s">
        <v>102</v>
      </c>
      <c r="BB1372" t="s">
        <v>235</v>
      </c>
      <c r="BC1372" t="s">
        <v>2591</v>
      </c>
      <c r="BD1372" t="s">
        <v>7528</v>
      </c>
      <c r="BF1372" t="s">
        <v>4419</v>
      </c>
      <c r="BG1372" t="s">
        <v>98</v>
      </c>
      <c r="BH1372" t="s">
        <v>98</v>
      </c>
      <c r="BI1372" t="s">
        <v>98</v>
      </c>
      <c r="BJ1372" t="s">
        <v>99</v>
      </c>
      <c r="BK1372" t="s">
        <v>453</v>
      </c>
      <c r="BL1372" t="s">
        <v>7528</v>
      </c>
      <c r="BM1372">
        <v>5</v>
      </c>
      <c r="BN1372">
        <v>5</v>
      </c>
      <c r="CA1372">
        <v>8161</v>
      </c>
      <c r="CB1372" t="s">
        <v>3491</v>
      </c>
      <c r="CG1372">
        <v>2700</v>
      </c>
      <c r="CH1372">
        <v>80</v>
      </c>
      <c r="CI1372">
        <v>980</v>
      </c>
      <c r="CJ1372">
        <v>404.2</v>
      </c>
      <c r="CK1372">
        <v>30000</v>
      </c>
      <c r="CL1372" t="s">
        <v>98</v>
      </c>
      <c r="CM1372" t="s">
        <v>98</v>
      </c>
      <c r="CN1372" t="s">
        <v>3685</v>
      </c>
      <c r="CO1372" s="1">
        <v>41928</v>
      </c>
      <c r="CP1372" s="1">
        <v>43633</v>
      </c>
    </row>
    <row r="1373" spans="1:94" x14ac:dyDescent="0.25">
      <c r="A1373" t="s">
        <v>4420</v>
      </c>
      <c r="B1373" t="str">
        <f xml:space="preserve"> "" &amp; 747396094335</f>
        <v>747396094335</v>
      </c>
      <c r="C1373" t="s">
        <v>3332</v>
      </c>
      <c r="D1373" t="s">
        <v>4417</v>
      </c>
      <c r="E1373" t="s">
        <v>4418</v>
      </c>
      <c r="F1373" t="s">
        <v>3188</v>
      </c>
      <c r="G1373">
        <v>1</v>
      </c>
      <c r="H1373">
        <v>1</v>
      </c>
      <c r="I1373" t="s">
        <v>97</v>
      </c>
      <c r="J1373" s="10">
        <v>109</v>
      </c>
      <c r="K1373" s="10">
        <v>327</v>
      </c>
      <c r="L1373" s="10">
        <v>0</v>
      </c>
      <c r="N1373" s="10">
        <v>0</v>
      </c>
      <c r="O1373" t="s">
        <v>99</v>
      </c>
      <c r="P1373" s="10">
        <v>229.95</v>
      </c>
      <c r="S1373">
        <v>14</v>
      </c>
      <c r="U1373">
        <v>9</v>
      </c>
      <c r="V1373">
        <v>10.25</v>
      </c>
      <c r="W1373">
        <v>5.83</v>
      </c>
      <c r="Y1373">
        <v>17</v>
      </c>
      <c r="Z1373">
        <v>13</v>
      </c>
      <c r="AA1373">
        <v>11.75</v>
      </c>
      <c r="AB1373">
        <v>1.5029999999999999</v>
      </c>
      <c r="AC1373">
        <v>8.14</v>
      </c>
      <c r="AE1373">
        <v>1</v>
      </c>
      <c r="AF1373" t="s">
        <v>3683</v>
      </c>
      <c r="AG1373">
        <v>14</v>
      </c>
      <c r="AK1373" t="s">
        <v>99</v>
      </c>
      <c r="AM1373" t="s">
        <v>98</v>
      </c>
      <c r="AN1373" t="s">
        <v>99</v>
      </c>
      <c r="AO1373" t="s">
        <v>98</v>
      </c>
      <c r="AP1373" t="s">
        <v>100</v>
      </c>
      <c r="AQ1373" t="s">
        <v>101</v>
      </c>
      <c r="AV1373" t="s">
        <v>98</v>
      </c>
      <c r="AX1373" t="s">
        <v>3491</v>
      </c>
      <c r="AZ1373" t="s">
        <v>102</v>
      </c>
      <c r="BB1373" t="s">
        <v>235</v>
      </c>
      <c r="BC1373" t="s">
        <v>2591</v>
      </c>
      <c r="BD1373" t="s">
        <v>7528</v>
      </c>
      <c r="BF1373" t="s">
        <v>4421</v>
      </c>
      <c r="BG1373" t="s">
        <v>98</v>
      </c>
      <c r="BH1373" t="s">
        <v>98</v>
      </c>
      <c r="BI1373" t="s">
        <v>98</v>
      </c>
      <c r="BJ1373" t="s">
        <v>99</v>
      </c>
      <c r="BK1373" t="s">
        <v>453</v>
      </c>
      <c r="BL1373" t="s">
        <v>7528</v>
      </c>
      <c r="BM1373">
        <v>6</v>
      </c>
      <c r="BN1373">
        <v>6</v>
      </c>
      <c r="CA1373">
        <v>8162</v>
      </c>
      <c r="CB1373" t="s">
        <v>3491</v>
      </c>
      <c r="CG1373">
        <v>2700</v>
      </c>
      <c r="CH1373">
        <v>78</v>
      </c>
      <c r="CI1373">
        <v>980</v>
      </c>
      <c r="CJ1373">
        <v>527.70000000000005</v>
      </c>
      <c r="CK1373">
        <v>30000</v>
      </c>
      <c r="CL1373" t="s">
        <v>99</v>
      </c>
      <c r="CM1373" t="s">
        <v>98</v>
      </c>
      <c r="CN1373" t="s">
        <v>3685</v>
      </c>
      <c r="CO1373" s="1">
        <v>41928</v>
      </c>
      <c r="CP1373" s="1">
        <v>43633</v>
      </c>
    </row>
    <row r="1374" spans="1:94" x14ac:dyDescent="0.25">
      <c r="A1374" t="s">
        <v>4422</v>
      </c>
      <c r="B1374" t="str">
        <f xml:space="preserve"> "" &amp; 747396094342</f>
        <v>747396094342</v>
      </c>
      <c r="C1374" t="s">
        <v>3341</v>
      </c>
      <c r="D1374" t="s">
        <v>4423</v>
      </c>
      <c r="E1374" t="s">
        <v>4418</v>
      </c>
      <c r="F1374" t="s">
        <v>3188</v>
      </c>
      <c r="G1374">
        <v>1</v>
      </c>
      <c r="H1374">
        <v>1</v>
      </c>
      <c r="I1374" t="s">
        <v>97</v>
      </c>
      <c r="J1374" s="10">
        <v>104</v>
      </c>
      <c r="K1374" s="10">
        <v>312</v>
      </c>
      <c r="L1374" s="10">
        <v>0</v>
      </c>
      <c r="N1374" s="10">
        <v>0</v>
      </c>
      <c r="O1374" t="s">
        <v>99</v>
      </c>
      <c r="P1374" s="10">
        <v>219.95</v>
      </c>
      <c r="S1374">
        <v>13.25</v>
      </c>
      <c r="T1374">
        <v>9</v>
      </c>
      <c r="U1374">
        <v>9</v>
      </c>
      <c r="W1374">
        <v>6.53</v>
      </c>
      <c r="Y1374">
        <v>16.5</v>
      </c>
      <c r="Z1374">
        <v>11.25</v>
      </c>
      <c r="AA1374">
        <v>11.25</v>
      </c>
      <c r="AB1374">
        <v>1.208</v>
      </c>
      <c r="AC1374">
        <v>8.3800000000000008</v>
      </c>
      <c r="AE1374">
        <v>1</v>
      </c>
      <c r="AF1374" t="s">
        <v>3683</v>
      </c>
      <c r="AG1374">
        <v>14</v>
      </c>
      <c r="AK1374" t="s">
        <v>99</v>
      </c>
      <c r="AM1374" t="s">
        <v>98</v>
      </c>
      <c r="AN1374" t="s">
        <v>99</v>
      </c>
      <c r="AO1374" t="s">
        <v>98</v>
      </c>
      <c r="AP1374" t="s">
        <v>100</v>
      </c>
      <c r="AQ1374" t="s">
        <v>101</v>
      </c>
      <c r="AV1374" t="s">
        <v>98</v>
      </c>
      <c r="AX1374" t="s">
        <v>3491</v>
      </c>
      <c r="AZ1374" t="s">
        <v>102</v>
      </c>
      <c r="BB1374" t="s">
        <v>235</v>
      </c>
      <c r="BC1374" t="s">
        <v>2591</v>
      </c>
      <c r="BD1374" t="s">
        <v>7528</v>
      </c>
      <c r="BF1374" t="s">
        <v>4424</v>
      </c>
      <c r="BG1374" t="s">
        <v>98</v>
      </c>
      <c r="BH1374" t="s">
        <v>98</v>
      </c>
      <c r="BI1374" t="s">
        <v>98</v>
      </c>
      <c r="BK1374" t="s">
        <v>127</v>
      </c>
      <c r="BL1374" t="s">
        <v>7528</v>
      </c>
      <c r="BR1374">
        <v>1.5</v>
      </c>
      <c r="BT1374">
        <v>4.88</v>
      </c>
      <c r="CA1374">
        <v>8164</v>
      </c>
      <c r="CB1374" t="s">
        <v>3491</v>
      </c>
      <c r="CG1374">
        <v>2700</v>
      </c>
      <c r="CH1374">
        <v>80</v>
      </c>
      <c r="CI1374">
        <v>980</v>
      </c>
      <c r="CJ1374">
        <v>549.9</v>
      </c>
      <c r="CK1374">
        <v>30000</v>
      </c>
      <c r="CL1374" t="s">
        <v>99</v>
      </c>
      <c r="CM1374" t="s">
        <v>99</v>
      </c>
      <c r="CN1374" t="s">
        <v>3685</v>
      </c>
      <c r="CO1374" s="1">
        <v>42293</v>
      </c>
      <c r="CP1374" s="1">
        <v>43633</v>
      </c>
    </row>
    <row r="1375" spans="1:94" x14ac:dyDescent="0.25">
      <c r="A1375" t="s">
        <v>4425</v>
      </c>
      <c r="B1375" t="str">
        <f xml:space="preserve"> "" &amp; 747396094359</f>
        <v>747396094359</v>
      </c>
      <c r="C1375" t="s">
        <v>3594</v>
      </c>
      <c r="D1375" t="s">
        <v>4426</v>
      </c>
      <c r="E1375" t="s">
        <v>4418</v>
      </c>
      <c r="F1375" t="s">
        <v>3188</v>
      </c>
      <c r="G1375">
        <v>1</v>
      </c>
      <c r="H1375">
        <v>1</v>
      </c>
      <c r="I1375" t="s">
        <v>97</v>
      </c>
      <c r="J1375" s="10">
        <v>104</v>
      </c>
      <c r="K1375" s="10">
        <v>312</v>
      </c>
      <c r="L1375" s="10">
        <v>0</v>
      </c>
      <c r="N1375" s="10">
        <v>0</v>
      </c>
      <c r="O1375" t="s">
        <v>99</v>
      </c>
      <c r="P1375" s="10">
        <v>219.95</v>
      </c>
      <c r="S1375">
        <v>14.5</v>
      </c>
      <c r="U1375">
        <v>9</v>
      </c>
      <c r="V1375">
        <v>9</v>
      </c>
      <c r="W1375">
        <v>5.29</v>
      </c>
      <c r="Y1375">
        <v>17.75</v>
      </c>
      <c r="Z1375">
        <v>11.25</v>
      </c>
      <c r="AA1375">
        <v>11.25</v>
      </c>
      <c r="AB1375">
        <v>1.3</v>
      </c>
      <c r="AC1375">
        <v>7.39</v>
      </c>
      <c r="AE1375">
        <v>1</v>
      </c>
      <c r="AF1375" t="s">
        <v>3683</v>
      </c>
      <c r="AG1375">
        <v>14</v>
      </c>
      <c r="AK1375" t="s">
        <v>99</v>
      </c>
      <c r="AM1375" t="s">
        <v>98</v>
      </c>
      <c r="AN1375" t="s">
        <v>99</v>
      </c>
      <c r="AO1375" t="s">
        <v>98</v>
      </c>
      <c r="AP1375" t="s">
        <v>100</v>
      </c>
      <c r="AQ1375" t="s">
        <v>101</v>
      </c>
      <c r="AV1375" t="s">
        <v>98</v>
      </c>
      <c r="AX1375" t="s">
        <v>3491</v>
      </c>
      <c r="AZ1375" t="s">
        <v>102</v>
      </c>
      <c r="BB1375" t="s">
        <v>235</v>
      </c>
      <c r="BC1375" t="s">
        <v>2591</v>
      </c>
      <c r="BD1375" t="s">
        <v>7528</v>
      </c>
      <c r="BF1375" t="s">
        <v>4427</v>
      </c>
      <c r="BG1375" t="s">
        <v>98</v>
      </c>
      <c r="BH1375" t="s">
        <v>98</v>
      </c>
      <c r="BI1375" t="s">
        <v>98</v>
      </c>
      <c r="BJ1375" t="s">
        <v>99</v>
      </c>
      <c r="BK1375" t="s">
        <v>453</v>
      </c>
      <c r="BL1375" t="s">
        <v>7528</v>
      </c>
      <c r="CA1375">
        <v>8166</v>
      </c>
      <c r="CB1375" t="s">
        <v>3491</v>
      </c>
      <c r="CG1375">
        <v>2700</v>
      </c>
      <c r="CH1375">
        <v>80</v>
      </c>
      <c r="CI1375">
        <v>980</v>
      </c>
      <c r="CJ1375">
        <v>435.1</v>
      </c>
      <c r="CK1375">
        <v>30000</v>
      </c>
      <c r="CL1375" t="s">
        <v>99</v>
      </c>
      <c r="CM1375" t="s">
        <v>98</v>
      </c>
      <c r="CN1375" t="s">
        <v>3685</v>
      </c>
      <c r="CO1375" s="1">
        <v>41928</v>
      </c>
      <c r="CP1375" s="1">
        <v>43633</v>
      </c>
    </row>
    <row r="1376" spans="1:94" x14ac:dyDescent="0.25">
      <c r="A1376" t="s">
        <v>4429</v>
      </c>
      <c r="B1376" t="str">
        <f xml:space="preserve"> "" &amp; 747396041964</f>
        <v>747396041964</v>
      </c>
      <c r="C1376" t="s">
        <v>447</v>
      </c>
      <c r="D1376" t="s">
        <v>6871</v>
      </c>
      <c r="E1376" t="s">
        <v>4428</v>
      </c>
      <c r="F1376" t="s">
        <v>2823</v>
      </c>
      <c r="G1376">
        <v>1</v>
      </c>
      <c r="H1376">
        <v>1</v>
      </c>
      <c r="I1376" t="s">
        <v>97</v>
      </c>
      <c r="J1376" s="10">
        <v>34</v>
      </c>
      <c r="K1376" s="10">
        <v>102</v>
      </c>
      <c r="L1376" s="10">
        <v>0</v>
      </c>
      <c r="N1376" s="10">
        <v>0</v>
      </c>
      <c r="S1376">
        <v>17.25</v>
      </c>
      <c r="U1376">
        <v>8.75</v>
      </c>
      <c r="W1376">
        <v>4.63</v>
      </c>
      <c r="X1376">
        <v>1</v>
      </c>
      <c r="Y1376">
        <v>16</v>
      </c>
      <c r="Z1376">
        <v>10.75</v>
      </c>
      <c r="AA1376">
        <v>10.75</v>
      </c>
      <c r="AB1376">
        <v>1.07</v>
      </c>
      <c r="AC1376">
        <v>6.28</v>
      </c>
      <c r="AE1376">
        <v>1</v>
      </c>
      <c r="AF1376" t="s">
        <v>233</v>
      </c>
      <c r="AG1376">
        <v>100</v>
      </c>
      <c r="AH1376">
        <v>0</v>
      </c>
      <c r="AK1376" t="s">
        <v>98</v>
      </c>
      <c r="AM1376" t="s">
        <v>98</v>
      </c>
      <c r="AN1376" t="s">
        <v>98</v>
      </c>
      <c r="AO1376" t="s">
        <v>99</v>
      </c>
      <c r="AP1376" t="s">
        <v>100</v>
      </c>
      <c r="AQ1376" t="s">
        <v>101</v>
      </c>
      <c r="AV1376" t="s">
        <v>98</v>
      </c>
      <c r="AX1376" t="s">
        <v>4226</v>
      </c>
      <c r="AZ1376" t="s">
        <v>124</v>
      </c>
      <c r="BB1376" t="s">
        <v>5833</v>
      </c>
      <c r="BC1376" t="s">
        <v>746</v>
      </c>
      <c r="BD1376" t="s">
        <v>7528</v>
      </c>
      <c r="BF1376" t="s">
        <v>4430</v>
      </c>
      <c r="BG1376" t="s">
        <v>98</v>
      </c>
      <c r="BH1376" t="s">
        <v>98</v>
      </c>
      <c r="BI1376" t="s">
        <v>98</v>
      </c>
      <c r="BJ1376" t="s">
        <v>99</v>
      </c>
      <c r="BK1376" t="s">
        <v>453</v>
      </c>
      <c r="BL1376" t="s">
        <v>7528</v>
      </c>
      <c r="BR1376">
        <v>0</v>
      </c>
      <c r="BT1376">
        <v>0</v>
      </c>
      <c r="CA1376">
        <v>8206</v>
      </c>
      <c r="CB1376" t="s">
        <v>4226</v>
      </c>
      <c r="CG1376">
        <v>0</v>
      </c>
      <c r="CL1376" t="s">
        <v>99</v>
      </c>
      <c r="CM1376" t="s">
        <v>98</v>
      </c>
      <c r="CN1376" t="s">
        <v>3218</v>
      </c>
      <c r="CO1376" s="1">
        <v>37961</v>
      </c>
      <c r="CP1376" s="1">
        <v>43633</v>
      </c>
    </row>
    <row r="1377" spans="1:94" x14ac:dyDescent="0.25">
      <c r="A1377" t="s">
        <v>4431</v>
      </c>
      <c r="B1377" t="str">
        <f xml:space="preserve"> "" &amp; 747396048710</f>
        <v>747396048710</v>
      </c>
      <c r="C1377" t="s">
        <v>447</v>
      </c>
      <c r="D1377" t="s">
        <v>6871</v>
      </c>
      <c r="E1377" t="s">
        <v>4428</v>
      </c>
      <c r="F1377" t="s">
        <v>449</v>
      </c>
      <c r="G1377">
        <v>1</v>
      </c>
      <c r="H1377">
        <v>1</v>
      </c>
      <c r="I1377" t="s">
        <v>97</v>
      </c>
      <c r="J1377" s="10">
        <v>40.950000000000003</v>
      </c>
      <c r="K1377" s="10">
        <v>122.85</v>
      </c>
      <c r="L1377" s="10">
        <v>0</v>
      </c>
      <c r="N1377" s="10">
        <v>0</v>
      </c>
      <c r="S1377">
        <v>17.25</v>
      </c>
      <c r="U1377">
        <v>8.75</v>
      </c>
      <c r="W1377">
        <v>4.63</v>
      </c>
      <c r="X1377">
        <v>1</v>
      </c>
      <c r="Y1377">
        <v>16</v>
      </c>
      <c r="Z1377">
        <v>10.75</v>
      </c>
      <c r="AA1377">
        <v>10.75</v>
      </c>
      <c r="AB1377">
        <v>1.07</v>
      </c>
      <c r="AC1377">
        <v>6.28</v>
      </c>
      <c r="AE1377">
        <v>1</v>
      </c>
      <c r="AF1377" t="s">
        <v>2784</v>
      </c>
      <c r="AG1377">
        <v>13</v>
      </c>
      <c r="AH1377">
        <v>0</v>
      </c>
      <c r="AK1377" t="s">
        <v>99</v>
      </c>
      <c r="AM1377" t="s">
        <v>98</v>
      </c>
      <c r="AN1377" t="s">
        <v>98</v>
      </c>
      <c r="AO1377" t="s">
        <v>99</v>
      </c>
      <c r="AP1377" t="s">
        <v>100</v>
      </c>
      <c r="AQ1377" t="s">
        <v>101</v>
      </c>
      <c r="AV1377" t="s">
        <v>98</v>
      </c>
      <c r="AX1377" t="s">
        <v>4226</v>
      </c>
      <c r="AZ1377" t="s">
        <v>124</v>
      </c>
      <c r="BB1377" t="s">
        <v>235</v>
      </c>
      <c r="BC1377" t="s">
        <v>460</v>
      </c>
      <c r="BD1377" t="s">
        <v>7528</v>
      </c>
      <c r="BF1377" t="s">
        <v>4432</v>
      </c>
      <c r="BG1377" t="s">
        <v>98</v>
      </c>
      <c r="BH1377" t="s">
        <v>98</v>
      </c>
      <c r="BI1377" t="s">
        <v>98</v>
      </c>
      <c r="BJ1377" t="s">
        <v>99</v>
      </c>
      <c r="BK1377" t="s">
        <v>453</v>
      </c>
      <c r="BL1377" t="s">
        <v>7528</v>
      </c>
      <c r="BR1377">
        <v>0</v>
      </c>
      <c r="BT1377">
        <v>0</v>
      </c>
      <c r="CA1377" t="s">
        <v>4433</v>
      </c>
      <c r="CB1377" t="s">
        <v>4226</v>
      </c>
      <c r="CG1377">
        <v>2700</v>
      </c>
      <c r="CL1377" t="s">
        <v>98</v>
      </c>
      <c r="CM1377" t="s">
        <v>98</v>
      </c>
      <c r="CN1377" t="s">
        <v>3218</v>
      </c>
      <c r="CO1377" s="1">
        <v>38518</v>
      </c>
      <c r="CP1377" s="1">
        <v>43633</v>
      </c>
    </row>
    <row r="1378" spans="1:94" x14ac:dyDescent="0.25">
      <c r="A1378" t="s">
        <v>4434</v>
      </c>
      <c r="B1378" t="str">
        <f xml:space="preserve"> "" &amp; 747396079844</f>
        <v>747396079844</v>
      </c>
      <c r="C1378" t="s">
        <v>3413</v>
      </c>
      <c r="D1378" t="s">
        <v>4435</v>
      </c>
      <c r="E1378" t="s">
        <v>4436</v>
      </c>
      <c r="F1378" t="s">
        <v>7538</v>
      </c>
      <c r="G1378">
        <v>1</v>
      </c>
      <c r="H1378">
        <v>1</v>
      </c>
      <c r="I1378" t="s">
        <v>97</v>
      </c>
      <c r="J1378" s="10">
        <v>69.95</v>
      </c>
      <c r="K1378" s="10">
        <v>209.85</v>
      </c>
      <c r="L1378" s="10">
        <v>0</v>
      </c>
      <c r="N1378" s="10">
        <v>0</v>
      </c>
      <c r="S1378">
        <v>18.75</v>
      </c>
      <c r="U1378">
        <v>10.25</v>
      </c>
      <c r="W1378">
        <v>4.67</v>
      </c>
      <c r="X1378">
        <v>1</v>
      </c>
      <c r="Y1378">
        <v>22.75</v>
      </c>
      <c r="Z1378">
        <v>13.5</v>
      </c>
      <c r="AA1378">
        <v>12.5</v>
      </c>
      <c r="AB1378">
        <v>2.222</v>
      </c>
      <c r="AC1378">
        <v>7.72</v>
      </c>
      <c r="AE1378">
        <v>1</v>
      </c>
      <c r="AF1378" t="s">
        <v>3223</v>
      </c>
      <c r="AG1378">
        <v>26</v>
      </c>
      <c r="AK1378" t="s">
        <v>99</v>
      </c>
      <c r="AM1378" t="s">
        <v>98</v>
      </c>
      <c r="AN1378" t="s">
        <v>99</v>
      </c>
      <c r="AO1378" t="s">
        <v>98</v>
      </c>
      <c r="AP1378" t="s">
        <v>100</v>
      </c>
      <c r="AQ1378" t="s">
        <v>101</v>
      </c>
      <c r="AV1378" t="s">
        <v>98</v>
      </c>
      <c r="AX1378" t="s">
        <v>4226</v>
      </c>
      <c r="AZ1378" t="s">
        <v>7528</v>
      </c>
      <c r="BB1378" t="s">
        <v>235</v>
      </c>
      <c r="BC1378" t="s">
        <v>3224</v>
      </c>
      <c r="BD1378" t="s">
        <v>7528</v>
      </c>
      <c r="BF1378" t="s">
        <v>4437</v>
      </c>
      <c r="BG1378" t="s">
        <v>98</v>
      </c>
      <c r="BH1378" t="s">
        <v>98</v>
      </c>
      <c r="BI1378" t="s">
        <v>99</v>
      </c>
      <c r="BK1378" t="s">
        <v>127</v>
      </c>
      <c r="BL1378" t="s">
        <v>7528</v>
      </c>
      <c r="BT1378">
        <v>5.13</v>
      </c>
      <c r="CA1378" t="s">
        <v>4438</v>
      </c>
      <c r="CB1378" t="s">
        <v>4226</v>
      </c>
      <c r="CG1378">
        <v>2700</v>
      </c>
      <c r="CL1378" t="s">
        <v>98</v>
      </c>
      <c r="CM1378" t="s">
        <v>98</v>
      </c>
      <c r="CN1378" t="s">
        <v>3227</v>
      </c>
      <c r="CO1378" s="1">
        <v>40618</v>
      </c>
      <c r="CP1378" s="1">
        <v>43633</v>
      </c>
    </row>
    <row r="1379" spans="1:94" x14ac:dyDescent="0.25">
      <c r="A1379" t="s">
        <v>4439</v>
      </c>
      <c r="B1379" t="str">
        <f xml:space="preserve"> "" &amp; 747396083469</f>
        <v>747396083469</v>
      </c>
      <c r="C1379" t="s">
        <v>476</v>
      </c>
      <c r="D1379" t="s">
        <v>476</v>
      </c>
      <c r="E1379" t="s">
        <v>7528</v>
      </c>
      <c r="F1379" t="s">
        <v>478</v>
      </c>
      <c r="G1379">
        <v>1</v>
      </c>
      <c r="H1379">
        <v>1</v>
      </c>
      <c r="I1379" t="s">
        <v>97</v>
      </c>
      <c r="J1379" s="10">
        <v>55</v>
      </c>
      <c r="K1379" s="10">
        <v>165</v>
      </c>
      <c r="L1379" s="10">
        <v>0</v>
      </c>
      <c r="N1379" s="10">
        <v>0</v>
      </c>
      <c r="O1379" t="s">
        <v>99</v>
      </c>
      <c r="P1379" s="10">
        <v>109.95</v>
      </c>
      <c r="S1379">
        <v>4.75</v>
      </c>
      <c r="T1379">
        <v>13.25</v>
      </c>
      <c r="U1379">
        <v>13.25</v>
      </c>
      <c r="W1379">
        <v>3.59</v>
      </c>
      <c r="Y1379">
        <v>8.25</v>
      </c>
      <c r="Z1379">
        <v>15</v>
      </c>
      <c r="AA1379">
        <v>15</v>
      </c>
      <c r="AB1379">
        <v>1.0740000000000001</v>
      </c>
      <c r="AC1379">
        <v>5.07</v>
      </c>
      <c r="AE1379">
        <v>2</v>
      </c>
      <c r="AF1379" t="s">
        <v>282</v>
      </c>
      <c r="AG1379">
        <v>60</v>
      </c>
      <c r="AK1379" t="s">
        <v>98</v>
      </c>
      <c r="AM1379" t="s">
        <v>98</v>
      </c>
      <c r="AN1379" t="s">
        <v>99</v>
      </c>
      <c r="AO1379" t="s">
        <v>98</v>
      </c>
      <c r="AP1379" t="s">
        <v>100</v>
      </c>
      <c r="AQ1379" t="s">
        <v>101</v>
      </c>
      <c r="AV1379" t="s">
        <v>98</v>
      </c>
      <c r="AX1379" t="s">
        <v>461</v>
      </c>
      <c r="AZ1379" t="s">
        <v>124</v>
      </c>
      <c r="BB1379" t="s">
        <v>235</v>
      </c>
      <c r="BC1379" t="s">
        <v>4440</v>
      </c>
      <c r="BD1379" t="s">
        <v>7528</v>
      </c>
      <c r="BF1379" t="s">
        <v>4441</v>
      </c>
      <c r="BG1379" t="s">
        <v>98</v>
      </c>
      <c r="BH1379" t="s">
        <v>98</v>
      </c>
      <c r="BI1379" t="s">
        <v>98</v>
      </c>
      <c r="BK1379" t="s">
        <v>127</v>
      </c>
      <c r="BL1379" t="s">
        <v>7528</v>
      </c>
      <c r="CA1379">
        <v>823</v>
      </c>
      <c r="CB1379" t="s">
        <v>461</v>
      </c>
      <c r="CL1379" t="s">
        <v>99</v>
      </c>
      <c r="CM1379" t="s">
        <v>98</v>
      </c>
      <c r="CN1379" t="s">
        <v>692</v>
      </c>
      <c r="CO1379" s="1">
        <v>40794</v>
      </c>
      <c r="CP1379" s="1">
        <v>43633</v>
      </c>
    </row>
    <row r="1380" spans="1:94" x14ac:dyDescent="0.25">
      <c r="A1380" t="s">
        <v>4447</v>
      </c>
      <c r="B1380" t="str">
        <f xml:space="preserve"> "" &amp; 747396054933</f>
        <v>747396054933</v>
      </c>
      <c r="C1380" t="s">
        <v>4448</v>
      </c>
      <c r="D1380" t="s">
        <v>6872</v>
      </c>
      <c r="E1380" t="s">
        <v>4449</v>
      </c>
      <c r="F1380" t="s">
        <v>449</v>
      </c>
      <c r="G1380">
        <v>1</v>
      </c>
      <c r="H1380">
        <v>1</v>
      </c>
      <c r="I1380" t="s">
        <v>97</v>
      </c>
      <c r="J1380" s="10">
        <v>15</v>
      </c>
      <c r="K1380" s="10">
        <v>45</v>
      </c>
      <c r="L1380" s="10">
        <v>0</v>
      </c>
      <c r="N1380" s="10">
        <v>0</v>
      </c>
      <c r="S1380">
        <v>10.75</v>
      </c>
      <c r="T1380">
        <v>9.5</v>
      </c>
      <c r="U1380">
        <v>7</v>
      </c>
      <c r="V1380">
        <v>7</v>
      </c>
      <c r="W1380">
        <v>2.34</v>
      </c>
      <c r="X1380">
        <v>1</v>
      </c>
      <c r="Y1380">
        <v>13.25</v>
      </c>
      <c r="Z1380">
        <v>9.5</v>
      </c>
      <c r="AA1380">
        <v>9.5</v>
      </c>
      <c r="AB1380">
        <v>0.69199999999999995</v>
      </c>
      <c r="AC1380">
        <v>4.37</v>
      </c>
      <c r="AE1380">
        <v>1</v>
      </c>
      <c r="AF1380" t="s">
        <v>2784</v>
      </c>
      <c r="AG1380">
        <v>13</v>
      </c>
      <c r="AH1380">
        <v>0</v>
      </c>
      <c r="AK1380" t="s">
        <v>99</v>
      </c>
      <c r="AM1380" t="s">
        <v>98</v>
      </c>
      <c r="AN1380" t="s">
        <v>99</v>
      </c>
      <c r="AO1380" t="s">
        <v>98</v>
      </c>
      <c r="AP1380" t="s">
        <v>100</v>
      </c>
      <c r="AQ1380" t="s">
        <v>101</v>
      </c>
      <c r="AV1380" t="s">
        <v>98</v>
      </c>
      <c r="AX1380" t="s">
        <v>4233</v>
      </c>
      <c r="AZ1380" t="s">
        <v>7528</v>
      </c>
      <c r="BB1380" t="s">
        <v>5833</v>
      </c>
      <c r="BC1380" t="s">
        <v>7620</v>
      </c>
      <c r="BD1380" t="s">
        <v>7528</v>
      </c>
      <c r="BF1380" t="s">
        <v>4450</v>
      </c>
      <c r="BG1380" t="s">
        <v>98</v>
      </c>
      <c r="BH1380" t="s">
        <v>98</v>
      </c>
      <c r="BI1380" t="s">
        <v>99</v>
      </c>
      <c r="BJ1380" t="s">
        <v>99</v>
      </c>
      <c r="BK1380" t="s">
        <v>453</v>
      </c>
      <c r="BL1380" t="s">
        <v>128</v>
      </c>
      <c r="BR1380">
        <v>5.5</v>
      </c>
      <c r="BT1380">
        <v>4.5</v>
      </c>
      <c r="CA1380">
        <v>8231</v>
      </c>
      <c r="CB1380" t="s">
        <v>4233</v>
      </c>
      <c r="CG1380">
        <v>2700</v>
      </c>
      <c r="CL1380" t="s">
        <v>98</v>
      </c>
      <c r="CM1380" t="s">
        <v>98</v>
      </c>
      <c r="CN1380" t="s">
        <v>4246</v>
      </c>
      <c r="CO1380" s="1">
        <v>38933</v>
      </c>
      <c r="CP1380" s="1">
        <v>43633</v>
      </c>
    </row>
    <row r="1381" spans="1:94" x14ac:dyDescent="0.25">
      <c r="A1381" t="s">
        <v>4442</v>
      </c>
      <c r="B1381" t="str">
        <f xml:space="preserve"> "" &amp; 747396083445</f>
        <v>747396083445</v>
      </c>
      <c r="C1381" t="s">
        <v>476</v>
      </c>
      <c r="D1381" t="s">
        <v>476</v>
      </c>
      <c r="E1381" t="s">
        <v>7528</v>
      </c>
      <c r="F1381" t="s">
        <v>478</v>
      </c>
      <c r="G1381">
        <v>1</v>
      </c>
      <c r="H1381">
        <v>1</v>
      </c>
      <c r="I1381" t="s">
        <v>97</v>
      </c>
      <c r="J1381" s="10">
        <v>55</v>
      </c>
      <c r="K1381" s="10">
        <v>165</v>
      </c>
      <c r="L1381" s="10">
        <v>0</v>
      </c>
      <c r="N1381" s="10">
        <v>0</v>
      </c>
      <c r="O1381" t="s">
        <v>99</v>
      </c>
      <c r="P1381" s="10">
        <v>109.95</v>
      </c>
      <c r="S1381">
        <v>4.75</v>
      </c>
      <c r="T1381">
        <v>13.25</v>
      </c>
      <c r="U1381">
        <v>13.25</v>
      </c>
      <c r="W1381">
        <v>3.59</v>
      </c>
      <c r="Y1381">
        <v>8.25</v>
      </c>
      <c r="Z1381">
        <v>15</v>
      </c>
      <c r="AA1381">
        <v>15</v>
      </c>
      <c r="AB1381">
        <v>1.0740000000000001</v>
      </c>
      <c r="AC1381">
        <v>5.07</v>
      </c>
      <c r="AE1381">
        <v>2</v>
      </c>
      <c r="AF1381" t="s">
        <v>282</v>
      </c>
      <c r="AG1381">
        <v>60</v>
      </c>
      <c r="AK1381" t="s">
        <v>98</v>
      </c>
      <c r="AM1381" t="s">
        <v>98</v>
      </c>
      <c r="AN1381" t="s">
        <v>99</v>
      </c>
      <c r="AO1381" t="s">
        <v>98</v>
      </c>
      <c r="AP1381" t="s">
        <v>100</v>
      </c>
      <c r="AQ1381" t="s">
        <v>101</v>
      </c>
      <c r="AV1381" t="s">
        <v>98</v>
      </c>
      <c r="AX1381" t="s">
        <v>399</v>
      </c>
      <c r="AZ1381" t="s">
        <v>102</v>
      </c>
      <c r="BB1381" t="s">
        <v>235</v>
      </c>
      <c r="BC1381" t="s">
        <v>4443</v>
      </c>
      <c r="BD1381" t="s">
        <v>7528</v>
      </c>
      <c r="BF1381" t="s">
        <v>4444</v>
      </c>
      <c r="BG1381" t="s">
        <v>98</v>
      </c>
      <c r="BH1381" t="s">
        <v>98</v>
      </c>
      <c r="BI1381" t="s">
        <v>98</v>
      </c>
      <c r="BK1381" t="s">
        <v>127</v>
      </c>
      <c r="BL1381" t="s">
        <v>7528</v>
      </c>
      <c r="CA1381">
        <v>823</v>
      </c>
      <c r="CB1381" t="s">
        <v>399</v>
      </c>
      <c r="CL1381" t="s">
        <v>99</v>
      </c>
      <c r="CM1381" t="s">
        <v>98</v>
      </c>
      <c r="CN1381" t="s">
        <v>692</v>
      </c>
      <c r="CO1381" s="1">
        <v>40857</v>
      </c>
      <c r="CP1381" s="1">
        <v>43633</v>
      </c>
    </row>
    <row r="1382" spans="1:94" x14ac:dyDescent="0.25">
      <c r="A1382" t="s">
        <v>4445</v>
      </c>
      <c r="B1382" t="str">
        <f xml:space="preserve"> "" &amp; 747396083452</f>
        <v>747396083452</v>
      </c>
      <c r="C1382" t="s">
        <v>476</v>
      </c>
      <c r="D1382" t="s">
        <v>476</v>
      </c>
      <c r="E1382" t="s">
        <v>7528</v>
      </c>
      <c r="F1382" t="s">
        <v>478</v>
      </c>
      <c r="G1382">
        <v>1</v>
      </c>
      <c r="H1382">
        <v>1</v>
      </c>
      <c r="I1382" t="s">
        <v>97</v>
      </c>
      <c r="J1382" s="10">
        <v>55</v>
      </c>
      <c r="K1382" s="10">
        <v>165</v>
      </c>
      <c r="L1382" s="10">
        <v>0</v>
      </c>
      <c r="N1382" s="10">
        <v>0</v>
      </c>
      <c r="O1382" t="s">
        <v>99</v>
      </c>
      <c r="P1382" s="10">
        <v>109.95</v>
      </c>
      <c r="S1382">
        <v>4.75</v>
      </c>
      <c r="T1382">
        <v>13.25</v>
      </c>
      <c r="U1382">
        <v>13.25</v>
      </c>
      <c r="W1382">
        <v>3.59</v>
      </c>
      <c r="Y1382">
        <v>8.25</v>
      </c>
      <c r="Z1382">
        <v>15</v>
      </c>
      <c r="AA1382">
        <v>15</v>
      </c>
      <c r="AB1382">
        <v>1.0740000000000001</v>
      </c>
      <c r="AC1382">
        <v>5.07</v>
      </c>
      <c r="AE1382">
        <v>2</v>
      </c>
      <c r="AF1382" t="s">
        <v>282</v>
      </c>
      <c r="AG1382">
        <v>60</v>
      </c>
      <c r="AK1382" t="s">
        <v>98</v>
      </c>
      <c r="AM1382" t="s">
        <v>98</v>
      </c>
      <c r="AN1382" t="s">
        <v>99</v>
      </c>
      <c r="AO1382" t="s">
        <v>98</v>
      </c>
      <c r="AP1382" t="s">
        <v>100</v>
      </c>
      <c r="AQ1382" t="s">
        <v>101</v>
      </c>
      <c r="AV1382" t="s">
        <v>98</v>
      </c>
      <c r="AX1382" t="s">
        <v>279</v>
      </c>
      <c r="AZ1382" t="s">
        <v>102</v>
      </c>
      <c r="BB1382" t="s">
        <v>235</v>
      </c>
      <c r="BC1382" t="s">
        <v>4440</v>
      </c>
      <c r="BD1382" t="s">
        <v>7528</v>
      </c>
      <c r="BF1382" t="s">
        <v>4446</v>
      </c>
      <c r="BG1382" t="s">
        <v>98</v>
      </c>
      <c r="BH1382" t="s">
        <v>98</v>
      </c>
      <c r="BI1382" t="s">
        <v>98</v>
      </c>
      <c r="BK1382" t="s">
        <v>127</v>
      </c>
      <c r="BL1382" t="s">
        <v>7528</v>
      </c>
      <c r="CA1382">
        <v>823</v>
      </c>
      <c r="CB1382" t="s">
        <v>279</v>
      </c>
      <c r="CL1382" t="s">
        <v>99</v>
      </c>
      <c r="CM1382" t="s">
        <v>98</v>
      </c>
      <c r="CN1382" t="s">
        <v>692</v>
      </c>
      <c r="CO1382" s="1">
        <v>40794</v>
      </c>
      <c r="CP1382" s="1">
        <v>43633</v>
      </c>
    </row>
    <row r="1383" spans="1:94" x14ac:dyDescent="0.25">
      <c r="A1383" t="s">
        <v>4451</v>
      </c>
      <c r="B1383" t="str">
        <f xml:space="preserve"> "" &amp; 747396101903</f>
        <v>747396101903</v>
      </c>
      <c r="C1383" t="s">
        <v>569</v>
      </c>
      <c r="D1383" t="s">
        <v>1346</v>
      </c>
      <c r="E1383" t="s">
        <v>7528</v>
      </c>
      <c r="F1383" t="s">
        <v>478</v>
      </c>
      <c r="G1383">
        <v>1</v>
      </c>
      <c r="H1383">
        <v>1</v>
      </c>
      <c r="I1383" t="s">
        <v>97</v>
      </c>
      <c r="J1383" s="10">
        <v>105</v>
      </c>
      <c r="K1383" s="10">
        <v>315</v>
      </c>
      <c r="L1383" s="10">
        <v>0</v>
      </c>
      <c r="N1383" s="10">
        <v>0</v>
      </c>
      <c r="O1383" t="s">
        <v>99</v>
      </c>
      <c r="P1383" s="10">
        <v>219.95</v>
      </c>
      <c r="S1383">
        <v>5.75</v>
      </c>
      <c r="T1383">
        <v>16.25</v>
      </c>
      <c r="U1383">
        <v>16.25</v>
      </c>
      <c r="W1383">
        <v>12.28</v>
      </c>
      <c r="X1383">
        <v>1</v>
      </c>
      <c r="Y1383">
        <v>11.25</v>
      </c>
      <c r="Z1383">
        <v>16.5</v>
      </c>
      <c r="AA1383">
        <v>16.5</v>
      </c>
      <c r="AB1383">
        <v>1.772</v>
      </c>
      <c r="AC1383">
        <v>14.99</v>
      </c>
      <c r="AE1383">
        <v>3</v>
      </c>
      <c r="AF1383" t="s">
        <v>598</v>
      </c>
      <c r="AG1383">
        <v>60</v>
      </c>
      <c r="AK1383" t="s">
        <v>98</v>
      </c>
      <c r="AM1383" t="s">
        <v>98</v>
      </c>
      <c r="AN1383" t="s">
        <v>99</v>
      </c>
      <c r="AO1383" t="s">
        <v>98</v>
      </c>
      <c r="AP1383" t="s">
        <v>100</v>
      </c>
      <c r="AQ1383" t="s">
        <v>101</v>
      </c>
      <c r="AV1383" t="s">
        <v>98</v>
      </c>
      <c r="AX1383" t="s">
        <v>560</v>
      </c>
      <c r="AZ1383" t="s">
        <v>102</v>
      </c>
      <c r="BB1383" t="s">
        <v>235</v>
      </c>
      <c r="BC1383" t="s">
        <v>561</v>
      </c>
      <c r="BD1383" t="s">
        <v>7528</v>
      </c>
      <c r="BF1383" t="s">
        <v>4452</v>
      </c>
      <c r="BG1383" t="s">
        <v>98</v>
      </c>
      <c r="BH1383" t="s">
        <v>98</v>
      </c>
      <c r="BI1383" t="s">
        <v>98</v>
      </c>
      <c r="BK1383" t="s">
        <v>127</v>
      </c>
      <c r="BL1383" t="s">
        <v>7528</v>
      </c>
      <c r="CA1383">
        <v>824</v>
      </c>
      <c r="CB1383" t="s">
        <v>560</v>
      </c>
      <c r="CL1383" t="s">
        <v>99</v>
      </c>
      <c r="CM1383" t="s">
        <v>98</v>
      </c>
      <c r="CN1383" t="s">
        <v>442</v>
      </c>
      <c r="CO1383" s="1">
        <v>42828</v>
      </c>
      <c r="CP1383" s="1">
        <v>43633</v>
      </c>
    </row>
    <row r="1384" spans="1:94" x14ac:dyDescent="0.25">
      <c r="A1384" t="s">
        <v>4453</v>
      </c>
      <c r="B1384" t="str">
        <f xml:space="preserve"> "" &amp; 747396108483</f>
        <v>747396108483</v>
      </c>
      <c r="C1384" t="s">
        <v>558</v>
      </c>
      <c r="D1384" t="s">
        <v>558</v>
      </c>
      <c r="E1384" t="s">
        <v>7528</v>
      </c>
      <c r="F1384" t="s">
        <v>478</v>
      </c>
      <c r="G1384">
        <v>1</v>
      </c>
      <c r="H1384">
        <v>1</v>
      </c>
      <c r="I1384" t="s">
        <v>97</v>
      </c>
      <c r="J1384" s="10">
        <v>119.95</v>
      </c>
      <c r="K1384" s="10">
        <v>359.85</v>
      </c>
      <c r="L1384" s="10">
        <v>0</v>
      </c>
      <c r="N1384" s="10">
        <v>0</v>
      </c>
      <c r="O1384" t="s">
        <v>99</v>
      </c>
      <c r="P1384" s="10">
        <v>249.95</v>
      </c>
      <c r="S1384">
        <v>5.75</v>
      </c>
      <c r="T1384">
        <v>16.25</v>
      </c>
      <c r="U1384">
        <v>16.25</v>
      </c>
      <c r="W1384">
        <v>10.210000000000001</v>
      </c>
      <c r="X1384">
        <v>1</v>
      </c>
      <c r="Y1384">
        <v>11.25</v>
      </c>
      <c r="Z1384">
        <v>16.5</v>
      </c>
      <c r="AA1384">
        <v>16.5</v>
      </c>
      <c r="AB1384">
        <v>1.772</v>
      </c>
      <c r="AC1384">
        <v>12.92</v>
      </c>
      <c r="AE1384">
        <v>1</v>
      </c>
      <c r="AF1384" t="s">
        <v>559</v>
      </c>
      <c r="AG1384">
        <v>30</v>
      </c>
      <c r="AK1384" t="s">
        <v>99</v>
      </c>
      <c r="AM1384" t="s">
        <v>98</v>
      </c>
      <c r="AN1384" t="s">
        <v>99</v>
      </c>
      <c r="AO1384" t="s">
        <v>98</v>
      </c>
      <c r="AP1384" t="s">
        <v>100</v>
      </c>
      <c r="AQ1384" t="s">
        <v>101</v>
      </c>
      <c r="AV1384" t="s">
        <v>98</v>
      </c>
      <c r="AX1384" t="s">
        <v>560</v>
      </c>
      <c r="AZ1384" t="s">
        <v>102</v>
      </c>
      <c r="BB1384" t="s">
        <v>235</v>
      </c>
      <c r="BC1384" t="s">
        <v>561</v>
      </c>
      <c r="BD1384" t="s">
        <v>7528</v>
      </c>
      <c r="BF1384" t="s">
        <v>4454</v>
      </c>
      <c r="BG1384" t="s">
        <v>98</v>
      </c>
      <c r="BH1384" t="s">
        <v>98</v>
      </c>
      <c r="BI1384" t="s">
        <v>98</v>
      </c>
      <c r="BK1384" t="s">
        <v>127</v>
      </c>
      <c r="BL1384" t="s">
        <v>7528</v>
      </c>
      <c r="BM1384">
        <v>16.25</v>
      </c>
      <c r="BN1384">
        <v>1.38</v>
      </c>
      <c r="CA1384">
        <v>824</v>
      </c>
      <c r="CB1384" t="s">
        <v>560</v>
      </c>
      <c r="CG1384">
        <v>3000</v>
      </c>
      <c r="CH1384">
        <v>93</v>
      </c>
      <c r="CI1384">
        <v>2500</v>
      </c>
      <c r="CJ1384">
        <v>1634</v>
      </c>
      <c r="CK1384">
        <v>30000</v>
      </c>
      <c r="CL1384" t="s">
        <v>99</v>
      </c>
      <c r="CM1384" t="s">
        <v>98</v>
      </c>
      <c r="CN1384" t="s">
        <v>442</v>
      </c>
      <c r="CO1384" s="1">
        <v>43200</v>
      </c>
      <c r="CP1384" s="1">
        <v>43633</v>
      </c>
    </row>
    <row r="1385" spans="1:94" x14ac:dyDescent="0.25">
      <c r="A1385" t="s">
        <v>4455</v>
      </c>
      <c r="B1385" t="str">
        <f xml:space="preserve"> "" &amp; 747396101910</f>
        <v>747396101910</v>
      </c>
      <c r="C1385" t="s">
        <v>569</v>
      </c>
      <c r="D1385" t="s">
        <v>6800</v>
      </c>
      <c r="E1385" t="s">
        <v>7528</v>
      </c>
      <c r="F1385" t="s">
        <v>478</v>
      </c>
      <c r="G1385">
        <v>1</v>
      </c>
      <c r="H1385">
        <v>1</v>
      </c>
      <c r="I1385" t="s">
        <v>97</v>
      </c>
      <c r="J1385" s="10">
        <v>105</v>
      </c>
      <c r="K1385" s="10">
        <v>315</v>
      </c>
      <c r="L1385" s="10">
        <v>0</v>
      </c>
      <c r="N1385" s="10">
        <v>0</v>
      </c>
      <c r="O1385" t="s">
        <v>99</v>
      </c>
      <c r="P1385" s="10">
        <v>219.95</v>
      </c>
      <c r="S1385">
        <v>5.75</v>
      </c>
      <c r="U1385">
        <v>16.25</v>
      </c>
      <c r="W1385">
        <v>12.28</v>
      </c>
      <c r="X1385">
        <v>1</v>
      </c>
      <c r="Y1385">
        <v>11.25</v>
      </c>
      <c r="Z1385">
        <v>16.5</v>
      </c>
      <c r="AA1385">
        <v>16.5</v>
      </c>
      <c r="AB1385">
        <v>1.772</v>
      </c>
      <c r="AC1385">
        <v>14.99</v>
      </c>
      <c r="AE1385">
        <v>3</v>
      </c>
      <c r="AF1385" t="s">
        <v>1012</v>
      </c>
      <c r="AG1385">
        <v>60</v>
      </c>
      <c r="AK1385" t="s">
        <v>98</v>
      </c>
      <c r="AM1385" t="s">
        <v>98</v>
      </c>
      <c r="AN1385" t="s">
        <v>99</v>
      </c>
      <c r="AO1385" t="s">
        <v>98</v>
      </c>
      <c r="AP1385" t="s">
        <v>100</v>
      </c>
      <c r="AQ1385" t="s">
        <v>101</v>
      </c>
      <c r="AV1385" t="s">
        <v>98</v>
      </c>
      <c r="AX1385" t="s">
        <v>367</v>
      </c>
      <c r="AZ1385" t="s">
        <v>102</v>
      </c>
      <c r="BB1385" t="s">
        <v>235</v>
      </c>
      <c r="BC1385" t="s">
        <v>808</v>
      </c>
      <c r="BD1385" t="s">
        <v>7528</v>
      </c>
      <c r="BF1385" t="s">
        <v>4456</v>
      </c>
      <c r="BG1385" t="s">
        <v>98</v>
      </c>
      <c r="BH1385" t="s">
        <v>98</v>
      </c>
      <c r="BI1385" t="s">
        <v>98</v>
      </c>
      <c r="BK1385" t="s">
        <v>127</v>
      </c>
      <c r="BL1385" t="s">
        <v>7528</v>
      </c>
      <c r="CA1385">
        <v>824</v>
      </c>
      <c r="CB1385" t="s">
        <v>367</v>
      </c>
      <c r="CL1385" t="s">
        <v>99</v>
      </c>
      <c r="CM1385" t="s">
        <v>98</v>
      </c>
      <c r="CN1385" t="s">
        <v>442</v>
      </c>
      <c r="CO1385" s="1">
        <v>42828</v>
      </c>
      <c r="CP1385" s="1">
        <v>43633</v>
      </c>
    </row>
    <row r="1386" spans="1:94" x14ac:dyDescent="0.25">
      <c r="A1386" t="s">
        <v>4457</v>
      </c>
      <c r="B1386" t="str">
        <f xml:space="preserve"> "" &amp; 747396108490</f>
        <v>747396108490</v>
      </c>
      <c r="C1386" t="s">
        <v>558</v>
      </c>
      <c r="D1386" t="s">
        <v>558</v>
      </c>
      <c r="E1386" t="s">
        <v>7528</v>
      </c>
      <c r="F1386" t="s">
        <v>478</v>
      </c>
      <c r="G1386">
        <v>1</v>
      </c>
      <c r="H1386">
        <v>1</v>
      </c>
      <c r="I1386" t="s">
        <v>97</v>
      </c>
      <c r="J1386" s="10">
        <v>119.95</v>
      </c>
      <c r="K1386" s="10">
        <v>359.85</v>
      </c>
      <c r="L1386" s="10">
        <v>0</v>
      </c>
      <c r="N1386" s="10">
        <v>0</v>
      </c>
      <c r="O1386" t="s">
        <v>99</v>
      </c>
      <c r="P1386" s="10">
        <v>249.95</v>
      </c>
      <c r="S1386">
        <v>5.75</v>
      </c>
      <c r="T1386">
        <v>16.25</v>
      </c>
      <c r="U1386">
        <v>16.25</v>
      </c>
      <c r="W1386">
        <v>10.210000000000001</v>
      </c>
      <c r="X1386">
        <v>1</v>
      </c>
      <c r="Y1386">
        <v>11.25</v>
      </c>
      <c r="Z1386">
        <v>16.5</v>
      </c>
      <c r="AA1386">
        <v>16.5</v>
      </c>
      <c r="AB1386">
        <v>1.772</v>
      </c>
      <c r="AC1386">
        <v>12.92</v>
      </c>
      <c r="AE1386">
        <v>1</v>
      </c>
      <c r="AF1386" t="s">
        <v>559</v>
      </c>
      <c r="AG1386">
        <v>32</v>
      </c>
      <c r="AK1386" t="s">
        <v>99</v>
      </c>
      <c r="AM1386" t="s">
        <v>98</v>
      </c>
      <c r="AN1386" t="s">
        <v>99</v>
      </c>
      <c r="AO1386" t="s">
        <v>98</v>
      </c>
      <c r="AP1386" t="s">
        <v>100</v>
      </c>
      <c r="AQ1386" t="s">
        <v>101</v>
      </c>
      <c r="AV1386" t="s">
        <v>98</v>
      </c>
      <c r="AX1386" t="s">
        <v>367</v>
      </c>
      <c r="AZ1386" t="s">
        <v>102</v>
      </c>
      <c r="BB1386" t="s">
        <v>235</v>
      </c>
      <c r="BC1386" t="s">
        <v>561</v>
      </c>
      <c r="BD1386" t="s">
        <v>7528</v>
      </c>
      <c r="BF1386" t="s">
        <v>4458</v>
      </c>
      <c r="BG1386" t="s">
        <v>98</v>
      </c>
      <c r="BH1386" t="s">
        <v>98</v>
      </c>
      <c r="BI1386" t="s">
        <v>98</v>
      </c>
      <c r="BK1386" t="s">
        <v>127</v>
      </c>
      <c r="BL1386" t="s">
        <v>7528</v>
      </c>
      <c r="BM1386">
        <v>16.25</v>
      </c>
      <c r="BN1386">
        <v>1.38</v>
      </c>
      <c r="CA1386">
        <v>824</v>
      </c>
      <c r="CB1386" t="s">
        <v>367</v>
      </c>
      <c r="CG1386">
        <v>3000</v>
      </c>
      <c r="CH1386">
        <v>92</v>
      </c>
      <c r="CI1386">
        <v>2704</v>
      </c>
      <c r="CJ1386">
        <v>1723</v>
      </c>
      <c r="CK1386">
        <v>30000</v>
      </c>
      <c r="CL1386" t="s">
        <v>99</v>
      </c>
      <c r="CM1386" t="s">
        <v>98</v>
      </c>
      <c r="CN1386" t="s">
        <v>442</v>
      </c>
      <c r="CO1386" s="1">
        <v>43200</v>
      </c>
      <c r="CP1386" s="1">
        <v>43633</v>
      </c>
    </row>
    <row r="1387" spans="1:94" x14ac:dyDescent="0.25">
      <c r="A1387" t="s">
        <v>4459</v>
      </c>
      <c r="B1387" t="str">
        <f xml:space="preserve"> "" &amp; 747396101248</f>
        <v>747396101248</v>
      </c>
      <c r="C1387" t="s">
        <v>569</v>
      </c>
      <c r="D1387" t="s">
        <v>6800</v>
      </c>
      <c r="E1387" t="s">
        <v>7528</v>
      </c>
      <c r="F1387" t="s">
        <v>478</v>
      </c>
      <c r="G1387">
        <v>1</v>
      </c>
      <c r="H1387">
        <v>1</v>
      </c>
      <c r="I1387" t="s">
        <v>97</v>
      </c>
      <c r="J1387" s="10">
        <v>105</v>
      </c>
      <c r="K1387" s="10">
        <v>315</v>
      </c>
      <c r="L1387" s="10">
        <v>0</v>
      </c>
      <c r="N1387" s="10">
        <v>0</v>
      </c>
      <c r="O1387" t="s">
        <v>99</v>
      </c>
      <c r="P1387" s="10">
        <v>219.95</v>
      </c>
      <c r="S1387">
        <v>5.75</v>
      </c>
      <c r="U1387">
        <v>16.25</v>
      </c>
      <c r="W1387">
        <v>12.28</v>
      </c>
      <c r="X1387">
        <v>1</v>
      </c>
      <c r="Y1387">
        <v>11.25</v>
      </c>
      <c r="Z1387">
        <v>16.5</v>
      </c>
      <c r="AA1387">
        <v>16.5</v>
      </c>
      <c r="AB1387">
        <v>1.772</v>
      </c>
      <c r="AC1387">
        <v>14.99</v>
      </c>
      <c r="AE1387">
        <v>3</v>
      </c>
      <c r="AF1387" t="s">
        <v>1012</v>
      </c>
      <c r="AG1387">
        <v>60</v>
      </c>
      <c r="AK1387" t="s">
        <v>98</v>
      </c>
      <c r="AM1387" t="s">
        <v>98</v>
      </c>
      <c r="AN1387" t="s">
        <v>99</v>
      </c>
      <c r="AO1387" t="s">
        <v>98</v>
      </c>
      <c r="AP1387" t="s">
        <v>100</v>
      </c>
      <c r="AQ1387" t="s">
        <v>101</v>
      </c>
      <c r="AV1387" t="s">
        <v>98</v>
      </c>
      <c r="AX1387" t="s">
        <v>484</v>
      </c>
      <c r="AZ1387" t="s">
        <v>102</v>
      </c>
      <c r="BB1387" t="s">
        <v>235</v>
      </c>
      <c r="BC1387" t="s">
        <v>561</v>
      </c>
      <c r="BD1387" t="s">
        <v>7528</v>
      </c>
      <c r="BF1387" t="s">
        <v>4460</v>
      </c>
      <c r="BG1387" t="s">
        <v>98</v>
      </c>
      <c r="BH1387" t="s">
        <v>98</v>
      </c>
      <c r="BI1387" t="s">
        <v>98</v>
      </c>
      <c r="BK1387" t="s">
        <v>127</v>
      </c>
      <c r="BL1387" t="s">
        <v>7528</v>
      </c>
      <c r="CA1387">
        <v>824</v>
      </c>
      <c r="CB1387" t="s">
        <v>484</v>
      </c>
      <c r="CL1387" t="s">
        <v>99</v>
      </c>
      <c r="CM1387" t="s">
        <v>98</v>
      </c>
      <c r="CN1387" t="s">
        <v>442</v>
      </c>
      <c r="CO1387" s="1">
        <v>42755</v>
      </c>
      <c r="CP1387" s="1">
        <v>43633</v>
      </c>
    </row>
    <row r="1388" spans="1:94" x14ac:dyDescent="0.25">
      <c r="A1388" t="s">
        <v>4461</v>
      </c>
      <c r="B1388" t="str">
        <f xml:space="preserve"> "" &amp; 747396108476</f>
        <v>747396108476</v>
      </c>
      <c r="C1388" t="s">
        <v>558</v>
      </c>
      <c r="D1388" t="s">
        <v>558</v>
      </c>
      <c r="E1388" t="s">
        <v>7528</v>
      </c>
      <c r="F1388" t="s">
        <v>478</v>
      </c>
      <c r="G1388">
        <v>1</v>
      </c>
      <c r="H1388">
        <v>1</v>
      </c>
      <c r="I1388" t="s">
        <v>97</v>
      </c>
      <c r="J1388" s="10">
        <v>119.95</v>
      </c>
      <c r="K1388" s="10">
        <v>359.85</v>
      </c>
      <c r="L1388" s="10">
        <v>0</v>
      </c>
      <c r="N1388" s="10">
        <v>0</v>
      </c>
      <c r="O1388" t="s">
        <v>99</v>
      </c>
      <c r="P1388" s="10">
        <v>249.95</v>
      </c>
      <c r="S1388">
        <v>5.75</v>
      </c>
      <c r="T1388">
        <v>16.25</v>
      </c>
      <c r="U1388">
        <v>16.25</v>
      </c>
      <c r="W1388">
        <v>10.210000000000001</v>
      </c>
      <c r="X1388">
        <v>1</v>
      </c>
      <c r="Y1388">
        <v>11.25</v>
      </c>
      <c r="Z1388">
        <v>16.5</v>
      </c>
      <c r="AA1388">
        <v>16.5</v>
      </c>
      <c r="AB1388">
        <v>1.772</v>
      </c>
      <c r="AC1388">
        <v>14.99</v>
      </c>
      <c r="AE1388">
        <v>1</v>
      </c>
      <c r="AF1388" t="s">
        <v>559</v>
      </c>
      <c r="AG1388">
        <v>30</v>
      </c>
      <c r="AK1388" t="s">
        <v>99</v>
      </c>
      <c r="AM1388" t="s">
        <v>98</v>
      </c>
      <c r="AN1388" t="s">
        <v>99</v>
      </c>
      <c r="AO1388" t="s">
        <v>98</v>
      </c>
      <c r="AP1388" t="s">
        <v>100</v>
      </c>
      <c r="AQ1388" t="s">
        <v>101</v>
      </c>
      <c r="AV1388" t="s">
        <v>98</v>
      </c>
      <c r="AX1388" t="s">
        <v>484</v>
      </c>
      <c r="AZ1388" t="s">
        <v>102</v>
      </c>
      <c r="BB1388" t="s">
        <v>235</v>
      </c>
      <c r="BC1388" t="s">
        <v>561</v>
      </c>
      <c r="BD1388" t="s">
        <v>7528</v>
      </c>
      <c r="BF1388" t="s">
        <v>4462</v>
      </c>
      <c r="BG1388" t="s">
        <v>98</v>
      </c>
      <c r="BH1388" t="s">
        <v>98</v>
      </c>
      <c r="BI1388" t="s">
        <v>98</v>
      </c>
      <c r="BK1388" t="s">
        <v>127</v>
      </c>
      <c r="BL1388" t="s">
        <v>7528</v>
      </c>
      <c r="BM1388">
        <v>16.25</v>
      </c>
      <c r="BN1388">
        <v>1.38</v>
      </c>
      <c r="CA1388">
        <v>824</v>
      </c>
      <c r="CB1388" t="s">
        <v>484</v>
      </c>
      <c r="CG1388">
        <v>3000</v>
      </c>
      <c r="CH1388">
        <v>93</v>
      </c>
      <c r="CI1388">
        <v>2470</v>
      </c>
      <c r="CJ1388">
        <v>1570</v>
      </c>
      <c r="CK1388">
        <v>30000</v>
      </c>
      <c r="CL1388" t="s">
        <v>99</v>
      </c>
      <c r="CM1388" t="s">
        <v>98</v>
      </c>
      <c r="CN1388" t="s">
        <v>442</v>
      </c>
      <c r="CO1388" s="1">
        <v>43200</v>
      </c>
      <c r="CP1388" s="1">
        <v>43633</v>
      </c>
    </row>
    <row r="1389" spans="1:94" x14ac:dyDescent="0.25">
      <c r="A1389" t="s">
        <v>4463</v>
      </c>
      <c r="B1389" t="str">
        <f xml:space="preserve"> "" &amp; 747396048949</f>
        <v>747396048949</v>
      </c>
      <c r="C1389" t="s">
        <v>1577</v>
      </c>
      <c r="D1389" t="s">
        <v>6873</v>
      </c>
      <c r="E1389" t="s">
        <v>4464</v>
      </c>
      <c r="F1389" t="s">
        <v>2823</v>
      </c>
      <c r="G1389">
        <v>1</v>
      </c>
      <c r="H1389">
        <v>1</v>
      </c>
      <c r="I1389" t="s">
        <v>97</v>
      </c>
      <c r="J1389" s="10">
        <v>25.95</v>
      </c>
      <c r="K1389" s="10">
        <v>77.849999999999994</v>
      </c>
      <c r="L1389" s="10">
        <v>0</v>
      </c>
      <c r="N1389" s="10">
        <v>0</v>
      </c>
      <c r="S1389">
        <v>8.75</v>
      </c>
      <c r="T1389">
        <v>10.5</v>
      </c>
      <c r="U1389">
        <v>6.5</v>
      </c>
      <c r="V1389">
        <v>8</v>
      </c>
      <c r="W1389">
        <v>2.54</v>
      </c>
      <c r="X1389">
        <v>1</v>
      </c>
      <c r="Y1389">
        <v>11.5</v>
      </c>
      <c r="Z1389">
        <v>10.5</v>
      </c>
      <c r="AA1389">
        <v>8.8800000000000008</v>
      </c>
      <c r="AB1389">
        <v>0.621</v>
      </c>
      <c r="AC1389">
        <v>4.1900000000000004</v>
      </c>
      <c r="AE1389">
        <v>1</v>
      </c>
      <c r="AF1389" t="s">
        <v>233</v>
      </c>
      <c r="AG1389">
        <v>100</v>
      </c>
      <c r="AH1389">
        <v>0</v>
      </c>
      <c r="AK1389" t="s">
        <v>98</v>
      </c>
      <c r="AM1389" t="s">
        <v>98</v>
      </c>
      <c r="AN1389" t="s">
        <v>99</v>
      </c>
      <c r="AO1389" t="s">
        <v>98</v>
      </c>
      <c r="AP1389" t="s">
        <v>100</v>
      </c>
      <c r="AQ1389" t="s">
        <v>101</v>
      </c>
      <c r="AV1389" t="s">
        <v>98</v>
      </c>
      <c r="AX1389" t="s">
        <v>4226</v>
      </c>
      <c r="AZ1389" t="s">
        <v>124</v>
      </c>
      <c r="BB1389" t="s">
        <v>235</v>
      </c>
      <c r="BC1389" t="s">
        <v>1908</v>
      </c>
      <c r="BD1389" t="s">
        <v>7528</v>
      </c>
      <c r="BF1389" t="s">
        <v>4465</v>
      </c>
      <c r="BG1389" t="s">
        <v>98</v>
      </c>
      <c r="BH1389" t="s">
        <v>98</v>
      </c>
      <c r="BI1389" t="s">
        <v>98</v>
      </c>
      <c r="BJ1389" t="s">
        <v>99</v>
      </c>
      <c r="BK1389" t="s">
        <v>453</v>
      </c>
      <c r="BL1389" t="s">
        <v>128</v>
      </c>
      <c r="BR1389">
        <v>5.5</v>
      </c>
      <c r="BT1389">
        <v>4.5</v>
      </c>
      <c r="CA1389">
        <v>8251</v>
      </c>
      <c r="CB1389" t="s">
        <v>4226</v>
      </c>
      <c r="CG1389">
        <v>0</v>
      </c>
      <c r="CL1389" t="s">
        <v>99</v>
      </c>
      <c r="CM1389" t="s">
        <v>98</v>
      </c>
      <c r="CN1389" t="s">
        <v>4246</v>
      </c>
      <c r="CO1389" s="1">
        <v>38552</v>
      </c>
      <c r="CP1389" s="1">
        <v>43633</v>
      </c>
    </row>
    <row r="1390" spans="1:94" x14ac:dyDescent="0.25">
      <c r="A1390" t="s">
        <v>4466</v>
      </c>
      <c r="B1390" t="str">
        <f xml:space="preserve"> "" &amp; 747396048956</f>
        <v>747396048956</v>
      </c>
      <c r="C1390" t="s">
        <v>1577</v>
      </c>
      <c r="D1390" t="s">
        <v>6873</v>
      </c>
      <c r="E1390" t="s">
        <v>4464</v>
      </c>
      <c r="F1390" t="s">
        <v>2823</v>
      </c>
      <c r="G1390">
        <v>1</v>
      </c>
      <c r="H1390">
        <v>1</v>
      </c>
      <c r="I1390" t="s">
        <v>97</v>
      </c>
      <c r="J1390" s="10">
        <v>25.95</v>
      </c>
      <c r="K1390" s="10">
        <v>77.849999999999994</v>
      </c>
      <c r="L1390" s="10">
        <v>0</v>
      </c>
      <c r="N1390" s="10">
        <v>0</v>
      </c>
      <c r="S1390">
        <v>8.75</v>
      </c>
      <c r="T1390">
        <v>10.5</v>
      </c>
      <c r="U1390">
        <v>6.5</v>
      </c>
      <c r="V1390">
        <v>8</v>
      </c>
      <c r="W1390">
        <v>2.54</v>
      </c>
      <c r="X1390">
        <v>1</v>
      </c>
      <c r="Y1390">
        <v>11.5</v>
      </c>
      <c r="Z1390">
        <v>10.5</v>
      </c>
      <c r="AA1390">
        <v>8.8800000000000008</v>
      </c>
      <c r="AB1390">
        <v>0.621</v>
      </c>
      <c r="AC1390">
        <v>4.1900000000000004</v>
      </c>
      <c r="AE1390">
        <v>1</v>
      </c>
      <c r="AF1390" t="s">
        <v>233</v>
      </c>
      <c r="AG1390">
        <v>100</v>
      </c>
      <c r="AH1390">
        <v>0</v>
      </c>
      <c r="AK1390" t="s">
        <v>98</v>
      </c>
      <c r="AM1390" t="s">
        <v>98</v>
      </c>
      <c r="AN1390" t="s">
        <v>99</v>
      </c>
      <c r="AO1390" t="s">
        <v>98</v>
      </c>
      <c r="AP1390" t="s">
        <v>100</v>
      </c>
      <c r="AQ1390" t="s">
        <v>101</v>
      </c>
      <c r="AV1390" t="s">
        <v>98</v>
      </c>
      <c r="AX1390" t="s">
        <v>4233</v>
      </c>
      <c r="AZ1390" t="s">
        <v>124</v>
      </c>
      <c r="BB1390" t="s">
        <v>235</v>
      </c>
      <c r="BC1390" t="s">
        <v>1908</v>
      </c>
      <c r="BD1390" t="s">
        <v>7528</v>
      </c>
      <c r="BF1390" t="s">
        <v>4467</v>
      </c>
      <c r="BG1390" t="s">
        <v>98</v>
      </c>
      <c r="BH1390" t="s">
        <v>98</v>
      </c>
      <c r="BI1390" t="s">
        <v>98</v>
      </c>
      <c r="BJ1390" t="s">
        <v>99</v>
      </c>
      <c r="BK1390" t="s">
        <v>453</v>
      </c>
      <c r="BL1390" t="s">
        <v>128</v>
      </c>
      <c r="BR1390">
        <v>5.5</v>
      </c>
      <c r="BT1390">
        <v>4.5</v>
      </c>
      <c r="CA1390">
        <v>8251</v>
      </c>
      <c r="CB1390" t="s">
        <v>4233</v>
      </c>
      <c r="CG1390">
        <v>0</v>
      </c>
      <c r="CL1390" t="s">
        <v>99</v>
      </c>
      <c r="CM1390" t="s">
        <v>98</v>
      </c>
      <c r="CN1390" t="s">
        <v>3218</v>
      </c>
      <c r="CO1390" s="1">
        <v>38552</v>
      </c>
      <c r="CP1390" s="1">
        <v>43633</v>
      </c>
    </row>
    <row r="1391" spans="1:94" x14ac:dyDescent="0.25">
      <c r="A1391" t="s">
        <v>4468</v>
      </c>
      <c r="B1391" t="str">
        <f xml:space="preserve"> "" &amp; 747396048987</f>
        <v>747396048987</v>
      </c>
      <c r="C1391" t="s">
        <v>1577</v>
      </c>
      <c r="D1391" t="s">
        <v>6873</v>
      </c>
      <c r="E1391" t="s">
        <v>4464</v>
      </c>
      <c r="F1391" t="s">
        <v>2823</v>
      </c>
      <c r="G1391">
        <v>1</v>
      </c>
      <c r="H1391">
        <v>1</v>
      </c>
      <c r="I1391" t="s">
        <v>97</v>
      </c>
      <c r="J1391" s="10">
        <v>36.950000000000003</v>
      </c>
      <c r="K1391" s="10">
        <v>110.85</v>
      </c>
      <c r="L1391" s="10">
        <v>0</v>
      </c>
      <c r="N1391" s="10">
        <v>0</v>
      </c>
      <c r="S1391">
        <v>12.75</v>
      </c>
      <c r="U1391">
        <v>8.5</v>
      </c>
      <c r="V1391">
        <v>10.75</v>
      </c>
      <c r="W1391">
        <v>5.45</v>
      </c>
      <c r="X1391">
        <v>1</v>
      </c>
      <c r="Y1391">
        <v>15.35</v>
      </c>
      <c r="Z1391">
        <v>12.99</v>
      </c>
      <c r="AA1391">
        <v>10.83</v>
      </c>
      <c r="AB1391">
        <v>1.25</v>
      </c>
      <c r="AC1391">
        <v>8.0500000000000007</v>
      </c>
      <c r="AE1391">
        <v>1</v>
      </c>
      <c r="AF1391" t="s">
        <v>233</v>
      </c>
      <c r="AG1391">
        <v>100</v>
      </c>
      <c r="AH1391">
        <v>0</v>
      </c>
      <c r="AK1391" t="s">
        <v>98</v>
      </c>
      <c r="AM1391" t="s">
        <v>98</v>
      </c>
      <c r="AN1391" t="s">
        <v>99</v>
      </c>
      <c r="AO1391" t="s">
        <v>98</v>
      </c>
      <c r="AP1391" t="s">
        <v>100</v>
      </c>
      <c r="AQ1391" t="s">
        <v>101</v>
      </c>
      <c r="AV1391" t="s">
        <v>98</v>
      </c>
      <c r="AX1391" t="s">
        <v>4226</v>
      </c>
      <c r="AZ1391" t="s">
        <v>124</v>
      </c>
      <c r="BB1391" t="s">
        <v>235</v>
      </c>
      <c r="BC1391" t="s">
        <v>1908</v>
      </c>
      <c r="BD1391" t="s">
        <v>7528</v>
      </c>
      <c r="BF1391" t="s">
        <v>4469</v>
      </c>
      <c r="BG1391" t="s">
        <v>98</v>
      </c>
      <c r="BH1391" t="s">
        <v>98</v>
      </c>
      <c r="BI1391" t="s">
        <v>98</v>
      </c>
      <c r="BJ1391" t="s">
        <v>99</v>
      </c>
      <c r="BK1391" t="s">
        <v>453</v>
      </c>
      <c r="BL1391" t="s">
        <v>128</v>
      </c>
      <c r="BR1391">
        <v>7.5</v>
      </c>
      <c r="BT1391">
        <v>4.5</v>
      </c>
      <c r="CA1391">
        <v>8252</v>
      </c>
      <c r="CB1391" t="s">
        <v>4226</v>
      </c>
      <c r="CG1391">
        <v>0</v>
      </c>
      <c r="CL1391" t="s">
        <v>99</v>
      </c>
      <c r="CM1391" t="s">
        <v>98</v>
      </c>
      <c r="CN1391" t="s">
        <v>3218</v>
      </c>
      <c r="CO1391" s="1">
        <v>38552</v>
      </c>
      <c r="CP1391" s="1">
        <v>43633</v>
      </c>
    </row>
    <row r="1392" spans="1:94" x14ac:dyDescent="0.25">
      <c r="A1392" t="s">
        <v>4470</v>
      </c>
      <c r="B1392" t="str">
        <f xml:space="preserve"> "" &amp; 747396048994</f>
        <v>747396048994</v>
      </c>
      <c r="C1392" t="s">
        <v>1577</v>
      </c>
      <c r="D1392" t="s">
        <v>6873</v>
      </c>
      <c r="E1392" t="s">
        <v>4464</v>
      </c>
      <c r="F1392" t="s">
        <v>2823</v>
      </c>
      <c r="G1392">
        <v>1</v>
      </c>
      <c r="H1392">
        <v>1</v>
      </c>
      <c r="I1392" t="s">
        <v>97</v>
      </c>
      <c r="J1392" s="10">
        <v>36.950000000000003</v>
      </c>
      <c r="K1392" s="10">
        <v>110.85</v>
      </c>
      <c r="L1392" s="10">
        <v>0</v>
      </c>
      <c r="N1392" s="10">
        <v>0</v>
      </c>
      <c r="S1392">
        <v>12.75</v>
      </c>
      <c r="U1392">
        <v>8.5</v>
      </c>
      <c r="V1392">
        <v>10.75</v>
      </c>
      <c r="W1392">
        <v>4.41</v>
      </c>
      <c r="X1392">
        <v>1</v>
      </c>
      <c r="Y1392">
        <v>15</v>
      </c>
      <c r="Z1392">
        <v>13</v>
      </c>
      <c r="AA1392">
        <v>10.8</v>
      </c>
      <c r="AB1392">
        <v>1.2190000000000001</v>
      </c>
      <c r="AC1392">
        <v>6.68</v>
      </c>
      <c r="AE1392">
        <v>1</v>
      </c>
      <c r="AF1392" t="s">
        <v>233</v>
      </c>
      <c r="AG1392">
        <v>100</v>
      </c>
      <c r="AH1392">
        <v>0</v>
      </c>
      <c r="AK1392" t="s">
        <v>98</v>
      </c>
      <c r="AM1392" t="s">
        <v>98</v>
      </c>
      <c r="AN1392" t="s">
        <v>99</v>
      </c>
      <c r="AO1392" t="s">
        <v>98</v>
      </c>
      <c r="AP1392" t="s">
        <v>100</v>
      </c>
      <c r="AQ1392" t="s">
        <v>101</v>
      </c>
      <c r="AV1392" t="s">
        <v>98</v>
      </c>
      <c r="AX1392" t="s">
        <v>4233</v>
      </c>
      <c r="AZ1392" t="s">
        <v>124</v>
      </c>
      <c r="BB1392" t="s">
        <v>235</v>
      </c>
      <c r="BC1392" t="s">
        <v>1908</v>
      </c>
      <c r="BD1392" t="s">
        <v>7528</v>
      </c>
      <c r="BF1392" t="s">
        <v>4471</v>
      </c>
      <c r="BG1392" t="s">
        <v>98</v>
      </c>
      <c r="BH1392" t="s">
        <v>98</v>
      </c>
      <c r="BI1392" t="s">
        <v>98</v>
      </c>
      <c r="BJ1392" t="s">
        <v>99</v>
      </c>
      <c r="BK1392" t="s">
        <v>453</v>
      </c>
      <c r="BL1392" t="s">
        <v>128</v>
      </c>
      <c r="BR1392">
        <v>7.5</v>
      </c>
      <c r="BT1392">
        <v>4.5</v>
      </c>
      <c r="CA1392">
        <v>252</v>
      </c>
      <c r="CB1392" t="s">
        <v>4233</v>
      </c>
      <c r="CG1392">
        <v>0</v>
      </c>
      <c r="CL1392" t="s">
        <v>99</v>
      </c>
      <c r="CM1392" t="s">
        <v>98</v>
      </c>
      <c r="CN1392" t="s">
        <v>3218</v>
      </c>
      <c r="CO1392" s="1">
        <v>38552</v>
      </c>
      <c r="CP1392" s="1">
        <v>43633</v>
      </c>
    </row>
    <row r="1393" spans="1:94" x14ac:dyDescent="0.25">
      <c r="A1393" t="s">
        <v>4472</v>
      </c>
      <c r="B1393" t="str">
        <f xml:space="preserve"> "" &amp; 747396050065</f>
        <v>747396050065</v>
      </c>
      <c r="C1393" t="s">
        <v>4448</v>
      </c>
      <c r="D1393" t="s">
        <v>6874</v>
      </c>
      <c r="E1393" t="s">
        <v>4464</v>
      </c>
      <c r="F1393" t="s">
        <v>7538</v>
      </c>
      <c r="G1393">
        <v>1</v>
      </c>
      <c r="H1393">
        <v>1</v>
      </c>
      <c r="I1393" t="s">
        <v>97</v>
      </c>
      <c r="J1393" s="10">
        <v>25</v>
      </c>
      <c r="K1393" s="10">
        <v>75</v>
      </c>
      <c r="L1393" s="10">
        <v>0</v>
      </c>
      <c r="N1393" s="10">
        <v>0</v>
      </c>
      <c r="S1393">
        <v>15.75</v>
      </c>
      <c r="U1393">
        <v>10.5</v>
      </c>
      <c r="V1393">
        <v>13.13</v>
      </c>
      <c r="W1393">
        <v>9.6999999999999993</v>
      </c>
      <c r="X1393">
        <v>1</v>
      </c>
      <c r="Y1393">
        <v>18.75</v>
      </c>
      <c r="Z1393">
        <v>15.75</v>
      </c>
      <c r="AA1393">
        <v>13.25</v>
      </c>
      <c r="AB1393">
        <v>2.2639999999999998</v>
      </c>
      <c r="AC1393">
        <v>14.04</v>
      </c>
      <c r="AE1393">
        <v>1</v>
      </c>
      <c r="AF1393" t="s">
        <v>3363</v>
      </c>
      <c r="AG1393">
        <v>26</v>
      </c>
      <c r="AH1393">
        <v>0</v>
      </c>
      <c r="AK1393" t="s">
        <v>99</v>
      </c>
      <c r="AM1393" t="s">
        <v>98</v>
      </c>
      <c r="AN1393" t="s">
        <v>98</v>
      </c>
      <c r="AO1393" t="s">
        <v>99</v>
      </c>
      <c r="AP1393" t="s">
        <v>100</v>
      </c>
      <c r="AQ1393" t="s">
        <v>101</v>
      </c>
      <c r="AV1393" t="s">
        <v>98</v>
      </c>
      <c r="AX1393" t="s">
        <v>4226</v>
      </c>
      <c r="AZ1393" t="s">
        <v>7528</v>
      </c>
      <c r="BB1393" t="s">
        <v>235</v>
      </c>
      <c r="BC1393" t="s">
        <v>7621</v>
      </c>
      <c r="BD1393" t="s">
        <v>7528</v>
      </c>
      <c r="BF1393" t="s">
        <v>4473</v>
      </c>
      <c r="BG1393" t="s">
        <v>98</v>
      </c>
      <c r="BH1393" t="s">
        <v>98</v>
      </c>
      <c r="BI1393" t="s">
        <v>99</v>
      </c>
      <c r="BJ1393" t="s">
        <v>99</v>
      </c>
      <c r="BK1393" t="s">
        <v>453</v>
      </c>
      <c r="BL1393" t="s">
        <v>7528</v>
      </c>
      <c r="BR1393">
        <v>9.1300000000000008</v>
      </c>
      <c r="BT1393">
        <v>5.5</v>
      </c>
      <c r="CA1393" t="s">
        <v>4474</v>
      </c>
      <c r="CB1393" t="s">
        <v>4226</v>
      </c>
      <c r="CG1393">
        <v>2700</v>
      </c>
      <c r="CL1393" t="s">
        <v>98</v>
      </c>
      <c r="CM1393" t="s">
        <v>98</v>
      </c>
      <c r="CN1393" t="s">
        <v>3218</v>
      </c>
      <c r="CO1393" s="1">
        <v>38552</v>
      </c>
      <c r="CP1393" s="1">
        <v>43633</v>
      </c>
    </row>
    <row r="1394" spans="1:94" x14ac:dyDescent="0.25">
      <c r="A1394" t="s">
        <v>4475</v>
      </c>
      <c r="B1394" t="str">
        <f xml:space="preserve"> "" &amp; 747396049021</f>
        <v>747396049021</v>
      </c>
      <c r="C1394" t="s">
        <v>447</v>
      </c>
      <c r="D1394" t="s">
        <v>6875</v>
      </c>
      <c r="E1394" t="s">
        <v>4464</v>
      </c>
      <c r="F1394" t="s">
        <v>2823</v>
      </c>
      <c r="G1394">
        <v>1</v>
      </c>
      <c r="H1394">
        <v>1</v>
      </c>
      <c r="I1394" t="s">
        <v>97</v>
      </c>
      <c r="J1394" s="10">
        <v>35.950000000000003</v>
      </c>
      <c r="K1394" s="10">
        <v>107.85</v>
      </c>
      <c r="L1394" s="10">
        <v>0</v>
      </c>
      <c r="N1394" s="10">
        <v>0</v>
      </c>
      <c r="S1394">
        <v>14.75</v>
      </c>
      <c r="U1394">
        <v>8.5</v>
      </c>
      <c r="W1394">
        <v>5.69</v>
      </c>
      <c r="X1394">
        <v>1</v>
      </c>
      <c r="Y1394">
        <v>17</v>
      </c>
      <c r="Z1394">
        <v>10.8</v>
      </c>
      <c r="AA1394">
        <v>10.8</v>
      </c>
      <c r="AB1394">
        <v>1.1479999999999999</v>
      </c>
      <c r="AC1394">
        <v>8.27</v>
      </c>
      <c r="AE1394">
        <v>1</v>
      </c>
      <c r="AF1394" t="s">
        <v>233</v>
      </c>
      <c r="AG1394">
        <v>100</v>
      </c>
      <c r="AH1394">
        <v>0</v>
      </c>
      <c r="AK1394" t="s">
        <v>98</v>
      </c>
      <c r="AM1394" t="s">
        <v>98</v>
      </c>
      <c r="AN1394" t="s">
        <v>99</v>
      </c>
      <c r="AO1394" t="s">
        <v>98</v>
      </c>
      <c r="AP1394" t="s">
        <v>100</v>
      </c>
      <c r="AQ1394" t="s">
        <v>101</v>
      </c>
      <c r="AV1394" t="s">
        <v>98</v>
      </c>
      <c r="AX1394" t="s">
        <v>4226</v>
      </c>
      <c r="AZ1394" t="s">
        <v>124</v>
      </c>
      <c r="BB1394" t="s">
        <v>235</v>
      </c>
      <c r="BC1394" t="s">
        <v>1908</v>
      </c>
      <c r="BD1394" t="s">
        <v>7528</v>
      </c>
      <c r="BF1394" t="s">
        <v>4476</v>
      </c>
      <c r="BG1394" t="s">
        <v>98</v>
      </c>
      <c r="BH1394" t="s">
        <v>98</v>
      </c>
      <c r="BI1394" t="s">
        <v>98</v>
      </c>
      <c r="BJ1394" t="s">
        <v>99</v>
      </c>
      <c r="BK1394" t="s">
        <v>453</v>
      </c>
      <c r="BL1394" t="s">
        <v>7528</v>
      </c>
      <c r="BR1394">
        <v>0</v>
      </c>
      <c r="BT1394">
        <v>0</v>
      </c>
      <c r="CA1394">
        <v>8256</v>
      </c>
      <c r="CB1394" t="s">
        <v>4226</v>
      </c>
      <c r="CG1394">
        <v>0</v>
      </c>
      <c r="CL1394" t="s">
        <v>99</v>
      </c>
      <c r="CM1394" t="s">
        <v>98</v>
      </c>
      <c r="CN1394" t="s">
        <v>3218</v>
      </c>
      <c r="CO1394" s="1">
        <v>38552</v>
      </c>
      <c r="CP1394" s="1">
        <v>43633</v>
      </c>
    </row>
    <row r="1395" spans="1:94" x14ac:dyDescent="0.25">
      <c r="A1395" t="s">
        <v>4477</v>
      </c>
      <c r="B1395" t="str">
        <f xml:space="preserve"> "" &amp; 747396049038</f>
        <v>747396049038</v>
      </c>
      <c r="C1395" t="s">
        <v>447</v>
      </c>
      <c r="D1395" t="s">
        <v>6875</v>
      </c>
      <c r="E1395" t="s">
        <v>4464</v>
      </c>
      <c r="F1395" t="s">
        <v>2823</v>
      </c>
      <c r="G1395">
        <v>1</v>
      </c>
      <c r="H1395">
        <v>1</v>
      </c>
      <c r="I1395" t="s">
        <v>97</v>
      </c>
      <c r="J1395" s="10">
        <v>35.950000000000003</v>
      </c>
      <c r="K1395" s="10">
        <v>107.85</v>
      </c>
      <c r="L1395" s="10">
        <v>0</v>
      </c>
      <c r="N1395" s="10">
        <v>0</v>
      </c>
      <c r="S1395">
        <v>14.75</v>
      </c>
      <c r="U1395">
        <v>8.5</v>
      </c>
      <c r="W1395">
        <v>3.86</v>
      </c>
      <c r="X1395">
        <v>1</v>
      </c>
      <c r="Y1395">
        <v>17.13</v>
      </c>
      <c r="Z1395">
        <v>10.83</v>
      </c>
      <c r="AA1395">
        <v>10.83</v>
      </c>
      <c r="AB1395">
        <v>1.163</v>
      </c>
      <c r="AC1395">
        <v>6.24</v>
      </c>
      <c r="AE1395">
        <v>1</v>
      </c>
      <c r="AF1395" t="s">
        <v>233</v>
      </c>
      <c r="AG1395">
        <v>100</v>
      </c>
      <c r="AH1395">
        <v>0</v>
      </c>
      <c r="AK1395" t="s">
        <v>98</v>
      </c>
      <c r="AM1395" t="s">
        <v>98</v>
      </c>
      <c r="AN1395" t="s">
        <v>99</v>
      </c>
      <c r="AO1395" t="s">
        <v>98</v>
      </c>
      <c r="AP1395" t="s">
        <v>100</v>
      </c>
      <c r="AQ1395" t="s">
        <v>101</v>
      </c>
      <c r="AV1395" t="s">
        <v>98</v>
      </c>
      <c r="AX1395" t="s">
        <v>4233</v>
      </c>
      <c r="AZ1395" t="s">
        <v>124</v>
      </c>
      <c r="BB1395" t="s">
        <v>235</v>
      </c>
      <c r="BC1395" t="s">
        <v>1908</v>
      </c>
      <c r="BD1395" t="s">
        <v>7528</v>
      </c>
      <c r="BF1395" t="s">
        <v>4478</v>
      </c>
      <c r="BG1395" t="s">
        <v>98</v>
      </c>
      <c r="BH1395" t="s">
        <v>98</v>
      </c>
      <c r="BI1395" t="s">
        <v>98</v>
      </c>
      <c r="BJ1395" t="s">
        <v>99</v>
      </c>
      <c r="BK1395" t="s">
        <v>453</v>
      </c>
      <c r="BL1395" t="s">
        <v>7528</v>
      </c>
      <c r="BR1395">
        <v>0</v>
      </c>
      <c r="BT1395">
        <v>0</v>
      </c>
      <c r="CA1395">
        <v>8256</v>
      </c>
      <c r="CB1395" t="s">
        <v>4233</v>
      </c>
      <c r="CG1395">
        <v>0</v>
      </c>
      <c r="CL1395" t="s">
        <v>99</v>
      </c>
      <c r="CM1395" t="s">
        <v>98</v>
      </c>
      <c r="CN1395" t="s">
        <v>3218</v>
      </c>
      <c r="CO1395" s="1">
        <v>38552</v>
      </c>
      <c r="CP1395" s="1">
        <v>43633</v>
      </c>
    </row>
    <row r="1396" spans="1:94" x14ac:dyDescent="0.25">
      <c r="A1396" t="s">
        <v>4489</v>
      </c>
      <c r="B1396" t="str">
        <f xml:space="preserve"> "" &amp; 747396049748</f>
        <v>747396049748</v>
      </c>
      <c r="C1396" t="s">
        <v>1577</v>
      </c>
      <c r="D1396" t="s">
        <v>6876</v>
      </c>
      <c r="E1396" t="s">
        <v>4490</v>
      </c>
      <c r="F1396" t="s">
        <v>2823</v>
      </c>
      <c r="G1396">
        <v>1</v>
      </c>
      <c r="H1396">
        <v>1</v>
      </c>
      <c r="I1396" t="s">
        <v>97</v>
      </c>
      <c r="J1396" s="10">
        <v>42</v>
      </c>
      <c r="K1396" s="10">
        <v>126</v>
      </c>
      <c r="L1396" s="10">
        <v>0</v>
      </c>
      <c r="N1396" s="10">
        <v>0</v>
      </c>
      <c r="O1396" t="s">
        <v>99</v>
      </c>
      <c r="P1396" s="10">
        <v>84.95</v>
      </c>
      <c r="S1396">
        <v>14.25</v>
      </c>
      <c r="T1396">
        <v>9.8800000000000008</v>
      </c>
      <c r="U1396">
        <v>5.75</v>
      </c>
      <c r="V1396">
        <v>7</v>
      </c>
      <c r="W1396">
        <v>3.53</v>
      </c>
      <c r="X1396">
        <v>1</v>
      </c>
      <c r="Y1396">
        <v>16.75</v>
      </c>
      <c r="Z1396">
        <v>9.8800000000000008</v>
      </c>
      <c r="AA1396">
        <v>8.75</v>
      </c>
      <c r="AB1396">
        <v>0.83799999999999997</v>
      </c>
      <c r="AC1396">
        <v>5.51</v>
      </c>
      <c r="AE1396">
        <v>1</v>
      </c>
      <c r="AF1396" t="s">
        <v>233</v>
      </c>
      <c r="AG1396">
        <v>60</v>
      </c>
      <c r="AH1396">
        <v>0</v>
      </c>
      <c r="AK1396" t="s">
        <v>98</v>
      </c>
      <c r="AM1396" t="s">
        <v>98</v>
      </c>
      <c r="AN1396" t="s">
        <v>99</v>
      </c>
      <c r="AO1396" t="s">
        <v>98</v>
      </c>
      <c r="AP1396" t="s">
        <v>100</v>
      </c>
      <c r="AQ1396" t="s">
        <v>101</v>
      </c>
      <c r="AV1396" t="s">
        <v>98</v>
      </c>
      <c r="AX1396" t="s">
        <v>4491</v>
      </c>
      <c r="AZ1396" t="s">
        <v>124</v>
      </c>
      <c r="BB1396" t="s">
        <v>235</v>
      </c>
      <c r="BC1396" t="s">
        <v>746</v>
      </c>
      <c r="BD1396" t="s">
        <v>7528</v>
      </c>
      <c r="BF1396" t="s">
        <v>4492</v>
      </c>
      <c r="BG1396" t="s">
        <v>98</v>
      </c>
      <c r="BH1396" t="s">
        <v>98</v>
      </c>
      <c r="BI1396" t="s">
        <v>98</v>
      </c>
      <c r="BJ1396" t="s">
        <v>99</v>
      </c>
      <c r="BK1396" t="s">
        <v>453</v>
      </c>
      <c r="BL1396" t="s">
        <v>128</v>
      </c>
      <c r="BR1396">
        <v>7</v>
      </c>
      <c r="BT1396">
        <v>5</v>
      </c>
      <c r="CA1396">
        <v>8261</v>
      </c>
      <c r="CB1396" t="s">
        <v>4491</v>
      </c>
      <c r="CG1396">
        <v>0</v>
      </c>
      <c r="CL1396" t="s">
        <v>99</v>
      </c>
      <c r="CM1396" t="s">
        <v>98</v>
      </c>
      <c r="CN1396" t="s">
        <v>692</v>
      </c>
      <c r="CO1396" s="1">
        <v>38482</v>
      </c>
      <c r="CP1396" s="1">
        <v>43633</v>
      </c>
    </row>
    <row r="1397" spans="1:94" x14ac:dyDescent="0.25">
      <c r="A1397" t="s">
        <v>4493</v>
      </c>
      <c r="B1397" t="str">
        <f xml:space="preserve"> "" &amp; 747396092195</f>
        <v>747396092195</v>
      </c>
      <c r="C1397" t="s">
        <v>3332</v>
      </c>
      <c r="D1397" t="s">
        <v>6877</v>
      </c>
      <c r="E1397" t="s">
        <v>4490</v>
      </c>
      <c r="F1397" t="s">
        <v>3188</v>
      </c>
      <c r="G1397">
        <v>1</v>
      </c>
      <c r="H1397">
        <v>1</v>
      </c>
      <c r="I1397" t="s">
        <v>97</v>
      </c>
      <c r="J1397" s="10">
        <v>60</v>
      </c>
      <c r="K1397" s="10">
        <v>180</v>
      </c>
      <c r="L1397" s="10">
        <v>0</v>
      </c>
      <c r="N1397" s="10">
        <v>0</v>
      </c>
      <c r="O1397" t="s">
        <v>99</v>
      </c>
      <c r="P1397" s="10">
        <v>119.95</v>
      </c>
      <c r="S1397">
        <v>14.25</v>
      </c>
      <c r="T1397">
        <v>9.8800000000000008</v>
      </c>
      <c r="U1397">
        <v>5.75</v>
      </c>
      <c r="V1397">
        <v>7</v>
      </c>
      <c r="W1397">
        <v>3.53</v>
      </c>
      <c r="Y1397">
        <v>16.75</v>
      </c>
      <c r="Z1397">
        <v>9.8800000000000008</v>
      </c>
      <c r="AA1397">
        <v>8.6300000000000008</v>
      </c>
      <c r="AB1397">
        <v>0.82599999999999996</v>
      </c>
      <c r="AC1397">
        <v>4.74</v>
      </c>
      <c r="AE1397">
        <v>1</v>
      </c>
      <c r="AF1397" t="s">
        <v>3334</v>
      </c>
      <c r="AG1397">
        <v>11</v>
      </c>
      <c r="AK1397" t="s">
        <v>99</v>
      </c>
      <c r="AM1397" t="s">
        <v>98</v>
      </c>
      <c r="AN1397" t="s">
        <v>99</v>
      </c>
      <c r="AO1397" t="s">
        <v>98</v>
      </c>
      <c r="AP1397" t="s">
        <v>100</v>
      </c>
      <c r="AQ1397" t="s">
        <v>101</v>
      </c>
      <c r="AV1397" t="s">
        <v>98</v>
      </c>
      <c r="AX1397" t="s">
        <v>164</v>
      </c>
      <c r="AZ1397" t="s">
        <v>124</v>
      </c>
      <c r="BB1397" t="s">
        <v>235</v>
      </c>
      <c r="BC1397" t="s">
        <v>2591</v>
      </c>
      <c r="BD1397" t="s">
        <v>7528</v>
      </c>
      <c r="BF1397" t="s">
        <v>4494</v>
      </c>
      <c r="BG1397" t="s">
        <v>98</v>
      </c>
      <c r="BH1397" t="s">
        <v>98</v>
      </c>
      <c r="BI1397" t="s">
        <v>98</v>
      </c>
      <c r="BJ1397" t="s">
        <v>99</v>
      </c>
      <c r="BK1397" t="s">
        <v>453</v>
      </c>
      <c r="BL1397" t="s">
        <v>7528</v>
      </c>
      <c r="BM1397">
        <v>5</v>
      </c>
      <c r="BN1397">
        <v>7</v>
      </c>
      <c r="CA1397">
        <v>8261</v>
      </c>
      <c r="CB1397" t="s">
        <v>164</v>
      </c>
      <c r="CG1397">
        <v>2700</v>
      </c>
      <c r="CH1397">
        <v>81</v>
      </c>
      <c r="CI1397">
        <v>770</v>
      </c>
      <c r="CJ1397">
        <v>399.5</v>
      </c>
      <c r="CK1397">
        <v>30000</v>
      </c>
      <c r="CL1397" t="s">
        <v>99</v>
      </c>
      <c r="CM1397" t="s">
        <v>98</v>
      </c>
      <c r="CN1397" t="s">
        <v>729</v>
      </c>
      <c r="CO1397" s="1">
        <v>41585</v>
      </c>
      <c r="CP1397" s="1">
        <v>43633</v>
      </c>
    </row>
    <row r="1398" spans="1:94" x14ac:dyDescent="0.25">
      <c r="A1398" t="s">
        <v>4495</v>
      </c>
      <c r="B1398" t="str">
        <f xml:space="preserve"> "" &amp; 747396049755</f>
        <v>747396049755</v>
      </c>
      <c r="C1398" t="s">
        <v>1550</v>
      </c>
      <c r="D1398" t="s">
        <v>6878</v>
      </c>
      <c r="E1398" t="s">
        <v>4490</v>
      </c>
      <c r="F1398" t="s">
        <v>2823</v>
      </c>
      <c r="G1398">
        <v>1</v>
      </c>
      <c r="H1398">
        <v>1</v>
      </c>
      <c r="I1398" t="s">
        <v>97</v>
      </c>
      <c r="J1398" s="10">
        <v>55</v>
      </c>
      <c r="K1398" s="10">
        <v>165</v>
      </c>
      <c r="L1398" s="10">
        <v>0</v>
      </c>
      <c r="N1398" s="10">
        <v>0</v>
      </c>
      <c r="O1398" t="s">
        <v>99</v>
      </c>
      <c r="P1398" s="10">
        <v>109.95</v>
      </c>
      <c r="S1398">
        <v>17.75</v>
      </c>
      <c r="U1398">
        <v>7.75</v>
      </c>
      <c r="V1398">
        <v>9</v>
      </c>
      <c r="W1398">
        <v>5.07</v>
      </c>
      <c r="X1398">
        <v>1</v>
      </c>
      <c r="Y1398">
        <v>19.690000000000001</v>
      </c>
      <c r="Z1398">
        <v>11.81</v>
      </c>
      <c r="AA1398">
        <v>10.63</v>
      </c>
      <c r="AB1398">
        <v>1.43</v>
      </c>
      <c r="AC1398">
        <v>7.94</v>
      </c>
      <c r="AE1398">
        <v>2</v>
      </c>
      <c r="AF1398" t="s">
        <v>308</v>
      </c>
      <c r="AG1398">
        <v>60</v>
      </c>
      <c r="AH1398">
        <v>0</v>
      </c>
      <c r="AK1398" t="s">
        <v>98</v>
      </c>
      <c r="AM1398" t="s">
        <v>98</v>
      </c>
      <c r="AN1398" t="s">
        <v>99</v>
      </c>
      <c r="AO1398" t="s">
        <v>98</v>
      </c>
      <c r="AP1398" t="s">
        <v>100</v>
      </c>
      <c r="AQ1398" t="s">
        <v>101</v>
      </c>
      <c r="AV1398" t="s">
        <v>98</v>
      </c>
      <c r="AX1398" t="s">
        <v>4491</v>
      </c>
      <c r="AZ1398" t="s">
        <v>124</v>
      </c>
      <c r="BB1398" t="s">
        <v>235</v>
      </c>
      <c r="BC1398" t="s">
        <v>746</v>
      </c>
      <c r="BD1398" t="s">
        <v>7528</v>
      </c>
      <c r="BF1398" t="s">
        <v>4496</v>
      </c>
      <c r="BG1398" t="s">
        <v>98</v>
      </c>
      <c r="BH1398" t="s">
        <v>98</v>
      </c>
      <c r="BI1398" t="s">
        <v>98</v>
      </c>
      <c r="BJ1398" t="s">
        <v>99</v>
      </c>
      <c r="BK1398" t="s">
        <v>453</v>
      </c>
      <c r="BL1398" t="s">
        <v>128</v>
      </c>
      <c r="BR1398">
        <v>7</v>
      </c>
      <c r="BT1398">
        <v>5</v>
      </c>
      <c r="CA1398">
        <v>8262</v>
      </c>
      <c r="CB1398" t="s">
        <v>4491</v>
      </c>
      <c r="CG1398">
        <v>0</v>
      </c>
      <c r="CL1398" t="s">
        <v>99</v>
      </c>
      <c r="CM1398" t="s">
        <v>98</v>
      </c>
      <c r="CN1398" t="s">
        <v>692</v>
      </c>
      <c r="CO1398" s="1">
        <v>38482</v>
      </c>
      <c r="CP1398" s="1">
        <v>43633</v>
      </c>
    </row>
    <row r="1399" spans="1:94" x14ac:dyDescent="0.25">
      <c r="A1399" t="s">
        <v>4479</v>
      </c>
      <c r="B1399" t="str">
        <f xml:space="preserve"> "" &amp; 747396101941</f>
        <v>747396101941</v>
      </c>
      <c r="C1399" t="s">
        <v>569</v>
      </c>
      <c r="D1399" t="s">
        <v>1346</v>
      </c>
      <c r="E1399" t="s">
        <v>7528</v>
      </c>
      <c r="F1399" t="s">
        <v>478</v>
      </c>
      <c r="G1399">
        <v>1</v>
      </c>
      <c r="H1399">
        <v>1</v>
      </c>
      <c r="I1399" t="s">
        <v>97</v>
      </c>
      <c r="J1399" s="10">
        <v>85</v>
      </c>
      <c r="K1399" s="10">
        <v>255</v>
      </c>
      <c r="L1399" s="10">
        <v>0</v>
      </c>
      <c r="N1399" s="10">
        <v>0</v>
      </c>
      <c r="O1399" t="s">
        <v>99</v>
      </c>
      <c r="P1399" s="10">
        <v>179.95</v>
      </c>
      <c r="S1399">
        <v>6.25</v>
      </c>
      <c r="T1399">
        <v>16</v>
      </c>
      <c r="U1399">
        <v>16</v>
      </c>
      <c r="W1399">
        <v>11.57</v>
      </c>
      <c r="X1399">
        <v>1</v>
      </c>
      <c r="Y1399">
        <v>13.25</v>
      </c>
      <c r="Z1399">
        <v>17.75</v>
      </c>
      <c r="AA1399">
        <v>17.75</v>
      </c>
      <c r="AB1399">
        <v>2.4159999999999999</v>
      </c>
      <c r="AC1399">
        <v>14.88</v>
      </c>
      <c r="AE1399">
        <v>3</v>
      </c>
      <c r="AF1399" t="s">
        <v>282</v>
      </c>
      <c r="AG1399">
        <v>60</v>
      </c>
      <c r="AK1399" t="s">
        <v>98</v>
      </c>
      <c r="AM1399" t="s">
        <v>98</v>
      </c>
      <c r="AN1399" t="s">
        <v>99</v>
      </c>
      <c r="AO1399" t="s">
        <v>98</v>
      </c>
      <c r="AP1399" t="s">
        <v>100</v>
      </c>
      <c r="AQ1399" t="s">
        <v>101</v>
      </c>
      <c r="AV1399" t="s">
        <v>98</v>
      </c>
      <c r="AX1399" t="s">
        <v>560</v>
      </c>
      <c r="AZ1399" t="s">
        <v>102</v>
      </c>
      <c r="BB1399" t="s">
        <v>235</v>
      </c>
      <c r="BC1399" t="s">
        <v>3172</v>
      </c>
      <c r="BD1399" t="s">
        <v>7528</v>
      </c>
      <c r="BF1399" t="s">
        <v>4480</v>
      </c>
      <c r="BG1399" t="s">
        <v>98</v>
      </c>
      <c r="BH1399" t="s">
        <v>98</v>
      </c>
      <c r="BI1399" t="s">
        <v>98</v>
      </c>
      <c r="BK1399" t="s">
        <v>127</v>
      </c>
      <c r="BL1399" t="s">
        <v>7528</v>
      </c>
      <c r="BS1399">
        <v>16</v>
      </c>
      <c r="BT1399">
        <v>16</v>
      </c>
      <c r="CA1399">
        <v>826</v>
      </c>
      <c r="CB1399" t="s">
        <v>560</v>
      </c>
      <c r="CL1399" t="s">
        <v>99</v>
      </c>
      <c r="CM1399" t="s">
        <v>98</v>
      </c>
      <c r="CN1399" t="s">
        <v>442</v>
      </c>
      <c r="CO1399" s="1">
        <v>42828</v>
      </c>
      <c r="CP1399" s="1">
        <v>43633</v>
      </c>
    </row>
    <row r="1400" spans="1:94" x14ac:dyDescent="0.25">
      <c r="A1400" t="s">
        <v>4481</v>
      </c>
      <c r="B1400" t="str">
        <f xml:space="preserve"> "" &amp; 747396108421</f>
        <v>747396108421</v>
      </c>
      <c r="C1400" t="s">
        <v>558</v>
      </c>
      <c r="D1400" t="s">
        <v>558</v>
      </c>
      <c r="E1400" t="s">
        <v>7528</v>
      </c>
      <c r="F1400" t="s">
        <v>7532</v>
      </c>
      <c r="G1400">
        <v>1</v>
      </c>
      <c r="H1400">
        <v>1</v>
      </c>
      <c r="I1400" t="s">
        <v>97</v>
      </c>
      <c r="J1400" s="10">
        <v>109.95</v>
      </c>
      <c r="K1400" s="10">
        <v>329.85</v>
      </c>
      <c r="L1400" s="10">
        <v>0</v>
      </c>
      <c r="N1400" s="10">
        <v>0</v>
      </c>
      <c r="O1400" t="s">
        <v>99</v>
      </c>
      <c r="P1400" s="10">
        <v>229.95</v>
      </c>
      <c r="S1400">
        <v>6</v>
      </c>
      <c r="T1400">
        <v>16</v>
      </c>
      <c r="U1400">
        <v>16</v>
      </c>
      <c r="W1400">
        <v>9.74</v>
      </c>
      <c r="X1400">
        <v>1</v>
      </c>
      <c r="Y1400">
        <v>13.25</v>
      </c>
      <c r="Z1400">
        <v>17.75</v>
      </c>
      <c r="AA1400">
        <v>17.75</v>
      </c>
      <c r="AB1400">
        <v>2.4159999999999999</v>
      </c>
      <c r="AC1400">
        <v>13.16</v>
      </c>
      <c r="AE1400">
        <v>1</v>
      </c>
      <c r="AF1400" t="s">
        <v>559</v>
      </c>
      <c r="AG1400">
        <v>30</v>
      </c>
      <c r="AK1400" t="s">
        <v>99</v>
      </c>
      <c r="AM1400" t="s">
        <v>98</v>
      </c>
      <c r="AN1400" t="s">
        <v>99</v>
      </c>
      <c r="AO1400" t="s">
        <v>98</v>
      </c>
      <c r="AP1400" t="s">
        <v>100</v>
      </c>
      <c r="AQ1400" t="s">
        <v>101</v>
      </c>
      <c r="AV1400" t="s">
        <v>98</v>
      </c>
      <c r="AX1400" t="s">
        <v>560</v>
      </c>
      <c r="AZ1400" t="s">
        <v>102</v>
      </c>
      <c r="BB1400" t="s">
        <v>235</v>
      </c>
      <c r="BC1400" t="s">
        <v>3172</v>
      </c>
      <c r="BD1400" t="s">
        <v>7528</v>
      </c>
      <c r="BF1400" t="s">
        <v>4482</v>
      </c>
      <c r="BG1400" t="s">
        <v>98</v>
      </c>
      <c r="BH1400" t="s">
        <v>98</v>
      </c>
      <c r="BI1400" t="s">
        <v>98</v>
      </c>
      <c r="BK1400" t="s">
        <v>127</v>
      </c>
      <c r="BL1400" t="s">
        <v>7528</v>
      </c>
      <c r="BQ1400">
        <v>16</v>
      </c>
      <c r="BR1400">
        <v>1.1299999999999999</v>
      </c>
      <c r="BS1400">
        <v>16</v>
      </c>
      <c r="BT1400">
        <v>16</v>
      </c>
      <c r="CA1400">
        <v>826</v>
      </c>
      <c r="CB1400" t="s">
        <v>560</v>
      </c>
      <c r="CG1400">
        <v>3000</v>
      </c>
      <c r="CH1400">
        <v>93</v>
      </c>
      <c r="CI1400">
        <v>2497</v>
      </c>
      <c r="CJ1400">
        <v>1890</v>
      </c>
      <c r="CK1400">
        <v>30000</v>
      </c>
      <c r="CL1400" t="s">
        <v>99</v>
      </c>
      <c r="CM1400" t="s">
        <v>98</v>
      </c>
      <c r="CN1400" t="s">
        <v>442</v>
      </c>
      <c r="CO1400" s="1">
        <v>43297</v>
      </c>
      <c r="CP1400" s="1">
        <v>43633</v>
      </c>
    </row>
    <row r="1401" spans="1:94" x14ac:dyDescent="0.25">
      <c r="A1401" t="s">
        <v>4497</v>
      </c>
      <c r="B1401" t="str">
        <f xml:space="preserve"> "" &amp; 747396092201</f>
        <v>747396092201</v>
      </c>
      <c r="C1401" t="s">
        <v>3332</v>
      </c>
      <c r="D1401" t="s">
        <v>6876</v>
      </c>
      <c r="E1401" t="s">
        <v>4490</v>
      </c>
      <c r="F1401" t="s">
        <v>3188</v>
      </c>
      <c r="G1401">
        <v>1</v>
      </c>
      <c r="H1401">
        <v>1</v>
      </c>
      <c r="I1401" t="s">
        <v>97</v>
      </c>
      <c r="J1401" s="10">
        <v>82</v>
      </c>
      <c r="K1401" s="10">
        <v>246</v>
      </c>
      <c r="L1401" s="10">
        <v>0</v>
      </c>
      <c r="N1401" s="10">
        <v>0</v>
      </c>
      <c r="O1401" t="s">
        <v>99</v>
      </c>
      <c r="P1401" s="10">
        <v>159.94999999999999</v>
      </c>
      <c r="S1401">
        <v>17.75</v>
      </c>
      <c r="U1401">
        <v>7.75</v>
      </c>
      <c r="V1401">
        <v>9</v>
      </c>
      <c r="W1401">
        <v>5.07</v>
      </c>
      <c r="Y1401">
        <v>20</v>
      </c>
      <c r="Z1401">
        <v>11.5</v>
      </c>
      <c r="AA1401">
        <v>11</v>
      </c>
      <c r="AB1401">
        <v>1.464</v>
      </c>
      <c r="AC1401">
        <v>7.17</v>
      </c>
      <c r="AE1401">
        <v>1</v>
      </c>
      <c r="AF1401" t="s">
        <v>3334</v>
      </c>
      <c r="AG1401">
        <v>11</v>
      </c>
      <c r="AK1401" t="s">
        <v>99</v>
      </c>
      <c r="AM1401" t="s">
        <v>98</v>
      </c>
      <c r="AN1401" t="s">
        <v>99</v>
      </c>
      <c r="AO1401" t="s">
        <v>98</v>
      </c>
      <c r="AP1401" t="s">
        <v>100</v>
      </c>
      <c r="AQ1401" t="s">
        <v>101</v>
      </c>
      <c r="AV1401" t="s">
        <v>98</v>
      </c>
      <c r="AX1401" t="s">
        <v>164</v>
      </c>
      <c r="AZ1401" t="s">
        <v>124</v>
      </c>
      <c r="BB1401" t="s">
        <v>235</v>
      </c>
      <c r="BC1401" t="s">
        <v>2591</v>
      </c>
      <c r="BD1401" t="s">
        <v>7528</v>
      </c>
      <c r="BF1401" t="s">
        <v>4498</v>
      </c>
      <c r="BG1401" t="s">
        <v>98</v>
      </c>
      <c r="BH1401" t="s">
        <v>98</v>
      </c>
      <c r="BI1401" t="s">
        <v>98</v>
      </c>
      <c r="BJ1401" t="s">
        <v>99</v>
      </c>
      <c r="BK1401" t="s">
        <v>453</v>
      </c>
      <c r="BL1401" t="s">
        <v>7528</v>
      </c>
      <c r="BM1401">
        <v>5</v>
      </c>
      <c r="BN1401">
        <v>7</v>
      </c>
      <c r="CA1401">
        <v>8262</v>
      </c>
      <c r="CB1401" t="s">
        <v>164</v>
      </c>
      <c r="CG1401">
        <v>2700</v>
      </c>
      <c r="CH1401">
        <v>80</v>
      </c>
      <c r="CI1401">
        <v>770</v>
      </c>
      <c r="CJ1401">
        <v>388</v>
      </c>
      <c r="CK1401">
        <v>30000</v>
      </c>
      <c r="CL1401" t="s">
        <v>98</v>
      </c>
      <c r="CM1401" t="s">
        <v>98</v>
      </c>
      <c r="CN1401" t="s">
        <v>692</v>
      </c>
      <c r="CO1401" s="1">
        <v>41585</v>
      </c>
      <c r="CP1401" s="1">
        <v>43633</v>
      </c>
    </row>
    <row r="1402" spans="1:94" x14ac:dyDescent="0.25">
      <c r="A1402" t="s">
        <v>4483</v>
      </c>
      <c r="B1402" t="str">
        <f xml:space="preserve"> "" &amp; 747396101958</f>
        <v>747396101958</v>
      </c>
      <c r="C1402" t="s">
        <v>569</v>
      </c>
      <c r="D1402" t="s">
        <v>1346</v>
      </c>
      <c r="E1402" t="s">
        <v>7528</v>
      </c>
      <c r="F1402" t="s">
        <v>478</v>
      </c>
      <c r="G1402">
        <v>1</v>
      </c>
      <c r="H1402">
        <v>1</v>
      </c>
      <c r="I1402" t="s">
        <v>97</v>
      </c>
      <c r="J1402" s="10">
        <v>85</v>
      </c>
      <c r="K1402" s="10">
        <v>255</v>
      </c>
      <c r="L1402" s="10">
        <v>0</v>
      </c>
      <c r="N1402" s="10">
        <v>0</v>
      </c>
      <c r="O1402" t="s">
        <v>99</v>
      </c>
      <c r="P1402" s="10">
        <v>179.95</v>
      </c>
      <c r="S1402">
        <v>6.25</v>
      </c>
      <c r="T1402">
        <v>16</v>
      </c>
      <c r="U1402">
        <v>16</v>
      </c>
      <c r="W1402">
        <v>11.57</v>
      </c>
      <c r="X1402">
        <v>1</v>
      </c>
      <c r="Y1402">
        <v>13.25</v>
      </c>
      <c r="Z1402">
        <v>17.75</v>
      </c>
      <c r="AA1402">
        <v>17.75</v>
      </c>
      <c r="AB1402">
        <v>2.4159999999999999</v>
      </c>
      <c r="AC1402">
        <v>14.88</v>
      </c>
      <c r="AE1402">
        <v>3</v>
      </c>
      <c r="AF1402" t="s">
        <v>282</v>
      </c>
      <c r="AG1402">
        <v>60</v>
      </c>
      <c r="AK1402" t="s">
        <v>98</v>
      </c>
      <c r="AM1402" t="s">
        <v>98</v>
      </c>
      <c r="AN1402" t="s">
        <v>99</v>
      </c>
      <c r="AO1402" t="s">
        <v>98</v>
      </c>
      <c r="AP1402" t="s">
        <v>100</v>
      </c>
      <c r="AQ1402" t="s">
        <v>101</v>
      </c>
      <c r="AV1402" t="s">
        <v>98</v>
      </c>
      <c r="AX1402" t="s">
        <v>367</v>
      </c>
      <c r="AZ1402" t="s">
        <v>124</v>
      </c>
      <c r="BB1402" t="s">
        <v>235</v>
      </c>
      <c r="BC1402" t="s">
        <v>3172</v>
      </c>
      <c r="BD1402" t="s">
        <v>7528</v>
      </c>
      <c r="BF1402" t="s">
        <v>4484</v>
      </c>
      <c r="BG1402" t="s">
        <v>98</v>
      </c>
      <c r="BH1402" t="s">
        <v>98</v>
      </c>
      <c r="BI1402" t="s">
        <v>98</v>
      </c>
      <c r="BK1402" t="s">
        <v>127</v>
      </c>
      <c r="BL1402" t="s">
        <v>7528</v>
      </c>
      <c r="BS1402">
        <v>16</v>
      </c>
      <c r="BT1402">
        <v>16</v>
      </c>
      <c r="CA1402">
        <v>826</v>
      </c>
      <c r="CB1402" t="s">
        <v>367</v>
      </c>
      <c r="CL1402" t="s">
        <v>99</v>
      </c>
      <c r="CM1402" t="s">
        <v>98</v>
      </c>
      <c r="CN1402" t="s">
        <v>442</v>
      </c>
      <c r="CO1402" s="1">
        <v>42828</v>
      </c>
      <c r="CP1402" s="1">
        <v>43633</v>
      </c>
    </row>
    <row r="1403" spans="1:94" x14ac:dyDescent="0.25">
      <c r="A1403" t="s">
        <v>4485</v>
      </c>
      <c r="B1403" t="str">
        <f xml:space="preserve"> "" &amp; 747396108438</f>
        <v>747396108438</v>
      </c>
      <c r="C1403" t="s">
        <v>558</v>
      </c>
      <c r="D1403" t="s">
        <v>558</v>
      </c>
      <c r="E1403" t="s">
        <v>7528</v>
      </c>
      <c r="F1403" t="s">
        <v>7532</v>
      </c>
      <c r="G1403">
        <v>1</v>
      </c>
      <c r="H1403">
        <v>1</v>
      </c>
      <c r="I1403" t="s">
        <v>97</v>
      </c>
      <c r="J1403" s="10">
        <v>109.95</v>
      </c>
      <c r="K1403" s="10">
        <v>329.85</v>
      </c>
      <c r="L1403" s="10">
        <v>0</v>
      </c>
      <c r="N1403" s="10">
        <v>0</v>
      </c>
      <c r="O1403" t="s">
        <v>99</v>
      </c>
      <c r="P1403" s="10">
        <v>229.95</v>
      </c>
      <c r="S1403">
        <v>6</v>
      </c>
      <c r="T1403">
        <v>16</v>
      </c>
      <c r="U1403">
        <v>16</v>
      </c>
      <c r="W1403">
        <v>9.74</v>
      </c>
      <c r="X1403">
        <v>1</v>
      </c>
      <c r="AB1403">
        <v>2.4159999999999999</v>
      </c>
      <c r="AC1403">
        <v>13.16</v>
      </c>
      <c r="AE1403">
        <v>1</v>
      </c>
      <c r="AF1403" t="s">
        <v>559</v>
      </c>
      <c r="AG1403">
        <v>32</v>
      </c>
      <c r="AK1403" t="s">
        <v>99</v>
      </c>
      <c r="AM1403" t="s">
        <v>98</v>
      </c>
      <c r="AN1403" t="s">
        <v>99</v>
      </c>
      <c r="AO1403" t="s">
        <v>98</v>
      </c>
      <c r="AP1403" t="s">
        <v>100</v>
      </c>
      <c r="AQ1403" t="s">
        <v>101</v>
      </c>
      <c r="AV1403" t="s">
        <v>98</v>
      </c>
      <c r="AX1403" t="s">
        <v>367</v>
      </c>
      <c r="AZ1403" t="s">
        <v>102</v>
      </c>
      <c r="BB1403" t="s">
        <v>235</v>
      </c>
      <c r="BC1403" t="s">
        <v>3172</v>
      </c>
      <c r="BD1403" t="s">
        <v>7528</v>
      </c>
      <c r="BF1403" t="s">
        <v>4486</v>
      </c>
      <c r="BG1403" t="s">
        <v>98</v>
      </c>
      <c r="BH1403" t="s">
        <v>98</v>
      </c>
      <c r="BI1403" t="s">
        <v>98</v>
      </c>
      <c r="BK1403" t="s">
        <v>127</v>
      </c>
      <c r="BL1403" t="s">
        <v>7528</v>
      </c>
      <c r="BQ1403">
        <v>16</v>
      </c>
      <c r="BR1403">
        <v>1.1299999999999999</v>
      </c>
      <c r="BS1403">
        <v>16</v>
      </c>
      <c r="BT1403">
        <v>16</v>
      </c>
      <c r="CA1403">
        <v>826</v>
      </c>
      <c r="CB1403" t="s">
        <v>367</v>
      </c>
      <c r="CG1403">
        <v>3000</v>
      </c>
      <c r="CH1403">
        <v>92</v>
      </c>
      <c r="CI1403">
        <v>2650</v>
      </c>
      <c r="CJ1403">
        <v>1907</v>
      </c>
      <c r="CK1403">
        <v>30000</v>
      </c>
      <c r="CL1403" t="s">
        <v>99</v>
      </c>
      <c r="CM1403" t="s">
        <v>98</v>
      </c>
      <c r="CN1403" t="s">
        <v>442</v>
      </c>
      <c r="CO1403" s="1">
        <v>43187</v>
      </c>
      <c r="CP1403" s="1">
        <v>43633</v>
      </c>
    </row>
    <row r="1404" spans="1:94" x14ac:dyDescent="0.25">
      <c r="A1404" t="s">
        <v>4499</v>
      </c>
      <c r="B1404" t="str">
        <f xml:space="preserve"> "" &amp; 747396049052</f>
        <v>747396049052</v>
      </c>
      <c r="C1404" t="s">
        <v>1799</v>
      </c>
      <c r="D1404" t="s">
        <v>6879</v>
      </c>
      <c r="E1404" t="s">
        <v>4490</v>
      </c>
      <c r="F1404" t="s">
        <v>2823</v>
      </c>
      <c r="G1404">
        <v>1</v>
      </c>
      <c r="H1404">
        <v>1</v>
      </c>
      <c r="I1404" t="s">
        <v>97</v>
      </c>
      <c r="J1404" s="10">
        <v>71</v>
      </c>
      <c r="K1404" s="10">
        <v>213</v>
      </c>
      <c r="L1404" s="10">
        <v>0</v>
      </c>
      <c r="N1404" s="10">
        <v>0</v>
      </c>
      <c r="O1404" t="s">
        <v>99</v>
      </c>
      <c r="P1404" s="10">
        <v>144.94999999999999</v>
      </c>
      <c r="S1404">
        <v>22.75</v>
      </c>
      <c r="U1404">
        <v>9.75</v>
      </c>
      <c r="V1404">
        <v>11.25</v>
      </c>
      <c r="W1404">
        <v>7.45</v>
      </c>
      <c r="X1404">
        <v>1</v>
      </c>
      <c r="Y1404">
        <v>25</v>
      </c>
      <c r="Z1404">
        <v>13.4</v>
      </c>
      <c r="AA1404">
        <v>12.18</v>
      </c>
      <c r="AB1404">
        <v>2.3610000000000002</v>
      </c>
      <c r="AC1404">
        <v>11.2</v>
      </c>
      <c r="AE1404">
        <v>3</v>
      </c>
      <c r="AF1404" t="s">
        <v>308</v>
      </c>
      <c r="AG1404">
        <v>60</v>
      </c>
      <c r="AH1404">
        <v>0</v>
      </c>
      <c r="AK1404" t="s">
        <v>98</v>
      </c>
      <c r="AM1404" t="s">
        <v>98</v>
      </c>
      <c r="AN1404" t="s">
        <v>99</v>
      </c>
      <c r="AO1404" t="s">
        <v>98</v>
      </c>
      <c r="AP1404" t="s">
        <v>100</v>
      </c>
      <c r="AQ1404" t="s">
        <v>101</v>
      </c>
      <c r="AV1404" t="s">
        <v>98</v>
      </c>
      <c r="AX1404" t="s">
        <v>4491</v>
      </c>
      <c r="AZ1404" t="s">
        <v>124</v>
      </c>
      <c r="BB1404" t="s">
        <v>235</v>
      </c>
      <c r="BC1404" t="s">
        <v>746</v>
      </c>
      <c r="BD1404" t="s">
        <v>7528</v>
      </c>
      <c r="BF1404" t="s">
        <v>4500</v>
      </c>
      <c r="BG1404" t="s">
        <v>98</v>
      </c>
      <c r="BH1404" t="s">
        <v>98</v>
      </c>
      <c r="BI1404" t="s">
        <v>98</v>
      </c>
      <c r="BJ1404" t="s">
        <v>99</v>
      </c>
      <c r="BK1404" t="s">
        <v>453</v>
      </c>
      <c r="BL1404" t="s">
        <v>128</v>
      </c>
      <c r="BR1404">
        <v>7</v>
      </c>
      <c r="BT1404">
        <v>5</v>
      </c>
      <c r="CA1404">
        <v>8263</v>
      </c>
      <c r="CB1404" t="s">
        <v>4491</v>
      </c>
      <c r="CG1404">
        <v>0</v>
      </c>
      <c r="CL1404" t="s">
        <v>99</v>
      </c>
      <c r="CM1404" t="s">
        <v>98</v>
      </c>
      <c r="CN1404" t="s">
        <v>692</v>
      </c>
      <c r="CO1404" s="1">
        <v>38482</v>
      </c>
      <c r="CP1404" s="1">
        <v>43633</v>
      </c>
    </row>
    <row r="1405" spans="1:94" x14ac:dyDescent="0.25">
      <c r="A1405" t="s">
        <v>4501</v>
      </c>
      <c r="B1405" t="str">
        <f xml:space="preserve"> "" &amp; 747396092218</f>
        <v>747396092218</v>
      </c>
      <c r="C1405" t="s">
        <v>3332</v>
      </c>
      <c r="D1405" t="s">
        <v>6880</v>
      </c>
      <c r="E1405" t="s">
        <v>4490</v>
      </c>
      <c r="F1405" t="s">
        <v>3188</v>
      </c>
      <c r="G1405">
        <v>1</v>
      </c>
      <c r="H1405">
        <v>1</v>
      </c>
      <c r="I1405" t="s">
        <v>97</v>
      </c>
      <c r="J1405" s="10">
        <v>102</v>
      </c>
      <c r="K1405" s="10">
        <v>306</v>
      </c>
      <c r="L1405" s="10">
        <v>0</v>
      </c>
      <c r="N1405" s="10">
        <v>0</v>
      </c>
      <c r="O1405" t="s">
        <v>99</v>
      </c>
      <c r="P1405" s="10">
        <v>204.95</v>
      </c>
      <c r="S1405">
        <v>22.75</v>
      </c>
      <c r="U1405">
        <v>9.75</v>
      </c>
      <c r="V1405">
        <v>11.25</v>
      </c>
      <c r="W1405">
        <v>7.17</v>
      </c>
      <c r="Y1405">
        <v>25</v>
      </c>
      <c r="Z1405">
        <v>13</v>
      </c>
      <c r="AA1405">
        <v>12.5</v>
      </c>
      <c r="AB1405">
        <v>2.351</v>
      </c>
      <c r="AC1405">
        <v>9.5500000000000007</v>
      </c>
      <c r="AE1405">
        <v>1</v>
      </c>
      <c r="AF1405" t="s">
        <v>3334</v>
      </c>
      <c r="AG1405">
        <v>11</v>
      </c>
      <c r="AK1405" t="s">
        <v>99</v>
      </c>
      <c r="AM1405" t="s">
        <v>98</v>
      </c>
      <c r="AN1405" t="s">
        <v>99</v>
      </c>
      <c r="AO1405" t="s">
        <v>98</v>
      </c>
      <c r="AP1405" t="s">
        <v>100</v>
      </c>
      <c r="AQ1405" t="s">
        <v>101</v>
      </c>
      <c r="AV1405" t="s">
        <v>98</v>
      </c>
      <c r="AX1405" t="s">
        <v>164</v>
      </c>
      <c r="AZ1405" t="s">
        <v>124</v>
      </c>
      <c r="BB1405" t="s">
        <v>235</v>
      </c>
      <c r="BC1405" t="s">
        <v>2591</v>
      </c>
      <c r="BD1405" t="s">
        <v>7528</v>
      </c>
      <c r="BF1405" t="s">
        <v>4502</v>
      </c>
      <c r="BG1405" t="s">
        <v>98</v>
      </c>
      <c r="BH1405" t="s">
        <v>98</v>
      </c>
      <c r="BI1405" t="s">
        <v>98</v>
      </c>
      <c r="BJ1405" t="s">
        <v>99</v>
      </c>
      <c r="BK1405" t="s">
        <v>453</v>
      </c>
      <c r="BL1405" t="s">
        <v>7528</v>
      </c>
      <c r="BM1405">
        <v>5</v>
      </c>
      <c r="BN1405">
        <v>7</v>
      </c>
      <c r="CA1405">
        <v>8263</v>
      </c>
      <c r="CB1405" t="s">
        <v>164</v>
      </c>
      <c r="CG1405">
        <v>2700</v>
      </c>
      <c r="CH1405">
        <v>81</v>
      </c>
      <c r="CI1405">
        <v>770</v>
      </c>
      <c r="CJ1405">
        <v>395</v>
      </c>
      <c r="CK1405">
        <v>30000</v>
      </c>
      <c r="CL1405" t="s">
        <v>99</v>
      </c>
      <c r="CM1405" t="s">
        <v>98</v>
      </c>
      <c r="CN1405" t="s">
        <v>442</v>
      </c>
      <c r="CO1405" s="1">
        <v>41585</v>
      </c>
      <c r="CP1405" s="1">
        <v>43633</v>
      </c>
    </row>
    <row r="1406" spans="1:94" x14ac:dyDescent="0.25">
      <c r="A1406" t="s">
        <v>4503</v>
      </c>
      <c r="B1406" t="str">
        <f xml:space="preserve"> "" &amp; 747396049076</f>
        <v>747396049076</v>
      </c>
      <c r="C1406" t="s">
        <v>3399</v>
      </c>
      <c r="D1406" t="s">
        <v>6881</v>
      </c>
      <c r="E1406" t="s">
        <v>4490</v>
      </c>
      <c r="F1406" t="s">
        <v>2823</v>
      </c>
      <c r="G1406">
        <v>1</v>
      </c>
      <c r="H1406">
        <v>1</v>
      </c>
      <c r="I1406" t="s">
        <v>97</v>
      </c>
      <c r="J1406" s="10">
        <v>67</v>
      </c>
      <c r="K1406" s="10">
        <v>201</v>
      </c>
      <c r="L1406" s="10">
        <v>0</v>
      </c>
      <c r="N1406" s="10">
        <v>0</v>
      </c>
      <c r="O1406" t="s">
        <v>99</v>
      </c>
      <c r="P1406" s="10">
        <v>134.94999999999999</v>
      </c>
      <c r="S1406">
        <v>19</v>
      </c>
      <c r="T1406">
        <v>9.75</v>
      </c>
      <c r="U1406">
        <v>9.75</v>
      </c>
      <c r="W1406">
        <v>7.12</v>
      </c>
      <c r="X1406">
        <v>1</v>
      </c>
      <c r="Y1406">
        <v>22</v>
      </c>
      <c r="Z1406">
        <v>12.18</v>
      </c>
      <c r="AA1406">
        <v>12.18</v>
      </c>
      <c r="AB1406">
        <v>1.889</v>
      </c>
      <c r="AC1406">
        <v>9.6999999999999993</v>
      </c>
      <c r="AE1406">
        <v>3</v>
      </c>
      <c r="AF1406" t="s">
        <v>308</v>
      </c>
      <c r="AG1406">
        <v>60</v>
      </c>
      <c r="AH1406">
        <v>0</v>
      </c>
      <c r="AK1406" t="s">
        <v>98</v>
      </c>
      <c r="AM1406" t="s">
        <v>98</v>
      </c>
      <c r="AN1406" t="s">
        <v>99</v>
      </c>
      <c r="AO1406" t="s">
        <v>98</v>
      </c>
      <c r="AP1406" t="s">
        <v>100</v>
      </c>
      <c r="AQ1406" t="s">
        <v>101</v>
      </c>
      <c r="AV1406" t="s">
        <v>98</v>
      </c>
      <c r="AX1406" t="s">
        <v>4491</v>
      </c>
      <c r="AZ1406" t="s">
        <v>124</v>
      </c>
      <c r="BB1406" t="s">
        <v>235</v>
      </c>
      <c r="BC1406" t="s">
        <v>746</v>
      </c>
      <c r="BD1406" t="s">
        <v>7528</v>
      </c>
      <c r="BF1406" t="s">
        <v>4504</v>
      </c>
      <c r="BG1406" t="s">
        <v>98</v>
      </c>
      <c r="BH1406" t="s">
        <v>98</v>
      </c>
      <c r="BI1406" t="s">
        <v>98</v>
      </c>
      <c r="BK1406" t="s">
        <v>127</v>
      </c>
      <c r="BL1406" t="s">
        <v>7528</v>
      </c>
      <c r="BR1406">
        <v>0.88</v>
      </c>
      <c r="BT1406">
        <v>5</v>
      </c>
      <c r="CA1406">
        <v>8264</v>
      </c>
      <c r="CB1406" t="s">
        <v>4491</v>
      </c>
      <c r="CG1406">
        <v>0</v>
      </c>
      <c r="CL1406" t="s">
        <v>99</v>
      </c>
      <c r="CM1406" t="s">
        <v>99</v>
      </c>
      <c r="CN1406" t="s">
        <v>692</v>
      </c>
      <c r="CO1406" s="1">
        <v>38482</v>
      </c>
      <c r="CP1406" s="1">
        <v>43633</v>
      </c>
    </row>
    <row r="1407" spans="1:94" x14ac:dyDescent="0.25">
      <c r="A1407" t="s">
        <v>4505</v>
      </c>
      <c r="B1407" t="str">
        <f xml:space="preserve"> "" &amp; 747396092225</f>
        <v>747396092225</v>
      </c>
      <c r="C1407" t="s">
        <v>3642</v>
      </c>
      <c r="D1407" t="s">
        <v>6882</v>
      </c>
      <c r="E1407" t="s">
        <v>4490</v>
      </c>
      <c r="F1407" t="s">
        <v>3188</v>
      </c>
      <c r="G1407">
        <v>1</v>
      </c>
      <c r="H1407">
        <v>1</v>
      </c>
      <c r="I1407" t="s">
        <v>97</v>
      </c>
      <c r="J1407" s="10">
        <v>104</v>
      </c>
      <c r="K1407" s="10">
        <v>312</v>
      </c>
      <c r="L1407" s="10">
        <v>0</v>
      </c>
      <c r="N1407" s="10">
        <v>0</v>
      </c>
      <c r="O1407" t="s">
        <v>99</v>
      </c>
      <c r="P1407" s="10">
        <v>209.95</v>
      </c>
      <c r="S1407">
        <v>19</v>
      </c>
      <c r="T1407">
        <v>9.75</v>
      </c>
      <c r="U1407">
        <v>9.75</v>
      </c>
      <c r="W1407">
        <v>7.12</v>
      </c>
      <c r="Y1407">
        <v>21.88</v>
      </c>
      <c r="Z1407">
        <v>12.13</v>
      </c>
      <c r="AA1407">
        <v>12.13</v>
      </c>
      <c r="AB1407">
        <v>1.863</v>
      </c>
      <c r="AC1407">
        <v>9.15</v>
      </c>
      <c r="AE1407">
        <v>1</v>
      </c>
      <c r="AF1407" t="s">
        <v>3334</v>
      </c>
      <c r="AG1407">
        <v>11</v>
      </c>
      <c r="AK1407" t="s">
        <v>99</v>
      </c>
      <c r="AM1407" t="s">
        <v>98</v>
      </c>
      <c r="AN1407" t="s">
        <v>99</v>
      </c>
      <c r="AO1407" t="s">
        <v>98</v>
      </c>
      <c r="AP1407" t="s">
        <v>100</v>
      </c>
      <c r="AQ1407" t="s">
        <v>101</v>
      </c>
      <c r="AV1407" t="s">
        <v>98</v>
      </c>
      <c r="AX1407" t="s">
        <v>164</v>
      </c>
      <c r="AZ1407" t="s">
        <v>124</v>
      </c>
      <c r="BB1407" t="s">
        <v>235</v>
      </c>
      <c r="BC1407" t="s">
        <v>2591</v>
      </c>
      <c r="BD1407" t="s">
        <v>7528</v>
      </c>
      <c r="BF1407" t="s">
        <v>4506</v>
      </c>
      <c r="BG1407" t="s">
        <v>98</v>
      </c>
      <c r="BH1407" t="s">
        <v>98</v>
      </c>
      <c r="BI1407" t="s">
        <v>98</v>
      </c>
      <c r="BK1407" t="s">
        <v>127</v>
      </c>
      <c r="BL1407" t="s">
        <v>7528</v>
      </c>
      <c r="BR1407">
        <v>0.75</v>
      </c>
      <c r="BT1407">
        <v>5.13</v>
      </c>
      <c r="CA1407">
        <v>8264</v>
      </c>
      <c r="CB1407" t="s">
        <v>164</v>
      </c>
      <c r="CG1407">
        <v>2700</v>
      </c>
      <c r="CH1407">
        <v>80</v>
      </c>
      <c r="CI1407">
        <v>770</v>
      </c>
      <c r="CJ1407">
        <v>439</v>
      </c>
      <c r="CK1407">
        <v>30000</v>
      </c>
      <c r="CL1407" t="s">
        <v>98</v>
      </c>
      <c r="CM1407" t="s">
        <v>98</v>
      </c>
      <c r="CN1407" t="s">
        <v>442</v>
      </c>
      <c r="CO1407" s="1">
        <v>41585</v>
      </c>
      <c r="CP1407" s="1">
        <v>43633</v>
      </c>
    </row>
    <row r="1408" spans="1:94" x14ac:dyDescent="0.25">
      <c r="A1408" t="s">
        <v>4507</v>
      </c>
      <c r="B1408" t="str">
        <f xml:space="preserve"> "" &amp; 747396061962</f>
        <v>747396061962</v>
      </c>
      <c r="C1408" t="s">
        <v>3677</v>
      </c>
      <c r="D1408" t="s">
        <v>6883</v>
      </c>
      <c r="E1408" t="s">
        <v>4490</v>
      </c>
      <c r="F1408" t="s">
        <v>2823</v>
      </c>
      <c r="G1408">
        <v>1</v>
      </c>
      <c r="H1408">
        <v>1</v>
      </c>
      <c r="I1408" t="s">
        <v>97</v>
      </c>
      <c r="J1408" s="10">
        <v>94</v>
      </c>
      <c r="K1408" s="10">
        <v>282</v>
      </c>
      <c r="L1408" s="10">
        <v>0</v>
      </c>
      <c r="N1408" s="10">
        <v>0</v>
      </c>
      <c r="O1408" t="s">
        <v>99</v>
      </c>
      <c r="P1408" s="10">
        <v>189.95</v>
      </c>
      <c r="S1408">
        <v>23.25</v>
      </c>
      <c r="T1408">
        <v>11.5</v>
      </c>
      <c r="U1408">
        <v>11.5</v>
      </c>
      <c r="W1408">
        <v>10.74</v>
      </c>
      <c r="X1408">
        <v>1</v>
      </c>
      <c r="Y1408">
        <v>25.63</v>
      </c>
      <c r="Z1408">
        <v>14</v>
      </c>
      <c r="AA1408">
        <v>14</v>
      </c>
      <c r="AB1408">
        <v>2.907</v>
      </c>
      <c r="AC1408">
        <v>15.32</v>
      </c>
      <c r="AE1408">
        <v>4</v>
      </c>
      <c r="AF1408" t="s">
        <v>308</v>
      </c>
      <c r="AG1408">
        <v>60</v>
      </c>
      <c r="AH1408">
        <v>0</v>
      </c>
      <c r="AK1408" t="s">
        <v>98</v>
      </c>
      <c r="AM1408" t="s">
        <v>98</v>
      </c>
      <c r="AN1408" t="s">
        <v>99</v>
      </c>
      <c r="AO1408" t="s">
        <v>98</v>
      </c>
      <c r="AP1408" t="s">
        <v>100</v>
      </c>
      <c r="AQ1408" t="s">
        <v>101</v>
      </c>
      <c r="AV1408" t="s">
        <v>98</v>
      </c>
      <c r="AX1408" t="s">
        <v>4491</v>
      </c>
      <c r="AZ1408" t="s">
        <v>124</v>
      </c>
      <c r="BB1408" t="s">
        <v>235</v>
      </c>
      <c r="BC1408" t="s">
        <v>746</v>
      </c>
      <c r="BD1408" t="s">
        <v>7528</v>
      </c>
      <c r="BF1408" t="s">
        <v>4508</v>
      </c>
      <c r="BG1408" t="s">
        <v>98</v>
      </c>
      <c r="BH1408" t="s">
        <v>98</v>
      </c>
      <c r="BI1408" t="s">
        <v>98</v>
      </c>
      <c r="BJ1408" t="s">
        <v>99</v>
      </c>
      <c r="BK1408" t="s">
        <v>453</v>
      </c>
      <c r="BL1408" t="s">
        <v>7528</v>
      </c>
      <c r="BR1408">
        <v>0</v>
      </c>
      <c r="BT1408">
        <v>0</v>
      </c>
      <c r="CA1408">
        <v>8265</v>
      </c>
      <c r="CB1408" t="s">
        <v>4491</v>
      </c>
      <c r="CG1408">
        <v>0</v>
      </c>
      <c r="CL1408" t="s">
        <v>99</v>
      </c>
      <c r="CM1408" t="s">
        <v>98</v>
      </c>
      <c r="CN1408" t="s">
        <v>692</v>
      </c>
      <c r="CO1408" s="1">
        <v>39020</v>
      </c>
      <c r="CP1408" s="1">
        <v>43633</v>
      </c>
    </row>
    <row r="1409" spans="1:94" x14ac:dyDescent="0.25">
      <c r="A1409" t="s">
        <v>4509</v>
      </c>
      <c r="B1409" t="str">
        <f xml:space="preserve"> "" &amp; 747396092232</f>
        <v>747396092232</v>
      </c>
      <c r="C1409" t="s">
        <v>3594</v>
      </c>
      <c r="D1409" t="s">
        <v>6884</v>
      </c>
      <c r="E1409" t="s">
        <v>4490</v>
      </c>
      <c r="F1409" t="s">
        <v>3188</v>
      </c>
      <c r="G1409">
        <v>1</v>
      </c>
      <c r="H1409">
        <v>1</v>
      </c>
      <c r="I1409" t="s">
        <v>97</v>
      </c>
      <c r="J1409" s="10">
        <v>118</v>
      </c>
      <c r="K1409" s="10">
        <v>354</v>
      </c>
      <c r="L1409" s="10">
        <v>0</v>
      </c>
      <c r="N1409" s="10">
        <v>0</v>
      </c>
      <c r="O1409" t="s">
        <v>99</v>
      </c>
      <c r="P1409" s="10">
        <v>239.95</v>
      </c>
      <c r="S1409">
        <v>23.5</v>
      </c>
      <c r="T1409">
        <v>11.5</v>
      </c>
      <c r="U1409">
        <v>11.5</v>
      </c>
      <c r="W1409">
        <v>9.48</v>
      </c>
      <c r="Y1409">
        <v>26</v>
      </c>
      <c r="Z1409">
        <v>14</v>
      </c>
      <c r="AA1409">
        <v>14.25</v>
      </c>
      <c r="AB1409">
        <v>3.0019999999999998</v>
      </c>
      <c r="AC1409">
        <v>12.46</v>
      </c>
      <c r="AE1409">
        <v>1</v>
      </c>
      <c r="AF1409" t="s">
        <v>3334</v>
      </c>
      <c r="AG1409">
        <v>11</v>
      </c>
      <c r="AK1409" t="s">
        <v>99</v>
      </c>
      <c r="AM1409" t="s">
        <v>98</v>
      </c>
      <c r="AN1409" t="s">
        <v>99</v>
      </c>
      <c r="AO1409" t="s">
        <v>98</v>
      </c>
      <c r="AP1409" t="s">
        <v>100</v>
      </c>
      <c r="AQ1409" t="s">
        <v>101</v>
      </c>
      <c r="AV1409" t="s">
        <v>98</v>
      </c>
      <c r="AX1409" t="s">
        <v>164</v>
      </c>
      <c r="AZ1409" t="s">
        <v>124</v>
      </c>
      <c r="BB1409" t="s">
        <v>235</v>
      </c>
      <c r="BC1409" t="s">
        <v>2591</v>
      </c>
      <c r="BD1409" t="s">
        <v>7528</v>
      </c>
      <c r="BF1409" t="s">
        <v>4510</v>
      </c>
      <c r="BG1409" t="s">
        <v>98</v>
      </c>
      <c r="BH1409" t="s">
        <v>98</v>
      </c>
      <c r="BI1409" t="s">
        <v>98</v>
      </c>
      <c r="BJ1409" t="s">
        <v>99</v>
      </c>
      <c r="BK1409" t="s">
        <v>453</v>
      </c>
      <c r="BL1409" t="s">
        <v>7528</v>
      </c>
      <c r="CA1409">
        <v>8265</v>
      </c>
      <c r="CB1409" t="s">
        <v>164</v>
      </c>
      <c r="CG1409">
        <v>2700</v>
      </c>
      <c r="CH1409">
        <v>80</v>
      </c>
      <c r="CI1409">
        <v>770</v>
      </c>
      <c r="CJ1409">
        <v>282</v>
      </c>
      <c r="CK1409">
        <v>30000</v>
      </c>
      <c r="CL1409" t="s">
        <v>99</v>
      </c>
      <c r="CM1409" t="s">
        <v>98</v>
      </c>
      <c r="CN1409" t="s">
        <v>442</v>
      </c>
      <c r="CO1409" s="1">
        <v>41585</v>
      </c>
      <c r="CP1409" s="1">
        <v>43633</v>
      </c>
    </row>
    <row r="1410" spans="1:94" x14ac:dyDescent="0.25">
      <c r="A1410" t="s">
        <v>4487</v>
      </c>
      <c r="B1410" t="str">
        <f xml:space="preserve"> "" &amp; 747396108414</f>
        <v>747396108414</v>
      </c>
      <c r="C1410" t="s">
        <v>558</v>
      </c>
      <c r="D1410" t="s">
        <v>6885</v>
      </c>
      <c r="E1410" t="s">
        <v>7528</v>
      </c>
      <c r="F1410" t="s">
        <v>7532</v>
      </c>
      <c r="G1410">
        <v>1</v>
      </c>
      <c r="H1410">
        <v>1</v>
      </c>
      <c r="I1410" t="s">
        <v>97</v>
      </c>
      <c r="J1410" s="10">
        <v>109.95</v>
      </c>
      <c r="K1410" s="10">
        <v>329.85</v>
      </c>
      <c r="L1410" s="10">
        <v>0</v>
      </c>
      <c r="N1410" s="10">
        <v>0</v>
      </c>
      <c r="O1410" t="s">
        <v>99</v>
      </c>
      <c r="P1410" s="10">
        <v>229.95</v>
      </c>
      <c r="S1410">
        <v>6</v>
      </c>
      <c r="T1410">
        <v>16</v>
      </c>
      <c r="U1410">
        <v>16</v>
      </c>
      <c r="W1410">
        <v>9.74</v>
      </c>
      <c r="X1410">
        <v>1</v>
      </c>
      <c r="Y1410">
        <v>13.25</v>
      </c>
      <c r="Z1410">
        <v>17.75</v>
      </c>
      <c r="AA1410">
        <v>17.75</v>
      </c>
      <c r="AB1410">
        <v>2.4159999999999999</v>
      </c>
      <c r="AC1410">
        <v>13.16</v>
      </c>
      <c r="AE1410">
        <v>1</v>
      </c>
      <c r="AF1410" t="s">
        <v>559</v>
      </c>
      <c r="AG1410">
        <v>30</v>
      </c>
      <c r="AK1410" t="s">
        <v>99</v>
      </c>
      <c r="AM1410" t="s">
        <v>98</v>
      </c>
      <c r="AN1410" t="s">
        <v>99</v>
      </c>
      <c r="AO1410" t="s">
        <v>98</v>
      </c>
      <c r="AP1410" t="s">
        <v>100</v>
      </c>
      <c r="AQ1410" t="s">
        <v>101</v>
      </c>
      <c r="AV1410" t="s">
        <v>98</v>
      </c>
      <c r="AX1410" t="s">
        <v>484</v>
      </c>
      <c r="AZ1410" t="s">
        <v>124</v>
      </c>
      <c r="BB1410" t="s">
        <v>235</v>
      </c>
      <c r="BC1410" t="s">
        <v>3172</v>
      </c>
      <c r="BD1410" t="s">
        <v>7528</v>
      </c>
      <c r="BF1410" t="s">
        <v>4488</v>
      </c>
      <c r="BG1410" t="s">
        <v>98</v>
      </c>
      <c r="BH1410" t="s">
        <v>98</v>
      </c>
      <c r="BI1410" t="s">
        <v>98</v>
      </c>
      <c r="BK1410" t="s">
        <v>127</v>
      </c>
      <c r="BL1410" t="s">
        <v>7528</v>
      </c>
      <c r="BQ1410">
        <v>16</v>
      </c>
      <c r="BR1410">
        <v>1.1299999999999999</v>
      </c>
      <c r="BS1410">
        <v>16</v>
      </c>
      <c r="BT1410">
        <v>16</v>
      </c>
      <c r="CA1410">
        <v>826</v>
      </c>
      <c r="CB1410" t="s">
        <v>484</v>
      </c>
      <c r="CG1410">
        <v>3000</v>
      </c>
      <c r="CH1410">
        <v>93</v>
      </c>
      <c r="CI1410">
        <v>2488</v>
      </c>
      <c r="CJ1410">
        <v>1899</v>
      </c>
      <c r="CK1410">
        <v>30000</v>
      </c>
      <c r="CL1410" t="s">
        <v>99</v>
      </c>
      <c r="CM1410" t="s">
        <v>98</v>
      </c>
      <c r="CN1410" t="s">
        <v>442</v>
      </c>
      <c r="CO1410" s="1">
        <v>43187</v>
      </c>
      <c r="CP1410" s="1">
        <v>43633</v>
      </c>
    </row>
    <row r="1411" spans="1:94" x14ac:dyDescent="0.25">
      <c r="A1411" t="s">
        <v>4512</v>
      </c>
      <c r="B1411" t="str">
        <f xml:space="preserve"> "" &amp; 747396092249</f>
        <v>747396092249</v>
      </c>
      <c r="C1411" t="s">
        <v>4513</v>
      </c>
      <c r="D1411" t="s">
        <v>6886</v>
      </c>
      <c r="E1411" t="s">
        <v>4490</v>
      </c>
      <c r="F1411" t="s">
        <v>3188</v>
      </c>
      <c r="G1411">
        <v>1</v>
      </c>
      <c r="H1411">
        <v>1</v>
      </c>
      <c r="I1411" t="s">
        <v>97</v>
      </c>
      <c r="J1411" s="10">
        <v>82</v>
      </c>
      <c r="K1411" s="10">
        <v>246</v>
      </c>
      <c r="L1411" s="10">
        <v>0</v>
      </c>
      <c r="N1411" s="10">
        <v>0</v>
      </c>
      <c r="O1411" t="s">
        <v>99</v>
      </c>
      <c r="P1411" s="10">
        <v>159.94999999999999</v>
      </c>
      <c r="S1411">
        <v>16.75</v>
      </c>
      <c r="T1411">
        <v>7.75</v>
      </c>
      <c r="U1411">
        <v>7.75</v>
      </c>
      <c r="W1411">
        <v>4.32</v>
      </c>
      <c r="Y1411">
        <v>19.25</v>
      </c>
      <c r="Z1411">
        <v>10.75</v>
      </c>
      <c r="AA1411">
        <v>10.75</v>
      </c>
      <c r="AB1411">
        <v>1.2869999999999999</v>
      </c>
      <c r="AC1411">
        <v>6.17</v>
      </c>
      <c r="AE1411">
        <v>1</v>
      </c>
      <c r="AF1411" t="s">
        <v>4514</v>
      </c>
      <c r="AG1411">
        <v>11</v>
      </c>
      <c r="AK1411" t="s">
        <v>99</v>
      </c>
      <c r="AM1411" t="s">
        <v>98</v>
      </c>
      <c r="AN1411" t="s">
        <v>99</v>
      </c>
      <c r="AO1411" t="s">
        <v>98</v>
      </c>
      <c r="AP1411" t="s">
        <v>100</v>
      </c>
      <c r="AQ1411" t="s">
        <v>101</v>
      </c>
      <c r="AV1411" t="s">
        <v>98</v>
      </c>
      <c r="AX1411" t="s">
        <v>164</v>
      </c>
      <c r="AZ1411" t="s">
        <v>124</v>
      </c>
      <c r="BB1411" t="s">
        <v>235</v>
      </c>
      <c r="BC1411" t="s">
        <v>1446</v>
      </c>
      <c r="BD1411" t="s">
        <v>7528</v>
      </c>
      <c r="BF1411" t="s">
        <v>4515</v>
      </c>
      <c r="BG1411" t="s">
        <v>98</v>
      </c>
      <c r="BH1411" t="s">
        <v>98</v>
      </c>
      <c r="BI1411" t="s">
        <v>98</v>
      </c>
      <c r="BJ1411" t="s">
        <v>99</v>
      </c>
      <c r="BK1411" t="s">
        <v>453</v>
      </c>
      <c r="BL1411" t="s">
        <v>7528</v>
      </c>
      <c r="CA1411">
        <v>8266</v>
      </c>
      <c r="CB1411" t="s">
        <v>164</v>
      </c>
      <c r="CG1411">
        <v>2700</v>
      </c>
      <c r="CH1411">
        <v>80</v>
      </c>
      <c r="CI1411">
        <v>770</v>
      </c>
      <c r="CJ1411">
        <v>294</v>
      </c>
      <c r="CK1411">
        <v>30000</v>
      </c>
      <c r="CL1411" t="s">
        <v>99</v>
      </c>
      <c r="CM1411" t="s">
        <v>98</v>
      </c>
      <c r="CN1411" t="s">
        <v>442</v>
      </c>
      <c r="CO1411" s="1">
        <v>41585</v>
      </c>
      <c r="CP1411" s="1">
        <v>43633</v>
      </c>
    </row>
    <row r="1412" spans="1:94" x14ac:dyDescent="0.25">
      <c r="A1412" t="s">
        <v>4516</v>
      </c>
      <c r="B1412" t="str">
        <f xml:space="preserve"> "" &amp; 747396061955</f>
        <v>747396061955</v>
      </c>
      <c r="C1412" t="s">
        <v>3394</v>
      </c>
      <c r="D1412" t="s">
        <v>6887</v>
      </c>
      <c r="E1412" t="s">
        <v>4490</v>
      </c>
      <c r="F1412" t="s">
        <v>2823</v>
      </c>
      <c r="G1412">
        <v>1</v>
      </c>
      <c r="H1412">
        <v>1</v>
      </c>
      <c r="I1412" t="s">
        <v>97</v>
      </c>
      <c r="J1412" s="10">
        <v>95</v>
      </c>
      <c r="K1412" s="10">
        <v>285</v>
      </c>
      <c r="L1412" s="10">
        <v>0</v>
      </c>
      <c r="N1412" s="10">
        <v>0</v>
      </c>
      <c r="O1412" t="s">
        <v>99</v>
      </c>
      <c r="P1412" s="10">
        <v>194.95</v>
      </c>
      <c r="S1412">
        <v>26.75</v>
      </c>
      <c r="U1412">
        <v>11.5</v>
      </c>
      <c r="V1412">
        <v>13.25</v>
      </c>
      <c r="W1412">
        <v>9.99</v>
      </c>
      <c r="X1412">
        <v>1</v>
      </c>
      <c r="Y1412">
        <v>28.75</v>
      </c>
      <c r="Z1412">
        <v>15.63</v>
      </c>
      <c r="AA1412">
        <v>14</v>
      </c>
      <c r="AB1412">
        <v>3.641</v>
      </c>
      <c r="AC1412">
        <v>14.26</v>
      </c>
      <c r="AE1412">
        <v>4</v>
      </c>
      <c r="AF1412" t="s">
        <v>308</v>
      </c>
      <c r="AG1412">
        <v>60</v>
      </c>
      <c r="AH1412">
        <v>0</v>
      </c>
      <c r="AK1412" t="s">
        <v>98</v>
      </c>
      <c r="AM1412" t="s">
        <v>98</v>
      </c>
      <c r="AN1412" t="s">
        <v>99</v>
      </c>
      <c r="AO1412" t="s">
        <v>98</v>
      </c>
      <c r="AP1412" t="s">
        <v>100</v>
      </c>
      <c r="AQ1412" t="s">
        <v>101</v>
      </c>
      <c r="AV1412" t="s">
        <v>98</v>
      </c>
      <c r="AX1412" t="s">
        <v>4491</v>
      </c>
      <c r="AZ1412" t="s">
        <v>124</v>
      </c>
      <c r="BB1412" t="s">
        <v>235</v>
      </c>
      <c r="BC1412" t="s">
        <v>746</v>
      </c>
      <c r="BD1412" t="s">
        <v>7528</v>
      </c>
      <c r="BF1412" t="s">
        <v>4517</v>
      </c>
      <c r="BG1412" t="s">
        <v>98</v>
      </c>
      <c r="BH1412" t="s">
        <v>98</v>
      </c>
      <c r="BI1412" t="s">
        <v>98</v>
      </c>
      <c r="BJ1412" t="s">
        <v>99</v>
      </c>
      <c r="BK1412" t="s">
        <v>453</v>
      </c>
      <c r="BL1412" t="s">
        <v>128</v>
      </c>
      <c r="BR1412">
        <v>8.25</v>
      </c>
      <c r="BT1412">
        <v>6</v>
      </c>
      <c r="CA1412">
        <v>8267</v>
      </c>
      <c r="CB1412" t="s">
        <v>4491</v>
      </c>
      <c r="CG1412">
        <v>0</v>
      </c>
      <c r="CL1412" t="s">
        <v>99</v>
      </c>
      <c r="CM1412" t="s">
        <v>98</v>
      </c>
      <c r="CN1412" t="s">
        <v>692</v>
      </c>
      <c r="CO1412" s="1">
        <v>39020</v>
      </c>
      <c r="CP1412" s="1">
        <v>43633</v>
      </c>
    </row>
    <row r="1413" spans="1:94" x14ac:dyDescent="0.25">
      <c r="A1413" t="s">
        <v>4518</v>
      </c>
      <c r="B1413" t="str">
        <f xml:space="preserve"> "" &amp; 747396092256</f>
        <v>747396092256</v>
      </c>
      <c r="C1413" t="s">
        <v>3332</v>
      </c>
      <c r="D1413" t="s">
        <v>6888</v>
      </c>
      <c r="E1413" t="s">
        <v>4490</v>
      </c>
      <c r="F1413" t="s">
        <v>3188</v>
      </c>
      <c r="G1413">
        <v>1</v>
      </c>
      <c r="H1413">
        <v>1</v>
      </c>
      <c r="I1413" t="s">
        <v>97</v>
      </c>
      <c r="J1413" s="10">
        <v>130</v>
      </c>
      <c r="K1413" s="10">
        <v>390</v>
      </c>
      <c r="L1413" s="10">
        <v>0</v>
      </c>
      <c r="N1413" s="10">
        <v>0</v>
      </c>
      <c r="O1413" t="s">
        <v>99</v>
      </c>
      <c r="P1413" s="10">
        <v>259.95</v>
      </c>
      <c r="S1413">
        <v>26.75</v>
      </c>
      <c r="U1413">
        <v>11.5</v>
      </c>
      <c r="V1413">
        <v>13.25</v>
      </c>
      <c r="W1413">
        <v>10.27</v>
      </c>
      <c r="Y1413">
        <v>29</v>
      </c>
      <c r="Z1413">
        <v>15.25</v>
      </c>
      <c r="AA1413">
        <v>14</v>
      </c>
      <c r="AB1413">
        <v>3.5830000000000002</v>
      </c>
      <c r="AC1413">
        <v>13.85</v>
      </c>
      <c r="AE1413">
        <v>1</v>
      </c>
      <c r="AF1413" t="s">
        <v>3334</v>
      </c>
      <c r="AG1413">
        <v>11</v>
      </c>
      <c r="AK1413" t="s">
        <v>99</v>
      </c>
      <c r="AM1413" t="s">
        <v>98</v>
      </c>
      <c r="AN1413" t="s">
        <v>99</v>
      </c>
      <c r="AO1413" t="s">
        <v>98</v>
      </c>
      <c r="AP1413" t="s">
        <v>100</v>
      </c>
      <c r="AQ1413" t="s">
        <v>101</v>
      </c>
      <c r="AV1413" t="s">
        <v>98</v>
      </c>
      <c r="AX1413" t="s">
        <v>164</v>
      </c>
      <c r="AZ1413" t="s">
        <v>124</v>
      </c>
      <c r="BB1413" t="s">
        <v>235</v>
      </c>
      <c r="BC1413" t="s">
        <v>2591</v>
      </c>
      <c r="BD1413" t="s">
        <v>7528</v>
      </c>
      <c r="BF1413" t="s">
        <v>4519</v>
      </c>
      <c r="BG1413" t="s">
        <v>98</v>
      </c>
      <c r="BH1413" t="s">
        <v>98</v>
      </c>
      <c r="BI1413" t="s">
        <v>98</v>
      </c>
      <c r="BJ1413" t="s">
        <v>99</v>
      </c>
      <c r="BK1413" t="s">
        <v>453</v>
      </c>
      <c r="BL1413" t="s">
        <v>7528</v>
      </c>
      <c r="BM1413">
        <v>6</v>
      </c>
      <c r="BN1413">
        <v>8.25</v>
      </c>
      <c r="CA1413">
        <v>8267</v>
      </c>
      <c r="CB1413" t="s">
        <v>164</v>
      </c>
      <c r="CG1413">
        <v>2700</v>
      </c>
      <c r="CH1413">
        <v>81</v>
      </c>
      <c r="CI1413">
        <v>770</v>
      </c>
      <c r="CJ1413">
        <v>373</v>
      </c>
      <c r="CK1413">
        <v>30000</v>
      </c>
      <c r="CL1413" t="s">
        <v>99</v>
      </c>
      <c r="CM1413" t="s">
        <v>98</v>
      </c>
      <c r="CN1413" t="s">
        <v>442</v>
      </c>
      <c r="CO1413" s="1">
        <v>41585</v>
      </c>
      <c r="CP1413" s="1">
        <v>43633</v>
      </c>
    </row>
    <row r="1414" spans="1:94" x14ac:dyDescent="0.25">
      <c r="A1414" t="s">
        <v>4520</v>
      </c>
      <c r="B1414" t="str">
        <f xml:space="preserve"> "" &amp; 747396061979</f>
        <v>747396061979</v>
      </c>
      <c r="C1414" t="s">
        <v>3812</v>
      </c>
      <c r="D1414" t="s">
        <v>6889</v>
      </c>
      <c r="E1414" t="s">
        <v>4490</v>
      </c>
      <c r="F1414" t="s">
        <v>2823</v>
      </c>
      <c r="G1414">
        <v>1</v>
      </c>
      <c r="H1414">
        <v>1</v>
      </c>
      <c r="I1414" t="s">
        <v>97</v>
      </c>
      <c r="J1414" s="10">
        <v>95</v>
      </c>
      <c r="K1414" s="10">
        <v>285</v>
      </c>
      <c r="L1414" s="10">
        <v>0</v>
      </c>
      <c r="N1414" s="10">
        <v>0</v>
      </c>
      <c r="O1414" t="s">
        <v>99</v>
      </c>
      <c r="P1414" s="10">
        <v>194.95</v>
      </c>
      <c r="S1414">
        <v>22</v>
      </c>
      <c r="T1414">
        <v>11.5</v>
      </c>
      <c r="U1414">
        <v>11.5</v>
      </c>
      <c r="W1414">
        <v>9.48</v>
      </c>
      <c r="X1414">
        <v>1</v>
      </c>
      <c r="Y1414">
        <v>25.625</v>
      </c>
      <c r="Z1414">
        <v>14</v>
      </c>
      <c r="AA1414">
        <v>14</v>
      </c>
      <c r="AB1414">
        <v>2.907</v>
      </c>
      <c r="AC1414">
        <v>13.23</v>
      </c>
      <c r="AE1414">
        <v>4</v>
      </c>
      <c r="AF1414" t="s">
        <v>308</v>
      </c>
      <c r="AG1414">
        <v>60</v>
      </c>
      <c r="AH1414">
        <v>0</v>
      </c>
      <c r="AK1414" t="s">
        <v>98</v>
      </c>
      <c r="AM1414" t="s">
        <v>98</v>
      </c>
      <c r="AN1414" t="s">
        <v>99</v>
      </c>
      <c r="AO1414" t="s">
        <v>98</v>
      </c>
      <c r="AP1414" t="s">
        <v>100</v>
      </c>
      <c r="AQ1414" t="s">
        <v>101</v>
      </c>
      <c r="AV1414" t="s">
        <v>98</v>
      </c>
      <c r="AX1414" t="s">
        <v>4491</v>
      </c>
      <c r="AZ1414" t="s">
        <v>124</v>
      </c>
      <c r="BB1414" t="s">
        <v>235</v>
      </c>
      <c r="BC1414" t="s">
        <v>746</v>
      </c>
      <c r="BD1414" t="s">
        <v>7528</v>
      </c>
      <c r="BF1414" t="s">
        <v>4521</v>
      </c>
      <c r="BG1414" t="s">
        <v>98</v>
      </c>
      <c r="BH1414" t="s">
        <v>98</v>
      </c>
      <c r="BI1414" t="s">
        <v>98</v>
      </c>
      <c r="BK1414" t="s">
        <v>127</v>
      </c>
      <c r="BL1414" t="s">
        <v>7528</v>
      </c>
      <c r="BR1414">
        <v>0</v>
      </c>
      <c r="BT1414">
        <v>5.25</v>
      </c>
      <c r="CA1414">
        <v>8268</v>
      </c>
      <c r="CB1414" t="s">
        <v>4491</v>
      </c>
      <c r="CL1414" t="s">
        <v>99</v>
      </c>
      <c r="CM1414" t="s">
        <v>99</v>
      </c>
      <c r="CN1414" t="s">
        <v>692</v>
      </c>
      <c r="CO1414" s="1">
        <v>39020</v>
      </c>
      <c r="CP1414" s="1">
        <v>43633</v>
      </c>
    </row>
    <row r="1415" spans="1:94" x14ac:dyDescent="0.25">
      <c r="A1415" t="s">
        <v>4522</v>
      </c>
      <c r="B1415" t="str">
        <f xml:space="preserve"> "" &amp; 747396108551</f>
        <v>747396108551</v>
      </c>
      <c r="C1415" t="s">
        <v>558</v>
      </c>
      <c r="D1415" t="s">
        <v>619</v>
      </c>
      <c r="E1415" t="s">
        <v>7528</v>
      </c>
      <c r="F1415" t="s">
        <v>7532</v>
      </c>
      <c r="G1415">
        <v>1</v>
      </c>
      <c r="H1415">
        <v>1</v>
      </c>
      <c r="I1415" t="s">
        <v>97</v>
      </c>
      <c r="J1415" s="10">
        <v>104.95</v>
      </c>
      <c r="K1415" s="10">
        <v>314.85000000000002</v>
      </c>
      <c r="L1415" s="10">
        <v>0</v>
      </c>
      <c r="N1415" s="10">
        <v>0</v>
      </c>
      <c r="O1415" t="s">
        <v>99</v>
      </c>
      <c r="P1415" s="10">
        <v>219.95</v>
      </c>
      <c r="S1415">
        <v>5.5</v>
      </c>
      <c r="T1415">
        <v>15.5</v>
      </c>
      <c r="U1415">
        <v>15.5</v>
      </c>
      <c r="W1415">
        <v>6.97</v>
      </c>
      <c r="X1415">
        <v>1</v>
      </c>
      <c r="Y1415">
        <v>13.25</v>
      </c>
      <c r="Z1415">
        <v>17.75</v>
      </c>
      <c r="AA1415">
        <v>17.75</v>
      </c>
      <c r="AB1415">
        <v>2.4159999999999999</v>
      </c>
      <c r="AC1415">
        <v>9.41</v>
      </c>
      <c r="AE1415">
        <v>1</v>
      </c>
      <c r="AF1415" t="s">
        <v>4523</v>
      </c>
      <c r="AG1415">
        <v>32</v>
      </c>
      <c r="AK1415" t="s">
        <v>99</v>
      </c>
      <c r="AM1415" t="s">
        <v>98</v>
      </c>
      <c r="AN1415" t="s">
        <v>99</v>
      </c>
      <c r="AO1415" t="s">
        <v>98</v>
      </c>
      <c r="AP1415" t="s">
        <v>100</v>
      </c>
      <c r="AQ1415" t="s">
        <v>101</v>
      </c>
      <c r="AV1415" t="s">
        <v>98</v>
      </c>
      <c r="AX1415" t="s">
        <v>7574</v>
      </c>
      <c r="AZ1415" t="s">
        <v>102</v>
      </c>
      <c r="BB1415" t="s">
        <v>7528</v>
      </c>
      <c r="BC1415" t="s">
        <v>460</v>
      </c>
      <c r="BD1415" t="s">
        <v>7528</v>
      </c>
      <c r="BF1415" t="s">
        <v>4524</v>
      </c>
      <c r="BG1415" t="s">
        <v>98</v>
      </c>
      <c r="BH1415" t="s">
        <v>98</v>
      </c>
      <c r="BI1415" t="s">
        <v>98</v>
      </c>
      <c r="BK1415" t="s">
        <v>127</v>
      </c>
      <c r="BL1415" t="s">
        <v>7528</v>
      </c>
      <c r="BM1415">
        <v>15.5</v>
      </c>
      <c r="BN1415">
        <v>1</v>
      </c>
      <c r="CA1415" t="s">
        <v>4525</v>
      </c>
      <c r="CB1415" t="s">
        <v>7574</v>
      </c>
      <c r="CG1415">
        <v>3000</v>
      </c>
      <c r="CH1415">
        <v>92</v>
      </c>
      <c r="CI1415">
        <v>2676.8</v>
      </c>
      <c r="CJ1415">
        <v>1954.5</v>
      </c>
      <c r="CK1415">
        <v>30000</v>
      </c>
      <c r="CL1415" t="s">
        <v>99</v>
      </c>
      <c r="CM1415" t="s">
        <v>98</v>
      </c>
      <c r="CN1415" t="s">
        <v>237</v>
      </c>
      <c r="CO1415" s="1">
        <v>43497</v>
      </c>
      <c r="CP1415" s="1">
        <v>43633</v>
      </c>
    </row>
    <row r="1416" spans="1:94" x14ac:dyDescent="0.25">
      <c r="A1416" t="s">
        <v>4526</v>
      </c>
      <c r="B1416" t="str">
        <f xml:space="preserve"> "" &amp; 747396108544</f>
        <v>747396108544</v>
      </c>
      <c r="C1416" t="s">
        <v>558</v>
      </c>
      <c r="D1416" t="s">
        <v>619</v>
      </c>
      <c r="E1416" t="s">
        <v>7528</v>
      </c>
      <c r="F1416" t="s">
        <v>7532</v>
      </c>
      <c r="G1416">
        <v>1</v>
      </c>
      <c r="H1416">
        <v>1</v>
      </c>
      <c r="I1416" t="s">
        <v>97</v>
      </c>
      <c r="J1416" s="10">
        <v>104.95</v>
      </c>
      <c r="K1416" s="10">
        <v>314.85000000000002</v>
      </c>
      <c r="L1416" s="10">
        <v>0</v>
      </c>
      <c r="N1416" s="10">
        <v>0</v>
      </c>
      <c r="O1416" t="s">
        <v>99</v>
      </c>
      <c r="P1416" s="10">
        <v>219.95</v>
      </c>
      <c r="S1416">
        <v>5.5</v>
      </c>
      <c r="T1416">
        <v>15.5</v>
      </c>
      <c r="U1416">
        <v>15.5</v>
      </c>
      <c r="W1416">
        <v>6.97</v>
      </c>
      <c r="X1416">
        <v>1</v>
      </c>
      <c r="Y1416">
        <v>13.25</v>
      </c>
      <c r="Z1416">
        <v>17.75</v>
      </c>
      <c r="AA1416">
        <v>17.75</v>
      </c>
      <c r="AB1416">
        <v>2.4159999999999999</v>
      </c>
      <c r="AC1416">
        <v>9.41</v>
      </c>
      <c r="AE1416">
        <v>1</v>
      </c>
      <c r="AF1416" t="s">
        <v>4527</v>
      </c>
      <c r="AG1416">
        <v>30</v>
      </c>
      <c r="AK1416" t="s">
        <v>99</v>
      </c>
      <c r="AM1416" t="s">
        <v>98</v>
      </c>
      <c r="AN1416" t="s">
        <v>99</v>
      </c>
      <c r="AO1416" t="s">
        <v>98</v>
      </c>
      <c r="AP1416" t="s">
        <v>100</v>
      </c>
      <c r="AQ1416" t="s">
        <v>101</v>
      </c>
      <c r="AV1416" t="s">
        <v>98</v>
      </c>
      <c r="AX1416" t="s">
        <v>560</v>
      </c>
      <c r="AZ1416" t="s">
        <v>102</v>
      </c>
      <c r="BB1416" t="s">
        <v>7528</v>
      </c>
      <c r="BC1416" t="s">
        <v>7528</v>
      </c>
      <c r="BD1416" t="s">
        <v>7528</v>
      </c>
      <c r="BF1416" t="s">
        <v>4528</v>
      </c>
      <c r="BG1416" t="s">
        <v>98</v>
      </c>
      <c r="BH1416" t="s">
        <v>98</v>
      </c>
      <c r="BI1416" t="s">
        <v>98</v>
      </c>
      <c r="BK1416" t="s">
        <v>127</v>
      </c>
      <c r="BL1416" t="s">
        <v>7528</v>
      </c>
      <c r="BM1416">
        <v>15.5</v>
      </c>
      <c r="BN1416">
        <v>1</v>
      </c>
      <c r="CA1416" t="s">
        <v>4525</v>
      </c>
      <c r="CB1416" t="s">
        <v>560</v>
      </c>
      <c r="CG1416">
        <v>3000</v>
      </c>
      <c r="CH1416">
        <v>94</v>
      </c>
      <c r="CI1416">
        <v>2576.1</v>
      </c>
      <c r="CJ1416">
        <v>1732.3</v>
      </c>
      <c r="CK1416">
        <v>30000</v>
      </c>
      <c r="CL1416" t="s">
        <v>99</v>
      </c>
      <c r="CM1416" t="s">
        <v>98</v>
      </c>
      <c r="CN1416" t="s">
        <v>237</v>
      </c>
      <c r="CO1416" s="1">
        <v>43516</v>
      </c>
      <c r="CP1416" s="1">
        <v>43633</v>
      </c>
    </row>
    <row r="1417" spans="1:94" x14ac:dyDescent="0.25">
      <c r="A1417" t="s">
        <v>4529</v>
      </c>
      <c r="B1417" t="str">
        <f xml:space="preserve"> "" &amp; 747396111049</f>
        <v>747396111049</v>
      </c>
      <c r="C1417" t="s">
        <v>558</v>
      </c>
      <c r="D1417" t="s">
        <v>4530</v>
      </c>
      <c r="E1417" t="s">
        <v>7528</v>
      </c>
      <c r="F1417" t="s">
        <v>7532</v>
      </c>
      <c r="G1417">
        <v>1</v>
      </c>
      <c r="H1417">
        <v>1</v>
      </c>
      <c r="I1417" t="s">
        <v>97</v>
      </c>
      <c r="J1417" s="10">
        <v>104.95</v>
      </c>
      <c r="K1417" s="10">
        <v>314.85000000000002</v>
      </c>
      <c r="L1417" s="10">
        <v>0</v>
      </c>
      <c r="N1417" s="10">
        <v>0</v>
      </c>
      <c r="O1417" t="s">
        <v>99</v>
      </c>
      <c r="P1417" s="10">
        <v>219.95</v>
      </c>
      <c r="S1417">
        <v>5.5</v>
      </c>
      <c r="T1417">
        <v>15.5</v>
      </c>
      <c r="U1417">
        <v>15.5</v>
      </c>
      <c r="W1417">
        <v>6.97</v>
      </c>
      <c r="X1417">
        <v>1</v>
      </c>
      <c r="AB1417">
        <v>2.4159999999999999</v>
      </c>
      <c r="AC1417">
        <v>9.41</v>
      </c>
      <c r="AE1417">
        <v>1</v>
      </c>
      <c r="AF1417" t="s">
        <v>4531</v>
      </c>
      <c r="AG1417">
        <v>30</v>
      </c>
      <c r="AK1417" t="s">
        <v>99</v>
      </c>
      <c r="AM1417" t="s">
        <v>98</v>
      </c>
      <c r="AN1417" t="s">
        <v>99</v>
      </c>
      <c r="AO1417" t="s">
        <v>98</v>
      </c>
      <c r="AP1417" t="s">
        <v>100</v>
      </c>
      <c r="AQ1417" t="s">
        <v>101</v>
      </c>
      <c r="AV1417" t="s">
        <v>98</v>
      </c>
      <c r="AX1417" t="s">
        <v>399</v>
      </c>
      <c r="AZ1417" t="s">
        <v>102</v>
      </c>
      <c r="BB1417" t="s">
        <v>7528</v>
      </c>
      <c r="BC1417" t="s">
        <v>460</v>
      </c>
      <c r="BD1417" t="s">
        <v>7528</v>
      </c>
      <c r="BF1417" t="s">
        <v>4532</v>
      </c>
      <c r="BG1417" t="s">
        <v>98</v>
      </c>
      <c r="BH1417" t="s">
        <v>98</v>
      </c>
      <c r="BI1417" t="s">
        <v>98</v>
      </c>
      <c r="BK1417" t="s">
        <v>127</v>
      </c>
      <c r="BL1417" t="s">
        <v>7528</v>
      </c>
      <c r="BM1417">
        <v>15.5</v>
      </c>
      <c r="BN1417">
        <v>1</v>
      </c>
      <c r="CA1417" t="s">
        <v>4525</v>
      </c>
      <c r="CB1417" t="s">
        <v>399</v>
      </c>
      <c r="CG1417">
        <v>3000</v>
      </c>
      <c r="CH1417">
        <v>93</v>
      </c>
      <c r="CI1417">
        <v>2628.8</v>
      </c>
      <c r="CJ1417">
        <v>1657.8</v>
      </c>
      <c r="CK1417">
        <v>30000</v>
      </c>
      <c r="CL1417" t="s">
        <v>99</v>
      </c>
      <c r="CM1417" t="s">
        <v>98</v>
      </c>
      <c r="CN1417" t="s">
        <v>237</v>
      </c>
      <c r="CO1417" s="1">
        <v>43495</v>
      </c>
      <c r="CP1417" s="1">
        <v>43633</v>
      </c>
    </row>
    <row r="1418" spans="1:94" x14ac:dyDescent="0.25">
      <c r="A1418" t="s">
        <v>4533</v>
      </c>
      <c r="B1418" t="str">
        <f xml:space="preserve"> "" &amp; 747396108537</f>
        <v>747396108537</v>
      </c>
      <c r="C1418" t="s">
        <v>558</v>
      </c>
      <c r="D1418" t="s">
        <v>619</v>
      </c>
      <c r="E1418" t="s">
        <v>7528</v>
      </c>
      <c r="F1418" t="s">
        <v>7532</v>
      </c>
      <c r="G1418">
        <v>1</v>
      </c>
      <c r="H1418">
        <v>1</v>
      </c>
      <c r="I1418" t="s">
        <v>97</v>
      </c>
      <c r="J1418" s="10">
        <v>104.95</v>
      </c>
      <c r="K1418" s="10">
        <v>314.85000000000002</v>
      </c>
      <c r="L1418" s="10">
        <v>0</v>
      </c>
      <c r="N1418" s="10">
        <v>0</v>
      </c>
      <c r="O1418" t="s">
        <v>99</v>
      </c>
      <c r="P1418" s="10">
        <v>219.95</v>
      </c>
      <c r="S1418">
        <v>5.5</v>
      </c>
      <c r="T1418">
        <v>15.5</v>
      </c>
      <c r="U1418">
        <v>15.5</v>
      </c>
      <c r="W1418">
        <v>6.97</v>
      </c>
      <c r="X1418">
        <v>1</v>
      </c>
      <c r="Y1418">
        <v>13.25</v>
      </c>
      <c r="Z1418">
        <v>17.75</v>
      </c>
      <c r="AA1418">
        <v>17.75</v>
      </c>
      <c r="AB1418">
        <v>2.4159999999999999</v>
      </c>
      <c r="AC1418">
        <v>9.41</v>
      </c>
      <c r="AE1418">
        <v>1</v>
      </c>
      <c r="AF1418" t="s">
        <v>4531</v>
      </c>
      <c r="AG1418">
        <v>30</v>
      </c>
      <c r="AK1418" t="s">
        <v>99</v>
      </c>
      <c r="AM1418" t="s">
        <v>98</v>
      </c>
      <c r="AN1418" t="s">
        <v>99</v>
      </c>
      <c r="AO1418" t="s">
        <v>98</v>
      </c>
      <c r="AP1418" t="s">
        <v>100</v>
      </c>
      <c r="AQ1418" t="s">
        <v>101</v>
      </c>
      <c r="AV1418" t="s">
        <v>98</v>
      </c>
      <c r="AX1418" t="s">
        <v>279</v>
      </c>
      <c r="AZ1418" t="s">
        <v>102</v>
      </c>
      <c r="BB1418" t="s">
        <v>7528</v>
      </c>
      <c r="BC1418" t="s">
        <v>460</v>
      </c>
      <c r="BD1418" t="s">
        <v>7528</v>
      </c>
      <c r="BF1418" t="s">
        <v>4534</v>
      </c>
      <c r="BG1418" t="s">
        <v>98</v>
      </c>
      <c r="BH1418" t="s">
        <v>98</v>
      </c>
      <c r="BI1418" t="s">
        <v>98</v>
      </c>
      <c r="BK1418" t="s">
        <v>127</v>
      </c>
      <c r="BL1418" t="s">
        <v>7528</v>
      </c>
      <c r="BM1418">
        <v>15.5</v>
      </c>
      <c r="BN1418">
        <v>1</v>
      </c>
      <c r="CA1418" t="s">
        <v>4525</v>
      </c>
      <c r="CB1418" t="s">
        <v>279</v>
      </c>
      <c r="CG1418">
        <v>3000</v>
      </c>
      <c r="CH1418">
        <v>94</v>
      </c>
      <c r="CI1418">
        <v>2659.8</v>
      </c>
      <c r="CJ1418">
        <v>1862.7</v>
      </c>
      <c r="CK1418">
        <v>30000</v>
      </c>
      <c r="CL1418" t="s">
        <v>99</v>
      </c>
      <c r="CM1418" t="s">
        <v>98</v>
      </c>
      <c r="CN1418" t="s">
        <v>237</v>
      </c>
      <c r="CO1418" s="1">
        <v>43497</v>
      </c>
      <c r="CP1418" s="1">
        <v>43633</v>
      </c>
    </row>
    <row r="1419" spans="1:94" x14ac:dyDescent="0.25">
      <c r="A1419" t="s">
        <v>4543</v>
      </c>
      <c r="B1419" t="str">
        <f xml:space="preserve"> "" &amp; 747396079929</f>
        <v>747396079929</v>
      </c>
      <c r="C1419" t="s">
        <v>1577</v>
      </c>
      <c r="D1419" t="s">
        <v>6890</v>
      </c>
      <c r="E1419" t="s">
        <v>4544</v>
      </c>
      <c r="F1419" t="s">
        <v>2823</v>
      </c>
      <c r="G1419">
        <v>1</v>
      </c>
      <c r="H1419">
        <v>1</v>
      </c>
      <c r="I1419" t="s">
        <v>97</v>
      </c>
      <c r="J1419" s="10">
        <v>69</v>
      </c>
      <c r="K1419" s="10">
        <v>207</v>
      </c>
      <c r="L1419" s="10">
        <v>0</v>
      </c>
      <c r="N1419" s="10">
        <v>0</v>
      </c>
      <c r="O1419" t="s">
        <v>99</v>
      </c>
      <c r="P1419" s="10">
        <v>139.94999999999999</v>
      </c>
      <c r="S1419">
        <v>12.75</v>
      </c>
      <c r="T1419">
        <v>10.5</v>
      </c>
      <c r="U1419">
        <v>6.5</v>
      </c>
      <c r="V1419">
        <v>8.25</v>
      </c>
      <c r="W1419">
        <v>1.63</v>
      </c>
      <c r="X1419">
        <v>1</v>
      </c>
      <c r="Y1419">
        <v>15</v>
      </c>
      <c r="Z1419">
        <v>10.5</v>
      </c>
      <c r="AA1419">
        <v>9</v>
      </c>
      <c r="AB1419">
        <v>0.82</v>
      </c>
      <c r="AC1419">
        <v>2.84</v>
      </c>
      <c r="AE1419">
        <v>1</v>
      </c>
      <c r="AF1419" t="s">
        <v>4371</v>
      </c>
      <c r="AG1419">
        <v>60</v>
      </c>
      <c r="AK1419" t="s">
        <v>98</v>
      </c>
      <c r="AM1419" t="s">
        <v>98</v>
      </c>
      <c r="AN1419" t="s">
        <v>99</v>
      </c>
      <c r="AO1419" t="s">
        <v>98</v>
      </c>
      <c r="AP1419" t="s">
        <v>100</v>
      </c>
      <c r="AQ1419" t="s">
        <v>101</v>
      </c>
      <c r="AV1419" t="s">
        <v>98</v>
      </c>
      <c r="AX1419" t="s">
        <v>4226</v>
      </c>
      <c r="AZ1419" t="s">
        <v>124</v>
      </c>
      <c r="BB1419" t="s">
        <v>7528</v>
      </c>
      <c r="BC1419" t="s">
        <v>7528</v>
      </c>
      <c r="BD1419" t="s">
        <v>7528</v>
      </c>
      <c r="BF1419" t="s">
        <v>4545</v>
      </c>
      <c r="BG1419" t="s">
        <v>99</v>
      </c>
      <c r="BH1419" t="s">
        <v>98</v>
      </c>
      <c r="BI1419" t="s">
        <v>98</v>
      </c>
      <c r="BJ1419" t="s">
        <v>99</v>
      </c>
      <c r="BK1419" t="s">
        <v>453</v>
      </c>
      <c r="BL1419" t="s">
        <v>128</v>
      </c>
      <c r="BR1419">
        <v>8</v>
      </c>
      <c r="BT1419">
        <v>4.63</v>
      </c>
      <c r="CA1419">
        <v>8281</v>
      </c>
      <c r="CB1419" t="s">
        <v>4226</v>
      </c>
      <c r="CL1419" t="s">
        <v>99</v>
      </c>
      <c r="CM1419" t="s">
        <v>98</v>
      </c>
      <c r="CN1419" t="s">
        <v>7528</v>
      </c>
      <c r="CO1419" s="1">
        <v>40628</v>
      </c>
      <c r="CP1419" s="1">
        <v>43633</v>
      </c>
    </row>
    <row r="1420" spans="1:94" x14ac:dyDescent="0.25">
      <c r="A1420" t="s">
        <v>4546</v>
      </c>
      <c r="B1420" t="str">
        <f xml:space="preserve"> "" &amp; 747396079936</f>
        <v>747396079936</v>
      </c>
      <c r="C1420" t="s">
        <v>1577</v>
      </c>
      <c r="D1420" t="s">
        <v>6890</v>
      </c>
      <c r="E1420" t="s">
        <v>4544</v>
      </c>
      <c r="F1420" t="s">
        <v>2823</v>
      </c>
      <c r="G1420">
        <v>1</v>
      </c>
      <c r="H1420">
        <v>1</v>
      </c>
      <c r="I1420" t="s">
        <v>97</v>
      </c>
      <c r="J1420" s="10">
        <v>89</v>
      </c>
      <c r="K1420" s="10">
        <v>267</v>
      </c>
      <c r="L1420" s="10">
        <v>0</v>
      </c>
      <c r="N1420" s="10">
        <v>0</v>
      </c>
      <c r="O1420" t="s">
        <v>99</v>
      </c>
      <c r="P1420" s="10">
        <v>179.95</v>
      </c>
      <c r="S1420">
        <v>16</v>
      </c>
      <c r="U1420">
        <v>8.5</v>
      </c>
      <c r="V1420">
        <v>10.5</v>
      </c>
      <c r="W1420">
        <v>2.25</v>
      </c>
      <c r="X1420">
        <v>1</v>
      </c>
      <c r="Y1420">
        <v>18.5</v>
      </c>
      <c r="Z1420">
        <v>13</v>
      </c>
      <c r="AA1420">
        <v>11</v>
      </c>
      <c r="AB1420">
        <v>1.5309999999999999</v>
      </c>
      <c r="AC1420">
        <v>4.5</v>
      </c>
      <c r="AE1420">
        <v>1</v>
      </c>
      <c r="AF1420" t="s">
        <v>4371</v>
      </c>
      <c r="AG1420">
        <v>60</v>
      </c>
      <c r="AK1420" t="s">
        <v>98</v>
      </c>
      <c r="AM1420" t="s">
        <v>98</v>
      </c>
      <c r="AN1420" t="s">
        <v>99</v>
      </c>
      <c r="AO1420" t="s">
        <v>98</v>
      </c>
      <c r="AP1420" t="s">
        <v>100</v>
      </c>
      <c r="AQ1420" t="s">
        <v>101</v>
      </c>
      <c r="AV1420" t="s">
        <v>98</v>
      </c>
      <c r="AX1420" t="s">
        <v>4226</v>
      </c>
      <c r="AZ1420" t="s">
        <v>124</v>
      </c>
      <c r="BB1420" t="s">
        <v>7528</v>
      </c>
      <c r="BC1420" t="s">
        <v>7528</v>
      </c>
      <c r="BD1420" t="s">
        <v>7528</v>
      </c>
      <c r="BF1420" t="s">
        <v>4547</v>
      </c>
      <c r="BG1420" t="s">
        <v>99</v>
      </c>
      <c r="BH1420" t="s">
        <v>98</v>
      </c>
      <c r="BI1420" t="s">
        <v>98</v>
      </c>
      <c r="BJ1420" t="s">
        <v>99</v>
      </c>
      <c r="BK1420" t="s">
        <v>453</v>
      </c>
      <c r="BL1420" t="s">
        <v>128</v>
      </c>
      <c r="BR1420">
        <v>8</v>
      </c>
      <c r="BT1420">
        <v>4.63</v>
      </c>
      <c r="CA1420">
        <v>8282</v>
      </c>
      <c r="CB1420" t="s">
        <v>4226</v>
      </c>
      <c r="CL1420" t="s">
        <v>99</v>
      </c>
      <c r="CM1420" t="s">
        <v>98</v>
      </c>
      <c r="CN1420" t="s">
        <v>7528</v>
      </c>
      <c r="CO1420" s="1">
        <v>40619</v>
      </c>
      <c r="CP1420" s="1">
        <v>43633</v>
      </c>
    </row>
    <row r="1421" spans="1:94" x14ac:dyDescent="0.25">
      <c r="A1421" t="s">
        <v>4548</v>
      </c>
      <c r="B1421" t="str">
        <f xml:space="preserve"> "" &amp; 747396079943</f>
        <v>747396079943</v>
      </c>
      <c r="C1421" t="s">
        <v>1577</v>
      </c>
      <c r="D1421" t="s">
        <v>6890</v>
      </c>
      <c r="E1421" t="s">
        <v>4544</v>
      </c>
      <c r="F1421" t="s">
        <v>2823</v>
      </c>
      <c r="G1421">
        <v>1</v>
      </c>
      <c r="H1421">
        <v>1</v>
      </c>
      <c r="I1421" t="s">
        <v>97</v>
      </c>
      <c r="J1421" s="10">
        <v>115</v>
      </c>
      <c r="K1421" s="10">
        <v>345</v>
      </c>
      <c r="L1421" s="10">
        <v>0</v>
      </c>
      <c r="N1421" s="10">
        <v>0</v>
      </c>
      <c r="O1421" t="s">
        <v>99</v>
      </c>
      <c r="P1421" s="10">
        <v>229.95</v>
      </c>
      <c r="S1421">
        <v>22.5</v>
      </c>
      <c r="U1421">
        <v>10.5</v>
      </c>
      <c r="V1421">
        <v>12.75</v>
      </c>
      <c r="W1421">
        <v>3.37</v>
      </c>
      <c r="X1421">
        <v>1</v>
      </c>
      <c r="Y1421">
        <v>24.5</v>
      </c>
      <c r="Z1421">
        <v>15</v>
      </c>
      <c r="AA1421">
        <v>12.5</v>
      </c>
      <c r="AB1421">
        <v>2.6579999999999999</v>
      </c>
      <c r="AC1421">
        <v>5.91</v>
      </c>
      <c r="AE1421">
        <v>1</v>
      </c>
      <c r="AF1421" t="s">
        <v>233</v>
      </c>
      <c r="AG1421">
        <v>60</v>
      </c>
      <c r="AK1421" t="s">
        <v>98</v>
      </c>
      <c r="AM1421" t="s">
        <v>98</v>
      </c>
      <c r="AN1421" t="s">
        <v>99</v>
      </c>
      <c r="AO1421" t="s">
        <v>98</v>
      </c>
      <c r="AP1421" t="s">
        <v>100</v>
      </c>
      <c r="AQ1421" t="s">
        <v>101</v>
      </c>
      <c r="AV1421" t="s">
        <v>98</v>
      </c>
      <c r="AX1421" t="s">
        <v>4226</v>
      </c>
      <c r="AZ1421" t="s">
        <v>124</v>
      </c>
      <c r="BB1421" t="s">
        <v>7528</v>
      </c>
      <c r="BC1421" t="s">
        <v>7528</v>
      </c>
      <c r="BD1421" t="s">
        <v>7528</v>
      </c>
      <c r="BF1421" t="s">
        <v>4549</v>
      </c>
      <c r="BG1421" t="s">
        <v>99</v>
      </c>
      <c r="BH1421" t="s">
        <v>98</v>
      </c>
      <c r="BI1421" t="s">
        <v>98</v>
      </c>
      <c r="BJ1421" t="s">
        <v>99</v>
      </c>
      <c r="BK1421" t="s">
        <v>453</v>
      </c>
      <c r="BL1421" t="s">
        <v>128</v>
      </c>
      <c r="BR1421">
        <v>14</v>
      </c>
      <c r="BT1421">
        <v>4.63</v>
      </c>
      <c r="CA1421">
        <v>8283</v>
      </c>
      <c r="CB1421" t="s">
        <v>4226</v>
      </c>
      <c r="CG1421">
        <v>0</v>
      </c>
      <c r="CL1421" t="s">
        <v>99</v>
      </c>
      <c r="CM1421" t="s">
        <v>98</v>
      </c>
      <c r="CN1421" t="s">
        <v>3227</v>
      </c>
      <c r="CO1421" s="1">
        <v>40623</v>
      </c>
      <c r="CP1421" s="1">
        <v>43633</v>
      </c>
    </row>
    <row r="1422" spans="1:94" x14ac:dyDescent="0.25">
      <c r="A1422" t="s">
        <v>4550</v>
      </c>
      <c r="B1422" t="str">
        <f xml:space="preserve"> "" &amp; 747396079950</f>
        <v>747396079950</v>
      </c>
      <c r="C1422" t="s">
        <v>3413</v>
      </c>
      <c r="D1422" t="s">
        <v>6891</v>
      </c>
      <c r="E1422" t="s">
        <v>4544</v>
      </c>
      <c r="F1422" t="s">
        <v>2823</v>
      </c>
      <c r="G1422">
        <v>1</v>
      </c>
      <c r="H1422">
        <v>1</v>
      </c>
      <c r="I1422" t="s">
        <v>97</v>
      </c>
      <c r="J1422" s="10">
        <v>60</v>
      </c>
      <c r="K1422" s="10">
        <v>180</v>
      </c>
      <c r="L1422" s="10">
        <v>0</v>
      </c>
      <c r="N1422" s="10">
        <v>0</v>
      </c>
      <c r="S1422">
        <v>20</v>
      </c>
      <c r="U1422">
        <v>10.5</v>
      </c>
      <c r="W1422">
        <v>3.53</v>
      </c>
      <c r="X1422">
        <v>1</v>
      </c>
      <c r="Y1422">
        <v>22.75</v>
      </c>
      <c r="Z1422">
        <v>12.5</v>
      </c>
      <c r="AA1422">
        <v>12.5</v>
      </c>
      <c r="AB1422">
        <v>2.0569999999999999</v>
      </c>
      <c r="AC1422">
        <v>6.02</v>
      </c>
      <c r="AE1422">
        <v>1</v>
      </c>
      <c r="AF1422" t="s">
        <v>282</v>
      </c>
      <c r="AG1422">
        <v>60</v>
      </c>
      <c r="AK1422" t="s">
        <v>98</v>
      </c>
      <c r="AM1422" t="s">
        <v>98</v>
      </c>
      <c r="AN1422" t="s">
        <v>99</v>
      </c>
      <c r="AO1422" t="s">
        <v>98</v>
      </c>
      <c r="AP1422" t="s">
        <v>100</v>
      </c>
      <c r="AQ1422" t="s">
        <v>101</v>
      </c>
      <c r="AV1422" t="s">
        <v>98</v>
      </c>
      <c r="AX1422" t="s">
        <v>4226</v>
      </c>
      <c r="AZ1422" t="s">
        <v>124</v>
      </c>
      <c r="BB1422" t="s">
        <v>7528</v>
      </c>
      <c r="BC1422" t="s">
        <v>7528</v>
      </c>
      <c r="BD1422" t="s">
        <v>7528</v>
      </c>
      <c r="BF1422" t="s">
        <v>4551</v>
      </c>
      <c r="BG1422" t="s">
        <v>99</v>
      </c>
      <c r="BH1422" t="s">
        <v>98</v>
      </c>
      <c r="BI1422" t="s">
        <v>98</v>
      </c>
      <c r="BK1422" t="s">
        <v>127</v>
      </c>
      <c r="BL1422" t="s">
        <v>7528</v>
      </c>
      <c r="BQ1422">
        <v>5.5</v>
      </c>
      <c r="BR1422">
        <v>0.88</v>
      </c>
      <c r="CA1422">
        <v>8284</v>
      </c>
      <c r="CB1422" t="s">
        <v>4226</v>
      </c>
      <c r="CL1422" t="s">
        <v>99</v>
      </c>
      <c r="CM1422" t="s">
        <v>98</v>
      </c>
      <c r="CN1422" t="s">
        <v>7528</v>
      </c>
      <c r="CO1422" s="1">
        <v>40639</v>
      </c>
      <c r="CP1422" s="1">
        <v>43633</v>
      </c>
    </row>
    <row r="1423" spans="1:94" x14ac:dyDescent="0.25">
      <c r="A1423" t="s">
        <v>4552</v>
      </c>
      <c r="B1423" t="str">
        <f xml:space="preserve"> "" &amp; 747396079967</f>
        <v>747396079967</v>
      </c>
      <c r="C1423" t="s">
        <v>447</v>
      </c>
      <c r="D1423" t="s">
        <v>6892</v>
      </c>
      <c r="E1423" t="s">
        <v>4544</v>
      </c>
      <c r="F1423" t="s">
        <v>2823</v>
      </c>
      <c r="G1423">
        <v>1</v>
      </c>
      <c r="H1423">
        <v>1</v>
      </c>
      <c r="I1423" t="s">
        <v>97</v>
      </c>
      <c r="J1423" s="10">
        <v>89</v>
      </c>
      <c r="K1423" s="10">
        <v>267</v>
      </c>
      <c r="L1423" s="10">
        <v>0</v>
      </c>
      <c r="N1423" s="10">
        <v>0</v>
      </c>
      <c r="O1423" t="s">
        <v>99</v>
      </c>
      <c r="P1423" s="10">
        <v>179.95</v>
      </c>
      <c r="S1423">
        <v>19</v>
      </c>
      <c r="U1423">
        <v>8.5</v>
      </c>
      <c r="W1423">
        <v>2.78</v>
      </c>
      <c r="X1423">
        <v>1</v>
      </c>
      <c r="Y1423">
        <v>20.5</v>
      </c>
      <c r="Z1423">
        <v>10</v>
      </c>
      <c r="AA1423">
        <v>10</v>
      </c>
      <c r="AB1423">
        <v>1.1859999999999999</v>
      </c>
      <c r="AC1423">
        <v>4.5</v>
      </c>
      <c r="AE1423">
        <v>1</v>
      </c>
      <c r="AF1423" t="s">
        <v>4371</v>
      </c>
      <c r="AG1423">
        <v>60</v>
      </c>
      <c r="AK1423" t="s">
        <v>98</v>
      </c>
      <c r="AM1423" t="s">
        <v>98</v>
      </c>
      <c r="AN1423" t="s">
        <v>99</v>
      </c>
      <c r="AO1423" t="s">
        <v>98</v>
      </c>
      <c r="AP1423" t="s">
        <v>100</v>
      </c>
      <c r="AQ1423" t="s">
        <v>101</v>
      </c>
      <c r="AV1423" t="s">
        <v>98</v>
      </c>
      <c r="AX1423" t="s">
        <v>4226</v>
      </c>
      <c r="AZ1423" t="s">
        <v>124</v>
      </c>
      <c r="BB1423" t="s">
        <v>7528</v>
      </c>
      <c r="BC1423" t="s">
        <v>7528</v>
      </c>
      <c r="BD1423" t="s">
        <v>7528</v>
      </c>
      <c r="BF1423" t="s">
        <v>4553</v>
      </c>
      <c r="BG1423" t="s">
        <v>99</v>
      </c>
      <c r="BH1423" t="s">
        <v>98</v>
      </c>
      <c r="BI1423" t="s">
        <v>98</v>
      </c>
      <c r="BJ1423" t="s">
        <v>99</v>
      </c>
      <c r="BK1423" t="s">
        <v>453</v>
      </c>
      <c r="BL1423" t="s">
        <v>7528</v>
      </c>
      <c r="CA1423">
        <v>8286</v>
      </c>
      <c r="CB1423" t="s">
        <v>4226</v>
      </c>
      <c r="CL1423" t="s">
        <v>99</v>
      </c>
      <c r="CM1423" t="s">
        <v>98</v>
      </c>
      <c r="CN1423" t="s">
        <v>7528</v>
      </c>
      <c r="CO1423" s="1">
        <v>40639</v>
      </c>
      <c r="CP1423" s="1">
        <v>43633</v>
      </c>
    </row>
    <row r="1424" spans="1:94" x14ac:dyDescent="0.25">
      <c r="A1424" t="s">
        <v>4535</v>
      </c>
      <c r="B1424" t="str">
        <f xml:space="preserve"> "" &amp; 747396053837</f>
        <v>747396053837</v>
      </c>
      <c r="C1424" t="s">
        <v>4536</v>
      </c>
      <c r="D1424" t="s">
        <v>4537</v>
      </c>
      <c r="E1424" t="s">
        <v>4538</v>
      </c>
      <c r="F1424" t="s">
        <v>144</v>
      </c>
      <c r="G1424">
        <v>1</v>
      </c>
      <c r="H1424">
        <v>1</v>
      </c>
      <c r="I1424" t="s">
        <v>97</v>
      </c>
      <c r="J1424" s="10">
        <v>14.5</v>
      </c>
      <c r="K1424" s="10">
        <v>43.5</v>
      </c>
      <c r="L1424" s="10">
        <v>0</v>
      </c>
      <c r="N1424" s="10">
        <v>0</v>
      </c>
      <c r="U1424">
        <v>11.5</v>
      </c>
      <c r="W1424">
        <v>3.2</v>
      </c>
      <c r="X1424">
        <v>1</v>
      </c>
      <c r="Y1424">
        <v>6.25</v>
      </c>
      <c r="Z1424">
        <v>12.37</v>
      </c>
      <c r="AA1424">
        <v>12.37</v>
      </c>
      <c r="AB1424">
        <v>0.55300000000000005</v>
      </c>
      <c r="AC1424">
        <v>4.37</v>
      </c>
      <c r="AE1424">
        <v>1</v>
      </c>
      <c r="AF1424" t="s">
        <v>4539</v>
      </c>
      <c r="AG1424">
        <v>13</v>
      </c>
      <c r="AH1424">
        <v>0</v>
      </c>
      <c r="AJ1424">
        <v>0</v>
      </c>
      <c r="AK1424" t="s">
        <v>99</v>
      </c>
      <c r="AM1424" t="s">
        <v>98</v>
      </c>
      <c r="AN1424" t="s">
        <v>98</v>
      </c>
      <c r="AO1424" t="s">
        <v>99</v>
      </c>
      <c r="AP1424" t="s">
        <v>100</v>
      </c>
      <c r="AQ1424" t="s">
        <v>101</v>
      </c>
      <c r="AV1424" t="s">
        <v>99</v>
      </c>
      <c r="AX1424" t="s">
        <v>4540</v>
      </c>
      <c r="AZ1424" t="s">
        <v>7528</v>
      </c>
      <c r="BB1424" t="s">
        <v>7528</v>
      </c>
      <c r="BC1424" t="s">
        <v>7528</v>
      </c>
      <c r="BD1424" t="s">
        <v>7528</v>
      </c>
      <c r="BF1424" t="s">
        <v>4541</v>
      </c>
      <c r="BG1424" t="s">
        <v>98</v>
      </c>
      <c r="BH1424" t="s">
        <v>98</v>
      </c>
      <c r="BI1424" t="s">
        <v>98</v>
      </c>
      <c r="BK1424" t="s">
        <v>127</v>
      </c>
      <c r="BL1424" t="s">
        <v>7528</v>
      </c>
      <c r="CA1424" t="s">
        <v>4542</v>
      </c>
      <c r="CB1424" t="s">
        <v>4540</v>
      </c>
      <c r="CL1424" t="s">
        <v>98</v>
      </c>
      <c r="CM1424" t="s">
        <v>98</v>
      </c>
      <c r="CN1424" t="s">
        <v>692</v>
      </c>
      <c r="CO1424" s="1">
        <v>38803</v>
      </c>
      <c r="CP1424" s="1">
        <v>43633</v>
      </c>
    </row>
    <row r="1425" spans="1:94" x14ac:dyDescent="0.25">
      <c r="A1425" t="s">
        <v>4554</v>
      </c>
      <c r="B1425" t="str">
        <f xml:space="preserve"> "" &amp; 747396023717</f>
        <v>747396023717</v>
      </c>
      <c r="C1425" t="s">
        <v>476</v>
      </c>
      <c r="D1425" t="s">
        <v>476</v>
      </c>
      <c r="E1425" t="s">
        <v>7528</v>
      </c>
      <c r="F1425" t="s">
        <v>7539</v>
      </c>
      <c r="G1425">
        <v>1</v>
      </c>
      <c r="H1425">
        <v>1</v>
      </c>
      <c r="I1425" t="s">
        <v>97</v>
      </c>
      <c r="J1425" s="10">
        <v>12.5</v>
      </c>
      <c r="K1425" s="10">
        <v>37.5</v>
      </c>
      <c r="L1425" s="10">
        <v>0</v>
      </c>
      <c r="N1425" s="10">
        <v>0</v>
      </c>
      <c r="S1425">
        <v>6</v>
      </c>
      <c r="U1425">
        <v>13.5</v>
      </c>
      <c r="W1425">
        <v>4.01</v>
      </c>
      <c r="X1425">
        <v>1</v>
      </c>
      <c r="Y1425">
        <v>6.75</v>
      </c>
      <c r="Z1425">
        <v>13.75</v>
      </c>
      <c r="AA1425">
        <v>13.75</v>
      </c>
      <c r="AB1425">
        <v>0.73899999999999999</v>
      </c>
      <c r="AC1425">
        <v>4.92</v>
      </c>
      <c r="AE1425">
        <v>2</v>
      </c>
      <c r="AF1425" t="s">
        <v>233</v>
      </c>
      <c r="AG1425">
        <v>60</v>
      </c>
      <c r="AK1425" t="s">
        <v>98</v>
      </c>
      <c r="AM1425" t="s">
        <v>98</v>
      </c>
      <c r="AN1425" t="s">
        <v>98</v>
      </c>
      <c r="AO1425" t="s">
        <v>99</v>
      </c>
      <c r="AP1425" t="s">
        <v>100</v>
      </c>
      <c r="AQ1425" t="s">
        <v>101</v>
      </c>
      <c r="AV1425" t="s">
        <v>98</v>
      </c>
      <c r="AX1425" t="s">
        <v>7528</v>
      </c>
      <c r="AZ1425" t="s">
        <v>124</v>
      </c>
      <c r="BB1425" t="s">
        <v>235</v>
      </c>
      <c r="BC1425" t="s">
        <v>7622</v>
      </c>
      <c r="BD1425" t="s">
        <v>7528</v>
      </c>
      <c r="BF1425" t="s">
        <v>4555</v>
      </c>
      <c r="BG1425" t="s">
        <v>98</v>
      </c>
      <c r="BH1425" t="s">
        <v>98</v>
      </c>
      <c r="BI1425" t="s">
        <v>98</v>
      </c>
      <c r="BK1425" t="s">
        <v>127</v>
      </c>
      <c r="BL1425" t="s">
        <v>7528</v>
      </c>
      <c r="CA1425">
        <v>829</v>
      </c>
      <c r="CB1425" t="s">
        <v>7528</v>
      </c>
      <c r="CL1425" t="s">
        <v>98</v>
      </c>
      <c r="CM1425" t="s">
        <v>98</v>
      </c>
      <c r="CN1425" t="s">
        <v>237</v>
      </c>
      <c r="CO1425" s="1">
        <v>36356</v>
      </c>
      <c r="CP1425" s="1">
        <v>43633</v>
      </c>
    </row>
    <row r="1426" spans="1:94" x14ac:dyDescent="0.25">
      <c r="A1426" t="s">
        <v>4556</v>
      </c>
      <c r="B1426" t="str">
        <f xml:space="preserve"> "" &amp; 747396053882</f>
        <v>747396053882</v>
      </c>
      <c r="C1426" t="s">
        <v>476</v>
      </c>
      <c r="D1426" t="s">
        <v>476</v>
      </c>
      <c r="E1426" t="s">
        <v>7528</v>
      </c>
      <c r="F1426" t="s">
        <v>7535</v>
      </c>
      <c r="G1426">
        <v>1</v>
      </c>
      <c r="H1426">
        <v>1</v>
      </c>
      <c r="I1426" t="s">
        <v>97</v>
      </c>
      <c r="J1426" s="10">
        <v>15</v>
      </c>
      <c r="K1426" s="10">
        <v>45</v>
      </c>
      <c r="L1426" s="10">
        <v>0</v>
      </c>
      <c r="N1426" s="10">
        <v>0</v>
      </c>
      <c r="S1426">
        <v>6</v>
      </c>
      <c r="T1426">
        <v>13.25</v>
      </c>
      <c r="U1426">
        <v>13.25</v>
      </c>
      <c r="W1426">
        <v>3.42</v>
      </c>
      <c r="X1426">
        <v>1</v>
      </c>
      <c r="Y1426">
        <v>6.25</v>
      </c>
      <c r="Z1426">
        <v>13.75</v>
      </c>
      <c r="AA1426">
        <v>13.75</v>
      </c>
      <c r="AB1426">
        <v>0.68400000000000005</v>
      </c>
      <c r="AC1426">
        <v>4.8099999999999996</v>
      </c>
      <c r="AE1426">
        <v>2</v>
      </c>
      <c r="AF1426" t="s">
        <v>1438</v>
      </c>
      <c r="AG1426">
        <v>13</v>
      </c>
      <c r="AH1426">
        <v>0</v>
      </c>
      <c r="AJ1426">
        <v>0</v>
      </c>
      <c r="AK1426" t="s">
        <v>99</v>
      </c>
      <c r="AM1426" t="s">
        <v>98</v>
      </c>
      <c r="AN1426" t="s">
        <v>99</v>
      </c>
      <c r="AO1426" t="s">
        <v>98</v>
      </c>
      <c r="AP1426" t="s">
        <v>100</v>
      </c>
      <c r="AQ1426" t="s">
        <v>101</v>
      </c>
      <c r="AV1426" t="s">
        <v>99</v>
      </c>
      <c r="AX1426" t="s">
        <v>3202</v>
      </c>
      <c r="AZ1426" t="s">
        <v>124</v>
      </c>
      <c r="BB1426" t="s">
        <v>235</v>
      </c>
      <c r="BC1426" t="s">
        <v>4557</v>
      </c>
      <c r="BD1426" t="s">
        <v>7528</v>
      </c>
      <c r="BF1426" t="s">
        <v>4558</v>
      </c>
      <c r="BG1426" t="s">
        <v>98</v>
      </c>
      <c r="BH1426" t="s">
        <v>98</v>
      </c>
      <c r="BI1426" t="s">
        <v>98</v>
      </c>
      <c r="BK1426" t="s">
        <v>127</v>
      </c>
      <c r="BL1426" t="s">
        <v>128</v>
      </c>
      <c r="CA1426" t="s">
        <v>4559</v>
      </c>
      <c r="CB1426" t="s">
        <v>3202</v>
      </c>
      <c r="CL1426" t="s">
        <v>98</v>
      </c>
      <c r="CM1426" t="s">
        <v>98</v>
      </c>
      <c r="CN1426" t="s">
        <v>442</v>
      </c>
      <c r="CO1426" s="1">
        <v>38803</v>
      </c>
      <c r="CP1426" s="1">
        <v>43633</v>
      </c>
    </row>
    <row r="1427" spans="1:94" x14ac:dyDescent="0.25">
      <c r="A1427" t="s">
        <v>4563</v>
      </c>
      <c r="B1427" t="str">
        <f xml:space="preserve"> "" &amp; 747396053905</f>
        <v>747396053905</v>
      </c>
      <c r="C1427" t="s">
        <v>1346</v>
      </c>
      <c r="D1427" t="s">
        <v>1346</v>
      </c>
      <c r="E1427" t="s">
        <v>7528</v>
      </c>
      <c r="F1427" t="s">
        <v>7535</v>
      </c>
      <c r="G1427">
        <v>1</v>
      </c>
      <c r="H1427">
        <v>1</v>
      </c>
      <c r="I1427" t="s">
        <v>97</v>
      </c>
      <c r="J1427" s="10">
        <v>15</v>
      </c>
      <c r="K1427" s="10">
        <v>45</v>
      </c>
      <c r="L1427" s="10">
        <v>0</v>
      </c>
      <c r="N1427" s="10">
        <v>0</v>
      </c>
      <c r="S1427">
        <v>6</v>
      </c>
      <c r="T1427">
        <v>15.25</v>
      </c>
      <c r="U1427">
        <v>15.25</v>
      </c>
      <c r="W1427">
        <v>4.6100000000000003</v>
      </c>
      <c r="X1427">
        <v>1</v>
      </c>
      <c r="Y1427">
        <v>5.5</v>
      </c>
      <c r="Z1427">
        <v>15.75</v>
      </c>
      <c r="AA1427">
        <v>15.75</v>
      </c>
      <c r="AB1427">
        <v>0.79</v>
      </c>
      <c r="AC1427">
        <v>6.31</v>
      </c>
      <c r="AE1427">
        <v>3</v>
      </c>
      <c r="AF1427" t="s">
        <v>1530</v>
      </c>
      <c r="AG1427">
        <v>13</v>
      </c>
      <c r="AH1427">
        <v>0</v>
      </c>
      <c r="AJ1427">
        <v>0</v>
      </c>
      <c r="AK1427" t="s">
        <v>99</v>
      </c>
      <c r="AM1427" t="s">
        <v>98</v>
      </c>
      <c r="AN1427" t="s">
        <v>99</v>
      </c>
      <c r="AO1427" t="s">
        <v>98</v>
      </c>
      <c r="AP1427" t="s">
        <v>100</v>
      </c>
      <c r="AQ1427" t="s">
        <v>101</v>
      </c>
      <c r="AV1427" t="s">
        <v>98</v>
      </c>
      <c r="AX1427" t="s">
        <v>279</v>
      </c>
      <c r="AZ1427" t="s">
        <v>124</v>
      </c>
      <c r="BB1427" t="s">
        <v>235</v>
      </c>
      <c r="BC1427" t="s">
        <v>4557</v>
      </c>
      <c r="BD1427" t="s">
        <v>7528</v>
      </c>
      <c r="BF1427" t="s">
        <v>4564</v>
      </c>
      <c r="BG1427" t="s">
        <v>98</v>
      </c>
      <c r="BH1427" t="s">
        <v>98</v>
      </c>
      <c r="BI1427" t="s">
        <v>98</v>
      </c>
      <c r="BK1427" t="s">
        <v>127</v>
      </c>
      <c r="BL1427" t="s">
        <v>128</v>
      </c>
      <c r="CA1427" t="s">
        <v>4565</v>
      </c>
      <c r="CB1427" t="s">
        <v>279</v>
      </c>
      <c r="CL1427" t="s">
        <v>98</v>
      </c>
      <c r="CM1427" t="s">
        <v>98</v>
      </c>
      <c r="CN1427" t="s">
        <v>442</v>
      </c>
      <c r="CO1427" s="1">
        <v>38803</v>
      </c>
      <c r="CP1427" s="1">
        <v>43633</v>
      </c>
    </row>
    <row r="1428" spans="1:94" x14ac:dyDescent="0.25">
      <c r="A1428" t="s">
        <v>4566</v>
      </c>
      <c r="B1428" t="str">
        <f xml:space="preserve"> "" &amp; 747396053929</f>
        <v>747396053929</v>
      </c>
      <c r="C1428" t="s">
        <v>1346</v>
      </c>
      <c r="D1428" t="s">
        <v>1346</v>
      </c>
      <c r="E1428" t="s">
        <v>7528</v>
      </c>
      <c r="F1428" t="s">
        <v>7535</v>
      </c>
      <c r="G1428">
        <v>1</v>
      </c>
      <c r="H1428">
        <v>1</v>
      </c>
      <c r="I1428" t="s">
        <v>97</v>
      </c>
      <c r="J1428" s="10">
        <v>15</v>
      </c>
      <c r="K1428" s="10">
        <v>45</v>
      </c>
      <c r="L1428" s="10">
        <v>0</v>
      </c>
      <c r="N1428" s="10">
        <v>0</v>
      </c>
      <c r="S1428">
        <v>6</v>
      </c>
      <c r="T1428">
        <v>15.25</v>
      </c>
      <c r="U1428">
        <v>15.25</v>
      </c>
      <c r="W1428">
        <v>4.6100000000000003</v>
      </c>
      <c r="X1428">
        <v>1</v>
      </c>
      <c r="Y1428">
        <v>5.5</v>
      </c>
      <c r="Z1428">
        <v>15.75</v>
      </c>
      <c r="AA1428">
        <v>15.75</v>
      </c>
      <c r="AB1428">
        <v>0.79</v>
      </c>
      <c r="AC1428">
        <v>6.31</v>
      </c>
      <c r="AE1428">
        <v>3</v>
      </c>
      <c r="AF1428" t="s">
        <v>1530</v>
      </c>
      <c r="AG1428">
        <v>13</v>
      </c>
      <c r="AH1428">
        <v>0</v>
      </c>
      <c r="AJ1428">
        <v>0</v>
      </c>
      <c r="AK1428" t="s">
        <v>99</v>
      </c>
      <c r="AM1428" t="s">
        <v>98</v>
      </c>
      <c r="AN1428" t="s">
        <v>99</v>
      </c>
      <c r="AO1428" t="s">
        <v>98</v>
      </c>
      <c r="AP1428" t="s">
        <v>100</v>
      </c>
      <c r="AQ1428" t="s">
        <v>101</v>
      </c>
      <c r="AV1428" t="s">
        <v>99</v>
      </c>
      <c r="AX1428" t="s">
        <v>3202</v>
      </c>
      <c r="AZ1428" t="s">
        <v>124</v>
      </c>
      <c r="BB1428" t="s">
        <v>235</v>
      </c>
      <c r="BC1428" t="s">
        <v>4557</v>
      </c>
      <c r="BD1428" t="s">
        <v>7528</v>
      </c>
      <c r="BF1428" t="s">
        <v>4567</v>
      </c>
      <c r="BG1428" t="s">
        <v>98</v>
      </c>
      <c r="BH1428" t="s">
        <v>98</v>
      </c>
      <c r="BI1428" t="s">
        <v>98</v>
      </c>
      <c r="BK1428" t="s">
        <v>127</v>
      </c>
      <c r="BL1428" t="s">
        <v>128</v>
      </c>
      <c r="CA1428" t="s">
        <v>4565</v>
      </c>
      <c r="CB1428" t="s">
        <v>3202</v>
      </c>
      <c r="CL1428" t="s">
        <v>98</v>
      </c>
      <c r="CM1428" t="s">
        <v>98</v>
      </c>
      <c r="CN1428" t="s">
        <v>442</v>
      </c>
      <c r="CO1428" s="1">
        <v>38803</v>
      </c>
      <c r="CP1428" s="1">
        <v>43633</v>
      </c>
    </row>
    <row r="1429" spans="1:94" x14ac:dyDescent="0.25">
      <c r="A1429" t="s">
        <v>4560</v>
      </c>
      <c r="B1429" t="str">
        <f xml:space="preserve"> "" &amp; 747396023816</f>
        <v>747396023816</v>
      </c>
      <c r="C1429" t="s">
        <v>866</v>
      </c>
      <c r="D1429" t="s">
        <v>6893</v>
      </c>
      <c r="E1429" t="s">
        <v>472</v>
      </c>
      <c r="F1429" t="s">
        <v>473</v>
      </c>
      <c r="G1429">
        <v>1</v>
      </c>
      <c r="H1429">
        <v>1</v>
      </c>
      <c r="I1429" t="s">
        <v>97</v>
      </c>
      <c r="J1429" s="10">
        <v>750</v>
      </c>
      <c r="K1429" s="10">
        <v>2250</v>
      </c>
      <c r="L1429" s="10">
        <v>0</v>
      </c>
      <c r="N1429" s="10">
        <v>0</v>
      </c>
      <c r="O1429" t="s">
        <v>99</v>
      </c>
      <c r="P1429" s="10">
        <v>1499.95</v>
      </c>
      <c r="S1429">
        <v>43</v>
      </c>
      <c r="T1429">
        <v>44.5</v>
      </c>
      <c r="U1429">
        <v>44.5</v>
      </c>
      <c r="W1429">
        <v>66.36</v>
      </c>
      <c r="X1429">
        <v>1</v>
      </c>
      <c r="Y1429">
        <v>14.5</v>
      </c>
      <c r="Z1429">
        <v>46.5</v>
      </c>
      <c r="AA1429">
        <v>42.5</v>
      </c>
      <c r="AB1429">
        <v>16.582999999999998</v>
      </c>
      <c r="AC1429">
        <v>83.78</v>
      </c>
      <c r="AE1429">
        <v>8</v>
      </c>
      <c r="AF1429" t="s">
        <v>233</v>
      </c>
      <c r="AG1429">
        <v>100</v>
      </c>
      <c r="AK1429" t="s">
        <v>98</v>
      </c>
      <c r="AM1429" t="s">
        <v>98</v>
      </c>
      <c r="AN1429" t="s">
        <v>98</v>
      </c>
      <c r="AO1429" t="s">
        <v>99</v>
      </c>
      <c r="AP1429" t="s">
        <v>259</v>
      </c>
      <c r="AQ1429" t="s">
        <v>101</v>
      </c>
      <c r="AV1429" t="s">
        <v>98</v>
      </c>
      <c r="AX1429" t="s">
        <v>474</v>
      </c>
      <c r="AZ1429" t="s">
        <v>124</v>
      </c>
      <c r="BB1429" t="s">
        <v>200</v>
      </c>
      <c r="BC1429" t="s">
        <v>1417</v>
      </c>
      <c r="BD1429" t="s">
        <v>7528</v>
      </c>
      <c r="BF1429" t="s">
        <v>4561</v>
      </c>
      <c r="BG1429" t="s">
        <v>98</v>
      </c>
      <c r="BH1429" t="s">
        <v>98</v>
      </c>
      <c r="BI1429" t="s">
        <v>98</v>
      </c>
      <c r="BK1429" t="s">
        <v>110</v>
      </c>
      <c r="BL1429" t="s">
        <v>128</v>
      </c>
      <c r="BT1429">
        <v>5.5</v>
      </c>
      <c r="CA1429">
        <v>83</v>
      </c>
      <c r="CB1429" t="s">
        <v>474</v>
      </c>
      <c r="CL1429" t="s">
        <v>99</v>
      </c>
      <c r="CM1429" t="s">
        <v>98</v>
      </c>
      <c r="CN1429" t="s">
        <v>4562</v>
      </c>
      <c r="CO1429" s="1">
        <v>37210</v>
      </c>
      <c r="CP1429" s="1">
        <v>43633</v>
      </c>
    </row>
    <row r="1430" spans="1:94" x14ac:dyDescent="0.25">
      <c r="A1430" t="s">
        <v>4568</v>
      </c>
      <c r="B1430" t="str">
        <f xml:space="preserve"> "" &amp; 747396108599</f>
        <v>747396108599</v>
      </c>
      <c r="C1430" t="s">
        <v>3126</v>
      </c>
      <c r="D1430" t="s">
        <v>619</v>
      </c>
      <c r="E1430" t="s">
        <v>7528</v>
      </c>
      <c r="F1430" t="s">
        <v>7532</v>
      </c>
      <c r="G1430">
        <v>1</v>
      </c>
      <c r="H1430">
        <v>1</v>
      </c>
      <c r="I1430" t="s">
        <v>97</v>
      </c>
      <c r="J1430" s="10">
        <v>129.94999999999999</v>
      </c>
      <c r="K1430" s="10">
        <v>389.85</v>
      </c>
      <c r="L1430" s="10">
        <v>0</v>
      </c>
      <c r="N1430" s="10">
        <v>0</v>
      </c>
      <c r="O1430" t="s">
        <v>99</v>
      </c>
      <c r="P1430" s="10">
        <v>274.95</v>
      </c>
      <c r="S1430">
        <v>6</v>
      </c>
      <c r="T1430">
        <v>16</v>
      </c>
      <c r="U1430">
        <v>16</v>
      </c>
      <c r="W1430">
        <v>12.61</v>
      </c>
      <c r="X1430">
        <v>1</v>
      </c>
      <c r="Y1430">
        <v>13.25</v>
      </c>
      <c r="Z1430">
        <v>18</v>
      </c>
      <c r="AA1430">
        <v>18</v>
      </c>
      <c r="AB1430">
        <v>2.484</v>
      </c>
      <c r="AC1430">
        <v>16.309999999999999</v>
      </c>
      <c r="AE1430">
        <v>1</v>
      </c>
      <c r="AF1430" t="s">
        <v>559</v>
      </c>
      <c r="AG1430">
        <v>32</v>
      </c>
      <c r="AK1430" t="s">
        <v>99</v>
      </c>
      <c r="AM1430" t="s">
        <v>98</v>
      </c>
      <c r="AN1430" t="s">
        <v>99</v>
      </c>
      <c r="AO1430" t="s">
        <v>98</v>
      </c>
      <c r="AP1430" t="s">
        <v>100</v>
      </c>
      <c r="AQ1430" t="s">
        <v>101</v>
      </c>
      <c r="AV1430" t="s">
        <v>98</v>
      </c>
      <c r="AX1430" t="s">
        <v>599</v>
      </c>
      <c r="AZ1430" t="s">
        <v>102</v>
      </c>
      <c r="BB1430" t="s">
        <v>235</v>
      </c>
      <c r="BC1430" t="s">
        <v>7528</v>
      </c>
      <c r="BD1430" t="s">
        <v>7528</v>
      </c>
      <c r="BF1430" t="s">
        <v>4569</v>
      </c>
      <c r="BG1430" t="s">
        <v>98</v>
      </c>
      <c r="BH1430" t="s">
        <v>98</v>
      </c>
      <c r="BI1430" t="s">
        <v>98</v>
      </c>
      <c r="BK1430" t="s">
        <v>127</v>
      </c>
      <c r="BL1430" t="s">
        <v>7528</v>
      </c>
      <c r="BQ1430">
        <v>16</v>
      </c>
      <c r="BR1430">
        <v>0.75</v>
      </c>
      <c r="BS1430">
        <v>16</v>
      </c>
      <c r="BT1430">
        <v>16</v>
      </c>
      <c r="CA1430">
        <v>840</v>
      </c>
      <c r="CB1430" t="s">
        <v>599</v>
      </c>
      <c r="CG1430">
        <v>3000</v>
      </c>
      <c r="CH1430">
        <v>92</v>
      </c>
      <c r="CI1430">
        <v>2072</v>
      </c>
      <c r="CJ1430">
        <v>1500</v>
      </c>
      <c r="CK1430">
        <v>30000</v>
      </c>
      <c r="CL1430" t="s">
        <v>99</v>
      </c>
      <c r="CM1430" t="s">
        <v>98</v>
      </c>
      <c r="CN1430" t="s">
        <v>442</v>
      </c>
      <c r="CO1430" s="1">
        <v>43334</v>
      </c>
      <c r="CP1430" s="1">
        <v>43633</v>
      </c>
    </row>
    <row r="1431" spans="1:94" x14ac:dyDescent="0.25">
      <c r="A1431" t="s">
        <v>4570</v>
      </c>
      <c r="B1431" t="str">
        <f xml:space="preserve"> "" &amp; 747396103167</f>
        <v>747396103167</v>
      </c>
      <c r="C1431" t="s">
        <v>569</v>
      </c>
      <c r="D1431" t="s">
        <v>1346</v>
      </c>
      <c r="E1431" t="s">
        <v>7528</v>
      </c>
      <c r="F1431" t="s">
        <v>478</v>
      </c>
      <c r="G1431">
        <v>1</v>
      </c>
      <c r="H1431">
        <v>1</v>
      </c>
      <c r="I1431" t="s">
        <v>97</v>
      </c>
      <c r="J1431" s="10">
        <v>115</v>
      </c>
      <c r="K1431" s="10">
        <v>345</v>
      </c>
      <c r="L1431" s="10">
        <v>0</v>
      </c>
      <c r="N1431" s="10">
        <v>0</v>
      </c>
      <c r="O1431" t="s">
        <v>99</v>
      </c>
      <c r="P1431" s="10">
        <v>244.95</v>
      </c>
      <c r="S1431">
        <v>6</v>
      </c>
      <c r="T1431">
        <v>16</v>
      </c>
      <c r="U1431">
        <v>16</v>
      </c>
      <c r="W1431">
        <v>12.7</v>
      </c>
      <c r="X1431">
        <v>1</v>
      </c>
      <c r="Y1431">
        <v>13.25</v>
      </c>
      <c r="Z1431">
        <v>18</v>
      </c>
      <c r="AA1431">
        <v>18</v>
      </c>
      <c r="AB1431">
        <v>2.484</v>
      </c>
      <c r="AC1431">
        <v>15.81</v>
      </c>
      <c r="AE1431">
        <v>3</v>
      </c>
      <c r="AF1431" t="s">
        <v>282</v>
      </c>
      <c r="AG1431">
        <v>60</v>
      </c>
      <c r="AK1431" t="s">
        <v>98</v>
      </c>
      <c r="AM1431" t="s">
        <v>98</v>
      </c>
      <c r="AN1431" t="s">
        <v>99</v>
      </c>
      <c r="AO1431" t="s">
        <v>98</v>
      </c>
      <c r="AP1431" t="s">
        <v>100</v>
      </c>
      <c r="AQ1431" t="s">
        <v>101</v>
      </c>
      <c r="AV1431" t="s">
        <v>98</v>
      </c>
      <c r="AX1431" t="s">
        <v>560</v>
      </c>
      <c r="AZ1431" t="s">
        <v>102</v>
      </c>
      <c r="BB1431" t="s">
        <v>235</v>
      </c>
      <c r="BC1431" t="s">
        <v>460</v>
      </c>
      <c r="BD1431" t="s">
        <v>7528</v>
      </c>
      <c r="BF1431" t="s">
        <v>4571</v>
      </c>
      <c r="BG1431" t="s">
        <v>98</v>
      </c>
      <c r="BH1431" t="s">
        <v>98</v>
      </c>
      <c r="BI1431" t="s">
        <v>98</v>
      </c>
      <c r="BK1431" t="s">
        <v>127</v>
      </c>
      <c r="BL1431" t="s">
        <v>7528</v>
      </c>
      <c r="BR1431">
        <v>0.75</v>
      </c>
      <c r="BS1431">
        <v>16</v>
      </c>
      <c r="BT1431">
        <v>16</v>
      </c>
      <c r="CA1431">
        <v>840</v>
      </c>
      <c r="CB1431" t="s">
        <v>560</v>
      </c>
      <c r="CL1431" t="s">
        <v>99</v>
      </c>
      <c r="CM1431" t="s">
        <v>98</v>
      </c>
      <c r="CN1431" t="s">
        <v>442</v>
      </c>
      <c r="CO1431" s="1">
        <v>42908</v>
      </c>
      <c r="CP1431" s="1">
        <v>43633</v>
      </c>
    </row>
    <row r="1432" spans="1:94" x14ac:dyDescent="0.25">
      <c r="A1432" t="s">
        <v>4572</v>
      </c>
      <c r="B1432" t="str">
        <f xml:space="preserve"> "" &amp; 747396108605</f>
        <v>747396108605</v>
      </c>
      <c r="C1432" t="s">
        <v>3126</v>
      </c>
      <c r="D1432" t="s">
        <v>583</v>
      </c>
      <c r="E1432" t="s">
        <v>7528</v>
      </c>
      <c r="F1432" t="s">
        <v>7532</v>
      </c>
      <c r="G1432">
        <v>1</v>
      </c>
      <c r="H1432">
        <v>1</v>
      </c>
      <c r="I1432" t="s">
        <v>97</v>
      </c>
      <c r="J1432" s="10">
        <v>129.94999999999999</v>
      </c>
      <c r="K1432" s="10">
        <v>389.85</v>
      </c>
      <c r="L1432" s="10">
        <v>0</v>
      </c>
      <c r="N1432" s="10">
        <v>0</v>
      </c>
      <c r="O1432" t="s">
        <v>99</v>
      </c>
      <c r="P1432" s="10">
        <v>274.95</v>
      </c>
      <c r="S1432">
        <v>6</v>
      </c>
      <c r="T1432">
        <v>16</v>
      </c>
      <c r="U1432">
        <v>16</v>
      </c>
      <c r="W1432">
        <v>12.61</v>
      </c>
      <c r="X1432">
        <v>1</v>
      </c>
      <c r="Y1432">
        <v>13.25</v>
      </c>
      <c r="Z1432">
        <v>18</v>
      </c>
      <c r="AA1432">
        <v>18</v>
      </c>
      <c r="AB1432">
        <v>2.484</v>
      </c>
      <c r="AC1432">
        <v>16.309999999999999</v>
      </c>
      <c r="AE1432">
        <v>1</v>
      </c>
      <c r="AF1432" t="s">
        <v>559</v>
      </c>
      <c r="AG1432">
        <v>30</v>
      </c>
      <c r="AK1432" t="s">
        <v>99</v>
      </c>
      <c r="AM1432" t="s">
        <v>98</v>
      </c>
      <c r="AN1432" t="s">
        <v>99</v>
      </c>
      <c r="AO1432" t="s">
        <v>98</v>
      </c>
      <c r="AP1432" t="s">
        <v>100</v>
      </c>
      <c r="AQ1432" t="s">
        <v>101</v>
      </c>
      <c r="AV1432" t="s">
        <v>98</v>
      </c>
      <c r="AX1432" t="s">
        <v>560</v>
      </c>
      <c r="AZ1432" t="s">
        <v>102</v>
      </c>
      <c r="BB1432" t="s">
        <v>235</v>
      </c>
      <c r="BC1432" t="s">
        <v>7528</v>
      </c>
      <c r="BD1432" t="s">
        <v>7528</v>
      </c>
      <c r="BF1432" t="s">
        <v>4573</v>
      </c>
      <c r="BG1432" t="s">
        <v>98</v>
      </c>
      <c r="BH1432" t="s">
        <v>98</v>
      </c>
      <c r="BI1432" t="s">
        <v>98</v>
      </c>
      <c r="BK1432" t="s">
        <v>127</v>
      </c>
      <c r="BL1432" t="s">
        <v>7528</v>
      </c>
      <c r="BQ1432">
        <v>16</v>
      </c>
      <c r="BR1432">
        <v>0.75</v>
      </c>
      <c r="BS1432">
        <v>16</v>
      </c>
      <c r="BT1432">
        <v>16</v>
      </c>
      <c r="CA1432">
        <v>840</v>
      </c>
      <c r="CB1432" t="s">
        <v>560</v>
      </c>
      <c r="CG1432">
        <v>3000</v>
      </c>
      <c r="CH1432">
        <v>93</v>
      </c>
      <c r="CI1432">
        <v>2530</v>
      </c>
      <c r="CJ1432">
        <v>1469</v>
      </c>
      <c r="CK1432">
        <v>30000</v>
      </c>
      <c r="CL1432" t="s">
        <v>99</v>
      </c>
      <c r="CM1432" t="s">
        <v>98</v>
      </c>
      <c r="CN1432" t="s">
        <v>442</v>
      </c>
      <c r="CO1432" s="1">
        <v>43334</v>
      </c>
      <c r="CP1432" s="1">
        <v>43633</v>
      </c>
    </row>
    <row r="1433" spans="1:94" x14ac:dyDescent="0.25">
      <c r="A1433" t="s">
        <v>4574</v>
      </c>
      <c r="B1433" t="str">
        <f xml:space="preserve"> "" &amp; 747396008899</f>
        <v>747396008899</v>
      </c>
      <c r="C1433" t="s">
        <v>230</v>
      </c>
      <c r="D1433" t="s">
        <v>6894</v>
      </c>
      <c r="E1433" t="s">
        <v>7527</v>
      </c>
      <c r="F1433" t="s">
        <v>232</v>
      </c>
      <c r="G1433">
        <v>1</v>
      </c>
      <c r="H1433">
        <v>1</v>
      </c>
      <c r="I1433" t="s">
        <v>97</v>
      </c>
      <c r="J1433" s="10">
        <v>45</v>
      </c>
      <c r="K1433" s="10">
        <v>135</v>
      </c>
      <c r="L1433" s="10">
        <v>0</v>
      </c>
      <c r="N1433" s="10">
        <v>0</v>
      </c>
      <c r="O1433" t="s">
        <v>99</v>
      </c>
      <c r="P1433" s="10">
        <v>89.95</v>
      </c>
      <c r="S1433">
        <v>5.25</v>
      </c>
      <c r="U1433">
        <v>12</v>
      </c>
      <c r="V1433">
        <v>6</v>
      </c>
      <c r="W1433">
        <v>2.31</v>
      </c>
      <c r="X1433">
        <v>1</v>
      </c>
      <c r="Y1433">
        <v>8</v>
      </c>
      <c r="Z1433">
        <v>13.5</v>
      </c>
      <c r="AA1433">
        <v>10</v>
      </c>
      <c r="AB1433">
        <v>0.625</v>
      </c>
      <c r="AC1433">
        <v>3.64</v>
      </c>
      <c r="AE1433">
        <v>1</v>
      </c>
      <c r="AF1433" t="s">
        <v>319</v>
      </c>
      <c r="AG1433">
        <v>100</v>
      </c>
      <c r="AK1433" t="s">
        <v>98</v>
      </c>
      <c r="AM1433" t="s">
        <v>98</v>
      </c>
      <c r="AN1433" t="s">
        <v>99</v>
      </c>
      <c r="AO1433" t="s">
        <v>98</v>
      </c>
      <c r="AP1433" t="s">
        <v>100</v>
      </c>
      <c r="AQ1433" t="s">
        <v>101</v>
      </c>
      <c r="AV1433" t="s">
        <v>98</v>
      </c>
      <c r="AX1433" t="s">
        <v>3202</v>
      </c>
      <c r="AZ1433" t="s">
        <v>124</v>
      </c>
      <c r="BB1433" t="s">
        <v>235</v>
      </c>
      <c r="BC1433" t="s">
        <v>363</v>
      </c>
      <c r="BD1433" t="s">
        <v>7528</v>
      </c>
      <c r="BF1433" t="s">
        <v>4575</v>
      </c>
      <c r="BG1433" t="s">
        <v>98</v>
      </c>
      <c r="BH1433" t="s">
        <v>98</v>
      </c>
      <c r="BI1433" t="s">
        <v>98</v>
      </c>
      <c r="BK1433" t="s">
        <v>127</v>
      </c>
      <c r="BL1433" t="s">
        <v>236</v>
      </c>
      <c r="BR1433">
        <v>5</v>
      </c>
      <c r="BT1433">
        <v>12</v>
      </c>
      <c r="CA1433">
        <v>841</v>
      </c>
      <c r="CB1433" t="s">
        <v>3202</v>
      </c>
      <c r="CL1433" t="s">
        <v>99</v>
      </c>
      <c r="CM1433" t="s">
        <v>98</v>
      </c>
      <c r="CN1433" t="s">
        <v>592</v>
      </c>
      <c r="CO1433" s="1">
        <v>37956</v>
      </c>
      <c r="CP1433" s="1">
        <v>43633</v>
      </c>
    </row>
    <row r="1434" spans="1:94" x14ac:dyDescent="0.25">
      <c r="A1434" t="s">
        <v>4576</v>
      </c>
      <c r="B1434" t="str">
        <f xml:space="preserve"> "" &amp; 747396801988</f>
        <v>747396801988</v>
      </c>
      <c r="C1434" t="s">
        <v>1400</v>
      </c>
      <c r="D1434" t="s">
        <v>243</v>
      </c>
      <c r="E1434" t="s">
        <v>7528</v>
      </c>
      <c r="F1434" t="s">
        <v>240</v>
      </c>
      <c r="G1434">
        <v>1</v>
      </c>
      <c r="H1434">
        <v>1</v>
      </c>
      <c r="I1434" t="s">
        <v>97</v>
      </c>
      <c r="J1434" s="10">
        <v>95</v>
      </c>
      <c r="K1434" s="10">
        <v>285</v>
      </c>
      <c r="L1434" s="10">
        <v>0</v>
      </c>
      <c r="N1434" s="10">
        <v>0</v>
      </c>
      <c r="O1434" t="s">
        <v>99</v>
      </c>
      <c r="P1434" s="10">
        <v>189.95</v>
      </c>
      <c r="S1434">
        <v>16.25</v>
      </c>
      <c r="T1434">
        <v>19</v>
      </c>
      <c r="U1434">
        <v>19</v>
      </c>
      <c r="W1434">
        <v>7.03</v>
      </c>
      <c r="Y1434">
        <v>11.75</v>
      </c>
      <c r="Z1434">
        <v>22.5</v>
      </c>
      <c r="AA1434">
        <v>22.25</v>
      </c>
      <c r="AB1434">
        <v>3.4039999999999999</v>
      </c>
      <c r="AC1434">
        <v>10.32</v>
      </c>
      <c r="AE1434">
        <v>3</v>
      </c>
      <c r="AF1434" t="s">
        <v>4577</v>
      </c>
      <c r="AG1434">
        <v>100</v>
      </c>
      <c r="AK1434" t="s">
        <v>98</v>
      </c>
      <c r="AM1434" t="s">
        <v>98</v>
      </c>
      <c r="AN1434" t="s">
        <v>98</v>
      </c>
      <c r="AO1434" t="s">
        <v>99</v>
      </c>
      <c r="AP1434" t="s">
        <v>100</v>
      </c>
      <c r="AQ1434" t="s">
        <v>101</v>
      </c>
      <c r="AV1434" t="s">
        <v>98</v>
      </c>
      <c r="AX1434" t="s">
        <v>1257</v>
      </c>
      <c r="AZ1434" t="s">
        <v>102</v>
      </c>
      <c r="BB1434" t="s">
        <v>197</v>
      </c>
      <c r="BC1434" t="s">
        <v>4578</v>
      </c>
      <c r="BD1434" t="s">
        <v>7528</v>
      </c>
      <c r="BF1434" t="s">
        <v>4579</v>
      </c>
      <c r="BG1434" t="s">
        <v>98</v>
      </c>
      <c r="BH1434" t="s">
        <v>98</v>
      </c>
      <c r="BI1434" t="s">
        <v>98</v>
      </c>
      <c r="BK1434" t="s">
        <v>110</v>
      </c>
      <c r="BL1434" t="s">
        <v>128</v>
      </c>
      <c r="BR1434">
        <v>1.06</v>
      </c>
      <c r="BT1434">
        <v>5.5</v>
      </c>
      <c r="CA1434">
        <v>844</v>
      </c>
      <c r="CB1434" t="s">
        <v>1257</v>
      </c>
      <c r="CL1434" t="s">
        <v>99</v>
      </c>
      <c r="CM1434" t="s">
        <v>99</v>
      </c>
      <c r="CN1434" t="s">
        <v>305</v>
      </c>
      <c r="CO1434" s="1">
        <v>41993</v>
      </c>
      <c r="CP1434" s="1">
        <v>43633</v>
      </c>
    </row>
    <row r="1435" spans="1:94" x14ac:dyDescent="0.25">
      <c r="A1435" t="s">
        <v>4580</v>
      </c>
      <c r="B1435" t="str">
        <f xml:space="preserve"> "" &amp; 747396103266</f>
        <v>747396103266</v>
      </c>
      <c r="C1435" t="s">
        <v>569</v>
      </c>
      <c r="D1435" t="s">
        <v>4581</v>
      </c>
      <c r="E1435" t="s">
        <v>7528</v>
      </c>
      <c r="F1435" t="s">
        <v>478</v>
      </c>
      <c r="G1435">
        <v>1</v>
      </c>
      <c r="H1435">
        <v>1</v>
      </c>
      <c r="I1435" t="s">
        <v>97</v>
      </c>
      <c r="J1435" s="10">
        <v>115</v>
      </c>
      <c r="K1435" s="10">
        <v>345</v>
      </c>
      <c r="L1435" s="10">
        <v>0</v>
      </c>
      <c r="N1435" s="10">
        <v>0</v>
      </c>
      <c r="O1435" t="s">
        <v>99</v>
      </c>
      <c r="P1435" s="10">
        <v>244.95</v>
      </c>
      <c r="S1435">
        <v>6.5</v>
      </c>
      <c r="T1435">
        <v>17</v>
      </c>
      <c r="U1435">
        <v>17</v>
      </c>
      <c r="W1435">
        <v>11.31</v>
      </c>
      <c r="X1435">
        <v>1</v>
      </c>
      <c r="Y1435">
        <v>9.5</v>
      </c>
      <c r="Z1435">
        <v>19.25</v>
      </c>
      <c r="AA1435">
        <v>19.25</v>
      </c>
      <c r="AB1435">
        <v>2.0369999999999999</v>
      </c>
      <c r="AC1435">
        <v>14.66</v>
      </c>
      <c r="AE1435">
        <v>4</v>
      </c>
      <c r="AF1435" t="s">
        <v>282</v>
      </c>
      <c r="AG1435">
        <v>40</v>
      </c>
      <c r="AK1435" t="s">
        <v>98</v>
      </c>
      <c r="AM1435" t="s">
        <v>98</v>
      </c>
      <c r="AN1435" t="s">
        <v>99</v>
      </c>
      <c r="AO1435" t="s">
        <v>98</v>
      </c>
      <c r="AP1435" t="s">
        <v>100</v>
      </c>
      <c r="AQ1435" t="s">
        <v>101</v>
      </c>
      <c r="AV1435" t="s">
        <v>98</v>
      </c>
      <c r="AX1435" t="s">
        <v>608</v>
      </c>
      <c r="AZ1435" t="s">
        <v>102</v>
      </c>
      <c r="BB1435" t="s">
        <v>197</v>
      </c>
      <c r="BC1435" t="s">
        <v>285</v>
      </c>
      <c r="BD1435" t="s">
        <v>7528</v>
      </c>
      <c r="BF1435" t="s">
        <v>4582</v>
      </c>
      <c r="BG1435" t="s">
        <v>98</v>
      </c>
      <c r="BH1435" t="s">
        <v>98</v>
      </c>
      <c r="BI1435" t="s">
        <v>98</v>
      </c>
      <c r="BK1435" t="s">
        <v>127</v>
      </c>
      <c r="BL1435" t="s">
        <v>7528</v>
      </c>
      <c r="BR1435">
        <v>0.75</v>
      </c>
      <c r="BS1435">
        <v>17</v>
      </c>
      <c r="BT1435">
        <v>17</v>
      </c>
      <c r="CA1435">
        <v>845</v>
      </c>
      <c r="CB1435" t="s">
        <v>608</v>
      </c>
      <c r="CL1435" t="s">
        <v>99</v>
      </c>
      <c r="CM1435" t="s">
        <v>98</v>
      </c>
      <c r="CN1435" t="s">
        <v>1398</v>
      </c>
      <c r="CO1435" s="1">
        <v>42907</v>
      </c>
      <c r="CP1435" s="1">
        <v>43633</v>
      </c>
    </row>
    <row r="1436" spans="1:94" x14ac:dyDescent="0.25">
      <c r="A1436" t="s">
        <v>4583</v>
      </c>
      <c r="B1436" t="str">
        <f xml:space="preserve"> "" &amp; 747396108643</f>
        <v>747396108643</v>
      </c>
      <c r="C1436" t="s">
        <v>558</v>
      </c>
      <c r="D1436" t="s">
        <v>4584</v>
      </c>
      <c r="E1436" t="s">
        <v>7528</v>
      </c>
      <c r="F1436" t="s">
        <v>7532</v>
      </c>
      <c r="G1436">
        <v>1</v>
      </c>
      <c r="H1436">
        <v>1</v>
      </c>
      <c r="I1436" t="s">
        <v>97</v>
      </c>
      <c r="J1436" s="10">
        <v>129.94999999999999</v>
      </c>
      <c r="K1436" s="10">
        <v>389.85</v>
      </c>
      <c r="L1436" s="10">
        <v>0</v>
      </c>
      <c r="N1436" s="10">
        <v>0</v>
      </c>
      <c r="O1436" t="s">
        <v>99</v>
      </c>
      <c r="P1436" s="10">
        <v>274.95</v>
      </c>
      <c r="S1436">
        <v>6.5</v>
      </c>
      <c r="T1436">
        <v>17</v>
      </c>
      <c r="U1436">
        <v>17</v>
      </c>
      <c r="W1436">
        <v>11.57</v>
      </c>
      <c r="X1436">
        <v>1</v>
      </c>
      <c r="Y1436">
        <v>9.5</v>
      </c>
      <c r="Z1436">
        <v>19.25</v>
      </c>
      <c r="AA1436">
        <v>19.25</v>
      </c>
      <c r="AB1436">
        <v>2.0369999999999999</v>
      </c>
      <c r="AC1436">
        <v>15.08</v>
      </c>
      <c r="AE1436">
        <v>1</v>
      </c>
      <c r="AF1436" t="s">
        <v>559</v>
      </c>
      <c r="AG1436">
        <v>32</v>
      </c>
      <c r="AK1436" t="s">
        <v>99</v>
      </c>
      <c r="AM1436" t="s">
        <v>98</v>
      </c>
      <c r="AN1436" t="s">
        <v>99</v>
      </c>
      <c r="AO1436" t="s">
        <v>98</v>
      </c>
      <c r="AP1436" t="s">
        <v>100</v>
      </c>
      <c r="AQ1436" t="s">
        <v>101</v>
      </c>
      <c r="AV1436" t="s">
        <v>98</v>
      </c>
      <c r="AX1436" t="s">
        <v>608</v>
      </c>
      <c r="AZ1436" t="s">
        <v>102</v>
      </c>
      <c r="BB1436" t="s">
        <v>7528</v>
      </c>
      <c r="BC1436" t="s">
        <v>7528</v>
      </c>
      <c r="BD1436" t="s">
        <v>7528</v>
      </c>
      <c r="BF1436" t="s">
        <v>4585</v>
      </c>
      <c r="BG1436" t="s">
        <v>98</v>
      </c>
      <c r="BH1436" t="s">
        <v>98</v>
      </c>
      <c r="BI1436" t="s">
        <v>98</v>
      </c>
      <c r="BK1436" t="s">
        <v>127</v>
      </c>
      <c r="BL1436" t="s">
        <v>7528</v>
      </c>
      <c r="BQ1436">
        <v>17</v>
      </c>
      <c r="BR1436">
        <v>0.75</v>
      </c>
      <c r="BS1436">
        <v>17</v>
      </c>
      <c r="BT1436">
        <v>17</v>
      </c>
      <c r="CA1436">
        <v>845</v>
      </c>
      <c r="CB1436" t="s">
        <v>608</v>
      </c>
      <c r="CG1436">
        <v>3000</v>
      </c>
      <c r="CH1436">
        <v>92</v>
      </c>
      <c r="CI1436">
        <v>2708</v>
      </c>
      <c r="CJ1436">
        <v>1632</v>
      </c>
      <c r="CK1436">
        <v>30000</v>
      </c>
      <c r="CL1436" t="s">
        <v>99</v>
      </c>
      <c r="CM1436" t="s">
        <v>98</v>
      </c>
      <c r="CN1436" t="s">
        <v>1398</v>
      </c>
      <c r="CO1436" s="1">
        <v>43334</v>
      </c>
      <c r="CP1436" s="1">
        <v>43633</v>
      </c>
    </row>
    <row r="1437" spans="1:94" x14ac:dyDescent="0.25">
      <c r="A1437" t="s">
        <v>4586</v>
      </c>
      <c r="B1437" t="str">
        <f xml:space="preserve"> "" &amp; 747396108636</f>
        <v>747396108636</v>
      </c>
      <c r="C1437" t="s">
        <v>558</v>
      </c>
      <c r="D1437" t="s">
        <v>4584</v>
      </c>
      <c r="E1437" t="s">
        <v>7528</v>
      </c>
      <c r="F1437" t="s">
        <v>7532</v>
      </c>
      <c r="G1437">
        <v>1</v>
      </c>
      <c r="H1437">
        <v>1</v>
      </c>
      <c r="I1437" t="s">
        <v>97</v>
      </c>
      <c r="J1437" s="10">
        <v>129.94999999999999</v>
      </c>
      <c r="K1437" s="10">
        <v>389.85</v>
      </c>
      <c r="L1437" s="10">
        <v>0</v>
      </c>
      <c r="N1437" s="10">
        <v>0</v>
      </c>
      <c r="O1437" t="s">
        <v>99</v>
      </c>
      <c r="P1437" s="10">
        <v>274.95</v>
      </c>
      <c r="S1437">
        <v>6.5</v>
      </c>
      <c r="T1437">
        <v>17</v>
      </c>
      <c r="U1437">
        <v>17</v>
      </c>
      <c r="W1437">
        <v>11.57</v>
      </c>
      <c r="X1437">
        <v>1</v>
      </c>
      <c r="Y1437">
        <v>9.5</v>
      </c>
      <c r="Z1437">
        <v>19.25</v>
      </c>
      <c r="AA1437">
        <v>19.25</v>
      </c>
      <c r="AB1437">
        <v>2.0369999999999999</v>
      </c>
      <c r="AC1437">
        <v>15.08</v>
      </c>
      <c r="AE1437">
        <v>1</v>
      </c>
      <c r="AF1437" t="s">
        <v>559</v>
      </c>
      <c r="AG1437">
        <v>30</v>
      </c>
      <c r="AK1437" t="s">
        <v>99</v>
      </c>
      <c r="AM1437" t="s">
        <v>98</v>
      </c>
      <c r="AN1437" t="s">
        <v>99</v>
      </c>
      <c r="AO1437" t="s">
        <v>98</v>
      </c>
      <c r="AP1437" t="s">
        <v>100</v>
      </c>
      <c r="AQ1437" t="s">
        <v>101</v>
      </c>
      <c r="AV1437" t="s">
        <v>98</v>
      </c>
      <c r="AX1437" t="s">
        <v>279</v>
      </c>
      <c r="AZ1437" t="s">
        <v>102</v>
      </c>
      <c r="BB1437" t="s">
        <v>7528</v>
      </c>
      <c r="BC1437" t="s">
        <v>7528</v>
      </c>
      <c r="BD1437" t="s">
        <v>7528</v>
      </c>
      <c r="BF1437" t="s">
        <v>4587</v>
      </c>
      <c r="BG1437" t="s">
        <v>98</v>
      </c>
      <c r="BH1437" t="s">
        <v>98</v>
      </c>
      <c r="BI1437" t="s">
        <v>98</v>
      </c>
      <c r="BK1437" t="s">
        <v>127</v>
      </c>
      <c r="BL1437" t="s">
        <v>7528</v>
      </c>
      <c r="BQ1437">
        <v>17</v>
      </c>
      <c r="BR1437">
        <v>0.75</v>
      </c>
      <c r="BS1437">
        <v>17</v>
      </c>
      <c r="BT1437">
        <v>17</v>
      </c>
      <c r="CA1437">
        <v>845</v>
      </c>
      <c r="CB1437" t="s">
        <v>279</v>
      </c>
      <c r="CG1437">
        <v>3000</v>
      </c>
      <c r="CH1437">
        <v>93</v>
      </c>
      <c r="CI1437">
        <v>2615</v>
      </c>
      <c r="CJ1437">
        <v>1537</v>
      </c>
      <c r="CK1437">
        <v>30000</v>
      </c>
      <c r="CL1437" t="s">
        <v>99</v>
      </c>
      <c r="CM1437" t="s">
        <v>98</v>
      </c>
      <c r="CN1437" t="s">
        <v>1398</v>
      </c>
      <c r="CO1437" s="1">
        <v>43334</v>
      </c>
      <c r="CP1437" s="1">
        <v>43633</v>
      </c>
    </row>
    <row r="1438" spans="1:94" x14ac:dyDescent="0.25">
      <c r="A1438" t="s">
        <v>4588</v>
      </c>
      <c r="B1438" t="str">
        <f xml:space="preserve"> "" &amp; 747396103198</f>
        <v>747396103198</v>
      </c>
      <c r="C1438" t="s">
        <v>569</v>
      </c>
      <c r="D1438" t="s">
        <v>1346</v>
      </c>
      <c r="E1438" t="s">
        <v>7528</v>
      </c>
      <c r="F1438" t="s">
        <v>478</v>
      </c>
      <c r="G1438">
        <v>1</v>
      </c>
      <c r="H1438">
        <v>1</v>
      </c>
      <c r="I1438" t="s">
        <v>97</v>
      </c>
      <c r="J1438" s="10">
        <v>115</v>
      </c>
      <c r="K1438" s="10">
        <v>345</v>
      </c>
      <c r="L1438" s="10">
        <v>0</v>
      </c>
      <c r="N1438" s="10">
        <v>0</v>
      </c>
      <c r="O1438" t="s">
        <v>99</v>
      </c>
      <c r="P1438" s="10">
        <v>244.95</v>
      </c>
      <c r="S1438">
        <v>6.75</v>
      </c>
      <c r="T1438">
        <v>16</v>
      </c>
      <c r="U1438">
        <v>16</v>
      </c>
      <c r="W1438">
        <v>12.81</v>
      </c>
      <c r="X1438">
        <v>1</v>
      </c>
      <c r="Y1438">
        <v>14.25</v>
      </c>
      <c r="Z1438">
        <v>18</v>
      </c>
      <c r="AA1438">
        <v>18</v>
      </c>
      <c r="AB1438">
        <v>2.6720000000000002</v>
      </c>
      <c r="AC1438">
        <v>15.7</v>
      </c>
      <c r="AE1438">
        <v>3</v>
      </c>
      <c r="AF1438" t="s">
        <v>282</v>
      </c>
      <c r="AG1438">
        <v>60</v>
      </c>
      <c r="AK1438" t="s">
        <v>98</v>
      </c>
      <c r="AM1438" t="s">
        <v>98</v>
      </c>
      <c r="AN1438" t="s">
        <v>99</v>
      </c>
      <c r="AO1438" t="s">
        <v>98</v>
      </c>
      <c r="AP1438" t="s">
        <v>100</v>
      </c>
      <c r="AQ1438" t="s">
        <v>101</v>
      </c>
      <c r="AV1438" t="s">
        <v>98</v>
      </c>
      <c r="AX1438" t="s">
        <v>616</v>
      </c>
      <c r="AZ1438" t="s">
        <v>102</v>
      </c>
      <c r="BB1438" t="s">
        <v>235</v>
      </c>
      <c r="BC1438" t="s">
        <v>133</v>
      </c>
      <c r="BD1438" t="s">
        <v>7528</v>
      </c>
      <c r="BF1438" t="s">
        <v>4589</v>
      </c>
      <c r="BG1438" t="s">
        <v>98</v>
      </c>
      <c r="BH1438" t="s">
        <v>98</v>
      </c>
      <c r="BI1438" t="s">
        <v>98</v>
      </c>
      <c r="BK1438" t="s">
        <v>127</v>
      </c>
      <c r="BL1438" t="s">
        <v>7528</v>
      </c>
      <c r="BR1438">
        <v>1</v>
      </c>
      <c r="BS1438">
        <v>16</v>
      </c>
      <c r="BT1438">
        <v>16</v>
      </c>
      <c r="CA1438">
        <v>846</v>
      </c>
      <c r="CB1438" t="s">
        <v>616</v>
      </c>
      <c r="CL1438" t="s">
        <v>99</v>
      </c>
      <c r="CM1438" t="s">
        <v>98</v>
      </c>
      <c r="CN1438" t="s">
        <v>442</v>
      </c>
      <c r="CO1438" s="1">
        <v>42905</v>
      </c>
      <c r="CP1438" s="1">
        <v>43633</v>
      </c>
    </row>
    <row r="1439" spans="1:94" x14ac:dyDescent="0.25">
      <c r="A1439" t="s">
        <v>4590</v>
      </c>
      <c r="B1439" t="str">
        <f xml:space="preserve"> "" &amp; 747396108681</f>
        <v>747396108681</v>
      </c>
      <c r="C1439" t="s">
        <v>558</v>
      </c>
      <c r="D1439" t="s">
        <v>558</v>
      </c>
      <c r="E1439" t="s">
        <v>7528</v>
      </c>
      <c r="F1439" t="s">
        <v>7532</v>
      </c>
      <c r="G1439">
        <v>1</v>
      </c>
      <c r="H1439">
        <v>1</v>
      </c>
      <c r="I1439" t="s">
        <v>97</v>
      </c>
      <c r="J1439" s="10">
        <v>129.94999999999999</v>
      </c>
      <c r="K1439" s="10">
        <v>389.85</v>
      </c>
      <c r="L1439" s="10">
        <v>0</v>
      </c>
      <c r="N1439" s="10">
        <v>0</v>
      </c>
      <c r="O1439" t="s">
        <v>99</v>
      </c>
      <c r="P1439" s="10">
        <v>274.95</v>
      </c>
      <c r="S1439">
        <v>6.75</v>
      </c>
      <c r="T1439">
        <v>16</v>
      </c>
      <c r="U1439">
        <v>16</v>
      </c>
      <c r="W1439">
        <v>12.83</v>
      </c>
      <c r="X1439">
        <v>1</v>
      </c>
      <c r="Y1439">
        <v>14.25</v>
      </c>
      <c r="Z1439">
        <v>18</v>
      </c>
      <c r="AA1439">
        <v>18</v>
      </c>
      <c r="AB1439">
        <v>2.6720000000000002</v>
      </c>
      <c r="AC1439">
        <v>16.53</v>
      </c>
      <c r="AE1439">
        <v>1</v>
      </c>
      <c r="AF1439" t="s">
        <v>559</v>
      </c>
      <c r="AG1439">
        <v>32</v>
      </c>
      <c r="AK1439" t="s">
        <v>99</v>
      </c>
      <c r="AM1439" t="s">
        <v>98</v>
      </c>
      <c r="AN1439" t="s">
        <v>99</v>
      </c>
      <c r="AO1439" t="s">
        <v>98</v>
      </c>
      <c r="AP1439" t="s">
        <v>100</v>
      </c>
      <c r="AQ1439" t="s">
        <v>101</v>
      </c>
      <c r="AV1439" t="s">
        <v>98</v>
      </c>
      <c r="AX1439" t="s">
        <v>616</v>
      </c>
      <c r="AZ1439" t="s">
        <v>102</v>
      </c>
      <c r="BB1439" t="s">
        <v>235</v>
      </c>
      <c r="BC1439" t="s">
        <v>133</v>
      </c>
      <c r="BD1439" t="s">
        <v>7528</v>
      </c>
      <c r="BF1439" t="s">
        <v>4591</v>
      </c>
      <c r="BG1439" t="s">
        <v>98</v>
      </c>
      <c r="BH1439" t="s">
        <v>98</v>
      </c>
      <c r="BI1439" t="s">
        <v>98</v>
      </c>
      <c r="BK1439" t="s">
        <v>127</v>
      </c>
      <c r="BL1439" t="s">
        <v>7528</v>
      </c>
      <c r="BQ1439">
        <v>16</v>
      </c>
      <c r="BR1439">
        <v>1</v>
      </c>
      <c r="BS1439">
        <v>16</v>
      </c>
      <c r="BT1439">
        <v>16</v>
      </c>
      <c r="CA1439">
        <v>846</v>
      </c>
      <c r="CB1439" t="s">
        <v>616</v>
      </c>
      <c r="CG1439">
        <v>3000</v>
      </c>
      <c r="CH1439">
        <v>93</v>
      </c>
      <c r="CI1439">
        <v>2604</v>
      </c>
      <c r="CJ1439">
        <v>1916</v>
      </c>
      <c r="CK1439">
        <v>30000</v>
      </c>
      <c r="CL1439" t="s">
        <v>99</v>
      </c>
      <c r="CM1439" t="s">
        <v>98</v>
      </c>
      <c r="CN1439" t="s">
        <v>442</v>
      </c>
      <c r="CO1439" s="1">
        <v>43200</v>
      </c>
      <c r="CP1439" s="1">
        <v>43633</v>
      </c>
    </row>
    <row r="1440" spans="1:94" x14ac:dyDescent="0.25">
      <c r="A1440" t="s">
        <v>4592</v>
      </c>
      <c r="B1440" t="str">
        <f xml:space="preserve"> "" &amp; 747396103204</f>
        <v>747396103204</v>
      </c>
      <c r="C1440" t="s">
        <v>569</v>
      </c>
      <c r="D1440" t="s">
        <v>1346</v>
      </c>
      <c r="E1440" t="s">
        <v>7528</v>
      </c>
      <c r="F1440" t="s">
        <v>478</v>
      </c>
      <c r="G1440">
        <v>1</v>
      </c>
      <c r="H1440">
        <v>1</v>
      </c>
      <c r="I1440" t="s">
        <v>97</v>
      </c>
      <c r="J1440" s="10">
        <v>115</v>
      </c>
      <c r="K1440" s="10">
        <v>345</v>
      </c>
      <c r="L1440" s="10">
        <v>0</v>
      </c>
      <c r="N1440" s="10">
        <v>0</v>
      </c>
      <c r="O1440" t="s">
        <v>99</v>
      </c>
      <c r="P1440" s="10">
        <v>244.95</v>
      </c>
      <c r="S1440">
        <v>6.75</v>
      </c>
      <c r="T1440">
        <v>16</v>
      </c>
      <c r="U1440">
        <v>16</v>
      </c>
      <c r="W1440">
        <v>12.81</v>
      </c>
      <c r="X1440">
        <v>1</v>
      </c>
      <c r="Y1440">
        <v>14.25</v>
      </c>
      <c r="Z1440">
        <v>18</v>
      </c>
      <c r="AA1440">
        <v>18</v>
      </c>
      <c r="AB1440">
        <v>2.6720000000000002</v>
      </c>
      <c r="AC1440">
        <v>15.7</v>
      </c>
      <c r="AE1440">
        <v>3</v>
      </c>
      <c r="AF1440" t="s">
        <v>282</v>
      </c>
      <c r="AG1440">
        <v>60</v>
      </c>
      <c r="AK1440" t="s">
        <v>98</v>
      </c>
      <c r="AM1440" t="s">
        <v>98</v>
      </c>
      <c r="AN1440" t="s">
        <v>99</v>
      </c>
      <c r="AO1440" t="s">
        <v>98</v>
      </c>
      <c r="AP1440" t="s">
        <v>100</v>
      </c>
      <c r="AQ1440" t="s">
        <v>101</v>
      </c>
      <c r="AV1440" t="s">
        <v>98</v>
      </c>
      <c r="AX1440" t="s">
        <v>622</v>
      </c>
      <c r="AZ1440" t="s">
        <v>102</v>
      </c>
      <c r="BB1440" t="s">
        <v>235</v>
      </c>
      <c r="BC1440" t="s">
        <v>133</v>
      </c>
      <c r="BD1440" t="s">
        <v>7528</v>
      </c>
      <c r="BF1440" t="s">
        <v>4593</v>
      </c>
      <c r="BG1440" t="s">
        <v>98</v>
      </c>
      <c r="BH1440" t="s">
        <v>98</v>
      </c>
      <c r="BI1440" t="s">
        <v>98</v>
      </c>
      <c r="BK1440" t="s">
        <v>127</v>
      </c>
      <c r="BL1440" t="s">
        <v>7528</v>
      </c>
      <c r="BR1440">
        <v>1</v>
      </c>
      <c r="BS1440">
        <v>16</v>
      </c>
      <c r="BT1440">
        <v>16</v>
      </c>
      <c r="CA1440">
        <v>846</v>
      </c>
      <c r="CB1440" t="s">
        <v>622</v>
      </c>
      <c r="CL1440" t="s">
        <v>99</v>
      </c>
      <c r="CM1440" t="s">
        <v>98</v>
      </c>
      <c r="CN1440" t="s">
        <v>442</v>
      </c>
      <c r="CO1440" s="1">
        <v>42905</v>
      </c>
      <c r="CP1440" s="1">
        <v>43633</v>
      </c>
    </row>
    <row r="1441" spans="1:94" x14ac:dyDescent="0.25">
      <c r="A1441" t="s">
        <v>4594</v>
      </c>
      <c r="B1441" t="str">
        <f xml:space="preserve"> "" &amp; 747396108674</f>
        <v>747396108674</v>
      </c>
      <c r="C1441" t="s">
        <v>558</v>
      </c>
      <c r="D1441" t="s">
        <v>558</v>
      </c>
      <c r="E1441" t="s">
        <v>7528</v>
      </c>
      <c r="F1441" t="s">
        <v>7532</v>
      </c>
      <c r="G1441">
        <v>1</v>
      </c>
      <c r="H1441">
        <v>1</v>
      </c>
      <c r="I1441" t="s">
        <v>97</v>
      </c>
      <c r="J1441" s="10">
        <v>129.94999999999999</v>
      </c>
      <c r="K1441" s="10">
        <v>389.85</v>
      </c>
      <c r="L1441" s="10">
        <v>0</v>
      </c>
      <c r="N1441" s="10">
        <v>0</v>
      </c>
      <c r="O1441" t="s">
        <v>99</v>
      </c>
      <c r="P1441" s="10">
        <v>274.95</v>
      </c>
      <c r="S1441">
        <v>6.75</v>
      </c>
      <c r="T1441">
        <v>16</v>
      </c>
      <c r="U1441">
        <v>16</v>
      </c>
      <c r="W1441">
        <v>12.83</v>
      </c>
      <c r="X1441">
        <v>1</v>
      </c>
      <c r="Y1441">
        <v>14.25</v>
      </c>
      <c r="Z1441">
        <v>18</v>
      </c>
      <c r="AA1441">
        <v>18</v>
      </c>
      <c r="AB1441">
        <v>2.6720000000000002</v>
      </c>
      <c r="AC1441">
        <v>16.53</v>
      </c>
      <c r="AE1441">
        <v>1</v>
      </c>
      <c r="AF1441" t="s">
        <v>559</v>
      </c>
      <c r="AG1441">
        <v>32</v>
      </c>
      <c r="AK1441" t="s">
        <v>99</v>
      </c>
      <c r="AM1441" t="s">
        <v>98</v>
      </c>
      <c r="AN1441" t="s">
        <v>99</v>
      </c>
      <c r="AO1441" t="s">
        <v>98</v>
      </c>
      <c r="AP1441" t="s">
        <v>100</v>
      </c>
      <c r="AQ1441" t="s">
        <v>101</v>
      </c>
      <c r="AV1441" t="s">
        <v>98</v>
      </c>
      <c r="AX1441" t="s">
        <v>622</v>
      </c>
      <c r="AZ1441" t="s">
        <v>102</v>
      </c>
      <c r="BB1441" t="s">
        <v>235</v>
      </c>
      <c r="BC1441" t="s">
        <v>7528</v>
      </c>
      <c r="BD1441" t="s">
        <v>7528</v>
      </c>
      <c r="BF1441" t="s">
        <v>4595</v>
      </c>
      <c r="BG1441" t="s">
        <v>98</v>
      </c>
      <c r="BH1441" t="s">
        <v>98</v>
      </c>
      <c r="BI1441" t="s">
        <v>98</v>
      </c>
      <c r="BK1441" t="s">
        <v>127</v>
      </c>
      <c r="BL1441" t="s">
        <v>7528</v>
      </c>
      <c r="BQ1441">
        <v>16</v>
      </c>
      <c r="BR1441">
        <v>1</v>
      </c>
      <c r="BS1441">
        <v>16</v>
      </c>
      <c r="BT1441">
        <v>16</v>
      </c>
      <c r="CA1441">
        <v>846</v>
      </c>
      <c r="CB1441" t="s">
        <v>622</v>
      </c>
      <c r="CG1441">
        <v>3000</v>
      </c>
      <c r="CH1441">
        <v>93</v>
      </c>
      <c r="CI1441">
        <v>2692</v>
      </c>
      <c r="CJ1441">
        <v>1946</v>
      </c>
      <c r="CK1441">
        <v>30000</v>
      </c>
      <c r="CL1441" t="s">
        <v>99</v>
      </c>
      <c r="CM1441" t="s">
        <v>98</v>
      </c>
      <c r="CN1441" t="s">
        <v>729</v>
      </c>
      <c r="CO1441" s="1">
        <v>43334</v>
      </c>
      <c r="CP1441" s="1">
        <v>43633</v>
      </c>
    </row>
    <row r="1442" spans="1:94" x14ac:dyDescent="0.25">
      <c r="A1442" t="s">
        <v>4596</v>
      </c>
      <c r="B1442" t="str">
        <f xml:space="preserve"> "" &amp; 747396620459</f>
        <v>747396620459</v>
      </c>
      <c r="C1442" t="s">
        <v>1577</v>
      </c>
      <c r="D1442" t="s">
        <v>6895</v>
      </c>
      <c r="E1442" t="s">
        <v>4597</v>
      </c>
      <c r="F1442" t="s">
        <v>2823</v>
      </c>
      <c r="G1442">
        <v>1</v>
      </c>
      <c r="H1442">
        <v>1</v>
      </c>
      <c r="I1442" t="s">
        <v>97</v>
      </c>
      <c r="J1442" s="10">
        <v>124</v>
      </c>
      <c r="K1442" s="10">
        <v>372</v>
      </c>
      <c r="L1442" s="10">
        <v>0</v>
      </c>
      <c r="N1442" s="10">
        <v>0</v>
      </c>
      <c r="O1442" t="s">
        <v>99</v>
      </c>
      <c r="P1442" s="10">
        <v>249.95</v>
      </c>
      <c r="S1442">
        <v>12.25</v>
      </c>
      <c r="U1442">
        <v>6</v>
      </c>
      <c r="V1442">
        <v>7.75</v>
      </c>
      <c r="W1442">
        <v>2.87</v>
      </c>
      <c r="X1442">
        <v>1</v>
      </c>
      <c r="Y1442">
        <v>14.25</v>
      </c>
      <c r="Z1442">
        <v>8</v>
      </c>
      <c r="AA1442">
        <v>9.25</v>
      </c>
      <c r="AB1442">
        <v>0.61</v>
      </c>
      <c r="AC1442">
        <v>5.07</v>
      </c>
      <c r="AE1442">
        <v>1</v>
      </c>
      <c r="AF1442" t="s">
        <v>662</v>
      </c>
      <c r="AG1442">
        <v>100</v>
      </c>
      <c r="AH1442">
        <v>0</v>
      </c>
      <c r="AK1442" t="s">
        <v>98</v>
      </c>
      <c r="AM1442" t="s">
        <v>98</v>
      </c>
      <c r="AN1442" t="s">
        <v>98</v>
      </c>
      <c r="AO1442" t="s">
        <v>99</v>
      </c>
      <c r="AP1442" t="s">
        <v>100</v>
      </c>
      <c r="AQ1442" t="s">
        <v>101</v>
      </c>
      <c r="AV1442" t="s">
        <v>98</v>
      </c>
      <c r="AX1442" t="s">
        <v>4273</v>
      </c>
      <c r="AZ1442" t="s">
        <v>124</v>
      </c>
      <c r="BB1442" t="s">
        <v>4934</v>
      </c>
      <c r="BC1442" t="s">
        <v>746</v>
      </c>
      <c r="BD1442" t="s">
        <v>7528</v>
      </c>
      <c r="BF1442" t="s">
        <v>4598</v>
      </c>
      <c r="BG1442" t="s">
        <v>98</v>
      </c>
      <c r="BH1442" t="s">
        <v>98</v>
      </c>
      <c r="BI1442" t="s">
        <v>98</v>
      </c>
      <c r="BJ1442" t="s">
        <v>99</v>
      </c>
      <c r="BK1442" t="s">
        <v>453</v>
      </c>
      <c r="BL1442" t="s">
        <v>128</v>
      </c>
      <c r="BR1442">
        <v>5.75</v>
      </c>
      <c r="BT1442">
        <v>5</v>
      </c>
      <c r="CA1442">
        <v>8561</v>
      </c>
      <c r="CB1442" t="s">
        <v>4273</v>
      </c>
      <c r="CG1442">
        <v>0</v>
      </c>
      <c r="CL1442" t="s">
        <v>99</v>
      </c>
      <c r="CM1442" t="s">
        <v>98</v>
      </c>
      <c r="CN1442" t="s">
        <v>4599</v>
      </c>
      <c r="CO1442" s="1">
        <v>36658</v>
      </c>
      <c r="CP1442" s="1">
        <v>43633</v>
      </c>
    </row>
    <row r="1443" spans="1:94" x14ac:dyDescent="0.25">
      <c r="A1443" t="s">
        <v>4600</v>
      </c>
      <c r="B1443" t="str">
        <f xml:space="preserve"> "" &amp; 747396620466</f>
        <v>747396620466</v>
      </c>
      <c r="C1443" t="s">
        <v>1799</v>
      </c>
      <c r="D1443" t="s">
        <v>6896</v>
      </c>
      <c r="E1443" t="s">
        <v>4597</v>
      </c>
      <c r="F1443" t="s">
        <v>2823</v>
      </c>
      <c r="G1443">
        <v>1</v>
      </c>
      <c r="H1443">
        <v>1</v>
      </c>
      <c r="I1443" t="s">
        <v>97</v>
      </c>
      <c r="J1443" s="10">
        <v>189</v>
      </c>
      <c r="K1443" s="10">
        <v>567</v>
      </c>
      <c r="L1443" s="10">
        <v>0</v>
      </c>
      <c r="N1443" s="10">
        <v>0</v>
      </c>
      <c r="O1443" t="s">
        <v>99</v>
      </c>
      <c r="P1443" s="10">
        <v>379.95</v>
      </c>
      <c r="S1443">
        <v>16.5</v>
      </c>
      <c r="U1443">
        <v>8.25</v>
      </c>
      <c r="V1443">
        <v>9.75</v>
      </c>
      <c r="W1443">
        <v>6.48</v>
      </c>
      <c r="X1443">
        <v>1</v>
      </c>
      <c r="Y1443">
        <v>18.75</v>
      </c>
      <c r="Z1443">
        <v>11.5</v>
      </c>
      <c r="AA1443">
        <v>10.125</v>
      </c>
      <c r="AB1443">
        <v>1.2629999999999999</v>
      </c>
      <c r="AC1443">
        <v>7.5</v>
      </c>
      <c r="AE1443">
        <v>3</v>
      </c>
      <c r="AF1443" t="s">
        <v>308</v>
      </c>
      <c r="AG1443">
        <v>60</v>
      </c>
      <c r="AH1443">
        <v>0</v>
      </c>
      <c r="AK1443" t="s">
        <v>98</v>
      </c>
      <c r="AM1443" t="s">
        <v>98</v>
      </c>
      <c r="AN1443" t="s">
        <v>98</v>
      </c>
      <c r="AO1443" t="s">
        <v>99</v>
      </c>
      <c r="AP1443" t="s">
        <v>100</v>
      </c>
      <c r="AQ1443" t="s">
        <v>101</v>
      </c>
      <c r="AV1443" t="s">
        <v>98</v>
      </c>
      <c r="AX1443" t="s">
        <v>4273</v>
      </c>
      <c r="AZ1443" t="s">
        <v>124</v>
      </c>
      <c r="BB1443" t="s">
        <v>4934</v>
      </c>
      <c r="BC1443" t="s">
        <v>746</v>
      </c>
      <c r="BD1443" t="s">
        <v>7528</v>
      </c>
      <c r="BF1443" t="s">
        <v>4601</v>
      </c>
      <c r="BG1443" t="s">
        <v>98</v>
      </c>
      <c r="BH1443" t="s">
        <v>98</v>
      </c>
      <c r="BI1443" t="s">
        <v>98</v>
      </c>
      <c r="BJ1443" t="s">
        <v>99</v>
      </c>
      <c r="BK1443" t="s">
        <v>453</v>
      </c>
      <c r="BL1443" t="s">
        <v>128</v>
      </c>
      <c r="BR1443">
        <v>7.38</v>
      </c>
      <c r="BT1443">
        <v>5.13</v>
      </c>
      <c r="CA1443">
        <v>8562</v>
      </c>
      <c r="CB1443" t="s">
        <v>4273</v>
      </c>
      <c r="CG1443">
        <v>0</v>
      </c>
      <c r="CL1443" t="s">
        <v>99</v>
      </c>
      <c r="CM1443" t="s">
        <v>98</v>
      </c>
      <c r="CN1443" t="s">
        <v>4599</v>
      </c>
      <c r="CO1443" s="1">
        <v>36658</v>
      </c>
      <c r="CP1443" s="1">
        <v>43633</v>
      </c>
    </row>
    <row r="1444" spans="1:94" x14ac:dyDescent="0.25">
      <c r="A1444" t="s">
        <v>4602</v>
      </c>
      <c r="B1444" t="str">
        <f xml:space="preserve"> "" &amp; 747396009469</f>
        <v>747396009469</v>
      </c>
      <c r="C1444" t="s">
        <v>3394</v>
      </c>
      <c r="D1444" t="s">
        <v>6897</v>
      </c>
      <c r="E1444" t="s">
        <v>4597</v>
      </c>
      <c r="F1444" t="s">
        <v>2823</v>
      </c>
      <c r="G1444">
        <v>1</v>
      </c>
      <c r="H1444">
        <v>1</v>
      </c>
      <c r="I1444" t="s">
        <v>97</v>
      </c>
      <c r="J1444" s="10">
        <v>280</v>
      </c>
      <c r="K1444" s="10">
        <v>840</v>
      </c>
      <c r="L1444" s="10">
        <v>0</v>
      </c>
      <c r="N1444" s="10">
        <v>0</v>
      </c>
      <c r="O1444" t="s">
        <v>99</v>
      </c>
      <c r="P1444" s="10">
        <v>559.95000000000005</v>
      </c>
      <c r="S1444">
        <v>19</v>
      </c>
      <c r="U1444">
        <v>10</v>
      </c>
      <c r="V1444">
        <v>11.5</v>
      </c>
      <c r="W1444">
        <v>5.49</v>
      </c>
      <c r="X1444">
        <v>1</v>
      </c>
      <c r="Y1444">
        <v>22</v>
      </c>
      <c r="Z1444">
        <v>14.5</v>
      </c>
      <c r="AA1444">
        <v>13</v>
      </c>
      <c r="AB1444">
        <v>2.4</v>
      </c>
      <c r="AC1444">
        <v>7.5</v>
      </c>
      <c r="AE1444">
        <v>4</v>
      </c>
      <c r="AF1444" t="s">
        <v>308</v>
      </c>
      <c r="AG1444">
        <v>60</v>
      </c>
      <c r="AH1444">
        <v>0</v>
      </c>
      <c r="AK1444" t="s">
        <v>98</v>
      </c>
      <c r="AM1444" t="s">
        <v>98</v>
      </c>
      <c r="AN1444" t="s">
        <v>98</v>
      </c>
      <c r="AO1444" t="s">
        <v>99</v>
      </c>
      <c r="AP1444" t="s">
        <v>100</v>
      </c>
      <c r="AQ1444" t="s">
        <v>101</v>
      </c>
      <c r="AV1444" t="s">
        <v>98</v>
      </c>
      <c r="AX1444" t="s">
        <v>4273</v>
      </c>
      <c r="AZ1444" t="s">
        <v>124</v>
      </c>
      <c r="BB1444" t="s">
        <v>4934</v>
      </c>
      <c r="BC1444" t="s">
        <v>746</v>
      </c>
      <c r="BD1444" t="s">
        <v>7528</v>
      </c>
      <c r="BF1444" t="s">
        <v>4603</v>
      </c>
      <c r="BG1444" t="s">
        <v>98</v>
      </c>
      <c r="BH1444" t="s">
        <v>98</v>
      </c>
      <c r="BI1444" t="s">
        <v>98</v>
      </c>
      <c r="BJ1444" t="s">
        <v>99</v>
      </c>
      <c r="BK1444" t="s">
        <v>453</v>
      </c>
      <c r="BL1444" t="s">
        <v>128</v>
      </c>
      <c r="BR1444">
        <v>7.38</v>
      </c>
      <c r="BT1444">
        <v>5.13</v>
      </c>
      <c r="CA1444">
        <v>8563</v>
      </c>
      <c r="CB1444" t="s">
        <v>4273</v>
      </c>
      <c r="CG1444">
        <v>0</v>
      </c>
      <c r="CL1444" t="s">
        <v>99</v>
      </c>
      <c r="CM1444" t="s">
        <v>98</v>
      </c>
      <c r="CN1444" t="s">
        <v>4599</v>
      </c>
      <c r="CO1444" s="1">
        <v>38484</v>
      </c>
      <c r="CP1444" s="1">
        <v>43633</v>
      </c>
    </row>
    <row r="1445" spans="1:94" x14ac:dyDescent="0.25">
      <c r="A1445" t="s">
        <v>4604</v>
      </c>
      <c r="B1445" t="str">
        <f xml:space="preserve"> "" &amp; 747396009483</f>
        <v>747396009483</v>
      </c>
      <c r="C1445" t="s">
        <v>4605</v>
      </c>
      <c r="D1445" t="s">
        <v>6898</v>
      </c>
      <c r="E1445" t="s">
        <v>4597</v>
      </c>
      <c r="F1445" t="s">
        <v>2823</v>
      </c>
      <c r="G1445">
        <v>1</v>
      </c>
      <c r="H1445">
        <v>1</v>
      </c>
      <c r="I1445" t="s">
        <v>97</v>
      </c>
      <c r="J1445" s="10">
        <v>280</v>
      </c>
      <c r="K1445" s="10">
        <v>840</v>
      </c>
      <c r="L1445" s="10">
        <v>0</v>
      </c>
      <c r="N1445" s="10">
        <v>0</v>
      </c>
      <c r="O1445" t="s">
        <v>99</v>
      </c>
      <c r="P1445" s="10">
        <v>559.95000000000005</v>
      </c>
      <c r="S1445">
        <v>18.75</v>
      </c>
      <c r="T1445">
        <v>11.5</v>
      </c>
      <c r="U1445">
        <v>11.5</v>
      </c>
      <c r="W1445">
        <v>11.66</v>
      </c>
      <c r="X1445">
        <v>1</v>
      </c>
      <c r="Y1445">
        <v>21.75</v>
      </c>
      <c r="Z1445">
        <v>14.5</v>
      </c>
      <c r="AA1445">
        <v>14.5</v>
      </c>
      <c r="AB1445">
        <v>2.6459999999999999</v>
      </c>
      <c r="AC1445">
        <v>16.45</v>
      </c>
      <c r="AE1445">
        <v>4</v>
      </c>
      <c r="AF1445" t="s">
        <v>519</v>
      </c>
      <c r="AG1445">
        <v>60</v>
      </c>
      <c r="AK1445" t="s">
        <v>98</v>
      </c>
      <c r="AM1445" t="s">
        <v>98</v>
      </c>
      <c r="AN1445" t="s">
        <v>98</v>
      </c>
      <c r="AO1445" t="s">
        <v>99</v>
      </c>
      <c r="AP1445" t="s">
        <v>100</v>
      </c>
      <c r="AQ1445" t="s">
        <v>101</v>
      </c>
      <c r="AV1445" t="s">
        <v>98</v>
      </c>
      <c r="AX1445" t="s">
        <v>4273</v>
      </c>
      <c r="AZ1445" t="s">
        <v>124</v>
      </c>
      <c r="BB1445" t="s">
        <v>235</v>
      </c>
      <c r="BC1445" t="s">
        <v>3576</v>
      </c>
      <c r="BD1445" t="s">
        <v>7528</v>
      </c>
      <c r="BF1445" t="s">
        <v>4606</v>
      </c>
      <c r="BG1445" t="s">
        <v>98</v>
      </c>
      <c r="BH1445" t="s">
        <v>98</v>
      </c>
      <c r="BI1445" t="s">
        <v>98</v>
      </c>
      <c r="BJ1445" t="s">
        <v>99</v>
      </c>
      <c r="BK1445" t="s">
        <v>453</v>
      </c>
      <c r="BL1445" t="s">
        <v>7528</v>
      </c>
      <c r="CA1445">
        <v>8567</v>
      </c>
      <c r="CB1445" t="s">
        <v>4273</v>
      </c>
      <c r="CL1445" t="s">
        <v>99</v>
      </c>
      <c r="CM1445" t="s">
        <v>98</v>
      </c>
      <c r="CN1445" t="s">
        <v>4599</v>
      </c>
      <c r="CO1445" s="1">
        <v>38484</v>
      </c>
      <c r="CP1445" s="1">
        <v>43633</v>
      </c>
    </row>
    <row r="1446" spans="1:94" x14ac:dyDescent="0.25">
      <c r="A1446" t="s">
        <v>4607</v>
      </c>
      <c r="B1446" t="str">
        <f xml:space="preserve"> "" &amp; 747396009520</f>
        <v>747396009520</v>
      </c>
      <c r="C1446" t="s">
        <v>1577</v>
      </c>
      <c r="D1446" t="s">
        <v>6899</v>
      </c>
      <c r="E1446" t="s">
        <v>4608</v>
      </c>
      <c r="F1446" t="s">
        <v>2823</v>
      </c>
      <c r="G1446">
        <v>1</v>
      </c>
      <c r="H1446">
        <v>1</v>
      </c>
      <c r="I1446" t="s">
        <v>97</v>
      </c>
      <c r="J1446" s="10">
        <v>50</v>
      </c>
      <c r="K1446" s="10">
        <v>150</v>
      </c>
      <c r="L1446" s="10">
        <v>0</v>
      </c>
      <c r="N1446" s="10">
        <v>0</v>
      </c>
      <c r="S1446">
        <v>14.5</v>
      </c>
      <c r="U1446">
        <v>6.25</v>
      </c>
      <c r="V1446">
        <v>7.75</v>
      </c>
      <c r="W1446">
        <v>4.1900000000000004</v>
      </c>
      <c r="X1446">
        <v>1</v>
      </c>
      <c r="Y1446">
        <v>17.25</v>
      </c>
      <c r="Z1446">
        <v>10</v>
      </c>
      <c r="AA1446">
        <v>8.125</v>
      </c>
      <c r="AB1446">
        <v>0.81100000000000005</v>
      </c>
      <c r="AC1446">
        <v>6.06</v>
      </c>
      <c r="AE1446">
        <v>1</v>
      </c>
      <c r="AF1446" t="s">
        <v>233</v>
      </c>
      <c r="AG1446">
        <v>100</v>
      </c>
      <c r="AH1446">
        <v>0</v>
      </c>
      <c r="AK1446" t="s">
        <v>98</v>
      </c>
      <c r="AM1446" t="s">
        <v>98</v>
      </c>
      <c r="AN1446" t="s">
        <v>98</v>
      </c>
      <c r="AO1446" t="s">
        <v>99</v>
      </c>
      <c r="AP1446" t="s">
        <v>100</v>
      </c>
      <c r="AQ1446" t="s">
        <v>101</v>
      </c>
      <c r="AV1446" t="s">
        <v>98</v>
      </c>
      <c r="AX1446" t="s">
        <v>4273</v>
      </c>
      <c r="AZ1446" t="s">
        <v>124</v>
      </c>
      <c r="BB1446" t="s">
        <v>4934</v>
      </c>
      <c r="BC1446" t="s">
        <v>746</v>
      </c>
      <c r="BD1446" t="s">
        <v>7528</v>
      </c>
      <c r="BF1446" t="s">
        <v>4609</v>
      </c>
      <c r="BG1446" t="s">
        <v>98</v>
      </c>
      <c r="BH1446" t="s">
        <v>98</v>
      </c>
      <c r="BI1446" t="s">
        <v>98</v>
      </c>
      <c r="BJ1446" t="s">
        <v>99</v>
      </c>
      <c r="BK1446" t="s">
        <v>453</v>
      </c>
      <c r="BL1446" t="s">
        <v>128</v>
      </c>
      <c r="BR1446">
        <v>5.13</v>
      </c>
      <c r="BT1446">
        <v>5</v>
      </c>
      <c r="CA1446">
        <v>8581</v>
      </c>
      <c r="CB1446" t="s">
        <v>4273</v>
      </c>
      <c r="CG1446">
        <v>0</v>
      </c>
      <c r="CL1446" t="s">
        <v>99</v>
      </c>
      <c r="CM1446" t="s">
        <v>98</v>
      </c>
      <c r="CN1446" t="s">
        <v>4599</v>
      </c>
      <c r="CO1446" s="1">
        <v>39413</v>
      </c>
      <c r="CP1446" s="1">
        <v>43633</v>
      </c>
    </row>
    <row r="1447" spans="1:94" x14ac:dyDescent="0.25">
      <c r="A1447" t="s">
        <v>4616</v>
      </c>
      <c r="B1447" t="str">
        <f xml:space="preserve"> "" &amp; 747396079974</f>
        <v>747396079974</v>
      </c>
      <c r="C1447" t="s">
        <v>3349</v>
      </c>
      <c r="D1447" t="s">
        <v>6900</v>
      </c>
      <c r="E1447" t="s">
        <v>4621</v>
      </c>
      <c r="F1447" t="s">
        <v>449</v>
      </c>
      <c r="G1447">
        <v>1</v>
      </c>
      <c r="H1447">
        <v>1</v>
      </c>
      <c r="I1447" t="s">
        <v>97</v>
      </c>
      <c r="J1447" s="10">
        <v>48</v>
      </c>
      <c r="K1447" s="10">
        <v>144</v>
      </c>
      <c r="L1447" s="10">
        <v>0</v>
      </c>
      <c r="N1447" s="10">
        <v>0</v>
      </c>
      <c r="O1447" t="s">
        <v>99</v>
      </c>
      <c r="P1447" s="10">
        <v>94.95</v>
      </c>
      <c r="S1447">
        <v>7</v>
      </c>
      <c r="T1447">
        <v>9</v>
      </c>
      <c r="U1447">
        <v>6</v>
      </c>
      <c r="V1447">
        <v>5</v>
      </c>
      <c r="W1447">
        <v>1.85</v>
      </c>
      <c r="X1447">
        <v>1</v>
      </c>
      <c r="Y1447">
        <v>9.5</v>
      </c>
      <c r="Z1447">
        <v>9</v>
      </c>
      <c r="AA1447">
        <v>7.5</v>
      </c>
      <c r="AB1447">
        <v>0.371</v>
      </c>
      <c r="AC1447">
        <v>2.78</v>
      </c>
      <c r="AE1447">
        <v>1</v>
      </c>
      <c r="AF1447" t="s">
        <v>3223</v>
      </c>
      <c r="AG1447">
        <v>13</v>
      </c>
      <c r="AK1447" t="s">
        <v>99</v>
      </c>
      <c r="AM1447" t="s">
        <v>98</v>
      </c>
      <c r="AN1447" t="s">
        <v>99</v>
      </c>
      <c r="AO1447" t="s">
        <v>98</v>
      </c>
      <c r="AP1447" t="s">
        <v>100</v>
      </c>
      <c r="AQ1447" t="s">
        <v>101</v>
      </c>
      <c r="AV1447" t="s">
        <v>98</v>
      </c>
      <c r="AX1447" t="s">
        <v>3359</v>
      </c>
      <c r="AZ1447" t="s">
        <v>102</v>
      </c>
      <c r="BB1447" t="s">
        <v>235</v>
      </c>
      <c r="BC1447" t="s">
        <v>4617</v>
      </c>
      <c r="BD1447" t="s">
        <v>7528</v>
      </c>
      <c r="BF1447" t="s">
        <v>4618</v>
      </c>
      <c r="BG1447" t="s">
        <v>98</v>
      </c>
      <c r="BH1447" t="s">
        <v>98</v>
      </c>
      <c r="BI1447" t="s">
        <v>98</v>
      </c>
      <c r="BJ1447" t="s">
        <v>99</v>
      </c>
      <c r="BK1447" t="s">
        <v>453</v>
      </c>
      <c r="BL1447" t="s">
        <v>645</v>
      </c>
      <c r="BR1447">
        <v>7.13</v>
      </c>
      <c r="BT1447">
        <v>4.25</v>
      </c>
      <c r="CA1447" t="s">
        <v>4619</v>
      </c>
      <c r="CB1447" t="s">
        <v>3359</v>
      </c>
      <c r="CG1447">
        <v>2700</v>
      </c>
      <c r="CL1447" t="s">
        <v>98</v>
      </c>
      <c r="CM1447" t="s">
        <v>98</v>
      </c>
      <c r="CN1447" t="s">
        <v>3227</v>
      </c>
      <c r="CO1447" s="1">
        <v>40674</v>
      </c>
      <c r="CP1447" s="1">
        <v>43633</v>
      </c>
    </row>
    <row r="1448" spans="1:94" x14ac:dyDescent="0.25">
      <c r="A1448" t="s">
        <v>4620</v>
      </c>
      <c r="B1448" t="str">
        <f xml:space="preserve"> "" &amp; 747396111926</f>
        <v>747396111926</v>
      </c>
      <c r="C1448" t="s">
        <v>3185</v>
      </c>
      <c r="D1448" t="s">
        <v>6901</v>
      </c>
      <c r="E1448" t="s">
        <v>4621</v>
      </c>
      <c r="F1448" t="s">
        <v>2823</v>
      </c>
      <c r="G1448">
        <v>1</v>
      </c>
      <c r="H1448">
        <v>1</v>
      </c>
      <c r="I1448" t="s">
        <v>97</v>
      </c>
      <c r="J1448" s="10">
        <v>68</v>
      </c>
      <c r="K1448" s="10">
        <v>204</v>
      </c>
      <c r="L1448" s="10">
        <v>0</v>
      </c>
      <c r="N1448" s="10">
        <v>0</v>
      </c>
      <c r="S1448">
        <v>11.75</v>
      </c>
      <c r="U1448">
        <v>8</v>
      </c>
      <c r="V1448">
        <v>7</v>
      </c>
      <c r="W1448">
        <v>3.15</v>
      </c>
      <c r="X1448">
        <v>1</v>
      </c>
      <c r="Y1448">
        <v>15</v>
      </c>
      <c r="Z1448">
        <v>11</v>
      </c>
      <c r="AA1448">
        <v>9</v>
      </c>
      <c r="AB1448">
        <v>0.85899999999999999</v>
      </c>
      <c r="AC1448">
        <v>5.03</v>
      </c>
      <c r="AE1448">
        <v>1</v>
      </c>
      <c r="AF1448" t="s">
        <v>1473</v>
      </c>
      <c r="AG1448">
        <v>100</v>
      </c>
      <c r="AK1448" t="s">
        <v>98</v>
      </c>
      <c r="AM1448" t="s">
        <v>98</v>
      </c>
      <c r="AN1448" t="s">
        <v>99</v>
      </c>
      <c r="AO1448" t="s">
        <v>98</v>
      </c>
      <c r="AP1448" t="s">
        <v>100</v>
      </c>
      <c r="AQ1448" t="s">
        <v>101</v>
      </c>
      <c r="AV1448" t="s">
        <v>98</v>
      </c>
      <c r="AX1448" t="s">
        <v>3359</v>
      </c>
      <c r="AZ1448" t="s">
        <v>102</v>
      </c>
      <c r="BB1448" t="s">
        <v>7528</v>
      </c>
      <c r="BC1448" t="s">
        <v>4617</v>
      </c>
      <c r="BD1448" t="s">
        <v>7528</v>
      </c>
      <c r="BF1448" t="s">
        <v>4622</v>
      </c>
      <c r="BG1448" t="s">
        <v>98</v>
      </c>
      <c r="BH1448" t="s">
        <v>98</v>
      </c>
      <c r="BI1448" t="s">
        <v>98</v>
      </c>
      <c r="BJ1448" t="s">
        <v>99</v>
      </c>
      <c r="BK1448" t="s">
        <v>453</v>
      </c>
      <c r="BL1448" t="s">
        <v>128</v>
      </c>
      <c r="BM1448">
        <v>6</v>
      </c>
      <c r="BN1448">
        <v>11.75</v>
      </c>
      <c r="CA1448">
        <v>8602</v>
      </c>
      <c r="CB1448" t="s">
        <v>3359</v>
      </c>
      <c r="CL1448" t="s">
        <v>99</v>
      </c>
      <c r="CM1448" t="s">
        <v>98</v>
      </c>
      <c r="CN1448" t="s">
        <v>3369</v>
      </c>
      <c r="CO1448" s="1">
        <v>43598</v>
      </c>
      <c r="CP1448" s="1">
        <v>43598</v>
      </c>
    </row>
    <row r="1449" spans="1:94" x14ac:dyDescent="0.25">
      <c r="A1449" t="s">
        <v>4623</v>
      </c>
      <c r="B1449" t="str">
        <f xml:space="preserve"> "" &amp; 747396079981</f>
        <v>747396079981</v>
      </c>
      <c r="C1449" t="s">
        <v>3349</v>
      </c>
      <c r="D1449" t="s">
        <v>6900</v>
      </c>
      <c r="E1449" t="s">
        <v>4621</v>
      </c>
      <c r="F1449" t="s">
        <v>449</v>
      </c>
      <c r="G1449">
        <v>1</v>
      </c>
      <c r="H1449">
        <v>1</v>
      </c>
      <c r="I1449" t="s">
        <v>97</v>
      </c>
      <c r="J1449" s="10">
        <v>68</v>
      </c>
      <c r="K1449" s="10">
        <v>204</v>
      </c>
      <c r="L1449" s="10">
        <v>0</v>
      </c>
      <c r="N1449" s="10">
        <v>0</v>
      </c>
      <c r="O1449" t="s">
        <v>99</v>
      </c>
      <c r="P1449" s="10">
        <v>134.94999999999999</v>
      </c>
      <c r="S1449">
        <v>11.75</v>
      </c>
      <c r="U1449">
        <v>8</v>
      </c>
      <c r="V1449">
        <v>7</v>
      </c>
      <c r="W1449">
        <v>3.31</v>
      </c>
      <c r="X1449">
        <v>1</v>
      </c>
      <c r="Y1449">
        <v>15</v>
      </c>
      <c r="Z1449">
        <v>11</v>
      </c>
      <c r="AA1449">
        <v>9</v>
      </c>
      <c r="AB1449">
        <v>0.85899999999999999</v>
      </c>
      <c r="AC1449">
        <v>5.18</v>
      </c>
      <c r="AE1449">
        <v>1</v>
      </c>
      <c r="AF1449" t="s">
        <v>3223</v>
      </c>
      <c r="AG1449">
        <v>13</v>
      </c>
      <c r="AK1449" t="s">
        <v>99</v>
      </c>
      <c r="AM1449" t="s">
        <v>98</v>
      </c>
      <c r="AN1449" t="s">
        <v>99</v>
      </c>
      <c r="AO1449" t="s">
        <v>98</v>
      </c>
      <c r="AP1449" t="s">
        <v>100</v>
      </c>
      <c r="AQ1449" t="s">
        <v>101</v>
      </c>
      <c r="AV1449" t="s">
        <v>98</v>
      </c>
      <c r="AX1449" t="s">
        <v>3359</v>
      </c>
      <c r="AZ1449" t="s">
        <v>102</v>
      </c>
      <c r="BB1449" t="s">
        <v>235</v>
      </c>
      <c r="BC1449" t="s">
        <v>4617</v>
      </c>
      <c r="BD1449" t="s">
        <v>7528</v>
      </c>
      <c r="BF1449" t="s">
        <v>4624</v>
      </c>
      <c r="BG1449" t="s">
        <v>98</v>
      </c>
      <c r="BH1449" t="s">
        <v>98</v>
      </c>
      <c r="BI1449" t="s">
        <v>98</v>
      </c>
      <c r="BJ1449" t="s">
        <v>99</v>
      </c>
      <c r="BK1449" t="s">
        <v>453</v>
      </c>
      <c r="BL1449" t="s">
        <v>645</v>
      </c>
      <c r="BR1449">
        <v>11.63</v>
      </c>
      <c r="BT1449">
        <v>5.63</v>
      </c>
      <c r="CA1449" t="s">
        <v>4625</v>
      </c>
      <c r="CB1449" t="s">
        <v>3359</v>
      </c>
      <c r="CG1449">
        <v>2700</v>
      </c>
      <c r="CL1449" t="s">
        <v>98</v>
      </c>
      <c r="CM1449" t="s">
        <v>98</v>
      </c>
      <c r="CN1449" t="s">
        <v>7528</v>
      </c>
      <c r="CO1449" s="1">
        <v>40619</v>
      </c>
      <c r="CP1449" s="1">
        <v>43633</v>
      </c>
    </row>
    <row r="1450" spans="1:94" x14ac:dyDescent="0.25">
      <c r="A1450" t="s">
        <v>4626</v>
      </c>
      <c r="B1450" t="str">
        <f xml:space="preserve"> "" &amp; 747396111933</f>
        <v>747396111933</v>
      </c>
      <c r="C1450" t="s">
        <v>3185</v>
      </c>
      <c r="D1450" t="s">
        <v>6901</v>
      </c>
      <c r="E1450" t="s">
        <v>4621</v>
      </c>
      <c r="F1450" t="s">
        <v>2823</v>
      </c>
      <c r="G1450">
        <v>1</v>
      </c>
      <c r="H1450">
        <v>1</v>
      </c>
      <c r="I1450" t="s">
        <v>97</v>
      </c>
      <c r="J1450" s="10">
        <v>75</v>
      </c>
      <c r="K1450" s="10">
        <v>225</v>
      </c>
      <c r="L1450" s="10">
        <v>0</v>
      </c>
      <c r="N1450" s="10">
        <v>0</v>
      </c>
      <c r="S1450">
        <v>13</v>
      </c>
      <c r="U1450">
        <v>10</v>
      </c>
      <c r="V1450">
        <v>7</v>
      </c>
      <c r="W1450">
        <v>3.86</v>
      </c>
      <c r="X1450">
        <v>1</v>
      </c>
      <c r="Y1450">
        <v>16</v>
      </c>
      <c r="Z1450">
        <v>13</v>
      </c>
      <c r="AA1450">
        <v>9.5</v>
      </c>
      <c r="AB1450">
        <v>1.1439999999999999</v>
      </c>
      <c r="AC1450">
        <v>6.57</v>
      </c>
      <c r="AE1450">
        <v>1</v>
      </c>
      <c r="AF1450" t="s">
        <v>1473</v>
      </c>
      <c r="AG1450">
        <v>100</v>
      </c>
      <c r="AK1450" t="s">
        <v>98</v>
      </c>
      <c r="AM1450" t="s">
        <v>98</v>
      </c>
      <c r="AN1450" t="s">
        <v>99</v>
      </c>
      <c r="AO1450" t="s">
        <v>98</v>
      </c>
      <c r="AP1450" t="s">
        <v>100</v>
      </c>
      <c r="AQ1450" t="s">
        <v>101</v>
      </c>
      <c r="AV1450" t="s">
        <v>98</v>
      </c>
      <c r="AX1450" t="s">
        <v>3359</v>
      </c>
      <c r="AZ1450" t="s">
        <v>102</v>
      </c>
      <c r="BB1450" t="s">
        <v>7528</v>
      </c>
      <c r="BC1450" t="s">
        <v>4617</v>
      </c>
      <c r="BD1450" t="s">
        <v>7528</v>
      </c>
      <c r="BF1450" t="s">
        <v>4627</v>
      </c>
      <c r="BG1450" t="s">
        <v>98</v>
      </c>
      <c r="BH1450" t="s">
        <v>98</v>
      </c>
      <c r="BI1450" t="s">
        <v>98</v>
      </c>
      <c r="BJ1450" t="s">
        <v>99</v>
      </c>
      <c r="BK1450" t="s">
        <v>453</v>
      </c>
      <c r="BL1450" t="s">
        <v>993</v>
      </c>
      <c r="BM1450">
        <v>6</v>
      </c>
      <c r="BN1450">
        <v>11.75</v>
      </c>
      <c r="CA1450">
        <v>8603</v>
      </c>
      <c r="CB1450" t="s">
        <v>3359</v>
      </c>
      <c r="CL1450" t="s">
        <v>99</v>
      </c>
      <c r="CM1450" t="s">
        <v>98</v>
      </c>
      <c r="CN1450" t="s">
        <v>3369</v>
      </c>
      <c r="CO1450" s="1">
        <v>43598</v>
      </c>
      <c r="CP1450" s="1">
        <v>43598</v>
      </c>
    </row>
    <row r="1451" spans="1:94" x14ac:dyDescent="0.25">
      <c r="A1451" t="s">
        <v>4628</v>
      </c>
      <c r="B1451" t="str">
        <f xml:space="preserve"> "" &amp; 747396079998</f>
        <v>747396079998</v>
      </c>
      <c r="C1451" t="s">
        <v>3349</v>
      </c>
      <c r="D1451" t="s">
        <v>6900</v>
      </c>
      <c r="E1451" t="s">
        <v>4621</v>
      </c>
      <c r="F1451" t="s">
        <v>449</v>
      </c>
      <c r="G1451">
        <v>1</v>
      </c>
      <c r="H1451">
        <v>1</v>
      </c>
      <c r="I1451" t="s">
        <v>97</v>
      </c>
      <c r="J1451" s="10">
        <v>75</v>
      </c>
      <c r="K1451" s="10">
        <v>225</v>
      </c>
      <c r="L1451" s="10">
        <v>0</v>
      </c>
      <c r="N1451" s="10">
        <v>0</v>
      </c>
      <c r="O1451" t="s">
        <v>99</v>
      </c>
      <c r="P1451" s="10">
        <v>149.94999999999999</v>
      </c>
      <c r="S1451">
        <v>13.5</v>
      </c>
      <c r="U1451">
        <v>10</v>
      </c>
      <c r="V1451">
        <v>7</v>
      </c>
      <c r="W1451">
        <v>4.01</v>
      </c>
      <c r="X1451">
        <v>1</v>
      </c>
      <c r="Y1451">
        <v>16</v>
      </c>
      <c r="Z1451">
        <v>13</v>
      </c>
      <c r="AA1451">
        <v>9.5</v>
      </c>
      <c r="AB1451">
        <v>1.1439999999999999</v>
      </c>
      <c r="AC1451">
        <v>6.72</v>
      </c>
      <c r="AE1451">
        <v>1</v>
      </c>
      <c r="AF1451" t="s">
        <v>3223</v>
      </c>
      <c r="AG1451">
        <v>13</v>
      </c>
      <c r="AK1451" t="s">
        <v>99</v>
      </c>
      <c r="AM1451" t="s">
        <v>98</v>
      </c>
      <c r="AN1451" t="s">
        <v>99</v>
      </c>
      <c r="AO1451" t="s">
        <v>98</v>
      </c>
      <c r="AP1451" t="s">
        <v>100</v>
      </c>
      <c r="AQ1451" t="s">
        <v>101</v>
      </c>
      <c r="AV1451" t="s">
        <v>98</v>
      </c>
      <c r="AX1451" t="s">
        <v>3359</v>
      </c>
      <c r="AZ1451" t="s">
        <v>102</v>
      </c>
      <c r="BB1451" t="s">
        <v>235</v>
      </c>
      <c r="BC1451" t="s">
        <v>4629</v>
      </c>
      <c r="BD1451" t="s">
        <v>7528</v>
      </c>
      <c r="BF1451" t="s">
        <v>4630</v>
      </c>
      <c r="BG1451" t="s">
        <v>98</v>
      </c>
      <c r="BH1451" t="s">
        <v>98</v>
      </c>
      <c r="BI1451" t="s">
        <v>98</v>
      </c>
      <c r="BJ1451" t="s">
        <v>99</v>
      </c>
      <c r="BK1451" t="s">
        <v>453</v>
      </c>
      <c r="BL1451" t="s">
        <v>645</v>
      </c>
      <c r="CA1451" t="s">
        <v>4631</v>
      </c>
      <c r="CB1451" t="s">
        <v>3359</v>
      </c>
      <c r="CG1451">
        <v>2700</v>
      </c>
      <c r="CL1451" t="s">
        <v>98</v>
      </c>
      <c r="CM1451" t="s">
        <v>98</v>
      </c>
      <c r="CN1451" t="s">
        <v>7528</v>
      </c>
      <c r="CO1451" s="1">
        <v>40674</v>
      </c>
      <c r="CP1451" s="1">
        <v>43633</v>
      </c>
    </row>
    <row r="1452" spans="1:94" x14ac:dyDescent="0.25">
      <c r="A1452" t="s">
        <v>4632</v>
      </c>
      <c r="B1452" t="str">
        <f xml:space="preserve"> "" &amp; 747396111940</f>
        <v>747396111940</v>
      </c>
      <c r="C1452" t="s">
        <v>4130</v>
      </c>
      <c r="D1452" t="s">
        <v>6902</v>
      </c>
      <c r="E1452" t="s">
        <v>102</v>
      </c>
      <c r="F1452" t="s">
        <v>2823</v>
      </c>
      <c r="G1452">
        <v>1</v>
      </c>
      <c r="H1452">
        <v>1</v>
      </c>
      <c r="I1452" t="s">
        <v>97</v>
      </c>
      <c r="J1452" s="10">
        <v>77</v>
      </c>
      <c r="K1452" s="10">
        <v>231</v>
      </c>
      <c r="L1452" s="10">
        <v>0</v>
      </c>
      <c r="N1452" s="10">
        <v>0</v>
      </c>
      <c r="S1452">
        <v>13.25</v>
      </c>
      <c r="U1452">
        <v>8</v>
      </c>
      <c r="V1452">
        <v>8</v>
      </c>
      <c r="W1452">
        <v>3.35</v>
      </c>
      <c r="X1452">
        <v>1</v>
      </c>
      <c r="Y1452">
        <v>15.75</v>
      </c>
      <c r="Z1452">
        <v>11.5</v>
      </c>
      <c r="AA1452">
        <v>11.5</v>
      </c>
      <c r="AB1452">
        <v>1.2050000000000001</v>
      </c>
      <c r="AC1452">
        <v>5.64</v>
      </c>
      <c r="AE1452">
        <v>1</v>
      </c>
      <c r="AF1452" t="s">
        <v>1473</v>
      </c>
      <c r="AG1452">
        <v>100</v>
      </c>
      <c r="AK1452" t="s">
        <v>98</v>
      </c>
      <c r="AM1452" t="s">
        <v>98</v>
      </c>
      <c r="AN1452" t="s">
        <v>99</v>
      </c>
      <c r="AO1452" t="s">
        <v>98</v>
      </c>
      <c r="AP1452" t="s">
        <v>100</v>
      </c>
      <c r="AQ1452" t="s">
        <v>101</v>
      </c>
      <c r="AV1452" t="s">
        <v>98</v>
      </c>
      <c r="AX1452" t="s">
        <v>3359</v>
      </c>
      <c r="AZ1452" t="s">
        <v>102</v>
      </c>
      <c r="BB1452" t="s">
        <v>7528</v>
      </c>
      <c r="BC1452" t="s">
        <v>4633</v>
      </c>
      <c r="BD1452" t="s">
        <v>7528</v>
      </c>
      <c r="BF1452" t="s">
        <v>4634</v>
      </c>
      <c r="BG1452" t="s">
        <v>98</v>
      </c>
      <c r="BH1452" t="s">
        <v>98</v>
      </c>
      <c r="BI1452" t="s">
        <v>98</v>
      </c>
      <c r="BJ1452" t="s">
        <v>99</v>
      </c>
      <c r="BK1452" t="s">
        <v>453</v>
      </c>
      <c r="BL1452" t="s">
        <v>7528</v>
      </c>
      <c r="BM1452">
        <v>6</v>
      </c>
      <c r="BN1452">
        <v>11.75</v>
      </c>
      <c r="CA1452">
        <v>8605</v>
      </c>
      <c r="CB1452" t="s">
        <v>3359</v>
      </c>
      <c r="CL1452" t="s">
        <v>99</v>
      </c>
      <c r="CM1452" t="s">
        <v>98</v>
      </c>
      <c r="CN1452" t="s">
        <v>3369</v>
      </c>
      <c r="CO1452" s="1">
        <v>43598</v>
      </c>
      <c r="CP1452" s="1">
        <v>43598</v>
      </c>
    </row>
    <row r="1453" spans="1:94" x14ac:dyDescent="0.25">
      <c r="A1453" t="s">
        <v>4635</v>
      </c>
      <c r="B1453" t="str">
        <f xml:space="preserve"> "" &amp; 747396080000</f>
        <v>747396080000</v>
      </c>
      <c r="C1453" t="s">
        <v>447</v>
      </c>
      <c r="D1453" t="s">
        <v>6903</v>
      </c>
      <c r="E1453" t="s">
        <v>4621</v>
      </c>
      <c r="F1453" t="s">
        <v>449</v>
      </c>
      <c r="G1453">
        <v>1</v>
      </c>
      <c r="H1453">
        <v>1</v>
      </c>
      <c r="I1453" t="s">
        <v>97</v>
      </c>
      <c r="J1453" s="10">
        <v>77</v>
      </c>
      <c r="K1453" s="10">
        <v>231</v>
      </c>
      <c r="L1453" s="10">
        <v>0</v>
      </c>
      <c r="N1453" s="10">
        <v>0</v>
      </c>
      <c r="O1453" t="s">
        <v>99</v>
      </c>
      <c r="P1453" s="10">
        <v>154.94999999999999</v>
      </c>
      <c r="S1453">
        <v>13.25</v>
      </c>
      <c r="T1453">
        <v>8</v>
      </c>
      <c r="U1453">
        <v>8</v>
      </c>
      <c r="W1453">
        <v>3.51</v>
      </c>
      <c r="X1453">
        <v>1</v>
      </c>
      <c r="Y1453">
        <v>15.75</v>
      </c>
      <c r="Z1453">
        <v>11.5</v>
      </c>
      <c r="AA1453">
        <v>11.5</v>
      </c>
      <c r="AB1453">
        <v>1.2050000000000001</v>
      </c>
      <c r="AC1453">
        <v>5.8</v>
      </c>
      <c r="AE1453">
        <v>1</v>
      </c>
      <c r="AF1453" t="s">
        <v>4636</v>
      </c>
      <c r="AG1453">
        <v>13</v>
      </c>
      <c r="AK1453" t="s">
        <v>99</v>
      </c>
      <c r="AM1453" t="s">
        <v>98</v>
      </c>
      <c r="AN1453" t="s">
        <v>99</v>
      </c>
      <c r="AO1453" t="s">
        <v>98</v>
      </c>
      <c r="AP1453" t="s">
        <v>100</v>
      </c>
      <c r="AQ1453" t="s">
        <v>101</v>
      </c>
      <c r="AV1453" t="s">
        <v>98</v>
      </c>
      <c r="AX1453" t="s">
        <v>3359</v>
      </c>
      <c r="AZ1453" t="s">
        <v>102</v>
      </c>
      <c r="BB1453" t="s">
        <v>2721</v>
      </c>
      <c r="BC1453" t="s">
        <v>7623</v>
      </c>
      <c r="BD1453" t="s">
        <v>7528</v>
      </c>
      <c r="BF1453" t="s">
        <v>4637</v>
      </c>
      <c r="BG1453" t="s">
        <v>98</v>
      </c>
      <c r="BH1453" t="s">
        <v>98</v>
      </c>
      <c r="BI1453" t="s">
        <v>98</v>
      </c>
      <c r="BJ1453" t="s">
        <v>99</v>
      </c>
      <c r="BK1453" t="s">
        <v>453</v>
      </c>
      <c r="BL1453" t="s">
        <v>7528</v>
      </c>
      <c r="BR1453">
        <v>0</v>
      </c>
      <c r="BT1453">
        <v>0</v>
      </c>
      <c r="CA1453" t="s">
        <v>4638</v>
      </c>
      <c r="CB1453" t="s">
        <v>3359</v>
      </c>
      <c r="CG1453">
        <v>2700</v>
      </c>
      <c r="CL1453" t="s">
        <v>98</v>
      </c>
      <c r="CM1453" t="s">
        <v>98</v>
      </c>
      <c r="CN1453" t="s">
        <v>7528</v>
      </c>
      <c r="CO1453" s="1">
        <v>40708</v>
      </c>
      <c r="CP1453" s="1">
        <v>43633</v>
      </c>
    </row>
    <row r="1454" spans="1:94" x14ac:dyDescent="0.25">
      <c r="A1454" t="s">
        <v>4610</v>
      </c>
      <c r="B1454" t="str">
        <f xml:space="preserve"> "" &amp; 747396053615</f>
        <v>747396053615</v>
      </c>
      <c r="C1454" t="s">
        <v>4611</v>
      </c>
      <c r="D1454" t="s">
        <v>476</v>
      </c>
      <c r="E1454" t="s">
        <v>7528</v>
      </c>
      <c r="F1454" t="s">
        <v>144</v>
      </c>
      <c r="G1454">
        <v>1</v>
      </c>
      <c r="H1454">
        <v>1</v>
      </c>
      <c r="I1454" t="s">
        <v>97</v>
      </c>
      <c r="J1454" s="10">
        <v>35</v>
      </c>
      <c r="K1454" s="10">
        <v>105</v>
      </c>
      <c r="L1454" s="10">
        <v>0</v>
      </c>
      <c r="N1454" s="10">
        <v>0</v>
      </c>
      <c r="S1454">
        <v>4</v>
      </c>
      <c r="T1454">
        <v>16</v>
      </c>
      <c r="U1454">
        <v>16</v>
      </c>
      <c r="W1454">
        <v>4.8499999999999996</v>
      </c>
      <c r="X1454">
        <v>1</v>
      </c>
      <c r="Y1454">
        <v>5.5</v>
      </c>
      <c r="Z1454">
        <v>19</v>
      </c>
      <c r="AA1454">
        <v>19</v>
      </c>
      <c r="AB1454">
        <v>1.149</v>
      </c>
      <c r="AC1454">
        <v>6.94</v>
      </c>
      <c r="AE1454">
        <v>1</v>
      </c>
      <c r="AF1454" t="s">
        <v>4612</v>
      </c>
      <c r="AG1454">
        <v>32</v>
      </c>
      <c r="AH1454">
        <v>1</v>
      </c>
      <c r="AI1454" t="s">
        <v>4613</v>
      </c>
      <c r="AJ1454">
        <v>22</v>
      </c>
      <c r="AK1454" t="s">
        <v>99</v>
      </c>
      <c r="AM1454" t="s">
        <v>98</v>
      </c>
      <c r="AN1454" t="s">
        <v>98</v>
      </c>
      <c r="AO1454" t="s">
        <v>99</v>
      </c>
      <c r="AP1454" t="s">
        <v>100</v>
      </c>
      <c r="AQ1454" t="s">
        <v>101</v>
      </c>
      <c r="AV1454" t="s">
        <v>99</v>
      </c>
      <c r="AX1454" t="s">
        <v>279</v>
      </c>
      <c r="AZ1454" t="s">
        <v>392</v>
      </c>
      <c r="BB1454" t="s">
        <v>125</v>
      </c>
      <c r="BC1454" t="s">
        <v>117</v>
      </c>
      <c r="BD1454" t="s">
        <v>7528</v>
      </c>
      <c r="BF1454" t="s">
        <v>4614</v>
      </c>
      <c r="BG1454" t="s">
        <v>98</v>
      </c>
      <c r="BH1454" t="s">
        <v>98</v>
      </c>
      <c r="BI1454" t="s">
        <v>98</v>
      </c>
      <c r="BK1454" t="s">
        <v>127</v>
      </c>
      <c r="BL1454" t="s">
        <v>128</v>
      </c>
      <c r="CA1454" t="s">
        <v>4615</v>
      </c>
      <c r="CB1454" t="s">
        <v>279</v>
      </c>
      <c r="CL1454" t="s">
        <v>98</v>
      </c>
      <c r="CM1454" t="s">
        <v>98</v>
      </c>
      <c r="CN1454" t="s">
        <v>129</v>
      </c>
      <c r="CO1454" s="1">
        <v>38484</v>
      </c>
      <c r="CP1454" s="1">
        <v>43633</v>
      </c>
    </row>
    <row r="1455" spans="1:94" x14ac:dyDescent="0.25">
      <c r="A1455" t="s">
        <v>4644</v>
      </c>
      <c r="B1455" t="str">
        <f xml:space="preserve"> "" &amp; 747396080031</f>
        <v>747396080031</v>
      </c>
      <c r="C1455" t="s">
        <v>1577</v>
      </c>
      <c r="D1455" t="s">
        <v>6904</v>
      </c>
      <c r="E1455" t="s">
        <v>4645</v>
      </c>
      <c r="F1455" t="s">
        <v>2823</v>
      </c>
      <c r="G1455">
        <v>1</v>
      </c>
      <c r="H1455">
        <v>1</v>
      </c>
      <c r="I1455" t="s">
        <v>97</v>
      </c>
      <c r="J1455" s="10">
        <v>55.95</v>
      </c>
      <c r="K1455" s="10">
        <v>167.85</v>
      </c>
      <c r="L1455" s="10">
        <v>0</v>
      </c>
      <c r="N1455" s="10">
        <v>0</v>
      </c>
      <c r="O1455" t="s">
        <v>99</v>
      </c>
      <c r="P1455" s="10">
        <v>109.95</v>
      </c>
      <c r="S1455">
        <v>12.75</v>
      </c>
      <c r="U1455">
        <v>6.5</v>
      </c>
      <c r="V1455">
        <v>8.1300000000000008</v>
      </c>
      <c r="W1455">
        <v>2.23</v>
      </c>
      <c r="X1455">
        <v>1</v>
      </c>
      <c r="Y1455">
        <v>15</v>
      </c>
      <c r="Z1455">
        <v>10</v>
      </c>
      <c r="AA1455">
        <v>8.25</v>
      </c>
      <c r="AB1455">
        <v>0.71599999999999997</v>
      </c>
      <c r="AC1455">
        <v>3.46</v>
      </c>
      <c r="AE1455">
        <v>1</v>
      </c>
      <c r="AF1455" t="s">
        <v>282</v>
      </c>
      <c r="AG1455">
        <v>60</v>
      </c>
      <c r="AK1455" t="s">
        <v>98</v>
      </c>
      <c r="AM1455" t="s">
        <v>98</v>
      </c>
      <c r="AN1455" t="s">
        <v>99</v>
      </c>
      <c r="AO1455" t="s">
        <v>98</v>
      </c>
      <c r="AP1455" t="s">
        <v>100</v>
      </c>
      <c r="AQ1455" t="s">
        <v>101</v>
      </c>
      <c r="AV1455" t="s">
        <v>98</v>
      </c>
      <c r="AX1455" t="s">
        <v>4226</v>
      </c>
      <c r="AZ1455" t="s">
        <v>124</v>
      </c>
      <c r="BB1455" t="s">
        <v>235</v>
      </c>
      <c r="BC1455" t="s">
        <v>1687</v>
      </c>
      <c r="BD1455" t="s">
        <v>7528</v>
      </c>
      <c r="BF1455" t="s">
        <v>4646</v>
      </c>
      <c r="BG1455" t="s">
        <v>98</v>
      </c>
      <c r="BH1455" t="s">
        <v>98</v>
      </c>
      <c r="BI1455" t="s">
        <v>98</v>
      </c>
      <c r="BJ1455" t="s">
        <v>99</v>
      </c>
      <c r="BK1455" t="s">
        <v>453</v>
      </c>
      <c r="BL1455" t="s">
        <v>128</v>
      </c>
      <c r="BR1455">
        <v>7</v>
      </c>
      <c r="BT1455">
        <v>5.25</v>
      </c>
      <c r="CA1455">
        <v>8611</v>
      </c>
      <c r="CB1455" t="s">
        <v>4226</v>
      </c>
      <c r="CL1455" t="s">
        <v>99</v>
      </c>
      <c r="CM1455" t="s">
        <v>98</v>
      </c>
      <c r="CN1455" t="s">
        <v>7528</v>
      </c>
      <c r="CO1455" s="1">
        <v>40492</v>
      </c>
      <c r="CP1455" s="1">
        <v>43633</v>
      </c>
    </row>
    <row r="1456" spans="1:94" x14ac:dyDescent="0.25">
      <c r="A1456" t="s">
        <v>4647</v>
      </c>
      <c r="B1456" t="str">
        <f xml:space="preserve"> "" &amp; 747396080048</f>
        <v>747396080048</v>
      </c>
      <c r="C1456" t="s">
        <v>1550</v>
      </c>
      <c r="D1456" t="s">
        <v>6905</v>
      </c>
      <c r="E1456" t="s">
        <v>4645</v>
      </c>
      <c r="F1456" t="s">
        <v>2823</v>
      </c>
      <c r="G1456">
        <v>1</v>
      </c>
      <c r="H1456">
        <v>1</v>
      </c>
      <c r="I1456" t="s">
        <v>97</v>
      </c>
      <c r="J1456" s="10">
        <v>89.95</v>
      </c>
      <c r="K1456" s="10">
        <v>269.85000000000002</v>
      </c>
      <c r="L1456" s="10">
        <v>0</v>
      </c>
      <c r="N1456" s="10">
        <v>0</v>
      </c>
      <c r="O1456" t="s">
        <v>99</v>
      </c>
      <c r="P1456" s="10">
        <v>179.95</v>
      </c>
      <c r="S1456">
        <v>17.5</v>
      </c>
      <c r="U1456">
        <v>8</v>
      </c>
      <c r="V1456">
        <v>10.25</v>
      </c>
      <c r="W1456">
        <v>3.57</v>
      </c>
      <c r="X1456">
        <v>1</v>
      </c>
      <c r="Y1456">
        <v>20.75</v>
      </c>
      <c r="Z1456">
        <v>13.5</v>
      </c>
      <c r="AA1456">
        <v>11.5</v>
      </c>
      <c r="AB1456">
        <v>1.8640000000000001</v>
      </c>
      <c r="AC1456">
        <v>6.08</v>
      </c>
      <c r="AE1456">
        <v>2</v>
      </c>
      <c r="AF1456" t="s">
        <v>519</v>
      </c>
      <c r="AG1456">
        <v>60</v>
      </c>
      <c r="AK1456" t="s">
        <v>98</v>
      </c>
      <c r="AM1456" t="s">
        <v>98</v>
      </c>
      <c r="AN1456" t="s">
        <v>99</v>
      </c>
      <c r="AO1456" t="s">
        <v>98</v>
      </c>
      <c r="AP1456" t="s">
        <v>100</v>
      </c>
      <c r="AQ1456" t="s">
        <v>101</v>
      </c>
      <c r="AV1456" t="s">
        <v>98</v>
      </c>
      <c r="AX1456" t="s">
        <v>4226</v>
      </c>
      <c r="AZ1456" t="s">
        <v>124</v>
      </c>
      <c r="BB1456" t="s">
        <v>235</v>
      </c>
      <c r="BC1456" t="s">
        <v>1687</v>
      </c>
      <c r="BD1456" t="s">
        <v>7528</v>
      </c>
      <c r="BF1456" t="s">
        <v>4648</v>
      </c>
      <c r="BG1456" t="s">
        <v>98</v>
      </c>
      <c r="BH1456" t="s">
        <v>98</v>
      </c>
      <c r="BI1456" t="s">
        <v>98</v>
      </c>
      <c r="BJ1456" t="s">
        <v>99</v>
      </c>
      <c r="BK1456" t="s">
        <v>453</v>
      </c>
      <c r="BL1456" t="s">
        <v>128</v>
      </c>
      <c r="BR1456">
        <v>9.8800000000000008</v>
      </c>
      <c r="BT1456">
        <v>5.38</v>
      </c>
      <c r="CA1456">
        <v>8612</v>
      </c>
      <c r="CB1456" t="s">
        <v>4226</v>
      </c>
      <c r="CL1456" t="s">
        <v>99</v>
      </c>
      <c r="CM1456" t="s">
        <v>98</v>
      </c>
      <c r="CN1456" t="s">
        <v>3227</v>
      </c>
      <c r="CO1456" s="1">
        <v>40618</v>
      </c>
      <c r="CP1456" s="1">
        <v>43633</v>
      </c>
    </row>
    <row r="1457" spans="1:94" x14ac:dyDescent="0.25">
      <c r="A1457" t="s">
        <v>4649</v>
      </c>
      <c r="B1457" t="str">
        <f xml:space="preserve"> "" &amp; 747396080055</f>
        <v>747396080055</v>
      </c>
      <c r="C1457" t="s">
        <v>1799</v>
      </c>
      <c r="D1457" t="s">
        <v>6906</v>
      </c>
      <c r="E1457" t="s">
        <v>4645</v>
      </c>
      <c r="F1457" t="s">
        <v>2823</v>
      </c>
      <c r="G1457">
        <v>1</v>
      </c>
      <c r="H1457">
        <v>1</v>
      </c>
      <c r="I1457" t="s">
        <v>97</v>
      </c>
      <c r="J1457" s="10">
        <v>117.95</v>
      </c>
      <c r="K1457" s="10">
        <v>353.85</v>
      </c>
      <c r="L1457" s="10">
        <v>0</v>
      </c>
      <c r="N1457" s="10">
        <v>0</v>
      </c>
      <c r="O1457" t="s">
        <v>99</v>
      </c>
      <c r="P1457" s="10">
        <v>234.95</v>
      </c>
      <c r="S1457">
        <v>22.75</v>
      </c>
      <c r="U1457">
        <v>10.25</v>
      </c>
      <c r="V1457">
        <v>12.75</v>
      </c>
      <c r="W1457">
        <v>5.56</v>
      </c>
      <c r="X1457">
        <v>1</v>
      </c>
      <c r="Y1457">
        <v>25.75</v>
      </c>
      <c r="Z1457">
        <v>15.5</v>
      </c>
      <c r="AA1457">
        <v>14.5</v>
      </c>
      <c r="AB1457">
        <v>3.3490000000000002</v>
      </c>
      <c r="AC1457">
        <v>9.61</v>
      </c>
      <c r="AE1457">
        <v>3</v>
      </c>
      <c r="AF1457" t="s">
        <v>519</v>
      </c>
      <c r="AG1457">
        <v>60</v>
      </c>
      <c r="AK1457" t="s">
        <v>98</v>
      </c>
      <c r="AM1457" t="s">
        <v>98</v>
      </c>
      <c r="AN1457" t="s">
        <v>99</v>
      </c>
      <c r="AO1457" t="s">
        <v>98</v>
      </c>
      <c r="AP1457" t="s">
        <v>100</v>
      </c>
      <c r="AQ1457" t="s">
        <v>101</v>
      </c>
      <c r="AV1457" t="s">
        <v>98</v>
      </c>
      <c r="AX1457" t="s">
        <v>4226</v>
      </c>
      <c r="AZ1457" t="s">
        <v>124</v>
      </c>
      <c r="BB1457" t="s">
        <v>235</v>
      </c>
      <c r="BC1457" t="s">
        <v>1687</v>
      </c>
      <c r="BD1457" t="s">
        <v>7528</v>
      </c>
      <c r="BF1457" t="s">
        <v>4650</v>
      </c>
      <c r="BG1457" t="s">
        <v>98</v>
      </c>
      <c r="BH1457" t="s">
        <v>98</v>
      </c>
      <c r="BI1457" t="s">
        <v>98</v>
      </c>
      <c r="BJ1457" t="s">
        <v>99</v>
      </c>
      <c r="BK1457" t="s">
        <v>453</v>
      </c>
      <c r="BL1457" t="s">
        <v>128</v>
      </c>
      <c r="BM1457">
        <v>5.38</v>
      </c>
      <c r="BN1457">
        <v>16</v>
      </c>
      <c r="CA1457">
        <v>8613</v>
      </c>
      <c r="CB1457" t="s">
        <v>4226</v>
      </c>
      <c r="CL1457" t="s">
        <v>99</v>
      </c>
      <c r="CM1457" t="s">
        <v>98</v>
      </c>
      <c r="CN1457" t="s">
        <v>3738</v>
      </c>
      <c r="CO1457" s="1">
        <v>40618</v>
      </c>
      <c r="CP1457" s="1">
        <v>43633</v>
      </c>
    </row>
    <row r="1458" spans="1:94" x14ac:dyDescent="0.25">
      <c r="A1458" t="s">
        <v>4651</v>
      </c>
      <c r="B1458" t="str">
        <f xml:space="preserve"> "" &amp; 747396080062</f>
        <v>747396080062</v>
      </c>
      <c r="C1458" t="s">
        <v>3399</v>
      </c>
      <c r="D1458" t="s">
        <v>6907</v>
      </c>
      <c r="E1458" t="s">
        <v>4645</v>
      </c>
      <c r="F1458" t="s">
        <v>2823</v>
      </c>
      <c r="G1458">
        <v>1</v>
      </c>
      <c r="H1458">
        <v>1</v>
      </c>
      <c r="I1458" t="s">
        <v>97</v>
      </c>
      <c r="J1458" s="10">
        <v>99.95</v>
      </c>
      <c r="K1458" s="10">
        <v>299.85000000000002</v>
      </c>
      <c r="L1458" s="10">
        <v>0</v>
      </c>
      <c r="N1458" s="10">
        <v>0</v>
      </c>
      <c r="O1458" t="s">
        <v>99</v>
      </c>
      <c r="P1458" s="10">
        <v>199.95</v>
      </c>
      <c r="S1458">
        <v>18.5</v>
      </c>
      <c r="U1458">
        <v>10.25</v>
      </c>
      <c r="W1458">
        <v>4.72</v>
      </c>
      <c r="X1458">
        <v>1</v>
      </c>
      <c r="Y1458">
        <v>21.5</v>
      </c>
      <c r="Z1458">
        <v>12.63</v>
      </c>
      <c r="AA1458">
        <v>11.75</v>
      </c>
      <c r="AB1458">
        <v>1.8460000000000001</v>
      </c>
      <c r="AC1458">
        <v>7.61</v>
      </c>
      <c r="AE1458">
        <v>3</v>
      </c>
      <c r="AF1458" t="s">
        <v>519</v>
      </c>
      <c r="AG1458">
        <v>60</v>
      </c>
      <c r="AK1458" t="s">
        <v>98</v>
      </c>
      <c r="AM1458" t="s">
        <v>98</v>
      </c>
      <c r="AN1458" t="s">
        <v>99</v>
      </c>
      <c r="AO1458" t="s">
        <v>98</v>
      </c>
      <c r="AP1458" t="s">
        <v>100</v>
      </c>
      <c r="AQ1458" t="s">
        <v>101</v>
      </c>
      <c r="AV1458" t="s">
        <v>98</v>
      </c>
      <c r="AX1458" t="s">
        <v>4226</v>
      </c>
      <c r="AZ1458" t="s">
        <v>124</v>
      </c>
      <c r="BB1458" t="s">
        <v>235</v>
      </c>
      <c r="BC1458" t="s">
        <v>1687</v>
      </c>
      <c r="BD1458" t="s">
        <v>7528</v>
      </c>
      <c r="BF1458" t="s">
        <v>4652</v>
      </c>
      <c r="BG1458" t="s">
        <v>98</v>
      </c>
      <c r="BH1458" t="s">
        <v>98</v>
      </c>
      <c r="BI1458" t="s">
        <v>98</v>
      </c>
      <c r="BK1458" t="s">
        <v>127</v>
      </c>
      <c r="BL1458" t="s">
        <v>7528</v>
      </c>
      <c r="BT1458">
        <v>5.13</v>
      </c>
      <c r="CA1458">
        <v>8614</v>
      </c>
      <c r="CB1458" t="s">
        <v>4226</v>
      </c>
      <c r="CL1458" t="s">
        <v>99</v>
      </c>
      <c r="CM1458" t="s">
        <v>98</v>
      </c>
      <c r="CN1458" t="s">
        <v>7528</v>
      </c>
      <c r="CO1458" s="1">
        <v>40492</v>
      </c>
      <c r="CP1458" s="1">
        <v>43633</v>
      </c>
    </row>
    <row r="1459" spans="1:94" x14ac:dyDescent="0.25">
      <c r="A1459" t="s">
        <v>4653</v>
      </c>
      <c r="B1459" t="str">
        <f xml:space="preserve"> "" &amp; 747396080079</f>
        <v>747396080079</v>
      </c>
      <c r="C1459" t="s">
        <v>3403</v>
      </c>
      <c r="D1459" t="s">
        <v>6908</v>
      </c>
      <c r="E1459" t="s">
        <v>4645</v>
      </c>
      <c r="F1459" t="s">
        <v>2823</v>
      </c>
      <c r="G1459">
        <v>1</v>
      </c>
      <c r="H1459">
        <v>1</v>
      </c>
      <c r="I1459" t="s">
        <v>97</v>
      </c>
      <c r="J1459" s="10">
        <v>92.95</v>
      </c>
      <c r="K1459" s="10">
        <v>278.85000000000002</v>
      </c>
      <c r="L1459" s="10">
        <v>0</v>
      </c>
      <c r="N1459" s="10">
        <v>0</v>
      </c>
      <c r="O1459" t="s">
        <v>99</v>
      </c>
      <c r="P1459" s="10">
        <v>184.95</v>
      </c>
      <c r="S1459">
        <v>19.25</v>
      </c>
      <c r="U1459">
        <v>10.25</v>
      </c>
      <c r="W1459">
        <v>3.7</v>
      </c>
      <c r="X1459">
        <v>1</v>
      </c>
      <c r="Y1459">
        <v>21.13</v>
      </c>
      <c r="Z1459">
        <v>12.63</v>
      </c>
      <c r="AA1459">
        <v>11.75</v>
      </c>
      <c r="AB1459">
        <v>1.8149999999999999</v>
      </c>
      <c r="AC1459">
        <v>6.46</v>
      </c>
      <c r="AE1459">
        <v>3</v>
      </c>
      <c r="AF1459" t="s">
        <v>772</v>
      </c>
      <c r="AG1459">
        <v>60</v>
      </c>
      <c r="AK1459" t="s">
        <v>98</v>
      </c>
      <c r="AM1459" t="s">
        <v>98</v>
      </c>
      <c r="AN1459" t="s">
        <v>99</v>
      </c>
      <c r="AO1459" t="s">
        <v>98</v>
      </c>
      <c r="AP1459" t="s">
        <v>100</v>
      </c>
      <c r="AQ1459" t="s">
        <v>101</v>
      </c>
      <c r="AV1459" t="s">
        <v>98</v>
      </c>
      <c r="AX1459" t="s">
        <v>4226</v>
      </c>
      <c r="AZ1459" t="s">
        <v>124</v>
      </c>
      <c r="BB1459" t="s">
        <v>235</v>
      </c>
      <c r="BC1459" t="s">
        <v>1687</v>
      </c>
      <c r="BD1459" t="s">
        <v>7528</v>
      </c>
      <c r="BF1459" t="s">
        <v>4654</v>
      </c>
      <c r="BG1459" t="s">
        <v>98</v>
      </c>
      <c r="BH1459" t="s">
        <v>98</v>
      </c>
      <c r="BI1459" t="s">
        <v>98</v>
      </c>
      <c r="BJ1459" t="s">
        <v>99</v>
      </c>
      <c r="BK1459" t="s">
        <v>453</v>
      </c>
      <c r="BL1459" t="s">
        <v>7528</v>
      </c>
      <c r="CA1459">
        <v>8616</v>
      </c>
      <c r="CB1459" t="s">
        <v>4226</v>
      </c>
      <c r="CL1459" t="s">
        <v>99</v>
      </c>
      <c r="CM1459" t="s">
        <v>98</v>
      </c>
      <c r="CN1459" t="s">
        <v>3738</v>
      </c>
      <c r="CO1459" s="1">
        <v>40492</v>
      </c>
      <c r="CP1459" s="1">
        <v>43633</v>
      </c>
    </row>
    <row r="1460" spans="1:94" x14ac:dyDescent="0.25">
      <c r="A1460" t="s">
        <v>4655</v>
      </c>
      <c r="B1460" t="str">
        <f xml:space="preserve"> "" &amp; 747396080086</f>
        <v>747396080086</v>
      </c>
      <c r="C1460" t="s">
        <v>1799</v>
      </c>
      <c r="D1460" t="s">
        <v>6906</v>
      </c>
      <c r="E1460" t="s">
        <v>4645</v>
      </c>
      <c r="F1460" t="s">
        <v>2823</v>
      </c>
      <c r="G1460">
        <v>1</v>
      </c>
      <c r="H1460">
        <v>1</v>
      </c>
      <c r="I1460" t="s">
        <v>97</v>
      </c>
      <c r="J1460" s="10">
        <v>179.95</v>
      </c>
      <c r="K1460" s="10">
        <v>539.85</v>
      </c>
      <c r="L1460" s="10">
        <v>0</v>
      </c>
      <c r="N1460" s="10">
        <v>0</v>
      </c>
      <c r="O1460" t="s">
        <v>99</v>
      </c>
      <c r="P1460" s="10">
        <v>359.95</v>
      </c>
      <c r="S1460">
        <v>28.25</v>
      </c>
      <c r="U1460">
        <v>12.5</v>
      </c>
      <c r="V1460">
        <v>15</v>
      </c>
      <c r="W1460">
        <v>8.3800000000000008</v>
      </c>
      <c r="X1460">
        <v>1</v>
      </c>
      <c r="Y1460">
        <v>32.5</v>
      </c>
      <c r="Z1460">
        <v>18</v>
      </c>
      <c r="AA1460">
        <v>15.5</v>
      </c>
      <c r="AB1460">
        <v>5.2469999999999999</v>
      </c>
      <c r="AC1460">
        <v>14.18</v>
      </c>
      <c r="AE1460">
        <v>3</v>
      </c>
      <c r="AF1460" t="s">
        <v>519</v>
      </c>
      <c r="AG1460">
        <v>60</v>
      </c>
      <c r="AK1460" t="s">
        <v>98</v>
      </c>
      <c r="AM1460" t="s">
        <v>98</v>
      </c>
      <c r="AN1460" t="s">
        <v>99</v>
      </c>
      <c r="AO1460" t="s">
        <v>98</v>
      </c>
      <c r="AP1460" t="s">
        <v>259</v>
      </c>
      <c r="AQ1460" t="s">
        <v>101</v>
      </c>
      <c r="AV1460" t="s">
        <v>98</v>
      </c>
      <c r="AX1460" t="s">
        <v>4226</v>
      </c>
      <c r="AZ1460" t="s">
        <v>124</v>
      </c>
      <c r="BB1460" t="s">
        <v>235</v>
      </c>
      <c r="BC1460" t="s">
        <v>1687</v>
      </c>
      <c r="BD1460" t="s">
        <v>7528</v>
      </c>
      <c r="BF1460" t="s">
        <v>4656</v>
      </c>
      <c r="BG1460" t="s">
        <v>98</v>
      </c>
      <c r="BH1460" t="s">
        <v>98</v>
      </c>
      <c r="BI1460" t="s">
        <v>98</v>
      </c>
      <c r="BJ1460" t="s">
        <v>99</v>
      </c>
      <c r="BK1460" t="s">
        <v>453</v>
      </c>
      <c r="BL1460" t="s">
        <v>128</v>
      </c>
      <c r="BR1460">
        <v>19.63</v>
      </c>
      <c r="BT1460">
        <v>5.38</v>
      </c>
      <c r="CA1460">
        <v>8617</v>
      </c>
      <c r="CB1460" t="s">
        <v>4226</v>
      </c>
      <c r="CL1460" t="s">
        <v>99</v>
      </c>
      <c r="CM1460" t="s">
        <v>98</v>
      </c>
      <c r="CN1460" t="s">
        <v>7528</v>
      </c>
      <c r="CO1460" s="1">
        <v>40492</v>
      </c>
      <c r="CP1460" s="1">
        <v>43633</v>
      </c>
    </row>
    <row r="1461" spans="1:94" x14ac:dyDescent="0.25">
      <c r="A1461" t="s">
        <v>4639</v>
      </c>
      <c r="B1461" t="str">
        <f xml:space="preserve"> "" &amp; 747396053622</f>
        <v>747396053622</v>
      </c>
      <c r="C1461" t="s">
        <v>476</v>
      </c>
      <c r="D1461" t="s">
        <v>476</v>
      </c>
      <c r="E1461" t="s">
        <v>7528</v>
      </c>
      <c r="F1461" t="s">
        <v>144</v>
      </c>
      <c r="G1461">
        <v>1</v>
      </c>
      <c r="H1461">
        <v>1</v>
      </c>
      <c r="I1461" t="s">
        <v>97</v>
      </c>
      <c r="J1461" s="10">
        <v>35</v>
      </c>
      <c r="K1461" s="10">
        <v>105</v>
      </c>
      <c r="L1461" s="10">
        <v>0</v>
      </c>
      <c r="N1461" s="10">
        <v>0</v>
      </c>
      <c r="S1461">
        <v>4.25</v>
      </c>
      <c r="T1461">
        <v>17.75</v>
      </c>
      <c r="U1461">
        <v>17.75</v>
      </c>
      <c r="W1461">
        <v>5.45</v>
      </c>
      <c r="X1461">
        <v>1</v>
      </c>
      <c r="Y1461">
        <v>6</v>
      </c>
      <c r="Z1461">
        <v>19.75</v>
      </c>
      <c r="AA1461">
        <v>19.75</v>
      </c>
      <c r="AB1461">
        <v>1.3540000000000001</v>
      </c>
      <c r="AC1461">
        <v>7.98</v>
      </c>
      <c r="AE1461">
        <v>1</v>
      </c>
      <c r="AF1461" t="s">
        <v>4640</v>
      </c>
      <c r="AG1461">
        <v>22</v>
      </c>
      <c r="AH1461">
        <v>1</v>
      </c>
      <c r="AI1461" t="s">
        <v>4641</v>
      </c>
      <c r="AJ1461">
        <v>32</v>
      </c>
      <c r="AK1461" t="s">
        <v>99</v>
      </c>
      <c r="AM1461" t="s">
        <v>98</v>
      </c>
      <c r="AN1461" t="s">
        <v>98</v>
      </c>
      <c r="AO1461" t="s">
        <v>99</v>
      </c>
      <c r="AP1461" t="s">
        <v>100</v>
      </c>
      <c r="AQ1461" t="s">
        <v>101</v>
      </c>
      <c r="AV1461" t="s">
        <v>99</v>
      </c>
      <c r="AX1461" t="s">
        <v>279</v>
      </c>
      <c r="AZ1461" t="s">
        <v>392</v>
      </c>
      <c r="BB1461" t="s">
        <v>125</v>
      </c>
      <c r="BC1461" t="s">
        <v>117</v>
      </c>
      <c r="BD1461" t="s">
        <v>7528</v>
      </c>
      <c r="BF1461" t="s">
        <v>4642</v>
      </c>
      <c r="BG1461" t="s">
        <v>98</v>
      </c>
      <c r="BH1461" t="s">
        <v>98</v>
      </c>
      <c r="BI1461" t="s">
        <v>98</v>
      </c>
      <c r="BK1461" t="s">
        <v>127</v>
      </c>
      <c r="BL1461" t="s">
        <v>128</v>
      </c>
      <c r="CA1461" t="s">
        <v>4643</v>
      </c>
      <c r="CB1461" t="s">
        <v>279</v>
      </c>
      <c r="CL1461" t="s">
        <v>98</v>
      </c>
      <c r="CM1461" t="s">
        <v>98</v>
      </c>
      <c r="CN1461" t="s">
        <v>129</v>
      </c>
      <c r="CO1461" s="1">
        <v>38484</v>
      </c>
      <c r="CP1461" s="1">
        <v>43633</v>
      </c>
    </row>
    <row r="1462" spans="1:94" x14ac:dyDescent="0.25">
      <c r="A1462" t="s">
        <v>4657</v>
      </c>
      <c r="B1462" t="str">
        <f xml:space="preserve"> "" &amp; 747396053639</f>
        <v>747396053639</v>
      </c>
      <c r="C1462" t="s">
        <v>476</v>
      </c>
      <c r="D1462" t="s">
        <v>476</v>
      </c>
      <c r="E1462" t="s">
        <v>7528</v>
      </c>
      <c r="F1462" t="s">
        <v>144</v>
      </c>
      <c r="G1462">
        <v>1</v>
      </c>
      <c r="H1462">
        <v>1</v>
      </c>
      <c r="I1462" t="s">
        <v>97</v>
      </c>
      <c r="J1462" s="10">
        <v>50</v>
      </c>
      <c r="K1462" s="10">
        <v>150</v>
      </c>
      <c r="L1462" s="10">
        <v>0</v>
      </c>
      <c r="N1462" s="10">
        <v>0</v>
      </c>
      <c r="S1462">
        <v>5</v>
      </c>
      <c r="T1462">
        <v>23.75</v>
      </c>
      <c r="U1462">
        <v>23.75</v>
      </c>
      <c r="W1462">
        <v>8.42</v>
      </c>
      <c r="X1462">
        <v>1</v>
      </c>
      <c r="Y1462">
        <v>7</v>
      </c>
      <c r="Z1462">
        <v>26.5</v>
      </c>
      <c r="AA1462">
        <v>26.5</v>
      </c>
      <c r="AB1462">
        <v>2.8450000000000002</v>
      </c>
      <c r="AC1462">
        <v>11.6</v>
      </c>
      <c r="AE1462">
        <v>1</v>
      </c>
      <c r="AF1462" t="s">
        <v>4658</v>
      </c>
      <c r="AG1462">
        <v>32</v>
      </c>
      <c r="AH1462">
        <v>1</v>
      </c>
      <c r="AI1462" t="s">
        <v>4659</v>
      </c>
      <c r="AJ1462">
        <v>40</v>
      </c>
      <c r="AK1462" t="s">
        <v>99</v>
      </c>
      <c r="AM1462" t="s">
        <v>98</v>
      </c>
      <c r="AN1462" t="s">
        <v>98</v>
      </c>
      <c r="AO1462" t="s">
        <v>99</v>
      </c>
      <c r="AP1462" t="s">
        <v>100</v>
      </c>
      <c r="AQ1462" t="s">
        <v>101</v>
      </c>
      <c r="AV1462" t="s">
        <v>99</v>
      </c>
      <c r="AX1462" t="s">
        <v>279</v>
      </c>
      <c r="AZ1462" t="s">
        <v>392</v>
      </c>
      <c r="BB1462" t="s">
        <v>125</v>
      </c>
      <c r="BC1462" t="s">
        <v>117</v>
      </c>
      <c r="BD1462" t="s">
        <v>7528</v>
      </c>
      <c r="BF1462" t="s">
        <v>4660</v>
      </c>
      <c r="BG1462" t="s">
        <v>98</v>
      </c>
      <c r="BH1462" t="s">
        <v>98</v>
      </c>
      <c r="BI1462" t="s">
        <v>98</v>
      </c>
      <c r="BK1462" t="s">
        <v>127</v>
      </c>
      <c r="BL1462" t="s">
        <v>128</v>
      </c>
      <c r="CA1462" t="s">
        <v>4661</v>
      </c>
      <c r="CB1462" t="s">
        <v>279</v>
      </c>
      <c r="CL1462" t="s">
        <v>98</v>
      </c>
      <c r="CM1462" t="s">
        <v>98</v>
      </c>
      <c r="CN1462" t="s">
        <v>129</v>
      </c>
      <c r="CO1462" s="1">
        <v>38484</v>
      </c>
      <c r="CP1462" s="1">
        <v>43633</v>
      </c>
    </row>
    <row r="1463" spans="1:94" x14ac:dyDescent="0.25">
      <c r="A1463" t="s">
        <v>4662</v>
      </c>
      <c r="B1463" t="str">
        <f xml:space="preserve"> "" &amp; 747396053585</f>
        <v>747396053585</v>
      </c>
      <c r="C1463" t="s">
        <v>476</v>
      </c>
      <c r="D1463" t="s">
        <v>476</v>
      </c>
      <c r="E1463" t="s">
        <v>7528</v>
      </c>
      <c r="F1463" t="s">
        <v>144</v>
      </c>
      <c r="G1463">
        <v>1</v>
      </c>
      <c r="H1463">
        <v>1</v>
      </c>
      <c r="I1463" t="s">
        <v>97</v>
      </c>
      <c r="J1463" s="10">
        <v>50</v>
      </c>
      <c r="K1463" s="10">
        <v>150</v>
      </c>
      <c r="L1463" s="10">
        <v>0</v>
      </c>
      <c r="N1463" s="10">
        <v>0</v>
      </c>
      <c r="S1463">
        <v>4.75</v>
      </c>
      <c r="T1463">
        <v>32.5</v>
      </c>
      <c r="U1463">
        <v>18</v>
      </c>
      <c r="W1463">
        <v>7.91</v>
      </c>
      <c r="X1463">
        <v>1</v>
      </c>
      <c r="Y1463">
        <v>5.5</v>
      </c>
      <c r="Z1463">
        <v>34.880000000000003</v>
      </c>
      <c r="AA1463">
        <v>20</v>
      </c>
      <c r="AB1463">
        <v>2.2200000000000002</v>
      </c>
      <c r="AC1463">
        <v>10.78</v>
      </c>
      <c r="AE1463">
        <v>2</v>
      </c>
      <c r="AF1463" t="s">
        <v>4663</v>
      </c>
      <c r="AG1463">
        <v>32</v>
      </c>
      <c r="AH1463">
        <v>0</v>
      </c>
      <c r="AJ1463">
        <v>0</v>
      </c>
      <c r="AK1463" t="s">
        <v>99</v>
      </c>
      <c r="AM1463" t="s">
        <v>98</v>
      </c>
      <c r="AN1463" t="s">
        <v>98</v>
      </c>
      <c r="AO1463" t="s">
        <v>99</v>
      </c>
      <c r="AP1463" t="s">
        <v>100</v>
      </c>
      <c r="AQ1463" t="s">
        <v>101</v>
      </c>
      <c r="AV1463" t="s">
        <v>99</v>
      </c>
      <c r="AX1463" t="s">
        <v>279</v>
      </c>
      <c r="AZ1463" t="s">
        <v>124</v>
      </c>
      <c r="BB1463" t="s">
        <v>235</v>
      </c>
      <c r="BC1463" t="s">
        <v>117</v>
      </c>
      <c r="BD1463" t="s">
        <v>7528</v>
      </c>
      <c r="BF1463" t="s">
        <v>4664</v>
      </c>
      <c r="BG1463" t="s">
        <v>98</v>
      </c>
      <c r="BH1463" t="s">
        <v>98</v>
      </c>
      <c r="BI1463" t="s">
        <v>98</v>
      </c>
      <c r="BK1463" t="s">
        <v>127</v>
      </c>
      <c r="BL1463" t="s">
        <v>128</v>
      </c>
      <c r="CA1463" t="s">
        <v>4665</v>
      </c>
      <c r="CB1463" t="s">
        <v>279</v>
      </c>
      <c r="CL1463" t="s">
        <v>98</v>
      </c>
      <c r="CM1463" t="s">
        <v>98</v>
      </c>
      <c r="CN1463" t="s">
        <v>3002</v>
      </c>
      <c r="CO1463" s="1">
        <v>38484</v>
      </c>
      <c r="CP1463" s="1">
        <v>43633</v>
      </c>
    </row>
    <row r="1464" spans="1:94" x14ac:dyDescent="0.25">
      <c r="A1464" t="s">
        <v>4666</v>
      </c>
      <c r="B1464" t="str">
        <f xml:space="preserve"> "" &amp; 747396053592</f>
        <v>747396053592</v>
      </c>
      <c r="C1464" t="s">
        <v>3382</v>
      </c>
      <c r="D1464" t="s">
        <v>3382</v>
      </c>
      <c r="E1464" t="s">
        <v>7528</v>
      </c>
      <c r="F1464" t="s">
        <v>144</v>
      </c>
      <c r="G1464">
        <v>1</v>
      </c>
      <c r="H1464">
        <v>1</v>
      </c>
      <c r="I1464" t="s">
        <v>97</v>
      </c>
      <c r="J1464" s="10">
        <v>10</v>
      </c>
      <c r="K1464" s="10">
        <v>30</v>
      </c>
      <c r="L1464" s="10">
        <v>0</v>
      </c>
      <c r="N1464" s="10">
        <v>0</v>
      </c>
      <c r="S1464">
        <v>3</v>
      </c>
      <c r="T1464">
        <v>11</v>
      </c>
      <c r="U1464">
        <v>11</v>
      </c>
      <c r="W1464">
        <v>1.21</v>
      </c>
      <c r="X1464">
        <v>1</v>
      </c>
      <c r="Y1464">
        <v>11.5</v>
      </c>
      <c r="Z1464">
        <v>11.5</v>
      </c>
      <c r="AA1464">
        <v>3.75</v>
      </c>
      <c r="AB1464">
        <v>0.28699999999999998</v>
      </c>
      <c r="AC1464">
        <v>1.85</v>
      </c>
      <c r="AE1464">
        <v>1</v>
      </c>
      <c r="AF1464" t="s">
        <v>4539</v>
      </c>
      <c r="AG1464">
        <v>13</v>
      </c>
      <c r="AH1464">
        <v>0</v>
      </c>
      <c r="AJ1464">
        <v>0</v>
      </c>
      <c r="AK1464" t="s">
        <v>99</v>
      </c>
      <c r="AM1464" t="s">
        <v>98</v>
      </c>
      <c r="AN1464" t="s">
        <v>98</v>
      </c>
      <c r="AO1464" t="s">
        <v>99</v>
      </c>
      <c r="AP1464" t="s">
        <v>100</v>
      </c>
      <c r="AQ1464" t="s">
        <v>101</v>
      </c>
      <c r="AV1464" t="s">
        <v>99</v>
      </c>
      <c r="AX1464" t="s">
        <v>117</v>
      </c>
      <c r="AZ1464" t="s">
        <v>124</v>
      </c>
      <c r="BB1464" t="s">
        <v>125</v>
      </c>
      <c r="BC1464" t="s">
        <v>117</v>
      </c>
      <c r="BD1464" t="s">
        <v>7528</v>
      </c>
      <c r="BF1464" t="s">
        <v>4667</v>
      </c>
      <c r="BG1464" t="s">
        <v>98</v>
      </c>
      <c r="BH1464" t="s">
        <v>98</v>
      </c>
      <c r="BI1464" t="s">
        <v>98</v>
      </c>
      <c r="BK1464" t="s">
        <v>127</v>
      </c>
      <c r="BL1464" t="s">
        <v>128</v>
      </c>
      <c r="CA1464" t="s">
        <v>4668</v>
      </c>
      <c r="CB1464" t="s">
        <v>117</v>
      </c>
      <c r="CL1464" t="s">
        <v>98</v>
      </c>
      <c r="CM1464" t="s">
        <v>98</v>
      </c>
      <c r="CN1464" t="s">
        <v>129</v>
      </c>
      <c r="CO1464" s="1">
        <v>38484</v>
      </c>
      <c r="CP1464" s="1">
        <v>43633</v>
      </c>
    </row>
    <row r="1465" spans="1:94" x14ac:dyDescent="0.25">
      <c r="A1465" t="s">
        <v>4669</v>
      </c>
      <c r="B1465" t="str">
        <f xml:space="preserve"> "" &amp; 747396061740</f>
        <v>747396061740</v>
      </c>
      <c r="C1465" t="s">
        <v>1577</v>
      </c>
      <c r="D1465" t="s">
        <v>6909</v>
      </c>
      <c r="E1465" t="s">
        <v>4670</v>
      </c>
      <c r="F1465" t="s">
        <v>449</v>
      </c>
      <c r="G1465">
        <v>1</v>
      </c>
      <c r="H1465">
        <v>1</v>
      </c>
      <c r="I1465" t="s">
        <v>97</v>
      </c>
      <c r="J1465" s="10">
        <v>30</v>
      </c>
      <c r="K1465" s="10">
        <v>90</v>
      </c>
      <c r="L1465" s="10">
        <v>0</v>
      </c>
      <c r="N1465" s="10">
        <v>0</v>
      </c>
      <c r="S1465">
        <v>11.5</v>
      </c>
      <c r="U1465">
        <v>6.25</v>
      </c>
      <c r="V1465">
        <v>7.75</v>
      </c>
      <c r="W1465">
        <v>3.73</v>
      </c>
      <c r="X1465">
        <v>1</v>
      </c>
      <c r="Y1465">
        <v>14.32</v>
      </c>
      <c r="Z1465">
        <v>10.5</v>
      </c>
      <c r="AA1465">
        <v>8.5</v>
      </c>
      <c r="AB1465">
        <v>0.74</v>
      </c>
      <c r="AC1465">
        <v>5.8</v>
      </c>
      <c r="AE1465">
        <v>1</v>
      </c>
      <c r="AF1465" t="s">
        <v>4671</v>
      </c>
      <c r="AG1465">
        <v>13</v>
      </c>
      <c r="AH1465">
        <v>0</v>
      </c>
      <c r="AK1465" t="s">
        <v>99</v>
      </c>
      <c r="AM1465" t="s">
        <v>98</v>
      </c>
      <c r="AN1465" t="s">
        <v>99</v>
      </c>
      <c r="AO1465" t="s">
        <v>98</v>
      </c>
      <c r="AP1465" t="s">
        <v>100</v>
      </c>
      <c r="AQ1465" t="s">
        <v>101</v>
      </c>
      <c r="AV1465" t="s">
        <v>98</v>
      </c>
      <c r="AX1465" t="s">
        <v>4226</v>
      </c>
      <c r="AZ1465" t="s">
        <v>124</v>
      </c>
      <c r="BB1465" t="s">
        <v>235</v>
      </c>
      <c r="BC1465" t="s">
        <v>3224</v>
      </c>
      <c r="BD1465" t="s">
        <v>7528</v>
      </c>
      <c r="BF1465" t="s">
        <v>4672</v>
      </c>
      <c r="BG1465" t="s">
        <v>98</v>
      </c>
      <c r="BH1465" t="s">
        <v>98</v>
      </c>
      <c r="BI1465" t="s">
        <v>98</v>
      </c>
      <c r="BJ1465" t="s">
        <v>99</v>
      </c>
      <c r="BK1465" t="s">
        <v>453</v>
      </c>
      <c r="BL1465" t="s">
        <v>128</v>
      </c>
      <c r="BR1465">
        <v>7.13</v>
      </c>
      <c r="BT1465">
        <v>5.5</v>
      </c>
      <c r="CA1465" t="s">
        <v>4673</v>
      </c>
      <c r="CB1465" t="s">
        <v>4226</v>
      </c>
      <c r="CG1465">
        <v>2700</v>
      </c>
      <c r="CL1465" t="s">
        <v>98</v>
      </c>
      <c r="CM1465" t="s">
        <v>98</v>
      </c>
      <c r="CN1465" t="s">
        <v>3218</v>
      </c>
      <c r="CO1465" s="1">
        <v>39246</v>
      </c>
      <c r="CP1465" s="1">
        <v>43633</v>
      </c>
    </row>
    <row r="1466" spans="1:94" x14ac:dyDescent="0.25">
      <c r="A1466" t="s">
        <v>4674</v>
      </c>
      <c r="B1466" t="str">
        <f xml:space="preserve"> "" &amp; 747396001227</f>
        <v>747396001227</v>
      </c>
      <c r="C1466" t="s">
        <v>1577</v>
      </c>
      <c r="D1466" t="s">
        <v>6909</v>
      </c>
      <c r="E1466" t="s">
        <v>4670</v>
      </c>
      <c r="F1466" t="s">
        <v>2823</v>
      </c>
      <c r="G1466">
        <v>1</v>
      </c>
      <c r="H1466">
        <v>1</v>
      </c>
      <c r="I1466" t="s">
        <v>97</v>
      </c>
      <c r="J1466" s="10">
        <v>64</v>
      </c>
      <c r="K1466" s="10">
        <v>192</v>
      </c>
      <c r="L1466" s="10">
        <v>0</v>
      </c>
      <c r="N1466" s="10">
        <v>0</v>
      </c>
      <c r="O1466" t="s">
        <v>99</v>
      </c>
      <c r="P1466" s="10">
        <v>129.94999999999999</v>
      </c>
      <c r="S1466">
        <v>11.5</v>
      </c>
      <c r="U1466">
        <v>6.25</v>
      </c>
      <c r="V1466">
        <v>7.75</v>
      </c>
      <c r="W1466">
        <v>3.73</v>
      </c>
      <c r="X1466">
        <v>1</v>
      </c>
      <c r="Y1466">
        <v>14.25</v>
      </c>
      <c r="Z1466">
        <v>10.5</v>
      </c>
      <c r="AA1466">
        <v>8.5</v>
      </c>
      <c r="AB1466">
        <v>0.73599999999999999</v>
      </c>
      <c r="AC1466">
        <v>5.8</v>
      </c>
      <c r="AE1466">
        <v>1</v>
      </c>
      <c r="AF1466" t="s">
        <v>233</v>
      </c>
      <c r="AG1466">
        <v>100</v>
      </c>
      <c r="AH1466">
        <v>0</v>
      </c>
      <c r="AK1466" t="s">
        <v>98</v>
      </c>
      <c r="AM1466" t="s">
        <v>98</v>
      </c>
      <c r="AN1466" t="s">
        <v>99</v>
      </c>
      <c r="AO1466" t="s">
        <v>98</v>
      </c>
      <c r="AP1466" t="s">
        <v>100</v>
      </c>
      <c r="AQ1466" t="s">
        <v>101</v>
      </c>
      <c r="AV1466" t="s">
        <v>98</v>
      </c>
      <c r="AX1466" t="s">
        <v>4226</v>
      </c>
      <c r="AZ1466" t="s">
        <v>124</v>
      </c>
      <c r="BB1466" t="s">
        <v>235</v>
      </c>
      <c r="BC1466" t="s">
        <v>4697</v>
      </c>
      <c r="BD1466" t="s">
        <v>7528</v>
      </c>
      <c r="BF1466" t="s">
        <v>4675</v>
      </c>
      <c r="BG1466" t="s">
        <v>98</v>
      </c>
      <c r="BH1466" t="s">
        <v>98</v>
      </c>
      <c r="BI1466" t="s">
        <v>98</v>
      </c>
      <c r="BJ1466" t="s">
        <v>99</v>
      </c>
      <c r="BK1466" t="s">
        <v>453</v>
      </c>
      <c r="BL1466" t="s">
        <v>128</v>
      </c>
      <c r="BR1466">
        <v>7.13</v>
      </c>
      <c r="BT1466">
        <v>5.5</v>
      </c>
      <c r="CA1466">
        <v>8690</v>
      </c>
      <c r="CB1466" t="s">
        <v>4226</v>
      </c>
      <c r="CG1466">
        <v>0</v>
      </c>
      <c r="CL1466" t="s">
        <v>99</v>
      </c>
      <c r="CM1466" t="s">
        <v>98</v>
      </c>
      <c r="CN1466" t="s">
        <v>3218</v>
      </c>
      <c r="CO1466" s="1">
        <v>37064</v>
      </c>
      <c r="CP1466" s="1">
        <v>43633</v>
      </c>
    </row>
    <row r="1467" spans="1:94" x14ac:dyDescent="0.25">
      <c r="A1467" t="s">
        <v>4676</v>
      </c>
      <c r="B1467" t="str">
        <f xml:space="preserve"> "" &amp; 747396078755</f>
        <v>747396078755</v>
      </c>
      <c r="C1467" t="s">
        <v>1577</v>
      </c>
      <c r="D1467" t="s">
        <v>6909</v>
      </c>
      <c r="E1467" t="s">
        <v>4670</v>
      </c>
      <c r="F1467" t="s">
        <v>2823</v>
      </c>
      <c r="G1467">
        <v>1</v>
      </c>
      <c r="H1467">
        <v>1</v>
      </c>
      <c r="I1467" t="s">
        <v>97</v>
      </c>
      <c r="J1467" s="10">
        <v>64</v>
      </c>
      <c r="K1467" s="10">
        <v>192</v>
      </c>
      <c r="L1467" s="10">
        <v>0</v>
      </c>
      <c r="N1467" s="10">
        <v>0</v>
      </c>
      <c r="O1467" t="s">
        <v>99</v>
      </c>
      <c r="P1467" s="10">
        <v>129.94999999999999</v>
      </c>
      <c r="S1467">
        <v>11.5</v>
      </c>
      <c r="U1467">
        <v>6.25</v>
      </c>
      <c r="V1467">
        <v>7.75</v>
      </c>
      <c r="W1467">
        <v>3.73</v>
      </c>
      <c r="Y1467">
        <v>14.25</v>
      </c>
      <c r="Z1467">
        <v>10.5</v>
      </c>
      <c r="AA1467">
        <v>8.5</v>
      </c>
      <c r="AB1467">
        <v>0.73599999999999999</v>
      </c>
      <c r="AC1467">
        <v>5.8</v>
      </c>
      <c r="AE1467">
        <v>1</v>
      </c>
      <c r="AF1467" t="s">
        <v>233</v>
      </c>
      <c r="AG1467">
        <v>100</v>
      </c>
      <c r="AK1467" t="s">
        <v>98</v>
      </c>
      <c r="AM1467" t="s">
        <v>98</v>
      </c>
      <c r="AN1467" t="s">
        <v>99</v>
      </c>
      <c r="AO1467" t="s">
        <v>98</v>
      </c>
      <c r="AP1467" t="s">
        <v>100</v>
      </c>
      <c r="AQ1467" t="s">
        <v>101</v>
      </c>
      <c r="AV1467" t="s">
        <v>98</v>
      </c>
      <c r="AX1467" t="s">
        <v>164</v>
      </c>
      <c r="AZ1467" t="s">
        <v>124</v>
      </c>
      <c r="BB1467" t="s">
        <v>235</v>
      </c>
      <c r="BC1467" t="s">
        <v>4697</v>
      </c>
      <c r="BD1467" t="s">
        <v>7528</v>
      </c>
      <c r="BF1467" t="s">
        <v>4677</v>
      </c>
      <c r="BG1467" t="s">
        <v>98</v>
      </c>
      <c r="BH1467" t="s">
        <v>98</v>
      </c>
      <c r="BI1467" t="s">
        <v>98</v>
      </c>
      <c r="BJ1467" t="s">
        <v>99</v>
      </c>
      <c r="BK1467" t="s">
        <v>453</v>
      </c>
      <c r="BL1467" t="s">
        <v>128</v>
      </c>
      <c r="BR1467">
        <v>7.13</v>
      </c>
      <c r="BT1467">
        <v>5.5</v>
      </c>
      <c r="CA1467">
        <v>8690</v>
      </c>
      <c r="CB1467" t="s">
        <v>164</v>
      </c>
      <c r="CG1467">
        <v>0</v>
      </c>
      <c r="CL1467" t="s">
        <v>99</v>
      </c>
      <c r="CM1467" t="s">
        <v>98</v>
      </c>
      <c r="CN1467" t="s">
        <v>3227</v>
      </c>
      <c r="CO1467" s="1">
        <v>40420</v>
      </c>
      <c r="CP1467" s="1">
        <v>43633</v>
      </c>
    </row>
    <row r="1468" spans="1:94" x14ac:dyDescent="0.25">
      <c r="A1468" t="s">
        <v>4678</v>
      </c>
      <c r="B1468" t="str">
        <f xml:space="preserve"> "" &amp; 747396001234</f>
        <v>747396001234</v>
      </c>
      <c r="C1468" t="s">
        <v>1550</v>
      </c>
      <c r="D1468" t="s">
        <v>6910</v>
      </c>
      <c r="E1468" t="s">
        <v>4670</v>
      </c>
      <c r="F1468" t="s">
        <v>2823</v>
      </c>
      <c r="G1468">
        <v>1</v>
      </c>
      <c r="H1468">
        <v>1</v>
      </c>
      <c r="I1468" t="s">
        <v>97</v>
      </c>
      <c r="J1468" s="10">
        <v>88</v>
      </c>
      <c r="K1468" s="10">
        <v>264</v>
      </c>
      <c r="L1468" s="10">
        <v>0</v>
      </c>
      <c r="N1468" s="10">
        <v>0</v>
      </c>
      <c r="O1468" t="s">
        <v>99</v>
      </c>
      <c r="P1468" s="10">
        <v>174.95</v>
      </c>
      <c r="S1468">
        <v>21</v>
      </c>
      <c r="U1468">
        <v>7.5</v>
      </c>
      <c r="V1468">
        <v>10.25</v>
      </c>
      <c r="W1468">
        <v>7.12</v>
      </c>
      <c r="X1468">
        <v>1</v>
      </c>
      <c r="Y1468">
        <v>24</v>
      </c>
      <c r="Z1468">
        <v>12.88</v>
      </c>
      <c r="AA1468">
        <v>10.25</v>
      </c>
      <c r="AB1468">
        <v>1.8340000000000001</v>
      </c>
      <c r="AC1468">
        <v>8.25</v>
      </c>
      <c r="AE1468">
        <v>2</v>
      </c>
      <c r="AF1468" t="s">
        <v>308</v>
      </c>
      <c r="AG1468">
        <v>60</v>
      </c>
      <c r="AK1468" t="s">
        <v>98</v>
      </c>
      <c r="AM1468" t="s">
        <v>98</v>
      </c>
      <c r="AN1468" t="s">
        <v>99</v>
      </c>
      <c r="AO1468" t="s">
        <v>98</v>
      </c>
      <c r="AP1468" t="s">
        <v>100</v>
      </c>
      <c r="AQ1468" t="s">
        <v>101</v>
      </c>
      <c r="AV1468" t="s">
        <v>98</v>
      </c>
      <c r="AX1468" t="s">
        <v>4226</v>
      </c>
      <c r="AZ1468" t="s">
        <v>124</v>
      </c>
      <c r="BB1468" t="s">
        <v>235</v>
      </c>
      <c r="BC1468" t="s">
        <v>4679</v>
      </c>
      <c r="BD1468" t="s">
        <v>7528</v>
      </c>
      <c r="BF1468" t="s">
        <v>4680</v>
      </c>
      <c r="BG1468" t="s">
        <v>98</v>
      </c>
      <c r="BH1468" t="s">
        <v>98</v>
      </c>
      <c r="BI1468" t="s">
        <v>98</v>
      </c>
      <c r="BJ1468" t="s">
        <v>99</v>
      </c>
      <c r="BK1468" t="s">
        <v>453</v>
      </c>
      <c r="BL1468" t="s">
        <v>128</v>
      </c>
      <c r="BM1468">
        <v>5.63</v>
      </c>
      <c r="BN1468">
        <v>11</v>
      </c>
      <c r="CA1468">
        <v>8691</v>
      </c>
      <c r="CB1468" t="s">
        <v>4226</v>
      </c>
      <c r="CL1468" t="s">
        <v>99</v>
      </c>
      <c r="CM1468" t="s">
        <v>98</v>
      </c>
      <c r="CN1468" t="s">
        <v>3218</v>
      </c>
      <c r="CO1468" s="1">
        <v>37134</v>
      </c>
      <c r="CP1468" s="1">
        <v>43633</v>
      </c>
    </row>
    <row r="1469" spans="1:94" x14ac:dyDescent="0.25">
      <c r="A1469" t="s">
        <v>4681</v>
      </c>
      <c r="B1469" t="str">
        <f xml:space="preserve"> "" &amp; 747396078762</f>
        <v>747396078762</v>
      </c>
      <c r="C1469" t="s">
        <v>1550</v>
      </c>
      <c r="D1469" t="s">
        <v>6910</v>
      </c>
      <c r="E1469" t="s">
        <v>4670</v>
      </c>
      <c r="F1469" t="s">
        <v>2823</v>
      </c>
      <c r="G1469">
        <v>1</v>
      </c>
      <c r="H1469">
        <v>1</v>
      </c>
      <c r="I1469" t="s">
        <v>97</v>
      </c>
      <c r="J1469" s="10">
        <v>88</v>
      </c>
      <c r="K1469" s="10">
        <v>264</v>
      </c>
      <c r="L1469" s="10">
        <v>0</v>
      </c>
      <c r="N1469" s="10">
        <v>0</v>
      </c>
      <c r="O1469" t="s">
        <v>99</v>
      </c>
      <c r="P1469" s="10">
        <v>174.95</v>
      </c>
      <c r="S1469">
        <v>21</v>
      </c>
      <c r="U1469">
        <v>7.5</v>
      </c>
      <c r="V1469">
        <v>10.25</v>
      </c>
      <c r="W1469">
        <v>7.12</v>
      </c>
      <c r="Y1469">
        <v>24</v>
      </c>
      <c r="Z1469">
        <v>12.88</v>
      </c>
      <c r="AA1469">
        <v>10.25</v>
      </c>
      <c r="AB1469">
        <v>1.8340000000000001</v>
      </c>
      <c r="AC1469">
        <v>8.25</v>
      </c>
      <c r="AE1469">
        <v>2</v>
      </c>
      <c r="AF1469" t="s">
        <v>308</v>
      </c>
      <c r="AG1469">
        <v>60</v>
      </c>
      <c r="AK1469" t="s">
        <v>98</v>
      </c>
      <c r="AM1469" t="s">
        <v>98</v>
      </c>
      <c r="AN1469" t="s">
        <v>99</v>
      </c>
      <c r="AO1469" t="s">
        <v>98</v>
      </c>
      <c r="AP1469" t="s">
        <v>100</v>
      </c>
      <c r="AQ1469" t="s">
        <v>101</v>
      </c>
      <c r="AV1469" t="s">
        <v>98</v>
      </c>
      <c r="AX1469" t="s">
        <v>164</v>
      </c>
      <c r="AZ1469" t="s">
        <v>124</v>
      </c>
      <c r="BB1469" t="s">
        <v>235</v>
      </c>
      <c r="BC1469" t="s">
        <v>4682</v>
      </c>
      <c r="BD1469" t="s">
        <v>7528</v>
      </c>
      <c r="BF1469" t="s">
        <v>4683</v>
      </c>
      <c r="BG1469" t="s">
        <v>98</v>
      </c>
      <c r="BH1469" t="s">
        <v>98</v>
      </c>
      <c r="BI1469" t="s">
        <v>98</v>
      </c>
      <c r="BJ1469" t="s">
        <v>99</v>
      </c>
      <c r="BK1469" t="s">
        <v>453</v>
      </c>
      <c r="BL1469" t="s">
        <v>128</v>
      </c>
      <c r="BM1469">
        <v>5.63</v>
      </c>
      <c r="BN1469">
        <v>11</v>
      </c>
      <c r="CA1469">
        <v>8691</v>
      </c>
      <c r="CB1469" t="s">
        <v>164</v>
      </c>
      <c r="CL1469" t="s">
        <v>99</v>
      </c>
      <c r="CM1469" t="s">
        <v>98</v>
      </c>
      <c r="CN1469" t="s">
        <v>3227</v>
      </c>
      <c r="CO1469" s="1">
        <v>40420</v>
      </c>
      <c r="CP1469" s="1">
        <v>43633</v>
      </c>
    </row>
    <row r="1470" spans="1:94" x14ac:dyDescent="0.25">
      <c r="A1470" t="s">
        <v>4684</v>
      </c>
      <c r="B1470" t="str">
        <f xml:space="preserve"> "" &amp; 747396001241</f>
        <v>747396001241</v>
      </c>
      <c r="C1470" t="s">
        <v>1799</v>
      </c>
      <c r="D1470" t="s">
        <v>6911</v>
      </c>
      <c r="E1470" t="s">
        <v>4670</v>
      </c>
      <c r="F1470" t="s">
        <v>2823</v>
      </c>
      <c r="G1470">
        <v>1</v>
      </c>
      <c r="H1470">
        <v>1</v>
      </c>
      <c r="I1470" t="s">
        <v>97</v>
      </c>
      <c r="J1470" s="10">
        <v>149</v>
      </c>
      <c r="K1470" s="10">
        <v>447</v>
      </c>
      <c r="L1470" s="10">
        <v>0</v>
      </c>
      <c r="N1470" s="10">
        <v>0</v>
      </c>
      <c r="O1470" t="s">
        <v>99</v>
      </c>
      <c r="P1470" s="10">
        <v>299.95</v>
      </c>
      <c r="S1470">
        <v>27.75</v>
      </c>
      <c r="U1470">
        <v>10</v>
      </c>
      <c r="V1470">
        <v>13.25</v>
      </c>
      <c r="W1470">
        <v>13.65</v>
      </c>
      <c r="X1470">
        <v>1</v>
      </c>
      <c r="Y1470">
        <v>30.91</v>
      </c>
      <c r="Z1470">
        <v>15.95</v>
      </c>
      <c r="AA1470">
        <v>12.99</v>
      </c>
      <c r="AB1470">
        <v>3.706</v>
      </c>
      <c r="AC1470">
        <v>18.12</v>
      </c>
      <c r="AE1470">
        <v>3</v>
      </c>
      <c r="AF1470" t="s">
        <v>308</v>
      </c>
      <c r="AG1470">
        <v>60</v>
      </c>
      <c r="AH1470">
        <v>0</v>
      </c>
      <c r="AK1470" t="s">
        <v>98</v>
      </c>
      <c r="AM1470" t="s">
        <v>98</v>
      </c>
      <c r="AN1470" t="s">
        <v>99</v>
      </c>
      <c r="AO1470" t="s">
        <v>98</v>
      </c>
      <c r="AP1470" t="s">
        <v>100</v>
      </c>
      <c r="AQ1470" t="s">
        <v>101</v>
      </c>
      <c r="AV1470" t="s">
        <v>98</v>
      </c>
      <c r="AX1470" t="s">
        <v>4226</v>
      </c>
      <c r="AZ1470" t="s">
        <v>124</v>
      </c>
      <c r="BB1470" t="s">
        <v>235</v>
      </c>
      <c r="BC1470" t="s">
        <v>4697</v>
      </c>
      <c r="BD1470" t="s">
        <v>7528</v>
      </c>
      <c r="BF1470" t="s">
        <v>4685</v>
      </c>
      <c r="BG1470" t="s">
        <v>98</v>
      </c>
      <c r="BH1470" t="s">
        <v>98</v>
      </c>
      <c r="BI1470" t="s">
        <v>98</v>
      </c>
      <c r="BJ1470" t="s">
        <v>99</v>
      </c>
      <c r="BK1470" t="s">
        <v>453</v>
      </c>
      <c r="BL1470" t="s">
        <v>128</v>
      </c>
      <c r="BR1470">
        <v>14.63</v>
      </c>
      <c r="BT1470">
        <v>6.63</v>
      </c>
      <c r="CA1470">
        <v>8692</v>
      </c>
      <c r="CB1470" t="s">
        <v>4226</v>
      </c>
      <c r="CG1470">
        <v>0</v>
      </c>
      <c r="CL1470" t="s">
        <v>99</v>
      </c>
      <c r="CM1470" t="s">
        <v>98</v>
      </c>
      <c r="CN1470" t="s">
        <v>3218</v>
      </c>
      <c r="CO1470" s="1">
        <v>37134</v>
      </c>
      <c r="CP1470" s="1">
        <v>43633</v>
      </c>
    </row>
    <row r="1471" spans="1:94" x14ac:dyDescent="0.25">
      <c r="A1471" t="s">
        <v>4686</v>
      </c>
      <c r="B1471" t="str">
        <f xml:space="preserve"> "" &amp; 747396078779</f>
        <v>747396078779</v>
      </c>
      <c r="C1471" t="s">
        <v>1799</v>
      </c>
      <c r="D1471" t="s">
        <v>6911</v>
      </c>
      <c r="E1471" t="s">
        <v>4670</v>
      </c>
      <c r="F1471" t="s">
        <v>2823</v>
      </c>
      <c r="G1471">
        <v>1</v>
      </c>
      <c r="H1471">
        <v>1</v>
      </c>
      <c r="I1471" t="s">
        <v>97</v>
      </c>
      <c r="J1471" s="10">
        <v>149</v>
      </c>
      <c r="K1471" s="10">
        <v>447</v>
      </c>
      <c r="L1471" s="10">
        <v>0</v>
      </c>
      <c r="N1471" s="10">
        <v>0</v>
      </c>
      <c r="O1471" t="s">
        <v>99</v>
      </c>
      <c r="P1471" s="10">
        <v>299.95</v>
      </c>
      <c r="S1471">
        <v>27.75</v>
      </c>
      <c r="U1471">
        <v>10</v>
      </c>
      <c r="V1471">
        <v>13.25</v>
      </c>
      <c r="W1471">
        <v>12.1</v>
      </c>
      <c r="Y1471">
        <v>31</v>
      </c>
      <c r="Z1471">
        <v>16</v>
      </c>
      <c r="AA1471">
        <v>13</v>
      </c>
      <c r="AB1471">
        <v>3.7309999999999999</v>
      </c>
      <c r="AC1471">
        <v>16.760000000000002</v>
      </c>
      <c r="AE1471">
        <v>3</v>
      </c>
      <c r="AF1471" t="s">
        <v>308</v>
      </c>
      <c r="AG1471">
        <v>60</v>
      </c>
      <c r="AK1471" t="s">
        <v>98</v>
      </c>
      <c r="AM1471" t="s">
        <v>98</v>
      </c>
      <c r="AN1471" t="s">
        <v>99</v>
      </c>
      <c r="AO1471" t="s">
        <v>98</v>
      </c>
      <c r="AP1471" t="s">
        <v>100</v>
      </c>
      <c r="AQ1471" t="s">
        <v>101</v>
      </c>
      <c r="AV1471" t="s">
        <v>98</v>
      </c>
      <c r="AX1471" t="s">
        <v>164</v>
      </c>
      <c r="AZ1471" t="s">
        <v>124</v>
      </c>
      <c r="BB1471" t="s">
        <v>235</v>
      </c>
      <c r="BC1471" t="s">
        <v>4697</v>
      </c>
      <c r="BD1471" t="s">
        <v>7528</v>
      </c>
      <c r="BF1471" t="s">
        <v>4687</v>
      </c>
      <c r="BG1471" t="s">
        <v>98</v>
      </c>
      <c r="BH1471" t="s">
        <v>98</v>
      </c>
      <c r="BI1471" t="s">
        <v>98</v>
      </c>
      <c r="BJ1471" t="s">
        <v>99</v>
      </c>
      <c r="BK1471" t="s">
        <v>453</v>
      </c>
      <c r="BL1471" t="s">
        <v>128</v>
      </c>
      <c r="BR1471">
        <v>14.63</v>
      </c>
      <c r="BT1471">
        <v>6.63</v>
      </c>
      <c r="CA1471">
        <v>8692</v>
      </c>
      <c r="CB1471" t="s">
        <v>164</v>
      </c>
      <c r="CG1471">
        <v>0</v>
      </c>
      <c r="CL1471" t="s">
        <v>99</v>
      </c>
      <c r="CM1471" t="s">
        <v>98</v>
      </c>
      <c r="CN1471" t="s">
        <v>3227</v>
      </c>
      <c r="CO1471" s="1">
        <v>40420</v>
      </c>
      <c r="CP1471" s="1">
        <v>43633</v>
      </c>
    </row>
    <row r="1472" spans="1:94" x14ac:dyDescent="0.25">
      <c r="A1472" t="s">
        <v>4688</v>
      </c>
      <c r="B1472" t="str">
        <f xml:space="preserve"> "" &amp; 747396024813</f>
        <v>747396024813</v>
      </c>
      <c r="C1472" t="s">
        <v>3394</v>
      </c>
      <c r="D1472" t="s">
        <v>6912</v>
      </c>
      <c r="E1472" t="s">
        <v>4670</v>
      </c>
      <c r="F1472" t="s">
        <v>2823</v>
      </c>
      <c r="G1472">
        <v>1</v>
      </c>
      <c r="H1472">
        <v>1</v>
      </c>
      <c r="I1472" t="s">
        <v>97</v>
      </c>
      <c r="J1472" s="10">
        <v>249</v>
      </c>
      <c r="K1472" s="10">
        <v>747</v>
      </c>
      <c r="L1472" s="10">
        <v>0</v>
      </c>
      <c r="N1472" s="10">
        <v>0</v>
      </c>
      <c r="O1472" t="s">
        <v>99</v>
      </c>
      <c r="P1472" s="10">
        <v>499.95</v>
      </c>
      <c r="S1472">
        <v>32.25</v>
      </c>
      <c r="U1472">
        <v>12</v>
      </c>
      <c r="V1472">
        <v>16</v>
      </c>
      <c r="W1472">
        <v>26.5</v>
      </c>
      <c r="X1472">
        <v>1</v>
      </c>
      <c r="Y1472">
        <v>36.049999999999997</v>
      </c>
      <c r="Z1472">
        <v>18.7</v>
      </c>
      <c r="AA1472">
        <v>14.76</v>
      </c>
      <c r="AB1472">
        <v>5.758</v>
      </c>
      <c r="AC1472">
        <v>21.67</v>
      </c>
      <c r="AE1472">
        <v>4</v>
      </c>
      <c r="AF1472" t="s">
        <v>308</v>
      </c>
      <c r="AG1472">
        <v>60</v>
      </c>
      <c r="AH1472">
        <v>0</v>
      </c>
      <c r="AK1472" t="s">
        <v>98</v>
      </c>
      <c r="AM1472" t="s">
        <v>98</v>
      </c>
      <c r="AN1472" t="s">
        <v>99</v>
      </c>
      <c r="AO1472" t="s">
        <v>98</v>
      </c>
      <c r="AP1472" t="s">
        <v>259</v>
      </c>
      <c r="AQ1472" t="s">
        <v>101</v>
      </c>
      <c r="AV1472" t="s">
        <v>98</v>
      </c>
      <c r="AX1472" t="s">
        <v>4226</v>
      </c>
      <c r="AZ1472" t="s">
        <v>124</v>
      </c>
      <c r="BB1472" t="s">
        <v>235</v>
      </c>
      <c r="BC1472" t="s">
        <v>4697</v>
      </c>
      <c r="BD1472" t="s">
        <v>7528</v>
      </c>
      <c r="BF1472" t="s">
        <v>4689</v>
      </c>
      <c r="BG1472" t="s">
        <v>98</v>
      </c>
      <c r="BH1472" t="s">
        <v>98</v>
      </c>
      <c r="BI1472" t="s">
        <v>98</v>
      </c>
      <c r="BJ1472" t="s">
        <v>99</v>
      </c>
      <c r="BK1472" t="s">
        <v>453</v>
      </c>
      <c r="BL1472" t="s">
        <v>128</v>
      </c>
      <c r="BR1472">
        <v>16.75</v>
      </c>
      <c r="BT1472">
        <v>7</v>
      </c>
      <c r="CA1472">
        <v>8693</v>
      </c>
      <c r="CB1472" t="s">
        <v>4226</v>
      </c>
      <c r="CG1472">
        <v>0</v>
      </c>
      <c r="CL1472" t="s">
        <v>99</v>
      </c>
      <c r="CM1472" t="s">
        <v>98</v>
      </c>
      <c r="CN1472" t="s">
        <v>4259</v>
      </c>
      <c r="CO1472" s="1">
        <v>37064</v>
      </c>
      <c r="CP1472" s="1">
        <v>43633</v>
      </c>
    </row>
    <row r="1473" spans="1:94" x14ac:dyDescent="0.25">
      <c r="A1473" t="s">
        <v>4690</v>
      </c>
      <c r="B1473" t="str">
        <f xml:space="preserve"> "" &amp; 747396078786</f>
        <v>747396078786</v>
      </c>
      <c r="C1473" t="s">
        <v>3394</v>
      </c>
      <c r="D1473" t="s">
        <v>6912</v>
      </c>
      <c r="E1473" t="s">
        <v>4670</v>
      </c>
      <c r="F1473" t="s">
        <v>2823</v>
      </c>
      <c r="G1473">
        <v>1</v>
      </c>
      <c r="H1473">
        <v>1</v>
      </c>
      <c r="I1473" t="s">
        <v>97</v>
      </c>
      <c r="J1473" s="10">
        <v>249</v>
      </c>
      <c r="K1473" s="10">
        <v>747</v>
      </c>
      <c r="L1473" s="10">
        <v>0</v>
      </c>
      <c r="N1473" s="10">
        <v>0</v>
      </c>
      <c r="O1473" t="s">
        <v>99</v>
      </c>
      <c r="P1473" s="10">
        <v>499.95</v>
      </c>
      <c r="S1473">
        <v>33.5</v>
      </c>
      <c r="U1473">
        <v>12</v>
      </c>
      <c r="V1473">
        <v>16</v>
      </c>
      <c r="W1473">
        <v>24.14</v>
      </c>
      <c r="Y1473">
        <v>36</v>
      </c>
      <c r="Z1473">
        <v>18.75</v>
      </c>
      <c r="AA1473">
        <v>14.88</v>
      </c>
      <c r="AB1473">
        <v>5.8129999999999997</v>
      </c>
      <c r="AC1473">
        <v>29.65</v>
      </c>
      <c r="AE1473">
        <v>4</v>
      </c>
      <c r="AF1473" t="s">
        <v>308</v>
      </c>
      <c r="AG1473">
        <v>60</v>
      </c>
      <c r="AK1473" t="s">
        <v>98</v>
      </c>
      <c r="AM1473" t="s">
        <v>98</v>
      </c>
      <c r="AN1473" t="s">
        <v>99</v>
      </c>
      <c r="AO1473" t="s">
        <v>98</v>
      </c>
      <c r="AP1473" t="s">
        <v>259</v>
      </c>
      <c r="AQ1473" t="s">
        <v>101</v>
      </c>
      <c r="AV1473" t="s">
        <v>98</v>
      </c>
      <c r="AX1473" t="s">
        <v>164</v>
      </c>
      <c r="AZ1473" t="s">
        <v>124</v>
      </c>
      <c r="BB1473" t="s">
        <v>235</v>
      </c>
      <c r="BC1473" t="s">
        <v>4697</v>
      </c>
      <c r="BD1473" t="s">
        <v>7528</v>
      </c>
      <c r="BF1473" t="s">
        <v>4691</v>
      </c>
      <c r="BG1473" t="s">
        <v>98</v>
      </c>
      <c r="BH1473" t="s">
        <v>98</v>
      </c>
      <c r="BI1473" t="s">
        <v>98</v>
      </c>
      <c r="BJ1473" t="s">
        <v>99</v>
      </c>
      <c r="BK1473" t="s">
        <v>453</v>
      </c>
      <c r="BL1473" t="s">
        <v>128</v>
      </c>
      <c r="BR1473">
        <v>16.75</v>
      </c>
      <c r="BT1473">
        <v>7</v>
      </c>
      <c r="CA1473">
        <v>8693</v>
      </c>
      <c r="CB1473" t="s">
        <v>164</v>
      </c>
      <c r="CG1473">
        <v>0</v>
      </c>
      <c r="CL1473" t="s">
        <v>99</v>
      </c>
      <c r="CM1473" t="s">
        <v>98</v>
      </c>
      <c r="CN1473" t="s">
        <v>3227</v>
      </c>
      <c r="CO1473" s="1">
        <v>40420</v>
      </c>
      <c r="CP1473" s="1">
        <v>43633</v>
      </c>
    </row>
    <row r="1474" spans="1:94" x14ac:dyDescent="0.25">
      <c r="A1474" t="s">
        <v>4692</v>
      </c>
      <c r="B1474" t="str">
        <f xml:space="preserve"> "" &amp; 747396001258</f>
        <v>747396001258</v>
      </c>
      <c r="C1474" t="s">
        <v>3663</v>
      </c>
      <c r="D1474" t="s">
        <v>6913</v>
      </c>
      <c r="E1474" t="s">
        <v>4670</v>
      </c>
      <c r="F1474" t="s">
        <v>2823</v>
      </c>
      <c r="G1474">
        <v>1</v>
      </c>
      <c r="H1474">
        <v>1</v>
      </c>
      <c r="I1474" t="s">
        <v>97</v>
      </c>
      <c r="J1474" s="10">
        <v>189</v>
      </c>
      <c r="K1474" s="10">
        <v>567</v>
      </c>
      <c r="L1474" s="10">
        <v>0</v>
      </c>
      <c r="N1474" s="10">
        <v>0</v>
      </c>
      <c r="O1474" t="s">
        <v>99</v>
      </c>
      <c r="P1474" s="10">
        <v>379.95</v>
      </c>
      <c r="S1474">
        <v>28.75</v>
      </c>
      <c r="T1474">
        <v>12</v>
      </c>
      <c r="U1474">
        <v>12</v>
      </c>
      <c r="W1474">
        <v>18.829999999999998</v>
      </c>
      <c r="X1474">
        <v>1</v>
      </c>
      <c r="Y1474">
        <v>31.75</v>
      </c>
      <c r="Z1474">
        <v>14.88</v>
      </c>
      <c r="AA1474">
        <v>14.88</v>
      </c>
      <c r="AB1474">
        <v>4.0679999999999996</v>
      </c>
      <c r="AC1474">
        <v>22.84</v>
      </c>
      <c r="AE1474">
        <v>4</v>
      </c>
      <c r="AF1474" t="s">
        <v>308</v>
      </c>
      <c r="AG1474">
        <v>40</v>
      </c>
      <c r="AK1474" t="s">
        <v>98</v>
      </c>
      <c r="AM1474" t="s">
        <v>98</v>
      </c>
      <c r="AN1474" t="s">
        <v>99</v>
      </c>
      <c r="AO1474" t="s">
        <v>98</v>
      </c>
      <c r="AP1474" t="s">
        <v>100</v>
      </c>
      <c r="AQ1474" t="s">
        <v>101</v>
      </c>
      <c r="AV1474" t="s">
        <v>98</v>
      </c>
      <c r="AX1474" t="s">
        <v>4226</v>
      </c>
      <c r="AZ1474" t="s">
        <v>124</v>
      </c>
      <c r="BB1474" t="s">
        <v>235</v>
      </c>
      <c r="BC1474" t="s">
        <v>4697</v>
      </c>
      <c r="BD1474" t="s">
        <v>7528</v>
      </c>
      <c r="BF1474" t="s">
        <v>4693</v>
      </c>
      <c r="BG1474" t="s">
        <v>98</v>
      </c>
      <c r="BH1474" t="s">
        <v>98</v>
      </c>
      <c r="BI1474" t="s">
        <v>98</v>
      </c>
      <c r="BK1474" t="s">
        <v>127</v>
      </c>
      <c r="BL1474" t="s">
        <v>7528</v>
      </c>
      <c r="BS1474">
        <v>5.13</v>
      </c>
      <c r="BT1474">
        <v>5.13</v>
      </c>
      <c r="CA1474">
        <v>8694</v>
      </c>
      <c r="CB1474" t="s">
        <v>4226</v>
      </c>
      <c r="CL1474" t="s">
        <v>99</v>
      </c>
      <c r="CM1474" t="s">
        <v>99</v>
      </c>
      <c r="CN1474" t="s">
        <v>4259</v>
      </c>
      <c r="CO1474" s="1">
        <v>37064</v>
      </c>
      <c r="CP1474" s="1">
        <v>43633</v>
      </c>
    </row>
    <row r="1475" spans="1:94" x14ac:dyDescent="0.25">
      <c r="A1475" t="s">
        <v>4694</v>
      </c>
      <c r="B1475" t="str">
        <f xml:space="preserve"> "" &amp; 747396078793</f>
        <v>747396078793</v>
      </c>
      <c r="C1475" t="s">
        <v>3663</v>
      </c>
      <c r="D1475" t="s">
        <v>6913</v>
      </c>
      <c r="E1475" t="s">
        <v>4670</v>
      </c>
      <c r="F1475" t="s">
        <v>2823</v>
      </c>
      <c r="G1475">
        <v>1</v>
      </c>
      <c r="H1475">
        <v>1</v>
      </c>
      <c r="I1475" t="s">
        <v>97</v>
      </c>
      <c r="J1475" s="10">
        <v>189</v>
      </c>
      <c r="K1475" s="10">
        <v>567</v>
      </c>
      <c r="L1475" s="10">
        <v>0</v>
      </c>
      <c r="N1475" s="10">
        <v>0</v>
      </c>
      <c r="O1475" t="s">
        <v>99</v>
      </c>
      <c r="P1475" s="10">
        <v>379.95</v>
      </c>
      <c r="S1475">
        <v>28.75</v>
      </c>
      <c r="T1475">
        <v>12</v>
      </c>
      <c r="U1475">
        <v>12</v>
      </c>
      <c r="W1475">
        <v>18.829999999999998</v>
      </c>
      <c r="Y1475">
        <v>31.75</v>
      </c>
      <c r="Z1475">
        <v>14.88</v>
      </c>
      <c r="AA1475">
        <v>14.88</v>
      </c>
      <c r="AB1475">
        <v>4.0679999999999996</v>
      </c>
      <c r="AC1475">
        <v>22.84</v>
      </c>
      <c r="AE1475">
        <v>4</v>
      </c>
      <c r="AF1475" t="s">
        <v>308</v>
      </c>
      <c r="AG1475">
        <v>40</v>
      </c>
      <c r="AK1475" t="s">
        <v>98</v>
      </c>
      <c r="AM1475" t="s">
        <v>98</v>
      </c>
      <c r="AN1475" t="s">
        <v>99</v>
      </c>
      <c r="AO1475" t="s">
        <v>98</v>
      </c>
      <c r="AP1475" t="s">
        <v>100</v>
      </c>
      <c r="AQ1475" t="s">
        <v>101</v>
      </c>
      <c r="AV1475" t="s">
        <v>98</v>
      </c>
      <c r="AX1475" t="s">
        <v>164</v>
      </c>
      <c r="AZ1475" t="s">
        <v>124</v>
      </c>
      <c r="BB1475" t="s">
        <v>235</v>
      </c>
      <c r="BC1475" t="s">
        <v>4697</v>
      </c>
      <c r="BD1475" t="s">
        <v>7528</v>
      </c>
      <c r="BF1475" t="s">
        <v>4695</v>
      </c>
      <c r="BG1475" t="s">
        <v>98</v>
      </c>
      <c r="BH1475" t="s">
        <v>98</v>
      </c>
      <c r="BI1475" t="s">
        <v>98</v>
      </c>
      <c r="BK1475" t="s">
        <v>127</v>
      </c>
      <c r="BL1475" t="s">
        <v>7528</v>
      </c>
      <c r="BQ1475">
        <v>5.13</v>
      </c>
      <c r="BR1475">
        <v>1</v>
      </c>
      <c r="BS1475">
        <v>5.13</v>
      </c>
      <c r="BT1475">
        <v>5.13</v>
      </c>
      <c r="CA1475">
        <v>8694</v>
      </c>
      <c r="CB1475" t="s">
        <v>164</v>
      </c>
      <c r="CL1475" t="s">
        <v>99</v>
      </c>
      <c r="CM1475" t="s">
        <v>99</v>
      </c>
      <c r="CN1475" t="s">
        <v>3227</v>
      </c>
      <c r="CO1475" s="1">
        <v>40420</v>
      </c>
      <c r="CP1475" s="1">
        <v>43633</v>
      </c>
    </row>
    <row r="1476" spans="1:94" x14ac:dyDescent="0.25">
      <c r="A1476" t="s">
        <v>4696</v>
      </c>
      <c r="B1476" t="str">
        <f xml:space="preserve"> "" &amp; 747396024820</f>
        <v>747396024820</v>
      </c>
      <c r="C1476" t="s">
        <v>3403</v>
      </c>
      <c r="D1476" t="s">
        <v>6914</v>
      </c>
      <c r="E1476" t="s">
        <v>4670</v>
      </c>
      <c r="F1476" t="s">
        <v>2823</v>
      </c>
      <c r="G1476">
        <v>1</v>
      </c>
      <c r="H1476">
        <v>1</v>
      </c>
      <c r="I1476" t="s">
        <v>97</v>
      </c>
      <c r="J1476" s="10">
        <v>75</v>
      </c>
      <c r="K1476" s="10">
        <v>225</v>
      </c>
      <c r="L1476" s="10">
        <v>0</v>
      </c>
      <c r="N1476" s="10">
        <v>0</v>
      </c>
      <c r="O1476" t="s">
        <v>99</v>
      </c>
      <c r="P1476" s="10">
        <v>149.94999999999999</v>
      </c>
      <c r="S1476">
        <v>20</v>
      </c>
      <c r="T1476">
        <v>7.75</v>
      </c>
      <c r="U1476">
        <v>7.75</v>
      </c>
      <c r="W1476">
        <v>4.87</v>
      </c>
      <c r="X1476">
        <v>1</v>
      </c>
      <c r="Y1476">
        <v>22.68</v>
      </c>
      <c r="Z1476">
        <v>9.8800000000000008</v>
      </c>
      <c r="AA1476">
        <v>9.5</v>
      </c>
      <c r="AB1476">
        <v>1.232</v>
      </c>
      <c r="AC1476">
        <v>6.46</v>
      </c>
      <c r="AE1476">
        <v>3</v>
      </c>
      <c r="AF1476" t="s">
        <v>519</v>
      </c>
      <c r="AG1476">
        <v>40</v>
      </c>
      <c r="AH1476">
        <v>0</v>
      </c>
      <c r="AK1476" t="s">
        <v>98</v>
      </c>
      <c r="AM1476" t="s">
        <v>98</v>
      </c>
      <c r="AN1476" t="s">
        <v>99</v>
      </c>
      <c r="AO1476" t="s">
        <v>98</v>
      </c>
      <c r="AP1476" t="s">
        <v>100</v>
      </c>
      <c r="AQ1476" t="s">
        <v>101</v>
      </c>
      <c r="AV1476" t="s">
        <v>98</v>
      </c>
      <c r="AX1476" t="s">
        <v>4226</v>
      </c>
      <c r="AZ1476" t="s">
        <v>124</v>
      </c>
      <c r="BB1476" t="s">
        <v>235</v>
      </c>
      <c r="BC1476" t="s">
        <v>4697</v>
      </c>
      <c r="BD1476" t="s">
        <v>7528</v>
      </c>
      <c r="BF1476" t="s">
        <v>4698</v>
      </c>
      <c r="BG1476" t="s">
        <v>98</v>
      </c>
      <c r="BH1476" t="s">
        <v>98</v>
      </c>
      <c r="BI1476" t="s">
        <v>98</v>
      </c>
      <c r="BJ1476" t="s">
        <v>99</v>
      </c>
      <c r="BK1476" t="s">
        <v>453</v>
      </c>
      <c r="BL1476" t="s">
        <v>7528</v>
      </c>
      <c r="BR1476">
        <v>0</v>
      </c>
      <c r="BT1476">
        <v>0</v>
      </c>
      <c r="CA1476">
        <v>8695</v>
      </c>
      <c r="CB1476" t="s">
        <v>4226</v>
      </c>
      <c r="CL1476" t="s">
        <v>99</v>
      </c>
      <c r="CM1476" t="s">
        <v>98</v>
      </c>
      <c r="CN1476" t="s">
        <v>4699</v>
      </c>
      <c r="CO1476" s="1">
        <v>37557</v>
      </c>
      <c r="CP1476" s="1">
        <v>43633</v>
      </c>
    </row>
    <row r="1477" spans="1:94" x14ac:dyDescent="0.25">
      <c r="A1477" t="s">
        <v>4700</v>
      </c>
      <c r="B1477" t="str">
        <f xml:space="preserve"> "" &amp; 747396078809</f>
        <v>747396078809</v>
      </c>
      <c r="C1477" t="s">
        <v>3403</v>
      </c>
      <c r="D1477" t="s">
        <v>6914</v>
      </c>
      <c r="E1477" t="s">
        <v>4670</v>
      </c>
      <c r="F1477" t="s">
        <v>2823</v>
      </c>
      <c r="G1477">
        <v>1</v>
      </c>
      <c r="H1477">
        <v>1</v>
      </c>
      <c r="I1477" t="s">
        <v>97</v>
      </c>
      <c r="J1477" s="10">
        <v>75</v>
      </c>
      <c r="K1477" s="10">
        <v>225</v>
      </c>
      <c r="L1477" s="10">
        <v>0</v>
      </c>
      <c r="N1477" s="10">
        <v>0</v>
      </c>
      <c r="O1477" t="s">
        <v>99</v>
      </c>
      <c r="P1477" s="10">
        <v>149.94999999999999</v>
      </c>
      <c r="S1477">
        <v>20</v>
      </c>
      <c r="T1477">
        <v>7.75</v>
      </c>
      <c r="U1477">
        <v>7.75</v>
      </c>
      <c r="W1477">
        <v>4.87</v>
      </c>
      <c r="Y1477">
        <v>23</v>
      </c>
      <c r="Z1477">
        <v>9.5</v>
      </c>
      <c r="AA1477">
        <v>9.5</v>
      </c>
      <c r="AB1477">
        <v>1.2010000000000001</v>
      </c>
      <c r="AC1477">
        <v>6.46</v>
      </c>
      <c r="AE1477">
        <v>3</v>
      </c>
      <c r="AF1477" t="s">
        <v>772</v>
      </c>
      <c r="AG1477">
        <v>40</v>
      </c>
      <c r="AK1477" t="s">
        <v>98</v>
      </c>
      <c r="AM1477" t="s">
        <v>98</v>
      </c>
      <c r="AN1477" t="s">
        <v>99</v>
      </c>
      <c r="AO1477" t="s">
        <v>98</v>
      </c>
      <c r="AP1477" t="s">
        <v>100</v>
      </c>
      <c r="AQ1477" t="s">
        <v>101</v>
      </c>
      <c r="AV1477" t="s">
        <v>98</v>
      </c>
      <c r="AX1477" t="s">
        <v>164</v>
      </c>
      <c r="AZ1477" t="s">
        <v>124</v>
      </c>
      <c r="BB1477" t="s">
        <v>235</v>
      </c>
      <c r="BC1477" t="s">
        <v>4682</v>
      </c>
      <c r="BD1477" t="s">
        <v>7528</v>
      </c>
      <c r="BF1477" t="s">
        <v>4701</v>
      </c>
      <c r="BG1477" t="s">
        <v>98</v>
      </c>
      <c r="BH1477" t="s">
        <v>98</v>
      </c>
      <c r="BI1477" t="s">
        <v>98</v>
      </c>
      <c r="BJ1477" t="s">
        <v>99</v>
      </c>
      <c r="BK1477" t="s">
        <v>453</v>
      </c>
      <c r="BL1477" t="s">
        <v>7528</v>
      </c>
      <c r="CA1477">
        <v>8695</v>
      </c>
      <c r="CB1477" t="s">
        <v>164</v>
      </c>
      <c r="CL1477" t="s">
        <v>99</v>
      </c>
      <c r="CM1477" t="s">
        <v>98</v>
      </c>
      <c r="CN1477" t="s">
        <v>3218</v>
      </c>
      <c r="CO1477" s="1">
        <v>40420</v>
      </c>
      <c r="CP1477" s="1">
        <v>43633</v>
      </c>
    </row>
    <row r="1478" spans="1:94" x14ac:dyDescent="0.25">
      <c r="A1478" t="s">
        <v>4702</v>
      </c>
      <c r="B1478" t="str">
        <f xml:space="preserve"> "" &amp; 747396001265</f>
        <v>747396001265</v>
      </c>
      <c r="C1478" t="s">
        <v>3403</v>
      </c>
      <c r="D1478" t="s">
        <v>6914</v>
      </c>
      <c r="E1478" t="s">
        <v>4670</v>
      </c>
      <c r="F1478" t="s">
        <v>2823</v>
      </c>
      <c r="G1478">
        <v>1</v>
      </c>
      <c r="H1478">
        <v>1</v>
      </c>
      <c r="I1478" t="s">
        <v>97</v>
      </c>
      <c r="J1478" s="10">
        <v>137</v>
      </c>
      <c r="K1478" s="10">
        <v>411</v>
      </c>
      <c r="L1478" s="10">
        <v>0</v>
      </c>
      <c r="N1478" s="10">
        <v>0</v>
      </c>
      <c r="O1478" t="s">
        <v>99</v>
      </c>
      <c r="P1478" s="10">
        <v>274.95</v>
      </c>
      <c r="S1478">
        <v>25.75</v>
      </c>
      <c r="T1478">
        <v>10</v>
      </c>
      <c r="U1478">
        <v>10</v>
      </c>
      <c r="W1478">
        <v>9.7899999999999991</v>
      </c>
      <c r="X1478">
        <v>1</v>
      </c>
      <c r="Y1478">
        <v>28.625</v>
      </c>
      <c r="Z1478">
        <v>13</v>
      </c>
      <c r="AA1478">
        <v>13</v>
      </c>
      <c r="AB1478">
        <v>2.8</v>
      </c>
      <c r="AC1478">
        <v>13.38</v>
      </c>
      <c r="AE1478">
        <v>3</v>
      </c>
      <c r="AF1478" t="s">
        <v>308</v>
      </c>
      <c r="AG1478">
        <v>60</v>
      </c>
      <c r="AH1478">
        <v>0</v>
      </c>
      <c r="AK1478" t="s">
        <v>98</v>
      </c>
      <c r="AM1478" t="s">
        <v>98</v>
      </c>
      <c r="AN1478" t="s">
        <v>99</v>
      </c>
      <c r="AO1478" t="s">
        <v>98</v>
      </c>
      <c r="AP1478" t="s">
        <v>100</v>
      </c>
      <c r="AQ1478" t="s">
        <v>101</v>
      </c>
      <c r="AV1478" t="s">
        <v>98</v>
      </c>
      <c r="AX1478" t="s">
        <v>4226</v>
      </c>
      <c r="AZ1478" t="s">
        <v>124</v>
      </c>
      <c r="BB1478" t="s">
        <v>235</v>
      </c>
      <c r="BC1478" t="s">
        <v>4697</v>
      </c>
      <c r="BD1478" t="s">
        <v>7528</v>
      </c>
      <c r="BF1478" t="s">
        <v>4703</v>
      </c>
      <c r="BG1478" t="s">
        <v>98</v>
      </c>
      <c r="BH1478" t="s">
        <v>98</v>
      </c>
      <c r="BI1478" t="s">
        <v>98</v>
      </c>
      <c r="BJ1478" t="s">
        <v>99</v>
      </c>
      <c r="BK1478" t="s">
        <v>453</v>
      </c>
      <c r="BL1478" t="s">
        <v>7528</v>
      </c>
      <c r="BR1478">
        <v>0</v>
      </c>
      <c r="BT1478">
        <v>0</v>
      </c>
      <c r="CA1478">
        <v>8696</v>
      </c>
      <c r="CB1478" t="s">
        <v>4226</v>
      </c>
      <c r="CG1478">
        <v>0</v>
      </c>
      <c r="CL1478" t="s">
        <v>99</v>
      </c>
      <c r="CM1478" t="s">
        <v>98</v>
      </c>
      <c r="CN1478" t="s">
        <v>4699</v>
      </c>
      <c r="CO1478" s="1">
        <v>37064</v>
      </c>
      <c r="CP1478" s="1">
        <v>43633</v>
      </c>
    </row>
    <row r="1479" spans="1:94" x14ac:dyDescent="0.25">
      <c r="A1479" t="s">
        <v>4704</v>
      </c>
      <c r="B1479" t="str">
        <f xml:space="preserve"> "" &amp; 747396078816</f>
        <v>747396078816</v>
      </c>
      <c r="C1479" t="s">
        <v>3403</v>
      </c>
      <c r="D1479" t="s">
        <v>6914</v>
      </c>
      <c r="E1479" t="s">
        <v>4670</v>
      </c>
      <c r="F1479" t="s">
        <v>2823</v>
      </c>
      <c r="G1479">
        <v>1</v>
      </c>
      <c r="H1479">
        <v>1</v>
      </c>
      <c r="I1479" t="s">
        <v>97</v>
      </c>
      <c r="J1479" s="10">
        <v>137</v>
      </c>
      <c r="K1479" s="10">
        <v>411</v>
      </c>
      <c r="L1479" s="10">
        <v>0</v>
      </c>
      <c r="N1479" s="10">
        <v>0</v>
      </c>
      <c r="O1479" t="s">
        <v>99</v>
      </c>
      <c r="P1479" s="10">
        <v>274.95</v>
      </c>
      <c r="S1479">
        <v>25.75</v>
      </c>
      <c r="T1479">
        <v>10</v>
      </c>
      <c r="U1479">
        <v>10</v>
      </c>
      <c r="W1479">
        <v>9.7899999999999991</v>
      </c>
      <c r="Y1479">
        <v>28.625</v>
      </c>
      <c r="Z1479">
        <v>13</v>
      </c>
      <c r="AA1479">
        <v>13</v>
      </c>
      <c r="AB1479">
        <v>2.8</v>
      </c>
      <c r="AC1479">
        <v>13.38</v>
      </c>
      <c r="AE1479">
        <v>3</v>
      </c>
      <c r="AF1479" t="s">
        <v>308</v>
      </c>
      <c r="AG1479">
        <v>60</v>
      </c>
      <c r="AK1479" t="s">
        <v>98</v>
      </c>
      <c r="AM1479" t="s">
        <v>98</v>
      </c>
      <c r="AN1479" t="s">
        <v>99</v>
      </c>
      <c r="AO1479" t="s">
        <v>98</v>
      </c>
      <c r="AP1479" t="s">
        <v>100</v>
      </c>
      <c r="AQ1479" t="s">
        <v>101</v>
      </c>
      <c r="AV1479" t="s">
        <v>98</v>
      </c>
      <c r="AX1479" t="s">
        <v>164</v>
      </c>
      <c r="AZ1479" t="s">
        <v>124</v>
      </c>
      <c r="BB1479" t="s">
        <v>235</v>
      </c>
      <c r="BC1479" t="s">
        <v>4697</v>
      </c>
      <c r="BD1479" t="s">
        <v>7528</v>
      </c>
      <c r="BF1479" t="s">
        <v>4705</v>
      </c>
      <c r="BG1479" t="s">
        <v>98</v>
      </c>
      <c r="BH1479" t="s">
        <v>98</v>
      </c>
      <c r="BI1479" t="s">
        <v>98</v>
      </c>
      <c r="BJ1479" t="s">
        <v>99</v>
      </c>
      <c r="BK1479" t="s">
        <v>453</v>
      </c>
      <c r="BL1479" t="s">
        <v>7528</v>
      </c>
      <c r="BR1479">
        <v>0</v>
      </c>
      <c r="BT1479">
        <v>0</v>
      </c>
      <c r="CA1479">
        <v>8696</v>
      </c>
      <c r="CB1479" t="s">
        <v>164</v>
      </c>
      <c r="CG1479">
        <v>0</v>
      </c>
      <c r="CL1479" t="s">
        <v>99</v>
      </c>
      <c r="CM1479" t="s">
        <v>98</v>
      </c>
      <c r="CN1479" t="s">
        <v>3227</v>
      </c>
      <c r="CO1479" s="1">
        <v>40420</v>
      </c>
      <c r="CP1479" s="1">
        <v>43633</v>
      </c>
    </row>
    <row r="1480" spans="1:94" x14ac:dyDescent="0.25">
      <c r="A1480" t="s">
        <v>4706</v>
      </c>
      <c r="B1480" t="str">
        <f xml:space="preserve"> "" &amp; 747396001272</f>
        <v>747396001272</v>
      </c>
      <c r="C1480" t="s">
        <v>3349</v>
      </c>
      <c r="D1480" t="s">
        <v>6915</v>
      </c>
      <c r="E1480" t="s">
        <v>4670</v>
      </c>
      <c r="F1480" t="s">
        <v>2823</v>
      </c>
      <c r="G1480">
        <v>1</v>
      </c>
      <c r="H1480">
        <v>1</v>
      </c>
      <c r="I1480" t="s">
        <v>97</v>
      </c>
      <c r="J1480" s="10">
        <v>64</v>
      </c>
      <c r="K1480" s="10">
        <v>192</v>
      </c>
      <c r="L1480" s="10">
        <v>0</v>
      </c>
      <c r="N1480" s="10">
        <v>0</v>
      </c>
      <c r="O1480" t="s">
        <v>99</v>
      </c>
      <c r="P1480" s="10">
        <v>124.95</v>
      </c>
      <c r="S1480">
        <v>14.75</v>
      </c>
      <c r="U1480">
        <v>7.75</v>
      </c>
      <c r="V1480">
        <v>4.75</v>
      </c>
      <c r="W1480">
        <v>4.37</v>
      </c>
      <c r="X1480">
        <v>1</v>
      </c>
      <c r="Y1480">
        <v>7.48</v>
      </c>
      <c r="Z1480">
        <v>16.54</v>
      </c>
      <c r="AA1480">
        <v>10.039999999999999</v>
      </c>
      <c r="AB1480">
        <v>0.71899999999999997</v>
      </c>
      <c r="AC1480">
        <v>5.86</v>
      </c>
      <c r="AE1480">
        <v>1</v>
      </c>
      <c r="AF1480" t="s">
        <v>233</v>
      </c>
      <c r="AG1480">
        <v>100</v>
      </c>
      <c r="AH1480">
        <v>0</v>
      </c>
      <c r="AK1480" t="s">
        <v>98</v>
      </c>
      <c r="AM1480" t="s">
        <v>98</v>
      </c>
      <c r="AN1480" t="s">
        <v>99</v>
      </c>
      <c r="AO1480" t="s">
        <v>98</v>
      </c>
      <c r="AP1480" t="s">
        <v>100</v>
      </c>
      <c r="AQ1480" t="s">
        <v>101</v>
      </c>
      <c r="AV1480" t="s">
        <v>98</v>
      </c>
      <c r="AX1480" t="s">
        <v>4226</v>
      </c>
      <c r="AZ1480" t="s">
        <v>124</v>
      </c>
      <c r="BB1480" t="s">
        <v>235</v>
      </c>
      <c r="BC1480" t="s">
        <v>4697</v>
      </c>
      <c r="BD1480" t="s">
        <v>7528</v>
      </c>
      <c r="BF1480" t="s">
        <v>4707</v>
      </c>
      <c r="BG1480" t="s">
        <v>98</v>
      </c>
      <c r="BH1480" t="s">
        <v>98</v>
      </c>
      <c r="BI1480" t="s">
        <v>98</v>
      </c>
      <c r="BJ1480" t="s">
        <v>99</v>
      </c>
      <c r="BK1480" t="s">
        <v>453</v>
      </c>
      <c r="BL1480" t="s">
        <v>236</v>
      </c>
      <c r="BR1480">
        <v>12.25</v>
      </c>
      <c r="BT1480">
        <v>6.75</v>
      </c>
      <c r="CA1480">
        <v>8697</v>
      </c>
      <c r="CB1480" t="s">
        <v>4226</v>
      </c>
      <c r="CG1480">
        <v>0</v>
      </c>
      <c r="CL1480" t="s">
        <v>99</v>
      </c>
      <c r="CM1480" t="s">
        <v>98</v>
      </c>
      <c r="CN1480" t="s">
        <v>4699</v>
      </c>
      <c r="CO1480" s="1">
        <v>38364</v>
      </c>
      <c r="CP1480" s="1">
        <v>43633</v>
      </c>
    </row>
    <row r="1481" spans="1:94" x14ac:dyDescent="0.25">
      <c r="A1481" t="s">
        <v>4708</v>
      </c>
      <c r="B1481" t="str">
        <f xml:space="preserve"> "" &amp; 747396080161</f>
        <v>747396080161</v>
      </c>
      <c r="C1481" t="s">
        <v>1577</v>
      </c>
      <c r="D1481" t="s">
        <v>4709</v>
      </c>
      <c r="E1481" t="s">
        <v>4710</v>
      </c>
      <c r="F1481" t="s">
        <v>2823</v>
      </c>
      <c r="G1481">
        <v>1</v>
      </c>
      <c r="H1481">
        <v>1</v>
      </c>
      <c r="I1481" t="s">
        <v>97</v>
      </c>
      <c r="J1481" s="10">
        <v>56</v>
      </c>
      <c r="K1481" s="10">
        <v>168</v>
      </c>
      <c r="L1481" s="10">
        <v>0</v>
      </c>
      <c r="N1481" s="10">
        <v>0</v>
      </c>
      <c r="O1481" t="s">
        <v>99</v>
      </c>
      <c r="P1481" s="10">
        <v>114.95</v>
      </c>
      <c r="S1481">
        <v>9</v>
      </c>
      <c r="T1481">
        <v>11.25</v>
      </c>
      <c r="U1481">
        <v>7.25</v>
      </c>
      <c r="V1481">
        <v>8.25</v>
      </c>
      <c r="W1481">
        <v>1.72</v>
      </c>
      <c r="X1481">
        <v>1</v>
      </c>
      <c r="Y1481">
        <v>13</v>
      </c>
      <c r="Z1481">
        <v>11.25</v>
      </c>
      <c r="AA1481">
        <v>10.5</v>
      </c>
      <c r="AB1481">
        <v>0.88900000000000001</v>
      </c>
      <c r="AC1481">
        <v>3.22</v>
      </c>
      <c r="AE1481">
        <v>1</v>
      </c>
      <c r="AF1481" t="s">
        <v>282</v>
      </c>
      <c r="AG1481">
        <v>60</v>
      </c>
      <c r="AK1481" t="s">
        <v>98</v>
      </c>
      <c r="AM1481" t="s">
        <v>98</v>
      </c>
      <c r="AN1481" t="s">
        <v>99</v>
      </c>
      <c r="AO1481" t="s">
        <v>98</v>
      </c>
      <c r="AP1481" t="s">
        <v>100</v>
      </c>
      <c r="AQ1481" t="s">
        <v>101</v>
      </c>
      <c r="AV1481" t="s">
        <v>98</v>
      </c>
      <c r="AX1481" t="s">
        <v>3491</v>
      </c>
      <c r="AZ1481" t="s">
        <v>124</v>
      </c>
      <c r="BB1481" t="s">
        <v>235</v>
      </c>
      <c r="BC1481" t="s">
        <v>3224</v>
      </c>
      <c r="BD1481" t="s">
        <v>7528</v>
      </c>
      <c r="BF1481" t="s">
        <v>4711</v>
      </c>
      <c r="BG1481" t="s">
        <v>98</v>
      </c>
      <c r="BH1481" t="s">
        <v>98</v>
      </c>
      <c r="BI1481" t="s">
        <v>98</v>
      </c>
      <c r="BJ1481" t="s">
        <v>99</v>
      </c>
      <c r="BK1481" t="s">
        <v>453</v>
      </c>
      <c r="BL1481" t="s">
        <v>128</v>
      </c>
      <c r="BR1481">
        <v>4.63</v>
      </c>
      <c r="BT1481">
        <v>4.63</v>
      </c>
      <c r="CA1481">
        <v>8721</v>
      </c>
      <c r="CB1481" t="s">
        <v>3491</v>
      </c>
      <c r="CG1481">
        <v>0</v>
      </c>
      <c r="CL1481" t="s">
        <v>99</v>
      </c>
      <c r="CM1481" t="s">
        <v>98</v>
      </c>
      <c r="CN1481" t="s">
        <v>7528</v>
      </c>
      <c r="CO1481" s="1">
        <v>40620</v>
      </c>
      <c r="CP1481" s="1">
        <v>43633</v>
      </c>
    </row>
    <row r="1482" spans="1:94" x14ac:dyDescent="0.25">
      <c r="A1482" t="s">
        <v>4712</v>
      </c>
      <c r="B1482" t="str">
        <f xml:space="preserve"> "" &amp; 747396080178</f>
        <v>747396080178</v>
      </c>
      <c r="C1482" t="s">
        <v>1577</v>
      </c>
      <c r="D1482" t="s">
        <v>4709</v>
      </c>
      <c r="E1482" t="s">
        <v>4710</v>
      </c>
      <c r="F1482" t="s">
        <v>2823</v>
      </c>
      <c r="G1482">
        <v>1</v>
      </c>
      <c r="H1482">
        <v>1</v>
      </c>
      <c r="I1482" t="s">
        <v>97</v>
      </c>
      <c r="J1482" s="10">
        <v>88</v>
      </c>
      <c r="K1482" s="10">
        <v>264</v>
      </c>
      <c r="L1482" s="10">
        <v>0</v>
      </c>
      <c r="N1482" s="10">
        <v>0</v>
      </c>
      <c r="O1482" t="s">
        <v>99</v>
      </c>
      <c r="P1482" s="10">
        <v>179.95</v>
      </c>
      <c r="S1482">
        <v>14.75</v>
      </c>
      <c r="U1482">
        <v>9</v>
      </c>
      <c r="V1482">
        <v>10.75</v>
      </c>
      <c r="W1482">
        <v>3.13</v>
      </c>
      <c r="X1482">
        <v>1</v>
      </c>
      <c r="Y1482">
        <v>18.5</v>
      </c>
      <c r="Z1482">
        <v>13.63</v>
      </c>
      <c r="AA1482">
        <v>11.63</v>
      </c>
      <c r="AB1482">
        <v>1.6970000000000001</v>
      </c>
      <c r="AC1482">
        <v>5.73</v>
      </c>
      <c r="AE1482">
        <v>1</v>
      </c>
      <c r="AF1482" t="s">
        <v>282</v>
      </c>
      <c r="AG1482">
        <v>100</v>
      </c>
      <c r="AK1482" t="s">
        <v>98</v>
      </c>
      <c r="AM1482" t="s">
        <v>98</v>
      </c>
      <c r="AN1482" t="s">
        <v>99</v>
      </c>
      <c r="AO1482" t="s">
        <v>98</v>
      </c>
      <c r="AP1482" t="s">
        <v>100</v>
      </c>
      <c r="AQ1482" t="s">
        <v>101</v>
      </c>
      <c r="AV1482" t="s">
        <v>98</v>
      </c>
      <c r="AX1482" t="s">
        <v>3491</v>
      </c>
      <c r="AZ1482" t="s">
        <v>124</v>
      </c>
      <c r="BB1482" t="s">
        <v>235</v>
      </c>
      <c r="BC1482" t="s">
        <v>3224</v>
      </c>
      <c r="BD1482" t="s">
        <v>7528</v>
      </c>
      <c r="BF1482" t="s">
        <v>4713</v>
      </c>
      <c r="BG1482" t="s">
        <v>98</v>
      </c>
      <c r="BH1482" t="s">
        <v>98</v>
      </c>
      <c r="BI1482" t="s">
        <v>98</v>
      </c>
      <c r="BJ1482" t="s">
        <v>99</v>
      </c>
      <c r="BK1482" t="s">
        <v>453</v>
      </c>
      <c r="BL1482" t="s">
        <v>128</v>
      </c>
      <c r="BR1482">
        <v>6.13</v>
      </c>
      <c r="BT1482">
        <v>4.88</v>
      </c>
      <c r="CA1482">
        <v>8722</v>
      </c>
      <c r="CB1482" t="s">
        <v>3491</v>
      </c>
      <c r="CL1482" t="s">
        <v>99</v>
      </c>
      <c r="CM1482" t="s">
        <v>98</v>
      </c>
      <c r="CN1482" t="s">
        <v>7528</v>
      </c>
      <c r="CO1482" s="1">
        <v>40492</v>
      </c>
      <c r="CP1482" s="1">
        <v>43633</v>
      </c>
    </row>
    <row r="1483" spans="1:94" x14ac:dyDescent="0.25">
      <c r="A1483" t="s">
        <v>4714</v>
      </c>
      <c r="B1483" t="str">
        <f xml:space="preserve"> "" &amp; 747396080185</f>
        <v>747396080185</v>
      </c>
      <c r="C1483" t="s">
        <v>1799</v>
      </c>
      <c r="D1483" t="s">
        <v>4715</v>
      </c>
      <c r="E1483" t="s">
        <v>4710</v>
      </c>
      <c r="F1483" t="s">
        <v>2823</v>
      </c>
      <c r="G1483">
        <v>1</v>
      </c>
      <c r="H1483">
        <v>1</v>
      </c>
      <c r="I1483" t="s">
        <v>97</v>
      </c>
      <c r="J1483" s="10">
        <v>119</v>
      </c>
      <c r="K1483" s="10">
        <v>357</v>
      </c>
      <c r="L1483" s="10">
        <v>0</v>
      </c>
      <c r="N1483" s="10">
        <v>0</v>
      </c>
      <c r="O1483" t="s">
        <v>99</v>
      </c>
      <c r="P1483" s="10">
        <v>239.95</v>
      </c>
      <c r="S1483">
        <v>18.25</v>
      </c>
      <c r="U1483">
        <v>11</v>
      </c>
      <c r="V1483">
        <v>12.5</v>
      </c>
      <c r="W1483">
        <v>4.92</v>
      </c>
      <c r="X1483">
        <v>1</v>
      </c>
      <c r="Y1483">
        <v>22</v>
      </c>
      <c r="Z1483">
        <v>16</v>
      </c>
      <c r="AA1483">
        <v>14.5</v>
      </c>
      <c r="AB1483">
        <v>2.9540000000000002</v>
      </c>
      <c r="AC1483">
        <v>8.5299999999999994</v>
      </c>
      <c r="AE1483">
        <v>3</v>
      </c>
      <c r="AF1483" t="s">
        <v>772</v>
      </c>
      <c r="AG1483">
        <v>60</v>
      </c>
      <c r="AK1483" t="s">
        <v>98</v>
      </c>
      <c r="AM1483" t="s">
        <v>98</v>
      </c>
      <c r="AN1483" t="s">
        <v>99</v>
      </c>
      <c r="AO1483" t="s">
        <v>98</v>
      </c>
      <c r="AP1483" t="s">
        <v>100</v>
      </c>
      <c r="AQ1483" t="s">
        <v>101</v>
      </c>
      <c r="AV1483" t="s">
        <v>98</v>
      </c>
      <c r="AX1483" t="s">
        <v>3491</v>
      </c>
      <c r="AZ1483" t="s">
        <v>124</v>
      </c>
      <c r="BB1483" t="s">
        <v>235</v>
      </c>
      <c r="BC1483" t="s">
        <v>3224</v>
      </c>
      <c r="BD1483" t="s">
        <v>7528</v>
      </c>
      <c r="BF1483" t="s">
        <v>4716</v>
      </c>
      <c r="BG1483" t="s">
        <v>98</v>
      </c>
      <c r="BH1483" t="s">
        <v>98</v>
      </c>
      <c r="BI1483" t="s">
        <v>98</v>
      </c>
      <c r="BJ1483" t="s">
        <v>99</v>
      </c>
      <c r="BK1483" t="s">
        <v>453</v>
      </c>
      <c r="BL1483" t="s">
        <v>128</v>
      </c>
      <c r="BR1483">
        <v>7.5</v>
      </c>
      <c r="BT1483">
        <v>6</v>
      </c>
      <c r="CA1483">
        <v>8723</v>
      </c>
      <c r="CB1483" t="s">
        <v>3491</v>
      </c>
      <c r="CG1483">
        <v>0</v>
      </c>
      <c r="CL1483" t="s">
        <v>99</v>
      </c>
      <c r="CM1483" t="s">
        <v>98</v>
      </c>
      <c r="CN1483" t="s">
        <v>3227</v>
      </c>
      <c r="CO1483" s="1">
        <v>40656</v>
      </c>
      <c r="CP1483" s="1">
        <v>43633</v>
      </c>
    </row>
    <row r="1484" spans="1:94" x14ac:dyDescent="0.25">
      <c r="A1484" t="s">
        <v>4717</v>
      </c>
      <c r="B1484" t="str">
        <f xml:space="preserve"> "" &amp; 747396080192</f>
        <v>747396080192</v>
      </c>
      <c r="C1484" t="s">
        <v>3399</v>
      </c>
      <c r="D1484" t="s">
        <v>4718</v>
      </c>
      <c r="E1484" t="s">
        <v>4710</v>
      </c>
      <c r="F1484" t="s">
        <v>2823</v>
      </c>
      <c r="G1484">
        <v>1</v>
      </c>
      <c r="H1484">
        <v>1</v>
      </c>
      <c r="I1484" t="s">
        <v>97</v>
      </c>
      <c r="J1484" s="10">
        <v>115</v>
      </c>
      <c r="K1484" s="10">
        <v>345</v>
      </c>
      <c r="L1484" s="10">
        <v>0</v>
      </c>
      <c r="N1484" s="10">
        <v>0</v>
      </c>
      <c r="O1484" t="s">
        <v>99</v>
      </c>
      <c r="P1484" s="10">
        <v>229.95</v>
      </c>
      <c r="S1484">
        <v>16.5</v>
      </c>
      <c r="U1484">
        <v>11</v>
      </c>
      <c r="W1484">
        <v>5.64</v>
      </c>
      <c r="X1484">
        <v>1</v>
      </c>
      <c r="Y1484">
        <v>20</v>
      </c>
      <c r="Z1484">
        <v>14.5</v>
      </c>
      <c r="AA1484">
        <v>14.5</v>
      </c>
      <c r="AB1484">
        <v>2.4329999999999998</v>
      </c>
      <c r="AC1484">
        <v>9.2200000000000006</v>
      </c>
      <c r="AE1484">
        <v>3</v>
      </c>
      <c r="AF1484" t="s">
        <v>519</v>
      </c>
      <c r="AG1484">
        <v>60</v>
      </c>
      <c r="AK1484" t="s">
        <v>98</v>
      </c>
      <c r="AM1484" t="s">
        <v>98</v>
      </c>
      <c r="AN1484" t="s">
        <v>99</v>
      </c>
      <c r="AO1484" t="s">
        <v>98</v>
      </c>
      <c r="AP1484" t="s">
        <v>100</v>
      </c>
      <c r="AQ1484" t="s">
        <v>101</v>
      </c>
      <c r="AV1484" t="s">
        <v>98</v>
      </c>
      <c r="AX1484" t="s">
        <v>3491</v>
      </c>
      <c r="AZ1484" t="s">
        <v>124</v>
      </c>
      <c r="BB1484" t="s">
        <v>235</v>
      </c>
      <c r="BC1484" t="s">
        <v>3224</v>
      </c>
      <c r="BD1484" t="s">
        <v>7528</v>
      </c>
      <c r="BF1484" t="s">
        <v>4719</v>
      </c>
      <c r="BG1484" t="s">
        <v>98</v>
      </c>
      <c r="BH1484" t="s">
        <v>98</v>
      </c>
      <c r="BI1484" t="s">
        <v>98</v>
      </c>
      <c r="BK1484" t="s">
        <v>127</v>
      </c>
      <c r="BL1484" t="s">
        <v>7528</v>
      </c>
      <c r="BR1484">
        <v>0</v>
      </c>
      <c r="BT1484">
        <v>5.13</v>
      </c>
      <c r="CA1484">
        <v>8724</v>
      </c>
      <c r="CB1484" t="s">
        <v>3491</v>
      </c>
      <c r="CG1484">
        <v>0</v>
      </c>
      <c r="CL1484" t="s">
        <v>99</v>
      </c>
      <c r="CM1484" t="s">
        <v>99</v>
      </c>
      <c r="CN1484" t="s">
        <v>3227</v>
      </c>
      <c r="CO1484" s="1">
        <v>40620</v>
      </c>
      <c r="CP1484" s="1">
        <v>43633</v>
      </c>
    </row>
    <row r="1485" spans="1:94" x14ac:dyDescent="0.25">
      <c r="A1485" t="s">
        <v>4720</v>
      </c>
      <c r="B1485" t="str">
        <f xml:space="preserve"> "" &amp; 747396080215</f>
        <v>747396080215</v>
      </c>
      <c r="C1485" t="s">
        <v>447</v>
      </c>
      <c r="D1485" t="s">
        <v>4721</v>
      </c>
      <c r="E1485" t="s">
        <v>4710</v>
      </c>
      <c r="F1485" t="s">
        <v>2823</v>
      </c>
      <c r="G1485">
        <v>1</v>
      </c>
      <c r="H1485">
        <v>1</v>
      </c>
      <c r="I1485" t="s">
        <v>97</v>
      </c>
      <c r="J1485" s="10">
        <v>80</v>
      </c>
      <c r="K1485" s="10">
        <v>240</v>
      </c>
      <c r="L1485" s="10">
        <v>0</v>
      </c>
      <c r="N1485" s="10">
        <v>0</v>
      </c>
      <c r="O1485" t="s">
        <v>99</v>
      </c>
      <c r="P1485" s="10">
        <v>159.94999999999999</v>
      </c>
      <c r="S1485">
        <v>13.75</v>
      </c>
      <c r="U1485">
        <v>9</v>
      </c>
      <c r="W1485">
        <v>2.6</v>
      </c>
      <c r="X1485">
        <v>1</v>
      </c>
      <c r="Y1485">
        <v>17.5</v>
      </c>
      <c r="Z1485">
        <v>12</v>
      </c>
      <c r="AA1485">
        <v>11.75</v>
      </c>
      <c r="AB1485">
        <v>1.4279999999999999</v>
      </c>
      <c r="AC1485">
        <v>4.8499999999999996</v>
      </c>
      <c r="AE1485">
        <v>1</v>
      </c>
      <c r="AF1485" t="s">
        <v>282</v>
      </c>
      <c r="AG1485">
        <v>100</v>
      </c>
      <c r="AK1485" t="s">
        <v>98</v>
      </c>
      <c r="AM1485" t="s">
        <v>98</v>
      </c>
      <c r="AN1485" t="s">
        <v>99</v>
      </c>
      <c r="AO1485" t="s">
        <v>98</v>
      </c>
      <c r="AP1485" t="s">
        <v>100</v>
      </c>
      <c r="AQ1485" t="s">
        <v>101</v>
      </c>
      <c r="AV1485" t="s">
        <v>98</v>
      </c>
      <c r="AX1485" t="s">
        <v>3491</v>
      </c>
      <c r="AZ1485" t="s">
        <v>124</v>
      </c>
      <c r="BB1485" t="s">
        <v>235</v>
      </c>
      <c r="BC1485" t="s">
        <v>3224</v>
      </c>
      <c r="BD1485" t="s">
        <v>7528</v>
      </c>
      <c r="BF1485" t="s">
        <v>4722</v>
      </c>
      <c r="BG1485" t="s">
        <v>98</v>
      </c>
      <c r="BH1485" t="s">
        <v>98</v>
      </c>
      <c r="BI1485" t="s">
        <v>98</v>
      </c>
      <c r="BJ1485" t="s">
        <v>99</v>
      </c>
      <c r="BK1485" t="s">
        <v>453</v>
      </c>
      <c r="BL1485" t="s">
        <v>7528</v>
      </c>
      <c r="BR1485">
        <v>0</v>
      </c>
      <c r="BT1485">
        <v>0</v>
      </c>
      <c r="CA1485">
        <v>8726</v>
      </c>
      <c r="CB1485" t="s">
        <v>3491</v>
      </c>
      <c r="CG1485">
        <v>0</v>
      </c>
      <c r="CL1485" t="s">
        <v>99</v>
      </c>
      <c r="CM1485" t="s">
        <v>98</v>
      </c>
      <c r="CN1485" t="s">
        <v>7528</v>
      </c>
      <c r="CO1485" s="1">
        <v>40492</v>
      </c>
      <c r="CP1485" s="1">
        <v>43633</v>
      </c>
    </row>
    <row r="1486" spans="1:94" x14ac:dyDescent="0.25">
      <c r="A1486" t="s">
        <v>4723</v>
      </c>
      <c r="B1486" t="str">
        <f xml:space="preserve"> "" &amp; 747396049267</f>
        <v>747396049267</v>
      </c>
      <c r="C1486" t="s">
        <v>1577</v>
      </c>
      <c r="D1486" t="s">
        <v>6916</v>
      </c>
      <c r="E1486" t="s">
        <v>4724</v>
      </c>
      <c r="F1486" t="s">
        <v>2823</v>
      </c>
      <c r="G1486">
        <v>1</v>
      </c>
      <c r="H1486">
        <v>1</v>
      </c>
      <c r="I1486" t="s">
        <v>97</v>
      </c>
      <c r="J1486" s="10">
        <v>49</v>
      </c>
      <c r="K1486" s="10">
        <v>147</v>
      </c>
      <c r="L1486" s="10">
        <v>0</v>
      </c>
      <c r="N1486" s="10">
        <v>0</v>
      </c>
      <c r="O1486" t="s">
        <v>99</v>
      </c>
      <c r="P1486" s="10">
        <v>94.95</v>
      </c>
      <c r="S1486">
        <v>12.25</v>
      </c>
      <c r="T1486">
        <v>9</v>
      </c>
      <c r="U1486">
        <v>6.25</v>
      </c>
      <c r="V1486">
        <v>7.75</v>
      </c>
      <c r="W1486">
        <v>2.89</v>
      </c>
      <c r="X1486">
        <v>1</v>
      </c>
      <c r="Y1486">
        <v>14</v>
      </c>
      <c r="Z1486">
        <v>9</v>
      </c>
      <c r="AA1486">
        <v>7.5</v>
      </c>
      <c r="AB1486">
        <v>0.54700000000000004</v>
      </c>
      <c r="AC1486">
        <v>3.9</v>
      </c>
      <c r="AE1486">
        <v>1</v>
      </c>
      <c r="AF1486" t="s">
        <v>233</v>
      </c>
      <c r="AG1486">
        <v>100</v>
      </c>
      <c r="AH1486">
        <v>0</v>
      </c>
      <c r="AJ1486">
        <v>0</v>
      </c>
      <c r="AK1486" t="s">
        <v>98</v>
      </c>
      <c r="AM1486" t="s">
        <v>98</v>
      </c>
      <c r="AN1486" t="s">
        <v>98</v>
      </c>
      <c r="AO1486" t="s">
        <v>99</v>
      </c>
      <c r="AP1486" t="s">
        <v>100</v>
      </c>
      <c r="AQ1486" t="s">
        <v>101</v>
      </c>
      <c r="AV1486" t="s">
        <v>98</v>
      </c>
      <c r="AX1486" t="s">
        <v>4221</v>
      </c>
      <c r="AZ1486" t="s">
        <v>124</v>
      </c>
      <c r="BB1486" t="s">
        <v>4917</v>
      </c>
      <c r="BC1486" t="s">
        <v>746</v>
      </c>
      <c r="BD1486" t="s">
        <v>7528</v>
      </c>
      <c r="BF1486" t="s">
        <v>4725</v>
      </c>
      <c r="BG1486" t="s">
        <v>98</v>
      </c>
      <c r="BH1486" t="s">
        <v>98</v>
      </c>
      <c r="BI1486" t="s">
        <v>98</v>
      </c>
      <c r="BJ1486" t="s">
        <v>99</v>
      </c>
      <c r="BK1486" t="s">
        <v>453</v>
      </c>
      <c r="BL1486" t="s">
        <v>128</v>
      </c>
      <c r="BR1486">
        <v>8</v>
      </c>
      <c r="BT1486">
        <v>4.38</v>
      </c>
      <c r="CA1486">
        <v>8761</v>
      </c>
      <c r="CB1486" t="s">
        <v>4221</v>
      </c>
      <c r="CG1486">
        <v>0</v>
      </c>
      <c r="CL1486" t="s">
        <v>99</v>
      </c>
      <c r="CM1486" t="s">
        <v>98</v>
      </c>
      <c r="CN1486" t="s">
        <v>4726</v>
      </c>
      <c r="CO1486" s="1">
        <v>39219</v>
      </c>
      <c r="CP1486" s="1">
        <v>43633</v>
      </c>
    </row>
    <row r="1487" spans="1:94" x14ac:dyDescent="0.25">
      <c r="A1487" t="s">
        <v>4727</v>
      </c>
      <c r="B1487" t="str">
        <f xml:space="preserve"> "" &amp; 747396068657</f>
        <v>747396068657</v>
      </c>
      <c r="C1487" t="s">
        <v>1577</v>
      </c>
      <c r="D1487" t="s">
        <v>6916</v>
      </c>
      <c r="E1487" t="s">
        <v>4724</v>
      </c>
      <c r="F1487" t="s">
        <v>449</v>
      </c>
      <c r="G1487">
        <v>1</v>
      </c>
      <c r="H1487">
        <v>1</v>
      </c>
      <c r="I1487" t="s">
        <v>97</v>
      </c>
      <c r="J1487" s="10">
        <v>59</v>
      </c>
      <c r="K1487" s="10">
        <v>177</v>
      </c>
      <c r="L1487" s="10">
        <v>0</v>
      </c>
      <c r="N1487" s="10">
        <v>0</v>
      </c>
      <c r="O1487" t="s">
        <v>99</v>
      </c>
      <c r="P1487" s="10">
        <v>119.95</v>
      </c>
      <c r="S1487">
        <v>12.25</v>
      </c>
      <c r="T1487">
        <v>18.5</v>
      </c>
      <c r="U1487">
        <v>6.25</v>
      </c>
      <c r="V1487">
        <v>7.75</v>
      </c>
      <c r="W1487">
        <v>2.5099999999999998</v>
      </c>
      <c r="Y1487">
        <v>15</v>
      </c>
      <c r="Z1487">
        <v>18.5</v>
      </c>
      <c r="AA1487">
        <v>15</v>
      </c>
      <c r="AB1487">
        <v>2.4089999999999998</v>
      </c>
      <c r="AC1487">
        <v>3.53</v>
      </c>
      <c r="AE1487">
        <v>1</v>
      </c>
      <c r="AF1487" t="s">
        <v>2784</v>
      </c>
      <c r="AG1487">
        <v>13</v>
      </c>
      <c r="AK1487" t="s">
        <v>99</v>
      </c>
      <c r="AM1487" t="s">
        <v>98</v>
      </c>
      <c r="AN1487" t="s">
        <v>98</v>
      </c>
      <c r="AO1487" t="s">
        <v>99</v>
      </c>
      <c r="AP1487" t="s">
        <v>100</v>
      </c>
      <c r="AQ1487" t="s">
        <v>101</v>
      </c>
      <c r="AV1487" t="s">
        <v>98</v>
      </c>
      <c r="AX1487" t="s">
        <v>4221</v>
      </c>
      <c r="AZ1487" t="s">
        <v>124</v>
      </c>
      <c r="BB1487" t="s">
        <v>235</v>
      </c>
      <c r="BC1487" t="s">
        <v>4394</v>
      </c>
      <c r="BD1487" t="s">
        <v>7528</v>
      </c>
      <c r="BF1487" t="s">
        <v>4728</v>
      </c>
      <c r="BG1487" t="s">
        <v>98</v>
      </c>
      <c r="BH1487" t="s">
        <v>98</v>
      </c>
      <c r="BI1487" t="s">
        <v>98</v>
      </c>
      <c r="BJ1487" t="s">
        <v>99</v>
      </c>
      <c r="BK1487" t="s">
        <v>453</v>
      </c>
      <c r="BL1487" t="s">
        <v>128</v>
      </c>
      <c r="BR1487">
        <v>8</v>
      </c>
      <c r="BT1487">
        <v>4.38</v>
      </c>
      <c r="CA1487" t="s">
        <v>4729</v>
      </c>
      <c r="CB1487" t="s">
        <v>4221</v>
      </c>
      <c r="CG1487">
        <v>2700</v>
      </c>
      <c r="CL1487" t="s">
        <v>98</v>
      </c>
      <c r="CM1487" t="s">
        <v>98</v>
      </c>
      <c r="CN1487" t="s">
        <v>3198</v>
      </c>
      <c r="CO1487" s="1">
        <v>39701</v>
      </c>
      <c r="CP1487" s="1">
        <v>43633</v>
      </c>
    </row>
    <row r="1488" spans="1:94" x14ac:dyDescent="0.25">
      <c r="A1488" t="s">
        <v>4730</v>
      </c>
      <c r="B1488" t="str">
        <f xml:space="preserve"> "" &amp; 747396087108</f>
        <v>747396087108</v>
      </c>
      <c r="C1488" t="s">
        <v>3332</v>
      </c>
      <c r="D1488" t="s">
        <v>6917</v>
      </c>
      <c r="E1488" t="s">
        <v>4724</v>
      </c>
      <c r="F1488" t="s">
        <v>3188</v>
      </c>
      <c r="G1488">
        <v>1</v>
      </c>
      <c r="H1488">
        <v>1</v>
      </c>
      <c r="I1488" t="s">
        <v>97</v>
      </c>
      <c r="J1488" s="10">
        <v>59</v>
      </c>
      <c r="K1488" s="10">
        <v>177</v>
      </c>
      <c r="L1488" s="10">
        <v>0</v>
      </c>
      <c r="N1488" s="10">
        <v>0</v>
      </c>
      <c r="O1488" t="s">
        <v>99</v>
      </c>
      <c r="P1488" s="10">
        <v>119.95</v>
      </c>
      <c r="S1488">
        <v>12.25</v>
      </c>
      <c r="U1488">
        <v>6.25</v>
      </c>
      <c r="V1488">
        <v>7.75</v>
      </c>
      <c r="W1488">
        <v>3.37</v>
      </c>
      <c r="Y1488">
        <v>14</v>
      </c>
      <c r="Z1488">
        <v>9</v>
      </c>
      <c r="AA1488">
        <v>7.5</v>
      </c>
      <c r="AB1488">
        <v>0.54700000000000004</v>
      </c>
      <c r="AC1488">
        <v>4.25</v>
      </c>
      <c r="AE1488">
        <v>1</v>
      </c>
      <c r="AF1488" t="s">
        <v>3586</v>
      </c>
      <c r="AG1488">
        <v>10</v>
      </c>
      <c r="AK1488" t="s">
        <v>99</v>
      </c>
      <c r="AM1488" t="s">
        <v>98</v>
      </c>
      <c r="AN1488" t="s">
        <v>99</v>
      </c>
      <c r="AO1488" t="s">
        <v>98</v>
      </c>
      <c r="AP1488" t="s">
        <v>100</v>
      </c>
      <c r="AQ1488" t="s">
        <v>101</v>
      </c>
      <c r="AV1488" t="s">
        <v>98</v>
      </c>
      <c r="AX1488" t="s">
        <v>164</v>
      </c>
      <c r="AZ1488" t="s">
        <v>124</v>
      </c>
      <c r="BB1488" t="s">
        <v>235</v>
      </c>
      <c r="BC1488" t="s">
        <v>4731</v>
      </c>
      <c r="BD1488" t="s">
        <v>7528</v>
      </c>
      <c r="BF1488" t="s">
        <v>4732</v>
      </c>
      <c r="BG1488" t="s">
        <v>99</v>
      </c>
      <c r="BH1488" t="s">
        <v>98</v>
      </c>
      <c r="BI1488" t="s">
        <v>98</v>
      </c>
      <c r="BJ1488" t="s">
        <v>99</v>
      </c>
      <c r="BK1488" t="s">
        <v>453</v>
      </c>
      <c r="BL1488" t="s">
        <v>128</v>
      </c>
      <c r="BM1488">
        <v>4.25</v>
      </c>
      <c r="BN1488">
        <v>8.25</v>
      </c>
      <c r="CA1488" t="s">
        <v>4733</v>
      </c>
      <c r="CB1488" t="s">
        <v>164</v>
      </c>
      <c r="CG1488">
        <v>2700</v>
      </c>
      <c r="CH1488">
        <v>80</v>
      </c>
      <c r="CI1488">
        <v>450</v>
      </c>
      <c r="CJ1488">
        <v>233.24</v>
      </c>
      <c r="CK1488">
        <v>30000</v>
      </c>
      <c r="CL1488" t="s">
        <v>98</v>
      </c>
      <c r="CM1488" t="s">
        <v>98</v>
      </c>
      <c r="CN1488" t="s">
        <v>3236</v>
      </c>
      <c r="CO1488" s="1">
        <v>41232</v>
      </c>
      <c r="CP1488" s="1">
        <v>43480</v>
      </c>
    </row>
    <row r="1489" spans="1:94" x14ac:dyDescent="0.25">
      <c r="A1489" t="s">
        <v>4734</v>
      </c>
      <c r="B1489" t="str">
        <f xml:space="preserve"> "" &amp; 747396049274</f>
        <v>747396049274</v>
      </c>
      <c r="C1489" t="s">
        <v>1577</v>
      </c>
      <c r="D1489" t="s">
        <v>6916</v>
      </c>
      <c r="E1489" t="s">
        <v>4724</v>
      </c>
      <c r="F1489" t="s">
        <v>2823</v>
      </c>
      <c r="G1489">
        <v>1</v>
      </c>
      <c r="H1489">
        <v>1</v>
      </c>
      <c r="I1489" t="s">
        <v>97</v>
      </c>
      <c r="J1489" s="10">
        <v>69</v>
      </c>
      <c r="K1489" s="10">
        <v>207</v>
      </c>
      <c r="L1489" s="10">
        <v>0</v>
      </c>
      <c r="N1489" s="10">
        <v>0</v>
      </c>
      <c r="O1489" t="s">
        <v>99</v>
      </c>
      <c r="P1489" s="10">
        <v>139.94999999999999</v>
      </c>
      <c r="S1489">
        <v>16.25</v>
      </c>
      <c r="T1489">
        <v>11.25</v>
      </c>
      <c r="U1489">
        <v>8</v>
      </c>
      <c r="V1489">
        <v>9.5</v>
      </c>
      <c r="W1489">
        <v>5.07</v>
      </c>
      <c r="X1489">
        <v>1</v>
      </c>
      <c r="Y1489">
        <v>18.25</v>
      </c>
      <c r="Z1489">
        <v>11.25</v>
      </c>
      <c r="AA1489">
        <v>10</v>
      </c>
      <c r="AB1489">
        <v>1.1879999999999999</v>
      </c>
      <c r="AC1489">
        <v>6.68</v>
      </c>
      <c r="AE1489">
        <v>1</v>
      </c>
      <c r="AF1489" t="s">
        <v>233</v>
      </c>
      <c r="AG1489">
        <v>100</v>
      </c>
      <c r="AH1489">
        <v>0</v>
      </c>
      <c r="AJ1489">
        <v>0</v>
      </c>
      <c r="AK1489" t="s">
        <v>98</v>
      </c>
      <c r="AM1489" t="s">
        <v>98</v>
      </c>
      <c r="AN1489" t="s">
        <v>98</v>
      </c>
      <c r="AO1489" t="s">
        <v>99</v>
      </c>
      <c r="AP1489" t="s">
        <v>100</v>
      </c>
      <c r="AQ1489" t="s">
        <v>101</v>
      </c>
      <c r="AV1489" t="s">
        <v>98</v>
      </c>
      <c r="AX1489" t="s">
        <v>4221</v>
      </c>
      <c r="AZ1489" t="s">
        <v>124</v>
      </c>
      <c r="BB1489" t="s">
        <v>4917</v>
      </c>
      <c r="BC1489" t="s">
        <v>746</v>
      </c>
      <c r="BD1489" t="s">
        <v>7528</v>
      </c>
      <c r="BF1489" t="s">
        <v>4735</v>
      </c>
      <c r="BG1489" t="s">
        <v>98</v>
      </c>
      <c r="BH1489" t="s">
        <v>98</v>
      </c>
      <c r="BI1489" t="s">
        <v>98</v>
      </c>
      <c r="BJ1489" t="s">
        <v>99</v>
      </c>
      <c r="BK1489" t="s">
        <v>453</v>
      </c>
      <c r="BL1489" t="s">
        <v>128</v>
      </c>
      <c r="BM1489">
        <v>5</v>
      </c>
      <c r="BN1489">
        <v>9</v>
      </c>
      <c r="CA1489">
        <v>8762</v>
      </c>
      <c r="CB1489" t="s">
        <v>4221</v>
      </c>
      <c r="CG1489">
        <v>0</v>
      </c>
      <c r="CL1489" t="s">
        <v>99</v>
      </c>
      <c r="CM1489" t="s">
        <v>98</v>
      </c>
      <c r="CN1489" t="s">
        <v>4736</v>
      </c>
      <c r="CO1489" s="1">
        <v>39219</v>
      </c>
      <c r="CP1489" s="1">
        <v>43633</v>
      </c>
    </row>
    <row r="1490" spans="1:94" x14ac:dyDescent="0.25">
      <c r="A1490" t="s">
        <v>4737</v>
      </c>
      <c r="B1490" t="str">
        <f xml:space="preserve"> "" &amp; 747396068664</f>
        <v>747396068664</v>
      </c>
      <c r="C1490" t="s">
        <v>1577</v>
      </c>
      <c r="D1490" t="s">
        <v>6916</v>
      </c>
      <c r="E1490" t="s">
        <v>4724</v>
      </c>
      <c r="F1490" t="s">
        <v>449</v>
      </c>
      <c r="G1490">
        <v>1</v>
      </c>
      <c r="H1490">
        <v>1</v>
      </c>
      <c r="I1490" t="s">
        <v>97</v>
      </c>
      <c r="J1490" s="10">
        <v>75</v>
      </c>
      <c r="K1490" s="10">
        <v>225</v>
      </c>
      <c r="L1490" s="10">
        <v>0</v>
      </c>
      <c r="N1490" s="10">
        <v>0</v>
      </c>
      <c r="O1490" t="s">
        <v>99</v>
      </c>
      <c r="P1490" s="10">
        <v>149.94999999999999</v>
      </c>
      <c r="S1490">
        <v>16.25</v>
      </c>
      <c r="U1490">
        <v>8</v>
      </c>
      <c r="V1490">
        <v>9.5</v>
      </c>
      <c r="W1490">
        <v>5.05</v>
      </c>
      <c r="Y1490">
        <v>18.25</v>
      </c>
      <c r="Z1490">
        <v>11.5</v>
      </c>
      <c r="AA1490">
        <v>10</v>
      </c>
      <c r="AB1490">
        <v>1.21</v>
      </c>
      <c r="AC1490">
        <v>7.12</v>
      </c>
      <c r="AE1490">
        <v>1</v>
      </c>
      <c r="AF1490" t="s">
        <v>7548</v>
      </c>
      <c r="AG1490">
        <v>13</v>
      </c>
      <c r="AH1490">
        <v>0</v>
      </c>
      <c r="AJ1490">
        <v>0</v>
      </c>
      <c r="AK1490" t="s">
        <v>99</v>
      </c>
      <c r="AM1490" t="s">
        <v>98</v>
      </c>
      <c r="AN1490" t="s">
        <v>98</v>
      </c>
      <c r="AO1490" t="s">
        <v>99</v>
      </c>
      <c r="AP1490" t="s">
        <v>100</v>
      </c>
      <c r="AQ1490" t="s">
        <v>101</v>
      </c>
      <c r="AV1490" t="s">
        <v>98</v>
      </c>
      <c r="AX1490" t="s">
        <v>4221</v>
      </c>
      <c r="AZ1490" t="s">
        <v>124</v>
      </c>
      <c r="BB1490" t="s">
        <v>235</v>
      </c>
      <c r="BC1490" t="s">
        <v>4394</v>
      </c>
      <c r="BD1490" t="s">
        <v>7528</v>
      </c>
      <c r="BF1490" t="s">
        <v>4738</v>
      </c>
      <c r="BG1490" t="s">
        <v>98</v>
      </c>
      <c r="BH1490" t="s">
        <v>98</v>
      </c>
      <c r="BI1490" t="s">
        <v>98</v>
      </c>
      <c r="BJ1490" t="s">
        <v>99</v>
      </c>
      <c r="BK1490" t="s">
        <v>453</v>
      </c>
      <c r="BL1490" t="s">
        <v>128</v>
      </c>
      <c r="BR1490">
        <v>9.5</v>
      </c>
      <c r="BT1490">
        <v>5</v>
      </c>
      <c r="CA1490" t="s">
        <v>4739</v>
      </c>
      <c r="CB1490" t="s">
        <v>4221</v>
      </c>
      <c r="CG1490">
        <v>2700</v>
      </c>
      <c r="CL1490" t="s">
        <v>98</v>
      </c>
      <c r="CM1490" t="s">
        <v>98</v>
      </c>
      <c r="CN1490" t="s">
        <v>3448</v>
      </c>
      <c r="CO1490" s="1">
        <v>39701</v>
      </c>
      <c r="CP1490" s="1">
        <v>43633</v>
      </c>
    </row>
    <row r="1491" spans="1:94" x14ac:dyDescent="0.25">
      <c r="A1491" t="s">
        <v>4740</v>
      </c>
      <c r="B1491" t="str">
        <f xml:space="preserve"> "" &amp; 747396087115</f>
        <v>747396087115</v>
      </c>
      <c r="C1491" t="s">
        <v>3332</v>
      </c>
      <c r="D1491" t="s">
        <v>6918</v>
      </c>
      <c r="E1491" t="s">
        <v>4724</v>
      </c>
      <c r="F1491" t="s">
        <v>3188</v>
      </c>
      <c r="G1491">
        <v>1</v>
      </c>
      <c r="H1491">
        <v>1</v>
      </c>
      <c r="I1491" t="s">
        <v>97</v>
      </c>
      <c r="J1491" s="10">
        <v>85</v>
      </c>
      <c r="K1491" s="10">
        <v>255</v>
      </c>
      <c r="L1491" s="10">
        <v>0</v>
      </c>
      <c r="N1491" s="10">
        <v>0</v>
      </c>
      <c r="O1491" t="s">
        <v>99</v>
      </c>
      <c r="P1491" s="10">
        <v>169.95</v>
      </c>
      <c r="S1491">
        <v>16.25</v>
      </c>
      <c r="U1491">
        <v>8</v>
      </c>
      <c r="V1491">
        <v>9.5</v>
      </c>
      <c r="W1491">
        <v>5.09</v>
      </c>
      <c r="Y1491">
        <v>18.25</v>
      </c>
      <c r="Z1491">
        <v>11.25</v>
      </c>
      <c r="AA1491">
        <v>10</v>
      </c>
      <c r="AB1491">
        <v>1.1879999999999999</v>
      </c>
      <c r="AC1491">
        <v>6.68</v>
      </c>
      <c r="AE1491">
        <v>1</v>
      </c>
      <c r="AF1491" t="s">
        <v>3586</v>
      </c>
      <c r="AG1491">
        <v>10</v>
      </c>
      <c r="AK1491" t="s">
        <v>99</v>
      </c>
      <c r="AM1491" t="s">
        <v>98</v>
      </c>
      <c r="AN1491" t="s">
        <v>99</v>
      </c>
      <c r="AO1491" t="s">
        <v>98</v>
      </c>
      <c r="AP1491" t="s">
        <v>100</v>
      </c>
      <c r="AQ1491" t="s">
        <v>101</v>
      </c>
      <c r="AV1491" t="s">
        <v>98</v>
      </c>
      <c r="AX1491" t="s">
        <v>164</v>
      </c>
      <c r="AZ1491" t="s">
        <v>124</v>
      </c>
      <c r="BB1491" t="s">
        <v>235</v>
      </c>
      <c r="BC1491" t="s">
        <v>4741</v>
      </c>
      <c r="BD1491" t="s">
        <v>7528</v>
      </c>
      <c r="BF1491" t="s">
        <v>4742</v>
      </c>
      <c r="BG1491" t="s">
        <v>99</v>
      </c>
      <c r="BH1491" t="s">
        <v>98</v>
      </c>
      <c r="BI1491" t="s">
        <v>98</v>
      </c>
      <c r="BJ1491" t="s">
        <v>99</v>
      </c>
      <c r="BK1491" t="s">
        <v>453</v>
      </c>
      <c r="BL1491" t="s">
        <v>128</v>
      </c>
      <c r="BM1491">
        <v>5</v>
      </c>
      <c r="BN1491">
        <v>9.5</v>
      </c>
      <c r="CA1491" t="s">
        <v>4743</v>
      </c>
      <c r="CB1491" t="s">
        <v>164</v>
      </c>
      <c r="CG1491">
        <v>2700</v>
      </c>
      <c r="CH1491">
        <v>78</v>
      </c>
      <c r="CI1491">
        <v>450</v>
      </c>
      <c r="CJ1491">
        <v>192.33</v>
      </c>
      <c r="CK1491">
        <v>30000</v>
      </c>
      <c r="CL1491" t="s">
        <v>98</v>
      </c>
      <c r="CM1491" t="s">
        <v>98</v>
      </c>
      <c r="CN1491" t="s">
        <v>3236</v>
      </c>
      <c r="CO1491" s="1">
        <v>41232</v>
      </c>
      <c r="CP1491" s="1">
        <v>43633</v>
      </c>
    </row>
    <row r="1492" spans="1:94" x14ac:dyDescent="0.25">
      <c r="A1492" t="s">
        <v>4744</v>
      </c>
      <c r="B1492" t="str">
        <f xml:space="preserve"> "" &amp; 747396061825</f>
        <v>747396061825</v>
      </c>
      <c r="C1492" t="s">
        <v>1799</v>
      </c>
      <c r="D1492" t="s">
        <v>6919</v>
      </c>
      <c r="E1492" t="s">
        <v>4724</v>
      </c>
      <c r="F1492" t="s">
        <v>2823</v>
      </c>
      <c r="G1492">
        <v>1</v>
      </c>
      <c r="H1492">
        <v>1</v>
      </c>
      <c r="I1492" t="s">
        <v>97</v>
      </c>
      <c r="J1492" s="10">
        <v>119</v>
      </c>
      <c r="K1492" s="10">
        <v>357</v>
      </c>
      <c r="L1492" s="10">
        <v>0</v>
      </c>
      <c r="N1492" s="10">
        <v>0</v>
      </c>
      <c r="O1492" t="s">
        <v>99</v>
      </c>
      <c r="P1492" s="10">
        <v>239.95</v>
      </c>
      <c r="S1492">
        <v>20.25</v>
      </c>
      <c r="T1492">
        <v>14.25</v>
      </c>
      <c r="U1492">
        <v>10</v>
      </c>
      <c r="V1492">
        <v>12</v>
      </c>
      <c r="W1492">
        <v>8.0500000000000007</v>
      </c>
      <c r="Y1492">
        <v>22.75</v>
      </c>
      <c r="Z1492">
        <v>14.25</v>
      </c>
      <c r="AA1492">
        <v>12.75</v>
      </c>
      <c r="AB1492">
        <v>2.3919999999999999</v>
      </c>
      <c r="AC1492">
        <v>10.65</v>
      </c>
      <c r="AE1492">
        <v>3</v>
      </c>
      <c r="AF1492" t="s">
        <v>308</v>
      </c>
      <c r="AG1492">
        <v>60</v>
      </c>
      <c r="AH1492">
        <v>0</v>
      </c>
      <c r="AJ1492">
        <v>0</v>
      </c>
      <c r="AK1492" t="s">
        <v>98</v>
      </c>
      <c r="AM1492" t="s">
        <v>98</v>
      </c>
      <c r="AN1492" t="s">
        <v>98</v>
      </c>
      <c r="AO1492" t="s">
        <v>99</v>
      </c>
      <c r="AP1492" t="s">
        <v>100</v>
      </c>
      <c r="AQ1492" t="s">
        <v>101</v>
      </c>
      <c r="AV1492" t="s">
        <v>98</v>
      </c>
      <c r="AX1492" t="s">
        <v>4221</v>
      </c>
      <c r="AZ1492" t="s">
        <v>124</v>
      </c>
      <c r="BB1492" t="s">
        <v>4917</v>
      </c>
      <c r="BC1492" t="s">
        <v>746</v>
      </c>
      <c r="BD1492" t="s">
        <v>7528</v>
      </c>
      <c r="BF1492" t="s">
        <v>4745</v>
      </c>
      <c r="BG1492" t="s">
        <v>98</v>
      </c>
      <c r="BH1492" t="s">
        <v>98</v>
      </c>
      <c r="BI1492" t="s">
        <v>98</v>
      </c>
      <c r="BJ1492" t="s">
        <v>99</v>
      </c>
      <c r="BK1492" t="s">
        <v>453</v>
      </c>
      <c r="BL1492" t="s">
        <v>128</v>
      </c>
      <c r="BR1492">
        <v>12</v>
      </c>
      <c r="BT1492">
        <v>6.13</v>
      </c>
      <c r="CA1492">
        <v>8763</v>
      </c>
      <c r="CB1492" t="s">
        <v>4221</v>
      </c>
      <c r="CG1492">
        <v>0</v>
      </c>
      <c r="CL1492" t="s">
        <v>99</v>
      </c>
      <c r="CM1492" t="s">
        <v>98</v>
      </c>
      <c r="CN1492" t="s">
        <v>4736</v>
      </c>
      <c r="CO1492" s="1">
        <v>39191</v>
      </c>
      <c r="CP1492" s="1">
        <v>43633</v>
      </c>
    </row>
    <row r="1493" spans="1:94" x14ac:dyDescent="0.25">
      <c r="A1493" t="s">
        <v>4746</v>
      </c>
      <c r="B1493" t="str">
        <f xml:space="preserve"> "" &amp; 747396068671</f>
        <v>747396068671</v>
      </c>
      <c r="C1493" t="s">
        <v>1577</v>
      </c>
      <c r="D1493" t="s">
        <v>6916</v>
      </c>
      <c r="E1493" t="s">
        <v>4724</v>
      </c>
      <c r="F1493" t="s">
        <v>449</v>
      </c>
      <c r="G1493">
        <v>1</v>
      </c>
      <c r="H1493">
        <v>1</v>
      </c>
      <c r="I1493" t="s">
        <v>97</v>
      </c>
      <c r="J1493" s="10">
        <v>128</v>
      </c>
      <c r="K1493" s="10">
        <v>384</v>
      </c>
      <c r="L1493" s="10">
        <v>0</v>
      </c>
      <c r="N1493" s="10">
        <v>0</v>
      </c>
      <c r="O1493" t="s">
        <v>99</v>
      </c>
      <c r="P1493" s="10">
        <v>254.95</v>
      </c>
      <c r="S1493">
        <v>20</v>
      </c>
      <c r="U1493">
        <v>10</v>
      </c>
      <c r="V1493">
        <v>12</v>
      </c>
      <c r="W1493">
        <v>8.2899999999999991</v>
      </c>
      <c r="Y1493">
        <v>23.25</v>
      </c>
      <c r="Z1493">
        <v>14.5</v>
      </c>
      <c r="AA1493">
        <v>13</v>
      </c>
      <c r="AB1493">
        <v>2.536</v>
      </c>
      <c r="AC1493">
        <v>10.91</v>
      </c>
      <c r="AE1493">
        <v>1</v>
      </c>
      <c r="AF1493" t="s">
        <v>3363</v>
      </c>
      <c r="AG1493">
        <v>26</v>
      </c>
      <c r="AH1493">
        <v>0</v>
      </c>
      <c r="AJ1493">
        <v>0</v>
      </c>
      <c r="AK1493" t="s">
        <v>99</v>
      </c>
      <c r="AM1493" t="s">
        <v>98</v>
      </c>
      <c r="AN1493" t="s">
        <v>98</v>
      </c>
      <c r="AO1493" t="s">
        <v>99</v>
      </c>
      <c r="AP1493" t="s">
        <v>100</v>
      </c>
      <c r="AQ1493" t="s">
        <v>101</v>
      </c>
      <c r="AV1493" t="s">
        <v>98</v>
      </c>
      <c r="AX1493" t="s">
        <v>4221</v>
      </c>
      <c r="AZ1493" t="s">
        <v>124</v>
      </c>
      <c r="BB1493" t="s">
        <v>235</v>
      </c>
      <c r="BC1493" t="s">
        <v>4394</v>
      </c>
      <c r="BD1493" t="s">
        <v>7528</v>
      </c>
      <c r="BF1493" t="s">
        <v>4747</v>
      </c>
      <c r="BG1493" t="s">
        <v>98</v>
      </c>
      <c r="BH1493" t="s">
        <v>98</v>
      </c>
      <c r="BI1493" t="s">
        <v>98</v>
      </c>
      <c r="BJ1493" t="s">
        <v>99</v>
      </c>
      <c r="BK1493" t="s">
        <v>453</v>
      </c>
      <c r="BL1493" t="s">
        <v>128</v>
      </c>
      <c r="BR1493">
        <v>12</v>
      </c>
      <c r="BT1493">
        <v>6.13</v>
      </c>
      <c r="CA1493" t="s">
        <v>4748</v>
      </c>
      <c r="CB1493" t="s">
        <v>4221</v>
      </c>
      <c r="CG1493">
        <v>2700</v>
      </c>
      <c r="CL1493" t="s">
        <v>98</v>
      </c>
      <c r="CM1493" t="s">
        <v>98</v>
      </c>
      <c r="CN1493" t="s">
        <v>3198</v>
      </c>
      <c r="CO1493" s="1">
        <v>39701</v>
      </c>
      <c r="CP1493" s="1">
        <v>43633</v>
      </c>
    </row>
    <row r="1494" spans="1:94" x14ac:dyDescent="0.25">
      <c r="A1494" t="s">
        <v>4749</v>
      </c>
      <c r="B1494" t="str">
        <f xml:space="preserve"> "" &amp; 747396087122</f>
        <v>747396087122</v>
      </c>
      <c r="C1494" t="s">
        <v>3332</v>
      </c>
      <c r="D1494" t="s">
        <v>6918</v>
      </c>
      <c r="E1494" t="s">
        <v>4724</v>
      </c>
      <c r="F1494" t="s">
        <v>3188</v>
      </c>
      <c r="G1494">
        <v>1</v>
      </c>
      <c r="H1494">
        <v>1</v>
      </c>
      <c r="I1494" t="s">
        <v>97</v>
      </c>
      <c r="J1494" s="10">
        <v>139</v>
      </c>
      <c r="K1494" s="10">
        <v>417</v>
      </c>
      <c r="L1494" s="10">
        <v>0</v>
      </c>
      <c r="N1494" s="10">
        <v>0</v>
      </c>
      <c r="O1494" t="s">
        <v>99</v>
      </c>
      <c r="P1494" s="10">
        <v>279.95</v>
      </c>
      <c r="S1494">
        <v>20</v>
      </c>
      <c r="U1494">
        <v>10</v>
      </c>
      <c r="V1494">
        <v>12</v>
      </c>
      <c r="W1494">
        <v>7.91</v>
      </c>
      <c r="Y1494">
        <v>23.25</v>
      </c>
      <c r="Z1494">
        <v>14.5</v>
      </c>
      <c r="AA1494">
        <v>13</v>
      </c>
      <c r="AB1494">
        <v>2.536</v>
      </c>
      <c r="AC1494">
        <v>10.23</v>
      </c>
      <c r="AE1494">
        <v>1</v>
      </c>
      <c r="AF1494" t="s">
        <v>3586</v>
      </c>
      <c r="AG1494">
        <v>10</v>
      </c>
      <c r="AK1494" t="s">
        <v>99</v>
      </c>
      <c r="AM1494" t="s">
        <v>98</v>
      </c>
      <c r="AN1494" t="s">
        <v>99</v>
      </c>
      <c r="AO1494" t="s">
        <v>98</v>
      </c>
      <c r="AP1494" t="s">
        <v>100</v>
      </c>
      <c r="AQ1494" t="s">
        <v>101</v>
      </c>
      <c r="AV1494" t="s">
        <v>98</v>
      </c>
      <c r="AX1494" t="s">
        <v>164</v>
      </c>
      <c r="AZ1494" t="s">
        <v>124</v>
      </c>
      <c r="BB1494" t="s">
        <v>235</v>
      </c>
      <c r="BC1494" t="s">
        <v>4731</v>
      </c>
      <c r="BD1494" t="s">
        <v>7528</v>
      </c>
      <c r="BF1494" t="s">
        <v>4750</v>
      </c>
      <c r="BG1494" t="s">
        <v>99</v>
      </c>
      <c r="BH1494" t="s">
        <v>98</v>
      </c>
      <c r="BI1494" t="s">
        <v>98</v>
      </c>
      <c r="BJ1494" t="s">
        <v>99</v>
      </c>
      <c r="BK1494" t="s">
        <v>453</v>
      </c>
      <c r="BL1494" t="s">
        <v>128</v>
      </c>
      <c r="BM1494">
        <v>6.25</v>
      </c>
      <c r="BN1494">
        <v>12</v>
      </c>
      <c r="CA1494" t="s">
        <v>4751</v>
      </c>
      <c r="CB1494" t="s">
        <v>164</v>
      </c>
      <c r="CG1494">
        <v>2700</v>
      </c>
      <c r="CH1494">
        <v>78</v>
      </c>
      <c r="CI1494">
        <v>450</v>
      </c>
      <c r="CJ1494">
        <v>220.6</v>
      </c>
      <c r="CK1494">
        <v>30000</v>
      </c>
      <c r="CL1494" t="s">
        <v>98</v>
      </c>
      <c r="CM1494" t="s">
        <v>98</v>
      </c>
      <c r="CN1494" t="s">
        <v>3236</v>
      </c>
      <c r="CO1494" s="1">
        <v>41232</v>
      </c>
      <c r="CP1494" s="1">
        <v>43633</v>
      </c>
    </row>
    <row r="1495" spans="1:94" x14ac:dyDescent="0.25">
      <c r="A1495" t="s">
        <v>4752</v>
      </c>
      <c r="B1495" t="str">
        <f xml:space="preserve"> "" &amp; 747396061849</f>
        <v>747396061849</v>
      </c>
      <c r="C1495" t="s">
        <v>3399</v>
      </c>
      <c r="D1495" t="s">
        <v>6920</v>
      </c>
      <c r="E1495" t="s">
        <v>4724</v>
      </c>
      <c r="F1495" t="s">
        <v>2823</v>
      </c>
      <c r="G1495">
        <v>1</v>
      </c>
      <c r="H1495">
        <v>1</v>
      </c>
      <c r="I1495" t="s">
        <v>97</v>
      </c>
      <c r="J1495" s="10">
        <v>109</v>
      </c>
      <c r="K1495" s="10">
        <v>327</v>
      </c>
      <c r="L1495" s="10">
        <v>0</v>
      </c>
      <c r="N1495" s="10">
        <v>0</v>
      </c>
      <c r="O1495" t="s">
        <v>99</v>
      </c>
      <c r="P1495" s="10">
        <v>219.95</v>
      </c>
      <c r="S1495">
        <v>18.25</v>
      </c>
      <c r="T1495">
        <v>13</v>
      </c>
      <c r="U1495">
        <v>10</v>
      </c>
      <c r="W1495">
        <v>8.36</v>
      </c>
      <c r="X1495">
        <v>1</v>
      </c>
      <c r="Y1495">
        <v>20.5</v>
      </c>
      <c r="Z1495">
        <v>13</v>
      </c>
      <c r="AA1495">
        <v>13</v>
      </c>
      <c r="AB1495">
        <v>2.0049999999999999</v>
      </c>
      <c r="AC1495">
        <v>10.45</v>
      </c>
      <c r="AE1495">
        <v>3</v>
      </c>
      <c r="AF1495" t="s">
        <v>308</v>
      </c>
      <c r="AG1495">
        <v>60</v>
      </c>
      <c r="AH1495">
        <v>0</v>
      </c>
      <c r="AJ1495">
        <v>0</v>
      </c>
      <c r="AK1495" t="s">
        <v>98</v>
      </c>
      <c r="AM1495" t="s">
        <v>98</v>
      </c>
      <c r="AN1495" t="s">
        <v>98</v>
      </c>
      <c r="AO1495" t="s">
        <v>99</v>
      </c>
      <c r="AP1495" t="s">
        <v>100</v>
      </c>
      <c r="AQ1495" t="s">
        <v>101</v>
      </c>
      <c r="AV1495" t="s">
        <v>98</v>
      </c>
      <c r="AX1495" t="s">
        <v>4221</v>
      </c>
      <c r="AZ1495" t="s">
        <v>124</v>
      </c>
      <c r="BB1495" t="s">
        <v>4917</v>
      </c>
      <c r="BC1495" t="s">
        <v>746</v>
      </c>
      <c r="BD1495" t="s">
        <v>7528</v>
      </c>
      <c r="BF1495" t="s">
        <v>4753</v>
      </c>
      <c r="BG1495" t="s">
        <v>98</v>
      </c>
      <c r="BH1495" t="s">
        <v>98</v>
      </c>
      <c r="BI1495" t="s">
        <v>98</v>
      </c>
      <c r="BK1495" t="s">
        <v>127</v>
      </c>
      <c r="BL1495" t="s">
        <v>7528</v>
      </c>
      <c r="BR1495">
        <v>0</v>
      </c>
      <c r="BT1495">
        <v>5.13</v>
      </c>
      <c r="CA1495">
        <v>8764</v>
      </c>
      <c r="CB1495" t="s">
        <v>4221</v>
      </c>
      <c r="CG1495">
        <v>0</v>
      </c>
      <c r="CL1495" t="s">
        <v>99</v>
      </c>
      <c r="CM1495" t="s">
        <v>99</v>
      </c>
      <c r="CN1495" t="s">
        <v>4736</v>
      </c>
      <c r="CO1495" s="1">
        <v>39191</v>
      </c>
      <c r="CP1495" s="1">
        <v>43633</v>
      </c>
    </row>
    <row r="1496" spans="1:94" x14ac:dyDescent="0.25">
      <c r="A1496" t="s">
        <v>4754</v>
      </c>
      <c r="B1496" t="str">
        <f xml:space="preserve"> "" &amp; 747396087139</f>
        <v>747396087139</v>
      </c>
      <c r="C1496" t="s">
        <v>3642</v>
      </c>
      <c r="D1496" t="s">
        <v>6921</v>
      </c>
      <c r="E1496" t="s">
        <v>4724</v>
      </c>
      <c r="F1496" t="s">
        <v>3188</v>
      </c>
      <c r="G1496">
        <v>1</v>
      </c>
      <c r="H1496">
        <v>1</v>
      </c>
      <c r="I1496" t="s">
        <v>97</v>
      </c>
      <c r="J1496" s="10">
        <v>130</v>
      </c>
      <c r="K1496" s="10">
        <v>390</v>
      </c>
      <c r="L1496" s="10">
        <v>0</v>
      </c>
      <c r="N1496" s="10">
        <v>0</v>
      </c>
      <c r="O1496" t="s">
        <v>99</v>
      </c>
      <c r="P1496" s="10">
        <v>259.95</v>
      </c>
      <c r="S1496">
        <v>18.25</v>
      </c>
      <c r="T1496">
        <v>10</v>
      </c>
      <c r="U1496">
        <v>10</v>
      </c>
      <c r="W1496">
        <v>8.36</v>
      </c>
      <c r="Y1496">
        <v>20.5</v>
      </c>
      <c r="Z1496">
        <v>13.25</v>
      </c>
      <c r="AA1496">
        <v>13</v>
      </c>
      <c r="AB1496">
        <v>2.0430000000000001</v>
      </c>
      <c r="AC1496">
        <v>10.14</v>
      </c>
      <c r="AE1496">
        <v>1</v>
      </c>
      <c r="AF1496" t="s">
        <v>3586</v>
      </c>
      <c r="AG1496">
        <v>10</v>
      </c>
      <c r="AK1496" t="s">
        <v>99</v>
      </c>
      <c r="AM1496" t="s">
        <v>98</v>
      </c>
      <c r="AN1496" t="s">
        <v>99</v>
      </c>
      <c r="AO1496" t="s">
        <v>98</v>
      </c>
      <c r="AP1496" t="s">
        <v>100</v>
      </c>
      <c r="AQ1496" t="s">
        <v>101</v>
      </c>
      <c r="AV1496" t="s">
        <v>98</v>
      </c>
      <c r="AX1496" t="s">
        <v>164</v>
      </c>
      <c r="AZ1496" t="s">
        <v>124</v>
      </c>
      <c r="BB1496" t="s">
        <v>235</v>
      </c>
      <c r="BC1496" t="s">
        <v>4731</v>
      </c>
      <c r="BD1496" t="s">
        <v>7528</v>
      </c>
      <c r="BF1496" t="s">
        <v>4755</v>
      </c>
      <c r="BG1496" t="s">
        <v>98</v>
      </c>
      <c r="BH1496" t="s">
        <v>98</v>
      </c>
      <c r="BI1496" t="s">
        <v>98</v>
      </c>
      <c r="BK1496" t="s">
        <v>127</v>
      </c>
      <c r="BL1496" t="s">
        <v>7528</v>
      </c>
      <c r="BR1496">
        <v>1</v>
      </c>
      <c r="BT1496">
        <v>5</v>
      </c>
      <c r="CA1496" t="s">
        <v>4756</v>
      </c>
      <c r="CB1496" t="s">
        <v>164</v>
      </c>
      <c r="CG1496">
        <v>2700</v>
      </c>
      <c r="CH1496">
        <v>78</v>
      </c>
      <c r="CI1496">
        <v>450</v>
      </c>
      <c r="CJ1496">
        <v>226.06</v>
      </c>
      <c r="CK1496">
        <v>30000</v>
      </c>
      <c r="CL1496" t="s">
        <v>98</v>
      </c>
      <c r="CM1496" t="s">
        <v>98</v>
      </c>
      <c r="CN1496" t="s">
        <v>3448</v>
      </c>
      <c r="CO1496" s="1">
        <v>41232</v>
      </c>
      <c r="CP1496" s="1">
        <v>43633</v>
      </c>
    </row>
    <row r="1497" spans="1:94" x14ac:dyDescent="0.25">
      <c r="A1497" t="s">
        <v>4757</v>
      </c>
      <c r="B1497" t="str">
        <f xml:space="preserve"> "" &amp; 747396061832</f>
        <v>747396061832</v>
      </c>
      <c r="C1497" t="s">
        <v>3403</v>
      </c>
      <c r="D1497" t="s">
        <v>6922</v>
      </c>
      <c r="E1497" t="s">
        <v>4724</v>
      </c>
      <c r="F1497" t="s">
        <v>2823</v>
      </c>
      <c r="G1497">
        <v>1</v>
      </c>
      <c r="H1497">
        <v>1</v>
      </c>
      <c r="I1497" t="s">
        <v>97</v>
      </c>
      <c r="J1497" s="10">
        <v>109</v>
      </c>
      <c r="K1497" s="10">
        <v>327</v>
      </c>
      <c r="L1497" s="10">
        <v>0</v>
      </c>
      <c r="N1497" s="10">
        <v>0</v>
      </c>
      <c r="O1497" t="s">
        <v>99</v>
      </c>
      <c r="P1497" s="10">
        <v>219.95</v>
      </c>
      <c r="S1497">
        <v>23</v>
      </c>
      <c r="T1497">
        <v>10</v>
      </c>
      <c r="U1497">
        <v>10</v>
      </c>
      <c r="W1497">
        <v>6.53</v>
      </c>
      <c r="Y1497">
        <v>20.75</v>
      </c>
      <c r="Z1497">
        <v>13</v>
      </c>
      <c r="AA1497">
        <v>13</v>
      </c>
      <c r="AB1497">
        <v>2.0289999999999999</v>
      </c>
      <c r="AC1497">
        <v>8.86</v>
      </c>
      <c r="AE1497">
        <v>3</v>
      </c>
      <c r="AF1497" t="s">
        <v>308</v>
      </c>
      <c r="AG1497">
        <v>60</v>
      </c>
      <c r="AH1497">
        <v>0</v>
      </c>
      <c r="AK1497" t="s">
        <v>98</v>
      </c>
      <c r="AM1497" t="s">
        <v>98</v>
      </c>
      <c r="AN1497" t="s">
        <v>99</v>
      </c>
      <c r="AO1497" t="s">
        <v>98</v>
      </c>
      <c r="AP1497" t="s">
        <v>100</v>
      </c>
      <c r="AQ1497" t="s">
        <v>101</v>
      </c>
      <c r="AV1497" t="s">
        <v>98</v>
      </c>
      <c r="AX1497" t="s">
        <v>4221</v>
      </c>
      <c r="AZ1497" t="s">
        <v>124</v>
      </c>
      <c r="BB1497" t="s">
        <v>235</v>
      </c>
      <c r="BC1497" t="s">
        <v>4758</v>
      </c>
      <c r="BD1497" t="s">
        <v>7528</v>
      </c>
      <c r="BF1497" t="s">
        <v>4759</v>
      </c>
      <c r="BG1497" t="s">
        <v>98</v>
      </c>
      <c r="BH1497" t="s">
        <v>98</v>
      </c>
      <c r="BI1497" t="s">
        <v>98</v>
      </c>
      <c r="BJ1497" t="s">
        <v>99</v>
      </c>
      <c r="BK1497" t="s">
        <v>453</v>
      </c>
      <c r="BL1497" t="s">
        <v>7528</v>
      </c>
      <c r="BR1497">
        <v>0</v>
      </c>
      <c r="BT1497">
        <v>0</v>
      </c>
      <c r="CA1497">
        <v>8765</v>
      </c>
      <c r="CB1497" t="s">
        <v>4221</v>
      </c>
      <c r="CL1497" t="s">
        <v>99</v>
      </c>
      <c r="CM1497" t="s">
        <v>98</v>
      </c>
      <c r="CN1497" t="s">
        <v>4736</v>
      </c>
      <c r="CO1497" s="1">
        <v>39191</v>
      </c>
      <c r="CP1497" s="1">
        <v>43633</v>
      </c>
    </row>
    <row r="1498" spans="1:94" x14ac:dyDescent="0.25">
      <c r="A1498" t="s">
        <v>4760</v>
      </c>
      <c r="B1498" t="str">
        <f xml:space="preserve"> "" &amp; 747396049281</f>
        <v>747396049281</v>
      </c>
      <c r="C1498" t="s">
        <v>447</v>
      </c>
      <c r="D1498" t="s">
        <v>6923</v>
      </c>
      <c r="E1498" t="s">
        <v>4724</v>
      </c>
      <c r="F1498" t="s">
        <v>2823</v>
      </c>
      <c r="G1498">
        <v>1</v>
      </c>
      <c r="H1498">
        <v>1</v>
      </c>
      <c r="I1498" t="s">
        <v>97</v>
      </c>
      <c r="J1498" s="10">
        <v>69</v>
      </c>
      <c r="K1498" s="10">
        <v>207</v>
      </c>
      <c r="L1498" s="10">
        <v>0</v>
      </c>
      <c r="N1498" s="10">
        <v>0</v>
      </c>
      <c r="O1498" t="s">
        <v>99</v>
      </c>
      <c r="P1498" s="10">
        <v>139.94999999999999</v>
      </c>
      <c r="S1498">
        <v>19.75</v>
      </c>
      <c r="T1498">
        <v>10</v>
      </c>
      <c r="U1498">
        <v>8</v>
      </c>
      <c r="W1498">
        <v>4.0999999999999996</v>
      </c>
      <c r="X1498">
        <v>1</v>
      </c>
      <c r="Y1498">
        <v>17</v>
      </c>
      <c r="Z1498">
        <v>10</v>
      </c>
      <c r="AA1498">
        <v>10</v>
      </c>
      <c r="AB1498">
        <v>0.98399999999999999</v>
      </c>
      <c r="AC1498">
        <v>5.95</v>
      </c>
      <c r="AE1498">
        <v>1</v>
      </c>
      <c r="AF1498" t="s">
        <v>233</v>
      </c>
      <c r="AG1498">
        <v>100</v>
      </c>
      <c r="AH1498">
        <v>0</v>
      </c>
      <c r="AK1498" t="s">
        <v>98</v>
      </c>
      <c r="AM1498" t="s">
        <v>98</v>
      </c>
      <c r="AN1498" t="s">
        <v>98</v>
      </c>
      <c r="AO1498" t="s">
        <v>99</v>
      </c>
      <c r="AP1498" t="s">
        <v>100</v>
      </c>
      <c r="AQ1498" t="s">
        <v>101</v>
      </c>
      <c r="AV1498" t="s">
        <v>98</v>
      </c>
      <c r="AX1498" t="s">
        <v>4221</v>
      </c>
      <c r="AZ1498" t="s">
        <v>124</v>
      </c>
      <c r="BB1498" t="s">
        <v>4917</v>
      </c>
      <c r="BC1498" t="s">
        <v>746</v>
      </c>
      <c r="BD1498" t="s">
        <v>7528</v>
      </c>
      <c r="BF1498" t="s">
        <v>4761</v>
      </c>
      <c r="BG1498" t="s">
        <v>98</v>
      </c>
      <c r="BH1498" t="s">
        <v>98</v>
      </c>
      <c r="BI1498" t="s">
        <v>98</v>
      </c>
      <c r="BJ1498" t="s">
        <v>99</v>
      </c>
      <c r="BK1498" t="s">
        <v>453</v>
      </c>
      <c r="BL1498" t="s">
        <v>7528</v>
      </c>
      <c r="BR1498">
        <v>0</v>
      </c>
      <c r="BT1498">
        <v>0</v>
      </c>
      <c r="CA1498">
        <v>8766</v>
      </c>
      <c r="CB1498" t="s">
        <v>4221</v>
      </c>
      <c r="CG1498">
        <v>0</v>
      </c>
      <c r="CL1498" t="s">
        <v>99</v>
      </c>
      <c r="CM1498" t="s">
        <v>98</v>
      </c>
      <c r="CN1498" t="s">
        <v>4736</v>
      </c>
      <c r="CO1498" s="1">
        <v>39219</v>
      </c>
      <c r="CP1498" s="1">
        <v>43633</v>
      </c>
    </row>
    <row r="1499" spans="1:94" x14ac:dyDescent="0.25">
      <c r="A1499" t="s">
        <v>4762</v>
      </c>
      <c r="B1499" t="str">
        <f xml:space="preserve"> "" &amp; 747396087146</f>
        <v>747396087146</v>
      </c>
      <c r="C1499" t="s">
        <v>3594</v>
      </c>
      <c r="D1499" t="s">
        <v>6924</v>
      </c>
      <c r="E1499" t="s">
        <v>4724</v>
      </c>
      <c r="F1499" t="s">
        <v>3188</v>
      </c>
      <c r="G1499">
        <v>1</v>
      </c>
      <c r="H1499">
        <v>1</v>
      </c>
      <c r="I1499" t="s">
        <v>97</v>
      </c>
      <c r="J1499" s="10">
        <v>85</v>
      </c>
      <c r="K1499" s="10">
        <v>255</v>
      </c>
      <c r="L1499" s="10">
        <v>0</v>
      </c>
      <c r="N1499" s="10">
        <v>0</v>
      </c>
      <c r="O1499" t="s">
        <v>99</v>
      </c>
      <c r="P1499" s="10">
        <v>169.95</v>
      </c>
      <c r="S1499">
        <v>19.25</v>
      </c>
      <c r="T1499">
        <v>8</v>
      </c>
      <c r="U1499">
        <v>8</v>
      </c>
      <c r="W1499">
        <v>4.63</v>
      </c>
      <c r="Y1499">
        <v>17</v>
      </c>
      <c r="Z1499">
        <v>10</v>
      </c>
      <c r="AA1499">
        <v>10</v>
      </c>
      <c r="AB1499">
        <v>0.98399999999999999</v>
      </c>
      <c r="AC1499">
        <v>6.26</v>
      </c>
      <c r="AE1499">
        <v>1</v>
      </c>
      <c r="AF1499" t="s">
        <v>3586</v>
      </c>
      <c r="AG1499">
        <v>10</v>
      </c>
      <c r="AK1499" t="s">
        <v>99</v>
      </c>
      <c r="AM1499" t="s">
        <v>98</v>
      </c>
      <c r="AN1499" t="s">
        <v>99</v>
      </c>
      <c r="AO1499" t="s">
        <v>98</v>
      </c>
      <c r="AP1499" t="s">
        <v>100</v>
      </c>
      <c r="AQ1499" t="s">
        <v>101</v>
      </c>
      <c r="AV1499" t="s">
        <v>98</v>
      </c>
      <c r="AX1499" t="s">
        <v>164</v>
      </c>
      <c r="AZ1499" t="s">
        <v>124</v>
      </c>
      <c r="BB1499" t="s">
        <v>235</v>
      </c>
      <c r="BC1499" t="s">
        <v>4731</v>
      </c>
      <c r="BD1499" t="s">
        <v>7528</v>
      </c>
      <c r="BF1499" t="s">
        <v>4763</v>
      </c>
      <c r="BG1499" t="s">
        <v>98</v>
      </c>
      <c r="BH1499" t="s">
        <v>98</v>
      </c>
      <c r="BI1499" t="s">
        <v>98</v>
      </c>
      <c r="BJ1499" t="s">
        <v>99</v>
      </c>
      <c r="BK1499" t="s">
        <v>453</v>
      </c>
      <c r="BL1499" t="s">
        <v>7528</v>
      </c>
      <c r="CA1499" t="s">
        <v>4764</v>
      </c>
      <c r="CB1499" t="s">
        <v>164</v>
      </c>
      <c r="CG1499">
        <v>2700</v>
      </c>
      <c r="CH1499">
        <v>80</v>
      </c>
      <c r="CI1499">
        <v>450</v>
      </c>
      <c r="CJ1499">
        <v>189.18</v>
      </c>
      <c r="CK1499">
        <v>30000</v>
      </c>
      <c r="CL1499" t="s">
        <v>98</v>
      </c>
      <c r="CM1499" t="s">
        <v>98</v>
      </c>
      <c r="CN1499" t="s">
        <v>3236</v>
      </c>
      <c r="CO1499" s="1">
        <v>41232</v>
      </c>
      <c r="CP1499" s="1">
        <v>43633</v>
      </c>
    </row>
    <row r="1500" spans="1:94" x14ac:dyDescent="0.25">
      <c r="A1500" t="s">
        <v>4765</v>
      </c>
      <c r="B1500" t="str">
        <f xml:space="preserve"> "" &amp; 747396049946</f>
        <v>747396049946</v>
      </c>
      <c r="C1500" t="s">
        <v>476</v>
      </c>
      <c r="D1500" t="s">
        <v>6925</v>
      </c>
      <c r="E1500" t="s">
        <v>4724</v>
      </c>
      <c r="F1500" t="s">
        <v>2823</v>
      </c>
      <c r="G1500">
        <v>1</v>
      </c>
      <c r="H1500">
        <v>1</v>
      </c>
      <c r="I1500" t="s">
        <v>97</v>
      </c>
      <c r="J1500" s="10">
        <v>55</v>
      </c>
      <c r="K1500" s="10">
        <v>165</v>
      </c>
      <c r="L1500" s="10">
        <v>0</v>
      </c>
      <c r="N1500" s="10">
        <v>0</v>
      </c>
      <c r="O1500" t="s">
        <v>99</v>
      </c>
      <c r="P1500" s="10">
        <v>109.95</v>
      </c>
      <c r="S1500">
        <v>7.25</v>
      </c>
      <c r="T1500">
        <v>13</v>
      </c>
      <c r="U1500">
        <v>13</v>
      </c>
      <c r="W1500">
        <v>3.53</v>
      </c>
      <c r="X1500">
        <v>1</v>
      </c>
      <c r="Y1500">
        <v>8.75</v>
      </c>
      <c r="Z1500">
        <v>15.75</v>
      </c>
      <c r="AA1500">
        <v>15.75</v>
      </c>
      <c r="AB1500">
        <v>1.256</v>
      </c>
      <c r="AC1500">
        <v>5.51</v>
      </c>
      <c r="AE1500">
        <v>2</v>
      </c>
      <c r="AF1500" t="s">
        <v>233</v>
      </c>
      <c r="AG1500">
        <v>60</v>
      </c>
      <c r="AH1500">
        <v>0</v>
      </c>
      <c r="AJ1500">
        <v>0</v>
      </c>
      <c r="AK1500" t="s">
        <v>98</v>
      </c>
      <c r="AM1500" t="s">
        <v>98</v>
      </c>
      <c r="AN1500" t="s">
        <v>98</v>
      </c>
      <c r="AO1500" t="s">
        <v>99</v>
      </c>
      <c r="AP1500" t="s">
        <v>100</v>
      </c>
      <c r="AQ1500" t="s">
        <v>101</v>
      </c>
      <c r="AV1500" t="s">
        <v>98</v>
      </c>
      <c r="AX1500" t="s">
        <v>4221</v>
      </c>
      <c r="AZ1500" t="s">
        <v>124</v>
      </c>
      <c r="BB1500" t="s">
        <v>4917</v>
      </c>
      <c r="BC1500" t="s">
        <v>746</v>
      </c>
      <c r="BD1500" t="s">
        <v>7528</v>
      </c>
      <c r="BF1500" t="s">
        <v>4766</v>
      </c>
      <c r="BG1500" t="s">
        <v>98</v>
      </c>
      <c r="BH1500" t="s">
        <v>98</v>
      </c>
      <c r="BI1500" t="s">
        <v>98</v>
      </c>
      <c r="BK1500" t="s">
        <v>127</v>
      </c>
      <c r="BL1500" t="s">
        <v>7528</v>
      </c>
      <c r="BR1500">
        <v>0</v>
      </c>
      <c r="BT1500">
        <v>0</v>
      </c>
      <c r="CA1500">
        <v>8769</v>
      </c>
      <c r="CB1500" t="s">
        <v>4221</v>
      </c>
      <c r="CG1500">
        <v>0</v>
      </c>
      <c r="CL1500" t="s">
        <v>99</v>
      </c>
      <c r="CM1500" t="s">
        <v>98</v>
      </c>
      <c r="CN1500" t="s">
        <v>4736</v>
      </c>
      <c r="CO1500" s="1">
        <v>38933</v>
      </c>
      <c r="CP1500" s="1">
        <v>43633</v>
      </c>
    </row>
    <row r="1501" spans="1:94" x14ac:dyDescent="0.25">
      <c r="A1501" t="s">
        <v>4767</v>
      </c>
      <c r="B1501" t="str">
        <f xml:space="preserve"> "" &amp; 747396620206</f>
        <v>747396620206</v>
      </c>
      <c r="C1501" t="s">
        <v>1577</v>
      </c>
      <c r="D1501" t="s">
        <v>6926</v>
      </c>
      <c r="E1501" t="s">
        <v>4768</v>
      </c>
      <c r="F1501" t="s">
        <v>2823</v>
      </c>
      <c r="G1501">
        <v>1</v>
      </c>
      <c r="H1501">
        <v>1</v>
      </c>
      <c r="I1501" t="s">
        <v>97</v>
      </c>
      <c r="J1501" s="10">
        <v>119</v>
      </c>
      <c r="K1501" s="10">
        <v>357</v>
      </c>
      <c r="L1501" s="10">
        <v>0</v>
      </c>
      <c r="N1501" s="10">
        <v>0</v>
      </c>
      <c r="O1501" t="s">
        <v>99</v>
      </c>
      <c r="P1501" s="10">
        <v>239.95</v>
      </c>
      <c r="S1501">
        <v>13</v>
      </c>
      <c r="U1501">
        <v>6.75</v>
      </c>
      <c r="V1501">
        <v>8</v>
      </c>
      <c r="W1501">
        <v>4.1900000000000004</v>
      </c>
      <c r="X1501">
        <v>1</v>
      </c>
      <c r="Y1501">
        <v>16</v>
      </c>
      <c r="Z1501">
        <v>10</v>
      </c>
      <c r="AA1501">
        <v>9</v>
      </c>
      <c r="AB1501">
        <v>0.83299999999999996</v>
      </c>
      <c r="AC1501">
        <v>5.73</v>
      </c>
      <c r="AE1501">
        <v>1</v>
      </c>
      <c r="AF1501" t="s">
        <v>308</v>
      </c>
      <c r="AG1501">
        <v>100</v>
      </c>
      <c r="AH1501">
        <v>0</v>
      </c>
      <c r="AK1501" t="s">
        <v>98</v>
      </c>
      <c r="AM1501" t="s">
        <v>98</v>
      </c>
      <c r="AN1501" t="s">
        <v>98</v>
      </c>
      <c r="AO1501" t="s">
        <v>99</v>
      </c>
      <c r="AP1501" t="s">
        <v>100</v>
      </c>
      <c r="AQ1501" t="s">
        <v>101</v>
      </c>
      <c r="AV1501" t="s">
        <v>98</v>
      </c>
      <c r="AX1501" t="s">
        <v>4276</v>
      </c>
      <c r="AZ1501" t="s">
        <v>124</v>
      </c>
      <c r="BB1501" t="s">
        <v>4934</v>
      </c>
      <c r="BC1501" t="s">
        <v>4964</v>
      </c>
      <c r="BD1501" t="s">
        <v>7528</v>
      </c>
      <c r="BF1501" t="s">
        <v>4769</v>
      </c>
      <c r="BG1501" t="s">
        <v>98</v>
      </c>
      <c r="BH1501" t="s">
        <v>98</v>
      </c>
      <c r="BI1501" t="s">
        <v>98</v>
      </c>
      <c r="BJ1501" t="s">
        <v>99</v>
      </c>
      <c r="BK1501" t="s">
        <v>453</v>
      </c>
      <c r="BL1501" t="s">
        <v>128</v>
      </c>
      <c r="BR1501">
        <v>7</v>
      </c>
      <c r="BT1501">
        <v>5.35</v>
      </c>
      <c r="CA1501">
        <v>8810</v>
      </c>
      <c r="CB1501" t="s">
        <v>4276</v>
      </c>
      <c r="CG1501">
        <v>0</v>
      </c>
      <c r="CL1501" t="s">
        <v>99</v>
      </c>
      <c r="CM1501" t="s">
        <v>98</v>
      </c>
      <c r="CN1501" t="s">
        <v>4770</v>
      </c>
      <c r="CO1501" s="1">
        <v>36650</v>
      </c>
      <c r="CP1501" s="1">
        <v>43633</v>
      </c>
    </row>
    <row r="1502" spans="1:94" x14ac:dyDescent="0.25">
      <c r="A1502" t="s">
        <v>4771</v>
      </c>
      <c r="B1502" t="str">
        <f xml:space="preserve"> "" &amp; 747396620213</f>
        <v>747396620213</v>
      </c>
      <c r="C1502" t="s">
        <v>1799</v>
      </c>
      <c r="D1502" t="s">
        <v>6927</v>
      </c>
      <c r="E1502" t="s">
        <v>4768</v>
      </c>
      <c r="F1502" t="s">
        <v>2823</v>
      </c>
      <c r="G1502">
        <v>1</v>
      </c>
      <c r="H1502">
        <v>1</v>
      </c>
      <c r="I1502" t="s">
        <v>97</v>
      </c>
      <c r="J1502" s="10">
        <v>239</v>
      </c>
      <c r="K1502" s="10">
        <v>717</v>
      </c>
      <c r="L1502" s="10">
        <v>0</v>
      </c>
      <c r="N1502" s="10">
        <v>0</v>
      </c>
      <c r="O1502" t="s">
        <v>99</v>
      </c>
      <c r="P1502" s="10">
        <v>479.95</v>
      </c>
      <c r="S1502">
        <v>22.5</v>
      </c>
      <c r="U1502">
        <v>9.75</v>
      </c>
      <c r="V1502">
        <v>11.75</v>
      </c>
      <c r="W1502">
        <v>9.26</v>
      </c>
      <c r="X1502">
        <v>1</v>
      </c>
      <c r="Y1502">
        <v>26.5</v>
      </c>
      <c r="Z1502">
        <v>14.75</v>
      </c>
      <c r="AA1502">
        <v>12.75</v>
      </c>
      <c r="AB1502">
        <v>2.8839999999999999</v>
      </c>
      <c r="AC1502">
        <v>13.01</v>
      </c>
      <c r="AE1502">
        <v>3</v>
      </c>
      <c r="AF1502" t="s">
        <v>308</v>
      </c>
      <c r="AG1502">
        <v>60</v>
      </c>
      <c r="AH1502">
        <v>0</v>
      </c>
      <c r="AK1502" t="s">
        <v>98</v>
      </c>
      <c r="AM1502" t="s">
        <v>98</v>
      </c>
      <c r="AN1502" t="s">
        <v>98</v>
      </c>
      <c r="AO1502" t="s">
        <v>99</v>
      </c>
      <c r="AP1502" t="s">
        <v>100</v>
      </c>
      <c r="AQ1502" t="s">
        <v>101</v>
      </c>
      <c r="AV1502" t="s">
        <v>98</v>
      </c>
      <c r="AX1502" t="s">
        <v>4276</v>
      </c>
      <c r="AZ1502" t="s">
        <v>124</v>
      </c>
      <c r="BB1502" t="s">
        <v>4934</v>
      </c>
      <c r="BC1502" t="s">
        <v>4964</v>
      </c>
      <c r="BD1502" t="s">
        <v>7528</v>
      </c>
      <c r="BF1502" t="s">
        <v>4772</v>
      </c>
      <c r="BG1502" t="s">
        <v>98</v>
      </c>
      <c r="BH1502" t="s">
        <v>98</v>
      </c>
      <c r="BI1502" t="s">
        <v>98</v>
      </c>
      <c r="BJ1502" t="s">
        <v>99</v>
      </c>
      <c r="BK1502" t="s">
        <v>453</v>
      </c>
      <c r="BL1502" t="s">
        <v>128</v>
      </c>
      <c r="BR1502">
        <v>7</v>
      </c>
      <c r="BT1502">
        <v>5.38</v>
      </c>
      <c r="CA1502">
        <v>8811</v>
      </c>
      <c r="CB1502" t="s">
        <v>4276</v>
      </c>
      <c r="CG1502">
        <v>0</v>
      </c>
      <c r="CL1502" t="s">
        <v>99</v>
      </c>
      <c r="CM1502" t="s">
        <v>98</v>
      </c>
      <c r="CN1502" t="s">
        <v>4770</v>
      </c>
      <c r="CO1502" s="1">
        <v>36650</v>
      </c>
      <c r="CP1502" s="1">
        <v>43633</v>
      </c>
    </row>
    <row r="1503" spans="1:94" x14ac:dyDescent="0.25">
      <c r="A1503" t="s">
        <v>4773</v>
      </c>
      <c r="B1503" t="str">
        <f xml:space="preserve"> "" &amp; 747396010250</f>
        <v>747396010250</v>
      </c>
      <c r="C1503" t="s">
        <v>1799</v>
      </c>
      <c r="D1503" t="s">
        <v>6927</v>
      </c>
      <c r="E1503" t="s">
        <v>4768</v>
      </c>
      <c r="F1503" t="s">
        <v>2823</v>
      </c>
      <c r="G1503">
        <v>1</v>
      </c>
      <c r="H1503">
        <v>1</v>
      </c>
      <c r="I1503" t="s">
        <v>97</v>
      </c>
      <c r="J1503" s="10">
        <v>269</v>
      </c>
      <c r="K1503" s="10">
        <v>807</v>
      </c>
      <c r="L1503" s="10">
        <v>0</v>
      </c>
      <c r="N1503" s="10">
        <v>0</v>
      </c>
      <c r="O1503" t="s">
        <v>99</v>
      </c>
      <c r="P1503" s="10">
        <v>539.95000000000005</v>
      </c>
      <c r="S1503">
        <v>22</v>
      </c>
      <c r="U1503">
        <v>9.75</v>
      </c>
      <c r="V1503">
        <v>11.5</v>
      </c>
      <c r="W1503">
        <v>9.48</v>
      </c>
      <c r="X1503">
        <v>1</v>
      </c>
      <c r="Y1503">
        <v>26</v>
      </c>
      <c r="Z1503">
        <v>14.5</v>
      </c>
      <c r="AA1503">
        <v>12.75</v>
      </c>
      <c r="AB1503">
        <v>2.782</v>
      </c>
      <c r="AC1503">
        <v>12.79</v>
      </c>
      <c r="AE1503">
        <v>3</v>
      </c>
      <c r="AF1503" t="s">
        <v>308</v>
      </c>
      <c r="AG1503">
        <v>60</v>
      </c>
      <c r="AH1503">
        <v>0</v>
      </c>
      <c r="AK1503" t="s">
        <v>98</v>
      </c>
      <c r="AM1503" t="s">
        <v>98</v>
      </c>
      <c r="AN1503" t="s">
        <v>98</v>
      </c>
      <c r="AO1503" t="s">
        <v>99</v>
      </c>
      <c r="AP1503" t="s">
        <v>100</v>
      </c>
      <c r="AQ1503" t="s">
        <v>101</v>
      </c>
      <c r="AV1503" t="s">
        <v>98</v>
      </c>
      <c r="AX1503" t="s">
        <v>4276</v>
      </c>
      <c r="AZ1503" t="s">
        <v>124</v>
      </c>
      <c r="BB1503" t="s">
        <v>4934</v>
      </c>
      <c r="BC1503" t="s">
        <v>4964</v>
      </c>
      <c r="BD1503" t="s">
        <v>7528</v>
      </c>
      <c r="BF1503" t="s">
        <v>4774</v>
      </c>
      <c r="BG1503" t="s">
        <v>98</v>
      </c>
      <c r="BH1503" t="s">
        <v>98</v>
      </c>
      <c r="BI1503" t="s">
        <v>98</v>
      </c>
      <c r="BJ1503" t="s">
        <v>99</v>
      </c>
      <c r="BK1503" t="s">
        <v>453</v>
      </c>
      <c r="BL1503" t="s">
        <v>236</v>
      </c>
      <c r="BR1503">
        <v>7</v>
      </c>
      <c r="BT1503">
        <v>5.38</v>
      </c>
      <c r="CA1503">
        <v>8815</v>
      </c>
      <c r="CB1503" t="s">
        <v>4276</v>
      </c>
      <c r="CG1503">
        <v>0</v>
      </c>
      <c r="CL1503" t="s">
        <v>99</v>
      </c>
      <c r="CM1503" t="s">
        <v>98</v>
      </c>
      <c r="CN1503" t="s">
        <v>4770</v>
      </c>
      <c r="CO1503" s="1">
        <v>36650</v>
      </c>
      <c r="CP1503" s="1">
        <v>43633</v>
      </c>
    </row>
    <row r="1504" spans="1:94" x14ac:dyDescent="0.25">
      <c r="A1504" t="s">
        <v>4775</v>
      </c>
      <c r="B1504" t="str">
        <f xml:space="preserve"> "" &amp; 747396010267</f>
        <v>747396010267</v>
      </c>
      <c r="C1504" t="s">
        <v>3677</v>
      </c>
      <c r="D1504" t="s">
        <v>6928</v>
      </c>
      <c r="E1504" t="s">
        <v>4768</v>
      </c>
      <c r="F1504" t="s">
        <v>2823</v>
      </c>
      <c r="G1504">
        <v>1</v>
      </c>
      <c r="H1504">
        <v>1</v>
      </c>
      <c r="I1504" t="s">
        <v>97</v>
      </c>
      <c r="J1504" s="10">
        <v>249</v>
      </c>
      <c r="K1504" s="10">
        <v>747</v>
      </c>
      <c r="L1504" s="10">
        <v>0</v>
      </c>
      <c r="N1504" s="10">
        <v>0</v>
      </c>
      <c r="O1504" t="s">
        <v>99</v>
      </c>
      <c r="P1504" s="10">
        <v>499.95</v>
      </c>
      <c r="S1504">
        <v>24</v>
      </c>
      <c r="U1504">
        <v>12</v>
      </c>
      <c r="W1504">
        <v>9.48</v>
      </c>
      <c r="X1504">
        <v>1</v>
      </c>
      <c r="Y1504">
        <v>29</v>
      </c>
      <c r="Z1504">
        <v>15</v>
      </c>
      <c r="AA1504">
        <v>15</v>
      </c>
      <c r="AB1504">
        <v>3.7759999999999998</v>
      </c>
      <c r="AC1504">
        <v>14.11</v>
      </c>
      <c r="AE1504">
        <v>4</v>
      </c>
      <c r="AF1504" t="s">
        <v>308</v>
      </c>
      <c r="AG1504">
        <v>60</v>
      </c>
      <c r="AH1504">
        <v>0</v>
      </c>
      <c r="AK1504" t="s">
        <v>98</v>
      </c>
      <c r="AM1504" t="s">
        <v>98</v>
      </c>
      <c r="AN1504" t="s">
        <v>98</v>
      </c>
      <c r="AO1504" t="s">
        <v>99</v>
      </c>
      <c r="AP1504" t="s">
        <v>100</v>
      </c>
      <c r="AQ1504" t="s">
        <v>101</v>
      </c>
      <c r="AV1504" t="s">
        <v>98</v>
      </c>
      <c r="AX1504" t="s">
        <v>4276</v>
      </c>
      <c r="AZ1504" t="s">
        <v>124</v>
      </c>
      <c r="BB1504" t="s">
        <v>4934</v>
      </c>
      <c r="BC1504" t="s">
        <v>4964</v>
      </c>
      <c r="BD1504" t="s">
        <v>7528</v>
      </c>
      <c r="BF1504" t="s">
        <v>4776</v>
      </c>
      <c r="BG1504" t="s">
        <v>98</v>
      </c>
      <c r="BH1504" t="s">
        <v>98</v>
      </c>
      <c r="BI1504" t="s">
        <v>98</v>
      </c>
      <c r="BJ1504" t="s">
        <v>99</v>
      </c>
      <c r="BK1504" t="s">
        <v>453</v>
      </c>
      <c r="BL1504" t="s">
        <v>7528</v>
      </c>
      <c r="BR1504">
        <v>0</v>
      </c>
      <c r="BT1504">
        <v>0</v>
      </c>
      <c r="CA1504">
        <v>8816</v>
      </c>
      <c r="CB1504" t="s">
        <v>4276</v>
      </c>
      <c r="CG1504">
        <v>0</v>
      </c>
      <c r="CL1504" t="s">
        <v>99</v>
      </c>
      <c r="CM1504" t="s">
        <v>98</v>
      </c>
      <c r="CN1504" t="s">
        <v>4770</v>
      </c>
      <c r="CO1504" s="1">
        <v>36650</v>
      </c>
      <c r="CP1504" s="1">
        <v>43633</v>
      </c>
    </row>
    <row r="1505" spans="1:94" x14ac:dyDescent="0.25">
      <c r="A1505" t="s">
        <v>4777</v>
      </c>
      <c r="B1505" t="str">
        <f xml:space="preserve"> "" &amp; 747396010274</f>
        <v>747396010274</v>
      </c>
      <c r="C1505" t="s">
        <v>1799</v>
      </c>
      <c r="D1505" t="s">
        <v>6926</v>
      </c>
      <c r="E1505" t="s">
        <v>4768</v>
      </c>
      <c r="F1505" t="s">
        <v>2823</v>
      </c>
      <c r="G1505">
        <v>1</v>
      </c>
      <c r="H1505">
        <v>1</v>
      </c>
      <c r="I1505" t="s">
        <v>97</v>
      </c>
      <c r="J1505" s="10">
        <v>129</v>
      </c>
      <c r="K1505" s="10">
        <v>387</v>
      </c>
      <c r="L1505" s="10">
        <v>0</v>
      </c>
      <c r="N1505" s="10">
        <v>0</v>
      </c>
      <c r="O1505" t="s">
        <v>99</v>
      </c>
      <c r="P1505" s="10">
        <v>259.95</v>
      </c>
      <c r="S1505">
        <v>16.75</v>
      </c>
      <c r="U1505">
        <v>6.75</v>
      </c>
      <c r="V1505">
        <v>9.5</v>
      </c>
      <c r="W1505">
        <v>4.8499999999999996</v>
      </c>
      <c r="X1505">
        <v>1</v>
      </c>
      <c r="Y1505">
        <v>19.5</v>
      </c>
      <c r="Z1505">
        <v>11.25</v>
      </c>
      <c r="AA1505">
        <v>8.625</v>
      </c>
      <c r="AB1505">
        <v>1.095</v>
      </c>
      <c r="AC1505">
        <v>6.83</v>
      </c>
      <c r="AE1505">
        <v>1</v>
      </c>
      <c r="AF1505" t="s">
        <v>233</v>
      </c>
      <c r="AG1505">
        <v>100</v>
      </c>
      <c r="AH1505">
        <v>0</v>
      </c>
      <c r="AK1505" t="s">
        <v>98</v>
      </c>
      <c r="AM1505" t="s">
        <v>98</v>
      </c>
      <c r="AN1505" t="s">
        <v>98</v>
      </c>
      <c r="AO1505" t="s">
        <v>99</v>
      </c>
      <c r="AP1505" t="s">
        <v>100</v>
      </c>
      <c r="AQ1505" t="s">
        <v>101</v>
      </c>
      <c r="AV1505" t="s">
        <v>98</v>
      </c>
      <c r="AX1505" t="s">
        <v>4276</v>
      </c>
      <c r="AZ1505" t="s">
        <v>124</v>
      </c>
      <c r="BB1505" t="s">
        <v>4934</v>
      </c>
      <c r="BC1505" t="s">
        <v>4964</v>
      </c>
      <c r="BD1505" t="s">
        <v>7528</v>
      </c>
      <c r="BF1505" t="s">
        <v>4778</v>
      </c>
      <c r="BG1505" t="s">
        <v>98</v>
      </c>
      <c r="BH1505" t="s">
        <v>98</v>
      </c>
      <c r="BI1505" t="s">
        <v>98</v>
      </c>
      <c r="BJ1505" t="s">
        <v>99</v>
      </c>
      <c r="BK1505" t="s">
        <v>453</v>
      </c>
      <c r="BL1505" t="s">
        <v>128</v>
      </c>
      <c r="BR1505">
        <v>7</v>
      </c>
      <c r="BT1505">
        <v>5.38</v>
      </c>
      <c r="CA1505">
        <v>8817</v>
      </c>
      <c r="CB1505" t="s">
        <v>4276</v>
      </c>
      <c r="CG1505">
        <v>0</v>
      </c>
      <c r="CL1505" t="s">
        <v>99</v>
      </c>
      <c r="CM1505" t="s">
        <v>98</v>
      </c>
      <c r="CN1505" t="s">
        <v>4779</v>
      </c>
      <c r="CO1505" s="1">
        <v>36732</v>
      </c>
      <c r="CP1505" s="1">
        <v>43633</v>
      </c>
    </row>
    <row r="1506" spans="1:94" x14ac:dyDescent="0.25">
      <c r="A1506" t="s">
        <v>4780</v>
      </c>
      <c r="B1506" t="str">
        <f xml:space="preserve"> "" &amp; 747396010496</f>
        <v>747396010496</v>
      </c>
      <c r="C1506" t="s">
        <v>1577</v>
      </c>
      <c r="D1506" t="s">
        <v>6929</v>
      </c>
      <c r="E1506" t="s">
        <v>4781</v>
      </c>
      <c r="F1506" t="s">
        <v>2823</v>
      </c>
      <c r="G1506">
        <v>1</v>
      </c>
      <c r="H1506">
        <v>1</v>
      </c>
      <c r="I1506" t="s">
        <v>97</v>
      </c>
      <c r="J1506" s="10">
        <v>72</v>
      </c>
      <c r="K1506" s="10">
        <v>216</v>
      </c>
      <c r="L1506" s="10">
        <v>0</v>
      </c>
      <c r="N1506" s="10">
        <v>0</v>
      </c>
      <c r="O1506" t="s">
        <v>99</v>
      </c>
      <c r="P1506" s="10">
        <v>144.94999999999999</v>
      </c>
      <c r="S1506">
        <v>17.5</v>
      </c>
      <c r="U1506">
        <v>7.5</v>
      </c>
      <c r="V1506">
        <v>9.25</v>
      </c>
      <c r="W1506">
        <v>3.65</v>
      </c>
      <c r="X1506">
        <v>1</v>
      </c>
      <c r="Y1506">
        <v>20</v>
      </c>
      <c r="Z1506">
        <v>11.38</v>
      </c>
      <c r="AA1506">
        <v>9.5</v>
      </c>
      <c r="AB1506">
        <v>1.2509999999999999</v>
      </c>
      <c r="AC1506">
        <v>6.7</v>
      </c>
      <c r="AE1506">
        <v>1</v>
      </c>
      <c r="AF1506" t="s">
        <v>233</v>
      </c>
      <c r="AG1506">
        <v>100</v>
      </c>
      <c r="AH1506">
        <v>0</v>
      </c>
      <c r="AK1506" t="s">
        <v>98</v>
      </c>
      <c r="AM1506" t="s">
        <v>98</v>
      </c>
      <c r="AN1506" t="s">
        <v>99</v>
      </c>
      <c r="AO1506" t="s">
        <v>98</v>
      </c>
      <c r="AP1506" t="s">
        <v>100</v>
      </c>
      <c r="AQ1506" t="s">
        <v>101</v>
      </c>
      <c r="AV1506" t="s">
        <v>98</v>
      </c>
      <c r="AX1506" t="s">
        <v>4233</v>
      </c>
      <c r="AZ1506" t="s">
        <v>124</v>
      </c>
      <c r="BB1506" t="s">
        <v>5833</v>
      </c>
      <c r="BC1506" t="s">
        <v>4964</v>
      </c>
      <c r="BD1506" t="s">
        <v>7528</v>
      </c>
      <c r="BF1506" t="s">
        <v>4782</v>
      </c>
      <c r="BG1506" t="s">
        <v>98</v>
      </c>
      <c r="BH1506" t="s">
        <v>98</v>
      </c>
      <c r="BI1506" t="s">
        <v>98</v>
      </c>
      <c r="BJ1506" t="s">
        <v>99</v>
      </c>
      <c r="BK1506" t="s">
        <v>453</v>
      </c>
      <c r="BL1506" t="s">
        <v>236</v>
      </c>
      <c r="BR1506">
        <v>8.1300000000000008</v>
      </c>
      <c r="BT1506">
        <v>5</v>
      </c>
      <c r="CA1506">
        <v>8840</v>
      </c>
      <c r="CB1506" t="s">
        <v>4233</v>
      </c>
      <c r="CG1506">
        <v>0</v>
      </c>
      <c r="CL1506" t="s">
        <v>99</v>
      </c>
      <c r="CM1506" t="s">
        <v>98</v>
      </c>
      <c r="CN1506" t="s">
        <v>3218</v>
      </c>
      <c r="CO1506" s="1">
        <v>36653</v>
      </c>
      <c r="CP1506" s="1">
        <v>43633</v>
      </c>
    </row>
    <row r="1507" spans="1:94" x14ac:dyDescent="0.25">
      <c r="A1507" t="s">
        <v>4783</v>
      </c>
      <c r="B1507" t="str">
        <f xml:space="preserve"> "" &amp; 747396010502</f>
        <v>747396010502</v>
      </c>
      <c r="C1507" t="s">
        <v>1550</v>
      </c>
      <c r="D1507" t="s">
        <v>6930</v>
      </c>
      <c r="E1507" t="s">
        <v>4781</v>
      </c>
      <c r="F1507" t="s">
        <v>2823</v>
      </c>
      <c r="G1507">
        <v>1</v>
      </c>
      <c r="H1507">
        <v>1</v>
      </c>
      <c r="I1507" t="s">
        <v>97</v>
      </c>
      <c r="J1507" s="10">
        <v>102</v>
      </c>
      <c r="K1507" s="10">
        <v>306</v>
      </c>
      <c r="L1507" s="10">
        <v>0</v>
      </c>
      <c r="N1507" s="10">
        <v>0</v>
      </c>
      <c r="O1507" t="s">
        <v>99</v>
      </c>
      <c r="P1507" s="10">
        <v>204.95</v>
      </c>
      <c r="S1507">
        <v>26</v>
      </c>
      <c r="U1507">
        <v>9.75</v>
      </c>
      <c r="V1507">
        <v>11</v>
      </c>
      <c r="W1507">
        <v>6.75</v>
      </c>
      <c r="X1507">
        <v>1</v>
      </c>
      <c r="Y1507">
        <v>22</v>
      </c>
      <c r="Z1507">
        <v>13</v>
      </c>
      <c r="AA1507">
        <v>11.63</v>
      </c>
      <c r="AB1507">
        <v>1.925</v>
      </c>
      <c r="AC1507">
        <v>10.119999999999999</v>
      </c>
      <c r="AE1507">
        <v>2</v>
      </c>
      <c r="AF1507" t="s">
        <v>308</v>
      </c>
      <c r="AG1507">
        <v>60</v>
      </c>
      <c r="AH1507">
        <v>0</v>
      </c>
      <c r="AK1507" t="s">
        <v>98</v>
      </c>
      <c r="AM1507" t="s">
        <v>98</v>
      </c>
      <c r="AN1507" t="s">
        <v>99</v>
      </c>
      <c r="AO1507" t="s">
        <v>98</v>
      </c>
      <c r="AP1507" t="s">
        <v>100</v>
      </c>
      <c r="AQ1507" t="s">
        <v>101</v>
      </c>
      <c r="AV1507" t="s">
        <v>98</v>
      </c>
      <c r="AX1507" t="s">
        <v>4233</v>
      </c>
      <c r="AZ1507" t="s">
        <v>124</v>
      </c>
      <c r="BB1507" t="s">
        <v>5833</v>
      </c>
      <c r="BC1507" t="s">
        <v>4964</v>
      </c>
      <c r="BD1507" t="s">
        <v>7528</v>
      </c>
      <c r="BF1507" t="s">
        <v>4784</v>
      </c>
      <c r="BG1507" t="s">
        <v>98</v>
      </c>
      <c r="BH1507" t="s">
        <v>98</v>
      </c>
      <c r="BI1507" t="s">
        <v>98</v>
      </c>
      <c r="BJ1507" t="s">
        <v>99</v>
      </c>
      <c r="BK1507" t="s">
        <v>453</v>
      </c>
      <c r="BL1507" t="s">
        <v>236</v>
      </c>
      <c r="BR1507">
        <v>9.6300000000000008</v>
      </c>
      <c r="BT1507">
        <v>5</v>
      </c>
      <c r="CA1507">
        <v>8841</v>
      </c>
      <c r="CB1507" t="s">
        <v>4233</v>
      </c>
      <c r="CG1507">
        <v>0</v>
      </c>
      <c r="CL1507" t="s">
        <v>99</v>
      </c>
      <c r="CM1507" t="s">
        <v>98</v>
      </c>
      <c r="CN1507" t="s">
        <v>3218</v>
      </c>
      <c r="CO1507" s="1">
        <v>36653</v>
      </c>
      <c r="CP1507" s="1">
        <v>43633</v>
      </c>
    </row>
    <row r="1508" spans="1:94" x14ac:dyDescent="0.25">
      <c r="A1508" t="s">
        <v>4785</v>
      </c>
      <c r="B1508" t="str">
        <f xml:space="preserve"> "" &amp; 747396025704</f>
        <v>747396025704</v>
      </c>
      <c r="C1508" t="s">
        <v>447</v>
      </c>
      <c r="D1508" t="s">
        <v>6931</v>
      </c>
      <c r="E1508" t="s">
        <v>4781</v>
      </c>
      <c r="F1508" t="s">
        <v>2823</v>
      </c>
      <c r="G1508">
        <v>1</v>
      </c>
      <c r="H1508">
        <v>1</v>
      </c>
      <c r="I1508" t="s">
        <v>97</v>
      </c>
      <c r="J1508" s="10">
        <v>52</v>
      </c>
      <c r="K1508" s="10">
        <v>156</v>
      </c>
      <c r="L1508" s="10">
        <v>0</v>
      </c>
      <c r="N1508" s="10">
        <v>0</v>
      </c>
      <c r="O1508" t="s">
        <v>99</v>
      </c>
      <c r="P1508" s="10">
        <v>104.95</v>
      </c>
      <c r="S1508">
        <v>17.5</v>
      </c>
      <c r="U1508">
        <v>7.5</v>
      </c>
      <c r="W1508">
        <v>2.76</v>
      </c>
      <c r="X1508">
        <v>1</v>
      </c>
      <c r="Y1508">
        <v>17</v>
      </c>
      <c r="Z1508">
        <v>8.5</v>
      </c>
      <c r="AA1508">
        <v>8.5</v>
      </c>
      <c r="AB1508">
        <v>0.71099999999999997</v>
      </c>
      <c r="AC1508">
        <v>4.63</v>
      </c>
      <c r="AE1508">
        <v>1</v>
      </c>
      <c r="AF1508" t="s">
        <v>233</v>
      </c>
      <c r="AG1508">
        <v>100</v>
      </c>
      <c r="AH1508">
        <v>0</v>
      </c>
      <c r="AK1508" t="s">
        <v>98</v>
      </c>
      <c r="AM1508" t="s">
        <v>98</v>
      </c>
      <c r="AN1508" t="s">
        <v>99</v>
      </c>
      <c r="AO1508" t="s">
        <v>98</v>
      </c>
      <c r="AP1508" t="s">
        <v>100</v>
      </c>
      <c r="AQ1508" t="s">
        <v>101</v>
      </c>
      <c r="AV1508" t="s">
        <v>98</v>
      </c>
      <c r="AX1508" t="s">
        <v>4233</v>
      </c>
      <c r="AZ1508" t="s">
        <v>124</v>
      </c>
      <c r="BB1508" t="s">
        <v>5833</v>
      </c>
      <c r="BC1508" t="s">
        <v>4964</v>
      </c>
      <c r="BD1508" t="s">
        <v>7528</v>
      </c>
      <c r="BF1508" t="s">
        <v>4786</v>
      </c>
      <c r="BG1508" t="s">
        <v>98</v>
      </c>
      <c r="BH1508" t="s">
        <v>98</v>
      </c>
      <c r="BI1508" t="s">
        <v>98</v>
      </c>
      <c r="BJ1508" t="s">
        <v>99</v>
      </c>
      <c r="BK1508" t="s">
        <v>453</v>
      </c>
      <c r="BL1508" t="s">
        <v>7528</v>
      </c>
      <c r="BR1508">
        <v>0</v>
      </c>
      <c r="BT1508">
        <v>0</v>
      </c>
      <c r="CA1508">
        <v>8845</v>
      </c>
      <c r="CB1508" t="s">
        <v>4233</v>
      </c>
      <c r="CG1508">
        <v>0</v>
      </c>
      <c r="CL1508" t="s">
        <v>99</v>
      </c>
      <c r="CM1508" t="s">
        <v>98</v>
      </c>
      <c r="CN1508" t="s">
        <v>3218</v>
      </c>
      <c r="CO1508" s="1">
        <v>37557</v>
      </c>
      <c r="CP1508" s="1">
        <v>43633</v>
      </c>
    </row>
    <row r="1509" spans="1:94" x14ac:dyDescent="0.25">
      <c r="A1509" t="s">
        <v>4787</v>
      </c>
      <c r="B1509" t="str">
        <f xml:space="preserve"> "" &amp; 747396010540</f>
        <v>747396010540</v>
      </c>
      <c r="C1509" t="s">
        <v>3403</v>
      </c>
      <c r="D1509" t="s">
        <v>6932</v>
      </c>
      <c r="E1509" t="s">
        <v>4781</v>
      </c>
      <c r="F1509" t="s">
        <v>2823</v>
      </c>
      <c r="G1509">
        <v>1</v>
      </c>
      <c r="H1509">
        <v>1</v>
      </c>
      <c r="I1509" t="s">
        <v>97</v>
      </c>
      <c r="J1509" s="10">
        <v>165</v>
      </c>
      <c r="K1509" s="10">
        <v>495</v>
      </c>
      <c r="L1509" s="10">
        <v>0</v>
      </c>
      <c r="N1509" s="10">
        <v>0</v>
      </c>
      <c r="O1509" t="s">
        <v>99</v>
      </c>
      <c r="P1509" s="10">
        <v>329.95</v>
      </c>
      <c r="S1509">
        <v>28.75</v>
      </c>
      <c r="T1509">
        <v>12.25</v>
      </c>
      <c r="U1509">
        <v>12.25</v>
      </c>
      <c r="W1509">
        <v>7.28</v>
      </c>
      <c r="X1509">
        <v>1</v>
      </c>
      <c r="Y1509">
        <v>28.38</v>
      </c>
      <c r="Z1509">
        <v>14.63</v>
      </c>
      <c r="AA1509">
        <v>14.63</v>
      </c>
      <c r="AB1509">
        <v>3.5150000000000001</v>
      </c>
      <c r="AC1509">
        <v>10.47</v>
      </c>
      <c r="AE1509">
        <v>3</v>
      </c>
      <c r="AF1509" t="s">
        <v>308</v>
      </c>
      <c r="AG1509">
        <v>60</v>
      </c>
      <c r="AH1509">
        <v>0</v>
      </c>
      <c r="AK1509" t="s">
        <v>98</v>
      </c>
      <c r="AM1509" t="s">
        <v>98</v>
      </c>
      <c r="AN1509" t="s">
        <v>99</v>
      </c>
      <c r="AO1509" t="s">
        <v>98</v>
      </c>
      <c r="AP1509" t="s">
        <v>100</v>
      </c>
      <c r="AQ1509" t="s">
        <v>101</v>
      </c>
      <c r="AV1509" t="s">
        <v>98</v>
      </c>
      <c r="AX1509" t="s">
        <v>4233</v>
      </c>
      <c r="AZ1509" t="s">
        <v>124</v>
      </c>
      <c r="BB1509" t="s">
        <v>5833</v>
      </c>
      <c r="BC1509" t="s">
        <v>4788</v>
      </c>
      <c r="BD1509" t="s">
        <v>7528</v>
      </c>
      <c r="BF1509" t="s">
        <v>4789</v>
      </c>
      <c r="BG1509" t="s">
        <v>98</v>
      </c>
      <c r="BH1509" t="s">
        <v>98</v>
      </c>
      <c r="BI1509" t="s">
        <v>98</v>
      </c>
      <c r="BJ1509" t="s">
        <v>99</v>
      </c>
      <c r="BK1509" t="s">
        <v>453</v>
      </c>
      <c r="BL1509" t="s">
        <v>7528</v>
      </c>
      <c r="BR1509">
        <v>0</v>
      </c>
      <c r="BT1509">
        <v>0</v>
      </c>
      <c r="CA1509">
        <v>8846</v>
      </c>
      <c r="CB1509" t="s">
        <v>4233</v>
      </c>
      <c r="CG1509">
        <v>0</v>
      </c>
      <c r="CL1509" t="s">
        <v>99</v>
      </c>
      <c r="CM1509" t="s">
        <v>98</v>
      </c>
      <c r="CN1509" t="s">
        <v>3218</v>
      </c>
      <c r="CO1509" s="1">
        <v>36653</v>
      </c>
      <c r="CP1509" s="1">
        <v>43633</v>
      </c>
    </row>
    <row r="1510" spans="1:94" x14ac:dyDescent="0.25">
      <c r="A1510" t="s">
        <v>4790</v>
      </c>
      <c r="B1510" t="str">
        <f xml:space="preserve"> "" &amp; 747396010557</f>
        <v>747396010557</v>
      </c>
      <c r="C1510" t="s">
        <v>1577</v>
      </c>
      <c r="D1510" t="s">
        <v>6929</v>
      </c>
      <c r="E1510" t="s">
        <v>4781</v>
      </c>
      <c r="F1510" t="s">
        <v>2823</v>
      </c>
      <c r="G1510">
        <v>1</v>
      </c>
      <c r="H1510">
        <v>1</v>
      </c>
      <c r="I1510" t="s">
        <v>97</v>
      </c>
      <c r="J1510" s="10">
        <v>66.95</v>
      </c>
      <c r="K1510" s="10">
        <v>200.85</v>
      </c>
      <c r="L1510" s="10">
        <v>0</v>
      </c>
      <c r="N1510" s="10">
        <v>0</v>
      </c>
      <c r="O1510" t="s">
        <v>99</v>
      </c>
      <c r="P1510" s="10">
        <v>133.9</v>
      </c>
      <c r="S1510">
        <v>17.25</v>
      </c>
      <c r="T1510">
        <v>7.75</v>
      </c>
      <c r="U1510">
        <v>7.75</v>
      </c>
      <c r="V1510">
        <v>9.25</v>
      </c>
      <c r="W1510">
        <v>3.22</v>
      </c>
      <c r="X1510">
        <v>1</v>
      </c>
      <c r="Y1510">
        <v>18</v>
      </c>
      <c r="Z1510">
        <v>11.5</v>
      </c>
      <c r="AA1510">
        <v>9.5</v>
      </c>
      <c r="AB1510">
        <v>1.1379999999999999</v>
      </c>
      <c r="AC1510">
        <v>5.18</v>
      </c>
      <c r="AE1510">
        <v>1</v>
      </c>
      <c r="AF1510" t="s">
        <v>662</v>
      </c>
      <c r="AG1510">
        <v>100</v>
      </c>
      <c r="AH1510">
        <v>0</v>
      </c>
      <c r="AK1510" t="s">
        <v>98</v>
      </c>
      <c r="AM1510" t="s">
        <v>98</v>
      </c>
      <c r="AN1510" t="s">
        <v>99</v>
      </c>
      <c r="AO1510" t="s">
        <v>98</v>
      </c>
      <c r="AP1510" t="s">
        <v>100</v>
      </c>
      <c r="AQ1510" t="s">
        <v>101</v>
      </c>
      <c r="AV1510" t="s">
        <v>98</v>
      </c>
      <c r="AX1510" t="s">
        <v>4233</v>
      </c>
      <c r="AZ1510" t="s">
        <v>124</v>
      </c>
      <c r="BB1510" t="s">
        <v>5833</v>
      </c>
      <c r="BC1510" t="s">
        <v>4964</v>
      </c>
      <c r="BD1510" t="s">
        <v>7528</v>
      </c>
      <c r="BF1510" t="s">
        <v>4791</v>
      </c>
      <c r="BG1510" t="s">
        <v>98</v>
      </c>
      <c r="BH1510" t="s">
        <v>98</v>
      </c>
      <c r="BI1510" t="s">
        <v>98</v>
      </c>
      <c r="BJ1510" t="s">
        <v>99</v>
      </c>
      <c r="BK1510" t="s">
        <v>453</v>
      </c>
      <c r="BL1510" t="s">
        <v>128</v>
      </c>
      <c r="BM1510">
        <v>5</v>
      </c>
      <c r="BN1510">
        <v>8.1300000000000008</v>
      </c>
      <c r="CA1510">
        <v>8847</v>
      </c>
      <c r="CB1510" t="s">
        <v>4233</v>
      </c>
      <c r="CL1510" t="s">
        <v>99</v>
      </c>
      <c r="CM1510" t="s">
        <v>98</v>
      </c>
      <c r="CN1510" t="s">
        <v>3218</v>
      </c>
      <c r="CO1510" s="1">
        <v>36653</v>
      </c>
      <c r="CP1510" s="1">
        <v>43633</v>
      </c>
    </row>
    <row r="1511" spans="1:94" x14ac:dyDescent="0.25">
      <c r="A1511" t="s">
        <v>4792</v>
      </c>
      <c r="B1511" t="str">
        <f xml:space="preserve"> "" &amp; 747396101736</f>
        <v>747396101736</v>
      </c>
      <c r="C1511" t="s">
        <v>4793</v>
      </c>
      <c r="D1511" t="s">
        <v>6933</v>
      </c>
      <c r="E1511" t="s">
        <v>4781</v>
      </c>
      <c r="F1511" t="s">
        <v>2823</v>
      </c>
      <c r="G1511">
        <v>1</v>
      </c>
      <c r="H1511">
        <v>1</v>
      </c>
      <c r="I1511" t="s">
        <v>97</v>
      </c>
      <c r="J1511" s="10">
        <v>99</v>
      </c>
      <c r="K1511" s="10">
        <v>297</v>
      </c>
      <c r="L1511" s="10">
        <v>0</v>
      </c>
      <c r="N1511" s="10">
        <v>0</v>
      </c>
      <c r="S1511">
        <v>31.5</v>
      </c>
      <c r="U1511">
        <v>12.25</v>
      </c>
      <c r="W1511">
        <v>10.45</v>
      </c>
      <c r="X1511">
        <v>1</v>
      </c>
      <c r="Y1511">
        <v>24.75</v>
      </c>
      <c r="Z1511">
        <v>15</v>
      </c>
      <c r="AA1511">
        <v>15</v>
      </c>
      <c r="AB1511">
        <v>3.2229999999999999</v>
      </c>
      <c r="AC1511">
        <v>14.48</v>
      </c>
      <c r="AE1511">
        <v>3</v>
      </c>
      <c r="AF1511" t="s">
        <v>4794</v>
      </c>
      <c r="AG1511">
        <v>60</v>
      </c>
      <c r="AK1511" t="s">
        <v>98</v>
      </c>
      <c r="AM1511" t="s">
        <v>98</v>
      </c>
      <c r="AN1511" t="s">
        <v>99</v>
      </c>
      <c r="AO1511" t="s">
        <v>98</v>
      </c>
      <c r="AP1511" t="s">
        <v>100</v>
      </c>
      <c r="AQ1511" t="s">
        <v>101</v>
      </c>
      <c r="AV1511" t="s">
        <v>98</v>
      </c>
      <c r="AX1511" t="s">
        <v>4233</v>
      </c>
      <c r="AZ1511" t="s">
        <v>124</v>
      </c>
      <c r="BB1511" t="s">
        <v>235</v>
      </c>
      <c r="BC1511" t="s">
        <v>746</v>
      </c>
      <c r="BD1511" t="s">
        <v>7528</v>
      </c>
      <c r="BF1511" t="s">
        <v>4795</v>
      </c>
      <c r="BG1511" t="s">
        <v>98</v>
      </c>
      <c r="BH1511" t="s">
        <v>98</v>
      </c>
      <c r="BI1511" t="s">
        <v>98</v>
      </c>
      <c r="BK1511" t="s">
        <v>127</v>
      </c>
      <c r="BL1511" t="s">
        <v>7528</v>
      </c>
      <c r="BR1511">
        <v>0.88</v>
      </c>
      <c r="BS1511">
        <v>5.13</v>
      </c>
      <c r="BT1511">
        <v>5.13</v>
      </c>
      <c r="CA1511">
        <v>8848</v>
      </c>
      <c r="CB1511" t="s">
        <v>4233</v>
      </c>
      <c r="CL1511" t="s">
        <v>99</v>
      </c>
      <c r="CM1511" t="s">
        <v>99</v>
      </c>
      <c r="CN1511" t="s">
        <v>4796</v>
      </c>
      <c r="CO1511" s="1">
        <v>43216</v>
      </c>
      <c r="CP1511" s="1">
        <v>43633</v>
      </c>
    </row>
    <row r="1512" spans="1:94" x14ac:dyDescent="0.25">
      <c r="A1512" t="s">
        <v>4797</v>
      </c>
      <c r="B1512" t="str">
        <f xml:space="preserve"> "" &amp; 747396080246</f>
        <v>747396080246</v>
      </c>
      <c r="C1512" t="s">
        <v>1577</v>
      </c>
      <c r="D1512" t="s">
        <v>6934</v>
      </c>
      <c r="E1512" t="s">
        <v>4798</v>
      </c>
      <c r="F1512" t="s">
        <v>2823</v>
      </c>
      <c r="G1512">
        <v>1</v>
      </c>
      <c r="H1512">
        <v>1</v>
      </c>
      <c r="I1512" t="s">
        <v>97</v>
      </c>
      <c r="J1512" s="10">
        <v>119</v>
      </c>
      <c r="K1512" s="10">
        <v>357</v>
      </c>
      <c r="L1512" s="10">
        <v>0</v>
      </c>
      <c r="N1512" s="10">
        <v>0</v>
      </c>
      <c r="O1512" t="s">
        <v>99</v>
      </c>
      <c r="P1512" s="10">
        <v>239.95</v>
      </c>
      <c r="S1512">
        <v>16</v>
      </c>
      <c r="U1512">
        <v>7.75</v>
      </c>
      <c r="V1512">
        <v>10</v>
      </c>
      <c r="W1512">
        <v>4.63</v>
      </c>
      <c r="X1512">
        <v>1</v>
      </c>
      <c r="Y1512">
        <v>18.5</v>
      </c>
      <c r="Z1512">
        <v>12</v>
      </c>
      <c r="AA1512">
        <v>10</v>
      </c>
      <c r="AB1512">
        <v>1.2849999999999999</v>
      </c>
      <c r="AC1512">
        <v>6.08</v>
      </c>
      <c r="AE1512">
        <v>1</v>
      </c>
      <c r="AF1512" t="s">
        <v>233</v>
      </c>
      <c r="AG1512">
        <v>100</v>
      </c>
      <c r="AK1512" t="s">
        <v>98</v>
      </c>
      <c r="AM1512" t="s">
        <v>98</v>
      </c>
      <c r="AN1512" t="s">
        <v>99</v>
      </c>
      <c r="AO1512" t="s">
        <v>98</v>
      </c>
      <c r="AP1512" t="s">
        <v>100</v>
      </c>
      <c r="AQ1512" t="s">
        <v>101</v>
      </c>
      <c r="AV1512" t="s">
        <v>98</v>
      </c>
      <c r="AX1512" t="s">
        <v>4268</v>
      </c>
      <c r="AZ1512" t="s">
        <v>124</v>
      </c>
      <c r="BB1512" t="s">
        <v>4917</v>
      </c>
      <c r="BC1512" t="s">
        <v>4799</v>
      </c>
      <c r="BD1512" t="s">
        <v>7528</v>
      </c>
      <c r="BF1512" t="s">
        <v>4800</v>
      </c>
      <c r="BG1512" t="s">
        <v>98</v>
      </c>
      <c r="BH1512" t="s">
        <v>98</v>
      </c>
      <c r="BI1512" t="s">
        <v>98</v>
      </c>
      <c r="BJ1512" t="s">
        <v>99</v>
      </c>
      <c r="BK1512" t="s">
        <v>453</v>
      </c>
      <c r="BL1512" t="s">
        <v>128</v>
      </c>
      <c r="BM1512">
        <v>5.5</v>
      </c>
      <c r="BN1512">
        <v>10</v>
      </c>
      <c r="CA1512">
        <v>8880</v>
      </c>
      <c r="CB1512" t="s">
        <v>4268</v>
      </c>
      <c r="CL1512" t="s">
        <v>99</v>
      </c>
      <c r="CM1512" t="s">
        <v>98</v>
      </c>
      <c r="CN1512" t="s">
        <v>3198</v>
      </c>
      <c r="CO1512" s="1">
        <v>40709</v>
      </c>
      <c r="CP1512" s="1">
        <v>43633</v>
      </c>
    </row>
    <row r="1513" spans="1:94" x14ac:dyDescent="0.25">
      <c r="A1513" t="s">
        <v>4801</v>
      </c>
      <c r="B1513" t="str">
        <f xml:space="preserve"> "" &amp; 747396080260</f>
        <v>747396080260</v>
      </c>
      <c r="C1513" t="s">
        <v>1577</v>
      </c>
      <c r="D1513" t="s">
        <v>6934</v>
      </c>
      <c r="E1513" t="s">
        <v>4798</v>
      </c>
      <c r="F1513" t="s">
        <v>2823</v>
      </c>
      <c r="G1513">
        <v>1</v>
      </c>
      <c r="H1513">
        <v>1</v>
      </c>
      <c r="I1513" t="s">
        <v>97</v>
      </c>
      <c r="J1513" s="10">
        <v>119</v>
      </c>
      <c r="K1513" s="10">
        <v>357</v>
      </c>
      <c r="L1513" s="10">
        <v>0</v>
      </c>
      <c r="N1513" s="10">
        <v>0</v>
      </c>
      <c r="O1513" t="s">
        <v>99</v>
      </c>
      <c r="P1513" s="10">
        <v>239.95</v>
      </c>
      <c r="S1513">
        <v>16</v>
      </c>
      <c r="U1513">
        <v>7.5</v>
      </c>
      <c r="V1513">
        <v>9.25</v>
      </c>
      <c r="W1513">
        <v>4.8099999999999996</v>
      </c>
      <c r="X1513">
        <v>1</v>
      </c>
      <c r="Y1513">
        <v>18.5</v>
      </c>
      <c r="Z1513">
        <v>12</v>
      </c>
      <c r="AA1513">
        <v>10</v>
      </c>
      <c r="AB1513">
        <v>1.2849999999999999</v>
      </c>
      <c r="AC1513">
        <v>6.39</v>
      </c>
      <c r="AE1513">
        <v>1</v>
      </c>
      <c r="AF1513" t="s">
        <v>233</v>
      </c>
      <c r="AG1513">
        <v>100</v>
      </c>
      <c r="AK1513" t="s">
        <v>98</v>
      </c>
      <c r="AM1513" t="s">
        <v>98</v>
      </c>
      <c r="AN1513" t="s">
        <v>99</v>
      </c>
      <c r="AO1513" t="s">
        <v>98</v>
      </c>
      <c r="AP1513" t="s">
        <v>100</v>
      </c>
      <c r="AQ1513" t="s">
        <v>101</v>
      </c>
      <c r="AV1513" t="s">
        <v>98</v>
      </c>
      <c r="AX1513" t="s">
        <v>4226</v>
      </c>
      <c r="AZ1513" t="s">
        <v>124</v>
      </c>
      <c r="BB1513" t="s">
        <v>4917</v>
      </c>
      <c r="BC1513" t="s">
        <v>7624</v>
      </c>
      <c r="BD1513" t="s">
        <v>7528</v>
      </c>
      <c r="BF1513" t="s">
        <v>4802</v>
      </c>
      <c r="BG1513" t="s">
        <v>98</v>
      </c>
      <c r="BH1513" t="s">
        <v>98</v>
      </c>
      <c r="BI1513" t="s">
        <v>98</v>
      </c>
      <c r="BJ1513" t="s">
        <v>99</v>
      </c>
      <c r="BK1513" t="s">
        <v>453</v>
      </c>
      <c r="BL1513" t="s">
        <v>128</v>
      </c>
      <c r="BR1513">
        <v>10</v>
      </c>
      <c r="BT1513">
        <v>5.5</v>
      </c>
      <c r="CA1513">
        <v>8880</v>
      </c>
      <c r="CB1513" t="s">
        <v>4226</v>
      </c>
      <c r="CG1513">
        <v>0</v>
      </c>
      <c r="CL1513" t="s">
        <v>99</v>
      </c>
      <c r="CM1513" t="s">
        <v>98</v>
      </c>
      <c r="CN1513" t="s">
        <v>3198</v>
      </c>
      <c r="CO1513" s="1">
        <v>40709</v>
      </c>
      <c r="CP1513" s="1">
        <v>43633</v>
      </c>
    </row>
    <row r="1514" spans="1:94" x14ac:dyDescent="0.25">
      <c r="A1514" t="s">
        <v>4803</v>
      </c>
      <c r="B1514" t="str">
        <f xml:space="preserve"> "" &amp; 747396080277</f>
        <v>747396080277</v>
      </c>
      <c r="C1514" t="s">
        <v>1550</v>
      </c>
      <c r="D1514" t="s">
        <v>6935</v>
      </c>
      <c r="E1514" t="s">
        <v>4798</v>
      </c>
      <c r="F1514" t="s">
        <v>2823</v>
      </c>
      <c r="G1514">
        <v>1</v>
      </c>
      <c r="H1514">
        <v>1</v>
      </c>
      <c r="I1514" t="s">
        <v>97</v>
      </c>
      <c r="J1514" s="10">
        <v>249</v>
      </c>
      <c r="K1514" s="10">
        <v>747</v>
      </c>
      <c r="L1514" s="10">
        <v>0</v>
      </c>
      <c r="N1514" s="10">
        <v>0</v>
      </c>
      <c r="O1514" t="s">
        <v>99</v>
      </c>
      <c r="P1514" s="10">
        <v>499.95</v>
      </c>
      <c r="S1514">
        <v>28.25</v>
      </c>
      <c r="U1514">
        <v>8.75</v>
      </c>
      <c r="V1514">
        <v>11.5</v>
      </c>
      <c r="W1514">
        <v>9.2200000000000006</v>
      </c>
      <c r="X1514">
        <v>1</v>
      </c>
      <c r="Y1514">
        <v>26.5</v>
      </c>
      <c r="Z1514">
        <v>15.5</v>
      </c>
      <c r="AA1514">
        <v>13</v>
      </c>
      <c r="AB1514">
        <v>3.09</v>
      </c>
      <c r="AC1514">
        <v>14.07</v>
      </c>
      <c r="AE1514">
        <v>2</v>
      </c>
      <c r="AF1514" t="s">
        <v>308</v>
      </c>
      <c r="AG1514">
        <v>60</v>
      </c>
      <c r="AK1514" t="s">
        <v>98</v>
      </c>
      <c r="AM1514" t="s">
        <v>98</v>
      </c>
      <c r="AN1514" t="s">
        <v>99</v>
      </c>
      <c r="AO1514" t="s">
        <v>98</v>
      </c>
      <c r="AP1514" t="s">
        <v>100</v>
      </c>
      <c r="AQ1514" t="s">
        <v>101</v>
      </c>
      <c r="AV1514" t="s">
        <v>98</v>
      </c>
      <c r="AX1514" t="s">
        <v>4268</v>
      </c>
      <c r="AZ1514" t="s">
        <v>124</v>
      </c>
      <c r="BB1514" t="s">
        <v>4917</v>
      </c>
      <c r="BC1514" t="s">
        <v>7624</v>
      </c>
      <c r="BD1514" t="s">
        <v>7528</v>
      </c>
      <c r="BF1514" t="s">
        <v>4804</v>
      </c>
      <c r="BG1514" t="s">
        <v>98</v>
      </c>
      <c r="BH1514" t="s">
        <v>98</v>
      </c>
      <c r="BI1514" t="s">
        <v>98</v>
      </c>
      <c r="BJ1514" t="s">
        <v>99</v>
      </c>
      <c r="BK1514" t="s">
        <v>453</v>
      </c>
      <c r="BL1514" t="s">
        <v>128</v>
      </c>
      <c r="BR1514">
        <v>17.63</v>
      </c>
      <c r="BT1514">
        <v>5</v>
      </c>
      <c r="CA1514">
        <v>8881</v>
      </c>
      <c r="CB1514" t="s">
        <v>4268</v>
      </c>
      <c r="CG1514">
        <v>0</v>
      </c>
      <c r="CL1514" t="s">
        <v>99</v>
      </c>
      <c r="CM1514" t="s">
        <v>98</v>
      </c>
      <c r="CN1514" t="s">
        <v>3198</v>
      </c>
      <c r="CO1514" s="1">
        <v>40709</v>
      </c>
      <c r="CP1514" s="1">
        <v>43633</v>
      </c>
    </row>
    <row r="1515" spans="1:94" x14ac:dyDescent="0.25">
      <c r="A1515" t="s">
        <v>4805</v>
      </c>
      <c r="B1515" t="str">
        <f xml:space="preserve"> "" &amp; 747396080284</f>
        <v>747396080284</v>
      </c>
      <c r="C1515" t="s">
        <v>1550</v>
      </c>
      <c r="D1515" t="s">
        <v>6934</v>
      </c>
      <c r="E1515" t="s">
        <v>4798</v>
      </c>
      <c r="F1515" t="s">
        <v>449</v>
      </c>
      <c r="G1515">
        <v>1</v>
      </c>
      <c r="H1515">
        <v>1</v>
      </c>
      <c r="I1515" t="s">
        <v>97</v>
      </c>
      <c r="J1515" s="10">
        <v>219</v>
      </c>
      <c r="K1515" s="10">
        <v>657</v>
      </c>
      <c r="L1515" s="10">
        <v>0</v>
      </c>
      <c r="N1515" s="10">
        <v>0</v>
      </c>
      <c r="O1515" t="s">
        <v>99</v>
      </c>
      <c r="P1515" s="10">
        <v>439.95</v>
      </c>
      <c r="S1515">
        <v>28.75</v>
      </c>
      <c r="U1515">
        <v>8.75</v>
      </c>
      <c r="V1515">
        <v>11.75</v>
      </c>
      <c r="W1515">
        <v>8.99</v>
      </c>
      <c r="X1515">
        <v>1</v>
      </c>
      <c r="Y1515">
        <v>26.5</v>
      </c>
      <c r="Z1515">
        <v>15.5</v>
      </c>
      <c r="AA1515">
        <v>13</v>
      </c>
      <c r="AB1515">
        <v>3.09</v>
      </c>
      <c r="AC1515">
        <v>13.1</v>
      </c>
      <c r="AE1515">
        <v>1</v>
      </c>
      <c r="AF1515" t="s">
        <v>2784</v>
      </c>
      <c r="AG1515">
        <v>13</v>
      </c>
      <c r="AK1515" t="s">
        <v>99</v>
      </c>
      <c r="AM1515" t="s">
        <v>98</v>
      </c>
      <c r="AN1515" t="s">
        <v>99</v>
      </c>
      <c r="AO1515" t="s">
        <v>98</v>
      </c>
      <c r="AP1515" t="s">
        <v>100</v>
      </c>
      <c r="AQ1515" t="s">
        <v>101</v>
      </c>
      <c r="AV1515" t="s">
        <v>98</v>
      </c>
      <c r="AX1515" t="s">
        <v>4268</v>
      </c>
      <c r="AZ1515" t="s">
        <v>124</v>
      </c>
      <c r="BB1515" t="s">
        <v>235</v>
      </c>
      <c r="BC1515" t="s">
        <v>3224</v>
      </c>
      <c r="BD1515" t="s">
        <v>7528</v>
      </c>
      <c r="BF1515" t="s">
        <v>4806</v>
      </c>
      <c r="BG1515" t="s">
        <v>98</v>
      </c>
      <c r="BH1515" t="s">
        <v>98</v>
      </c>
      <c r="BI1515" t="s">
        <v>98</v>
      </c>
      <c r="BJ1515" t="s">
        <v>99</v>
      </c>
      <c r="BK1515" t="s">
        <v>453</v>
      </c>
      <c r="BL1515" t="s">
        <v>128</v>
      </c>
      <c r="BM1515">
        <v>5</v>
      </c>
      <c r="BN1515">
        <v>17.63</v>
      </c>
      <c r="CA1515" t="s">
        <v>4807</v>
      </c>
      <c r="CB1515" t="s">
        <v>4268</v>
      </c>
      <c r="CG1515">
        <v>2700</v>
      </c>
      <c r="CL1515" t="s">
        <v>98</v>
      </c>
      <c r="CM1515" t="s">
        <v>98</v>
      </c>
      <c r="CN1515" t="s">
        <v>3198</v>
      </c>
      <c r="CO1515" s="1">
        <v>40722</v>
      </c>
      <c r="CP1515" s="1">
        <v>43633</v>
      </c>
    </row>
    <row r="1516" spans="1:94" x14ac:dyDescent="0.25">
      <c r="A1516" t="s">
        <v>4808</v>
      </c>
      <c r="B1516" t="str">
        <f xml:space="preserve"> "" &amp; 747396080291</f>
        <v>747396080291</v>
      </c>
      <c r="C1516" t="s">
        <v>1550</v>
      </c>
      <c r="D1516" t="s">
        <v>6935</v>
      </c>
      <c r="E1516" t="s">
        <v>4798</v>
      </c>
      <c r="F1516" t="s">
        <v>2823</v>
      </c>
      <c r="G1516">
        <v>1</v>
      </c>
      <c r="H1516">
        <v>1</v>
      </c>
      <c r="I1516" t="s">
        <v>97</v>
      </c>
      <c r="J1516" s="10">
        <v>249</v>
      </c>
      <c r="K1516" s="10">
        <v>747</v>
      </c>
      <c r="L1516" s="10">
        <v>0</v>
      </c>
      <c r="N1516" s="10">
        <v>0</v>
      </c>
      <c r="O1516" t="s">
        <v>99</v>
      </c>
      <c r="P1516" s="10">
        <v>499.95</v>
      </c>
      <c r="S1516">
        <v>28.25</v>
      </c>
      <c r="U1516">
        <v>8.75</v>
      </c>
      <c r="V1516">
        <v>11.5</v>
      </c>
      <c r="W1516">
        <v>9.2200000000000006</v>
      </c>
      <c r="X1516">
        <v>1</v>
      </c>
      <c r="Y1516">
        <v>26.5</v>
      </c>
      <c r="Z1516">
        <v>15.5</v>
      </c>
      <c r="AA1516">
        <v>13</v>
      </c>
      <c r="AB1516">
        <v>3.09</v>
      </c>
      <c r="AC1516">
        <v>14.07</v>
      </c>
      <c r="AE1516">
        <v>2</v>
      </c>
      <c r="AF1516" t="s">
        <v>308</v>
      </c>
      <c r="AG1516">
        <v>60</v>
      </c>
      <c r="AK1516" t="s">
        <v>98</v>
      </c>
      <c r="AM1516" t="s">
        <v>98</v>
      </c>
      <c r="AN1516" t="s">
        <v>99</v>
      </c>
      <c r="AO1516" t="s">
        <v>98</v>
      </c>
      <c r="AP1516" t="s">
        <v>100</v>
      </c>
      <c r="AQ1516" t="s">
        <v>101</v>
      </c>
      <c r="AV1516" t="s">
        <v>98</v>
      </c>
      <c r="AX1516" t="s">
        <v>4226</v>
      </c>
      <c r="AZ1516" t="s">
        <v>124</v>
      </c>
      <c r="BB1516" t="s">
        <v>4917</v>
      </c>
      <c r="BC1516" t="s">
        <v>7624</v>
      </c>
      <c r="BD1516" t="s">
        <v>7528</v>
      </c>
      <c r="BF1516" t="s">
        <v>4809</v>
      </c>
      <c r="BG1516" t="s">
        <v>98</v>
      </c>
      <c r="BH1516" t="s">
        <v>98</v>
      </c>
      <c r="BI1516" t="s">
        <v>98</v>
      </c>
      <c r="BJ1516" t="s">
        <v>99</v>
      </c>
      <c r="BK1516" t="s">
        <v>453</v>
      </c>
      <c r="BL1516" t="s">
        <v>128</v>
      </c>
      <c r="BR1516">
        <v>17.63</v>
      </c>
      <c r="BT1516">
        <v>5</v>
      </c>
      <c r="CA1516">
        <v>8881</v>
      </c>
      <c r="CB1516" t="s">
        <v>4226</v>
      </c>
      <c r="CG1516">
        <v>0</v>
      </c>
      <c r="CL1516" t="s">
        <v>99</v>
      </c>
      <c r="CM1516" t="s">
        <v>98</v>
      </c>
      <c r="CN1516" t="s">
        <v>3198</v>
      </c>
      <c r="CO1516" s="1">
        <v>40709</v>
      </c>
      <c r="CP1516" s="1">
        <v>43633</v>
      </c>
    </row>
    <row r="1517" spans="1:94" x14ac:dyDescent="0.25">
      <c r="A1517" t="s">
        <v>4810</v>
      </c>
      <c r="B1517" t="str">
        <f xml:space="preserve"> "" &amp; 747396080307</f>
        <v>747396080307</v>
      </c>
      <c r="C1517" t="s">
        <v>3394</v>
      </c>
      <c r="D1517" t="s">
        <v>6936</v>
      </c>
      <c r="E1517" t="s">
        <v>4798</v>
      </c>
      <c r="F1517" t="s">
        <v>2823</v>
      </c>
      <c r="G1517">
        <v>1</v>
      </c>
      <c r="H1517">
        <v>1</v>
      </c>
      <c r="I1517" t="s">
        <v>97</v>
      </c>
      <c r="J1517" s="10">
        <v>299</v>
      </c>
      <c r="K1517" s="10">
        <v>897</v>
      </c>
      <c r="L1517" s="10">
        <v>0</v>
      </c>
      <c r="N1517" s="10">
        <v>0</v>
      </c>
      <c r="O1517" t="s">
        <v>99</v>
      </c>
      <c r="P1517" s="10">
        <v>599.95000000000005</v>
      </c>
      <c r="S1517">
        <v>34.25</v>
      </c>
      <c r="U1517">
        <v>10.5</v>
      </c>
      <c r="V1517">
        <v>13.5</v>
      </c>
      <c r="W1517">
        <v>11.6</v>
      </c>
      <c r="X1517">
        <v>1</v>
      </c>
      <c r="Y1517">
        <v>29.5</v>
      </c>
      <c r="Z1517">
        <v>17.5</v>
      </c>
      <c r="AA1517">
        <v>14.5</v>
      </c>
      <c r="AB1517">
        <v>4.3319999999999999</v>
      </c>
      <c r="AC1517">
        <v>16.93</v>
      </c>
      <c r="AE1517">
        <v>4</v>
      </c>
      <c r="AF1517" t="s">
        <v>308</v>
      </c>
      <c r="AG1517">
        <v>60</v>
      </c>
      <c r="AK1517" t="s">
        <v>98</v>
      </c>
      <c r="AM1517" t="s">
        <v>98</v>
      </c>
      <c r="AN1517" t="s">
        <v>99</v>
      </c>
      <c r="AO1517" t="s">
        <v>98</v>
      </c>
      <c r="AP1517" t="s">
        <v>100</v>
      </c>
      <c r="AQ1517" t="s">
        <v>101</v>
      </c>
      <c r="AV1517" t="s">
        <v>98</v>
      </c>
      <c r="AX1517" t="s">
        <v>4268</v>
      </c>
      <c r="AZ1517" t="s">
        <v>124</v>
      </c>
      <c r="BB1517" t="s">
        <v>4917</v>
      </c>
      <c r="BC1517" t="s">
        <v>7624</v>
      </c>
      <c r="BD1517" t="s">
        <v>7528</v>
      </c>
      <c r="BF1517" t="s">
        <v>4811</v>
      </c>
      <c r="BG1517" t="s">
        <v>98</v>
      </c>
      <c r="BH1517" t="s">
        <v>98</v>
      </c>
      <c r="BI1517" t="s">
        <v>98</v>
      </c>
      <c r="BJ1517" t="s">
        <v>99</v>
      </c>
      <c r="BK1517" t="s">
        <v>453</v>
      </c>
      <c r="BL1517" t="s">
        <v>128</v>
      </c>
      <c r="BR1517">
        <v>17.63</v>
      </c>
      <c r="BT1517">
        <v>5</v>
      </c>
      <c r="CA1517">
        <v>8882</v>
      </c>
      <c r="CB1517" t="s">
        <v>4268</v>
      </c>
      <c r="CG1517">
        <v>0</v>
      </c>
      <c r="CL1517" t="s">
        <v>99</v>
      </c>
      <c r="CM1517" t="s">
        <v>98</v>
      </c>
      <c r="CN1517" t="s">
        <v>3198</v>
      </c>
      <c r="CO1517" s="1">
        <v>40726</v>
      </c>
      <c r="CP1517" s="1">
        <v>43633</v>
      </c>
    </row>
    <row r="1518" spans="1:94" x14ac:dyDescent="0.25">
      <c r="A1518" t="s">
        <v>4812</v>
      </c>
      <c r="B1518" t="str">
        <f xml:space="preserve"> "" &amp; 747396080314</f>
        <v>747396080314</v>
      </c>
      <c r="C1518" t="s">
        <v>1577</v>
      </c>
      <c r="D1518" t="s">
        <v>6934</v>
      </c>
      <c r="E1518" t="s">
        <v>4798</v>
      </c>
      <c r="F1518" t="s">
        <v>449</v>
      </c>
      <c r="G1518">
        <v>1</v>
      </c>
      <c r="H1518">
        <v>1</v>
      </c>
      <c r="I1518" t="s">
        <v>97</v>
      </c>
      <c r="J1518" s="10">
        <v>269</v>
      </c>
      <c r="K1518" s="10">
        <v>807</v>
      </c>
      <c r="L1518" s="10">
        <v>0</v>
      </c>
      <c r="N1518" s="10">
        <v>0</v>
      </c>
      <c r="O1518" t="s">
        <v>99</v>
      </c>
      <c r="P1518" s="10">
        <v>539.95000000000005</v>
      </c>
      <c r="S1518">
        <v>34.25</v>
      </c>
      <c r="U1518">
        <v>10.5</v>
      </c>
      <c r="V1518">
        <v>13.5</v>
      </c>
      <c r="W1518">
        <v>11.84</v>
      </c>
      <c r="X1518">
        <v>1</v>
      </c>
      <c r="Y1518">
        <v>29.5</v>
      </c>
      <c r="Z1518">
        <v>17.5</v>
      </c>
      <c r="AA1518">
        <v>14.5</v>
      </c>
      <c r="AB1518">
        <v>4.3319999999999999</v>
      </c>
      <c r="AC1518">
        <v>17.329999999999998</v>
      </c>
      <c r="AE1518">
        <v>1</v>
      </c>
      <c r="AF1518" t="s">
        <v>4813</v>
      </c>
      <c r="AG1518">
        <v>26</v>
      </c>
      <c r="AK1518" t="s">
        <v>99</v>
      </c>
      <c r="AM1518" t="s">
        <v>98</v>
      </c>
      <c r="AN1518" t="s">
        <v>99</v>
      </c>
      <c r="AO1518" t="s">
        <v>98</v>
      </c>
      <c r="AP1518" t="s">
        <v>100</v>
      </c>
      <c r="AQ1518" t="s">
        <v>101</v>
      </c>
      <c r="AV1518" t="s">
        <v>98</v>
      </c>
      <c r="AX1518" t="s">
        <v>4268</v>
      </c>
      <c r="AZ1518" t="s">
        <v>124</v>
      </c>
      <c r="BB1518" t="s">
        <v>235</v>
      </c>
      <c r="BC1518" t="s">
        <v>3224</v>
      </c>
      <c r="BD1518" t="s">
        <v>7528</v>
      </c>
      <c r="BF1518" t="s">
        <v>4814</v>
      </c>
      <c r="BG1518" t="s">
        <v>98</v>
      </c>
      <c r="BH1518" t="s">
        <v>98</v>
      </c>
      <c r="BI1518" t="s">
        <v>98</v>
      </c>
      <c r="BJ1518" t="s">
        <v>99</v>
      </c>
      <c r="BK1518" t="s">
        <v>453</v>
      </c>
      <c r="BL1518" t="s">
        <v>128</v>
      </c>
      <c r="BR1518">
        <v>17.63</v>
      </c>
      <c r="BT1518">
        <v>5</v>
      </c>
      <c r="CA1518" t="s">
        <v>4815</v>
      </c>
      <c r="CB1518" t="s">
        <v>4268</v>
      </c>
      <c r="CG1518">
        <v>2700</v>
      </c>
      <c r="CL1518" t="s">
        <v>98</v>
      </c>
      <c r="CM1518" t="s">
        <v>98</v>
      </c>
      <c r="CN1518" t="s">
        <v>3198</v>
      </c>
      <c r="CO1518" s="1">
        <v>40726</v>
      </c>
      <c r="CP1518" s="1">
        <v>43633</v>
      </c>
    </row>
    <row r="1519" spans="1:94" x14ac:dyDescent="0.25">
      <c r="A1519" t="s">
        <v>4816</v>
      </c>
      <c r="B1519" t="str">
        <f xml:space="preserve"> "" &amp; 747396080321</f>
        <v>747396080321</v>
      </c>
      <c r="C1519" t="s">
        <v>3394</v>
      </c>
      <c r="D1519" t="s">
        <v>6936</v>
      </c>
      <c r="E1519" t="s">
        <v>4798</v>
      </c>
      <c r="F1519" t="s">
        <v>2823</v>
      </c>
      <c r="G1519">
        <v>1</v>
      </c>
      <c r="H1519">
        <v>1</v>
      </c>
      <c r="I1519" t="s">
        <v>97</v>
      </c>
      <c r="J1519" s="10">
        <v>299</v>
      </c>
      <c r="K1519" s="10">
        <v>897</v>
      </c>
      <c r="L1519" s="10">
        <v>0</v>
      </c>
      <c r="N1519" s="10">
        <v>0</v>
      </c>
      <c r="O1519" t="s">
        <v>99</v>
      </c>
      <c r="P1519" s="10">
        <v>599.95000000000005</v>
      </c>
      <c r="S1519">
        <v>34.130000000000003</v>
      </c>
      <c r="U1519">
        <v>10.38</v>
      </c>
      <c r="V1519">
        <v>13.5</v>
      </c>
      <c r="W1519">
        <v>11.6</v>
      </c>
      <c r="X1519">
        <v>1</v>
      </c>
      <c r="Y1519">
        <v>29.5</v>
      </c>
      <c r="Z1519">
        <v>17.5</v>
      </c>
      <c r="AA1519">
        <v>14.5</v>
      </c>
      <c r="AB1519">
        <v>4.3319999999999999</v>
      </c>
      <c r="AC1519">
        <v>16.93</v>
      </c>
      <c r="AE1519">
        <v>4</v>
      </c>
      <c r="AF1519" t="s">
        <v>519</v>
      </c>
      <c r="AG1519">
        <v>60</v>
      </c>
      <c r="AK1519" t="s">
        <v>98</v>
      </c>
      <c r="AM1519" t="s">
        <v>98</v>
      </c>
      <c r="AN1519" t="s">
        <v>99</v>
      </c>
      <c r="AO1519" t="s">
        <v>98</v>
      </c>
      <c r="AP1519" t="s">
        <v>100</v>
      </c>
      <c r="AQ1519" t="s">
        <v>101</v>
      </c>
      <c r="AV1519" t="s">
        <v>98</v>
      </c>
      <c r="AX1519" t="s">
        <v>4226</v>
      </c>
      <c r="AZ1519" t="s">
        <v>124</v>
      </c>
      <c r="BB1519" t="s">
        <v>235</v>
      </c>
      <c r="BC1519" t="s">
        <v>4817</v>
      </c>
      <c r="BD1519" t="s">
        <v>7528</v>
      </c>
      <c r="BF1519" t="s">
        <v>4818</v>
      </c>
      <c r="BG1519" t="s">
        <v>98</v>
      </c>
      <c r="BH1519" t="s">
        <v>98</v>
      </c>
      <c r="BI1519" t="s">
        <v>98</v>
      </c>
      <c r="BJ1519" t="s">
        <v>99</v>
      </c>
      <c r="BK1519" t="s">
        <v>453</v>
      </c>
      <c r="BL1519" t="s">
        <v>128</v>
      </c>
      <c r="BR1519">
        <v>17.5</v>
      </c>
      <c r="BT1519">
        <v>4.75</v>
      </c>
      <c r="CA1519">
        <v>8882</v>
      </c>
      <c r="CB1519" t="s">
        <v>4226</v>
      </c>
      <c r="CL1519" t="s">
        <v>98</v>
      </c>
      <c r="CM1519" t="s">
        <v>98</v>
      </c>
      <c r="CN1519" t="s">
        <v>3227</v>
      </c>
      <c r="CO1519" s="1">
        <v>40726</v>
      </c>
      <c r="CP1519" s="1">
        <v>43633</v>
      </c>
    </row>
    <row r="1520" spans="1:94" x14ac:dyDescent="0.25">
      <c r="A1520" t="s">
        <v>4819</v>
      </c>
      <c r="B1520" t="str">
        <f xml:space="preserve"> "" &amp; 747396080338</f>
        <v>747396080338</v>
      </c>
      <c r="C1520" t="s">
        <v>4820</v>
      </c>
      <c r="D1520" t="s">
        <v>6937</v>
      </c>
      <c r="E1520" t="s">
        <v>4798</v>
      </c>
      <c r="F1520" t="s">
        <v>2823</v>
      </c>
      <c r="G1520">
        <v>1</v>
      </c>
      <c r="H1520">
        <v>1</v>
      </c>
      <c r="I1520" t="s">
        <v>97</v>
      </c>
      <c r="J1520" s="10">
        <v>419</v>
      </c>
      <c r="K1520" s="10">
        <v>1257</v>
      </c>
      <c r="L1520" s="10">
        <v>0</v>
      </c>
      <c r="N1520" s="10">
        <v>0</v>
      </c>
      <c r="O1520" t="s">
        <v>99</v>
      </c>
      <c r="P1520" s="10">
        <v>844.95</v>
      </c>
      <c r="S1520">
        <v>41.25</v>
      </c>
      <c r="U1520">
        <v>12.5</v>
      </c>
      <c r="V1520">
        <v>16.5</v>
      </c>
      <c r="W1520">
        <v>17.68</v>
      </c>
      <c r="X1520">
        <v>1</v>
      </c>
      <c r="Y1520">
        <v>38.5</v>
      </c>
      <c r="Z1520">
        <v>23</v>
      </c>
      <c r="AA1520">
        <v>19</v>
      </c>
      <c r="AB1520">
        <v>9.7360000000000007</v>
      </c>
      <c r="AC1520">
        <v>25.97</v>
      </c>
      <c r="AE1520">
        <v>5</v>
      </c>
      <c r="AF1520" t="s">
        <v>308</v>
      </c>
      <c r="AG1520">
        <v>60</v>
      </c>
      <c r="AK1520" t="s">
        <v>98</v>
      </c>
      <c r="AM1520" t="s">
        <v>98</v>
      </c>
      <c r="AN1520" t="s">
        <v>99</v>
      </c>
      <c r="AO1520" t="s">
        <v>98</v>
      </c>
      <c r="AP1520" t="s">
        <v>259</v>
      </c>
      <c r="AQ1520" t="s">
        <v>101</v>
      </c>
      <c r="AV1520" t="s">
        <v>98</v>
      </c>
      <c r="AX1520" t="s">
        <v>4268</v>
      </c>
      <c r="AZ1520" t="s">
        <v>124</v>
      </c>
      <c r="BB1520" t="s">
        <v>4917</v>
      </c>
      <c r="BC1520" t="s">
        <v>7624</v>
      </c>
      <c r="BD1520" t="s">
        <v>7528</v>
      </c>
      <c r="BF1520" t="s">
        <v>4821</v>
      </c>
      <c r="BG1520" t="s">
        <v>98</v>
      </c>
      <c r="BH1520" t="s">
        <v>98</v>
      </c>
      <c r="BI1520" t="s">
        <v>98</v>
      </c>
      <c r="BJ1520" t="s">
        <v>99</v>
      </c>
      <c r="BK1520" t="s">
        <v>453</v>
      </c>
      <c r="BL1520" t="s">
        <v>128</v>
      </c>
      <c r="BR1520">
        <v>24.25</v>
      </c>
      <c r="BT1520">
        <v>5</v>
      </c>
      <c r="CA1520">
        <v>8883</v>
      </c>
      <c r="CB1520" t="s">
        <v>4268</v>
      </c>
      <c r="CG1520">
        <v>0</v>
      </c>
      <c r="CL1520" t="s">
        <v>99</v>
      </c>
      <c r="CM1520" t="s">
        <v>98</v>
      </c>
      <c r="CN1520" t="s">
        <v>3198</v>
      </c>
      <c r="CO1520" s="1">
        <v>40722</v>
      </c>
      <c r="CP1520" s="1">
        <v>43633</v>
      </c>
    </row>
    <row r="1521" spans="1:94" x14ac:dyDescent="0.25">
      <c r="A1521" t="s">
        <v>4822</v>
      </c>
      <c r="B1521" t="str">
        <f xml:space="preserve"> "" &amp; 747396080352</f>
        <v>747396080352</v>
      </c>
      <c r="C1521" t="s">
        <v>4823</v>
      </c>
      <c r="D1521" t="s">
        <v>6938</v>
      </c>
      <c r="E1521" t="s">
        <v>4798</v>
      </c>
      <c r="F1521" t="s">
        <v>2823</v>
      </c>
      <c r="G1521">
        <v>1</v>
      </c>
      <c r="H1521">
        <v>1</v>
      </c>
      <c r="I1521" t="s">
        <v>97</v>
      </c>
      <c r="J1521" s="10">
        <v>349</v>
      </c>
      <c r="K1521" s="10">
        <v>1047</v>
      </c>
      <c r="L1521" s="10">
        <v>0</v>
      </c>
      <c r="N1521" s="10">
        <v>0</v>
      </c>
      <c r="O1521" t="s">
        <v>99</v>
      </c>
      <c r="P1521" s="10">
        <v>699.95</v>
      </c>
      <c r="S1521">
        <v>31.75</v>
      </c>
      <c r="U1521">
        <v>12.75</v>
      </c>
      <c r="W1521">
        <v>14.33</v>
      </c>
      <c r="X1521">
        <v>1</v>
      </c>
      <c r="Y1521">
        <v>38</v>
      </c>
      <c r="Z1521">
        <v>19</v>
      </c>
      <c r="AA1521">
        <v>19</v>
      </c>
      <c r="AB1521">
        <v>7.9390000000000001</v>
      </c>
      <c r="AC1521">
        <v>20.66</v>
      </c>
      <c r="AE1521">
        <v>5</v>
      </c>
      <c r="AF1521" t="s">
        <v>308</v>
      </c>
      <c r="AG1521">
        <v>60</v>
      </c>
      <c r="AK1521" t="s">
        <v>98</v>
      </c>
      <c r="AM1521" t="s">
        <v>98</v>
      </c>
      <c r="AN1521" t="s">
        <v>99</v>
      </c>
      <c r="AO1521" t="s">
        <v>98</v>
      </c>
      <c r="AP1521" t="s">
        <v>100</v>
      </c>
      <c r="AQ1521" t="s">
        <v>101</v>
      </c>
      <c r="AV1521" t="s">
        <v>98</v>
      </c>
      <c r="AX1521" t="s">
        <v>4268</v>
      </c>
      <c r="AZ1521" t="s">
        <v>124</v>
      </c>
      <c r="BB1521" t="s">
        <v>4917</v>
      </c>
      <c r="BC1521" t="s">
        <v>7624</v>
      </c>
      <c r="BD1521" t="s">
        <v>7528</v>
      </c>
      <c r="BF1521" t="s">
        <v>4824</v>
      </c>
      <c r="BG1521" t="s">
        <v>98</v>
      </c>
      <c r="BH1521" t="s">
        <v>98</v>
      </c>
      <c r="BI1521" t="s">
        <v>98</v>
      </c>
      <c r="BK1521" t="s">
        <v>127</v>
      </c>
      <c r="BL1521" t="s">
        <v>7528</v>
      </c>
      <c r="BR1521">
        <v>0</v>
      </c>
      <c r="BT1521">
        <v>5.5</v>
      </c>
      <c r="CA1521">
        <v>8884</v>
      </c>
      <c r="CB1521" t="s">
        <v>4268</v>
      </c>
      <c r="CG1521">
        <v>0</v>
      </c>
      <c r="CL1521" t="s">
        <v>99</v>
      </c>
      <c r="CM1521" t="s">
        <v>99</v>
      </c>
      <c r="CN1521" t="s">
        <v>3198</v>
      </c>
      <c r="CO1521" s="1">
        <v>40709</v>
      </c>
      <c r="CP1521" s="1">
        <v>43633</v>
      </c>
    </row>
    <row r="1522" spans="1:94" x14ac:dyDescent="0.25">
      <c r="A1522" t="s">
        <v>4825</v>
      </c>
      <c r="B1522" t="str">
        <f xml:space="preserve"> "" &amp; 747396080369</f>
        <v>747396080369</v>
      </c>
      <c r="C1522" t="s">
        <v>4823</v>
      </c>
      <c r="D1522" t="s">
        <v>6938</v>
      </c>
      <c r="E1522" t="s">
        <v>4798</v>
      </c>
      <c r="F1522" t="s">
        <v>2823</v>
      </c>
      <c r="G1522">
        <v>1</v>
      </c>
      <c r="H1522">
        <v>1</v>
      </c>
      <c r="I1522" t="s">
        <v>97</v>
      </c>
      <c r="J1522" s="10">
        <v>349</v>
      </c>
      <c r="K1522" s="10">
        <v>1047</v>
      </c>
      <c r="L1522" s="10">
        <v>0</v>
      </c>
      <c r="N1522" s="10">
        <v>0</v>
      </c>
      <c r="O1522" t="s">
        <v>99</v>
      </c>
      <c r="P1522" s="10">
        <v>699.95</v>
      </c>
      <c r="S1522">
        <v>31.75</v>
      </c>
      <c r="U1522">
        <v>12.75</v>
      </c>
      <c r="W1522">
        <v>14.48</v>
      </c>
      <c r="X1522">
        <v>1</v>
      </c>
      <c r="Y1522">
        <v>38</v>
      </c>
      <c r="Z1522">
        <v>19</v>
      </c>
      <c r="AA1522">
        <v>19</v>
      </c>
      <c r="AB1522">
        <v>7.9390000000000001</v>
      </c>
      <c r="AC1522">
        <v>20.66</v>
      </c>
      <c r="AE1522">
        <v>5</v>
      </c>
      <c r="AF1522" t="s">
        <v>308</v>
      </c>
      <c r="AG1522">
        <v>60</v>
      </c>
      <c r="AK1522" t="s">
        <v>98</v>
      </c>
      <c r="AM1522" t="s">
        <v>98</v>
      </c>
      <c r="AN1522" t="s">
        <v>99</v>
      </c>
      <c r="AO1522" t="s">
        <v>98</v>
      </c>
      <c r="AP1522" t="s">
        <v>100</v>
      </c>
      <c r="AQ1522" t="s">
        <v>101</v>
      </c>
      <c r="AV1522" t="s">
        <v>98</v>
      </c>
      <c r="AX1522" t="s">
        <v>4226</v>
      </c>
      <c r="AZ1522" t="s">
        <v>124</v>
      </c>
      <c r="BB1522" t="s">
        <v>4917</v>
      </c>
      <c r="BC1522" t="s">
        <v>7624</v>
      </c>
      <c r="BD1522" t="s">
        <v>7528</v>
      </c>
      <c r="BF1522" t="s">
        <v>4826</v>
      </c>
      <c r="BG1522" t="s">
        <v>98</v>
      </c>
      <c r="BH1522" t="s">
        <v>98</v>
      </c>
      <c r="BI1522" t="s">
        <v>98</v>
      </c>
      <c r="BK1522" t="s">
        <v>127</v>
      </c>
      <c r="BL1522" t="s">
        <v>7528</v>
      </c>
      <c r="BR1522">
        <v>0</v>
      </c>
      <c r="BT1522">
        <v>5.5</v>
      </c>
      <c r="CA1522">
        <v>8884</v>
      </c>
      <c r="CB1522" t="s">
        <v>4226</v>
      </c>
      <c r="CG1522">
        <v>0</v>
      </c>
      <c r="CL1522" t="s">
        <v>99</v>
      </c>
      <c r="CM1522" t="s">
        <v>99</v>
      </c>
      <c r="CN1522" t="s">
        <v>3198</v>
      </c>
      <c r="CO1522" s="1">
        <v>40709</v>
      </c>
      <c r="CP1522" s="1">
        <v>43633</v>
      </c>
    </row>
    <row r="1523" spans="1:94" x14ac:dyDescent="0.25">
      <c r="A1523" t="s">
        <v>4827</v>
      </c>
      <c r="B1523" t="str">
        <f xml:space="preserve"> "" &amp; 747396080376</f>
        <v>747396080376</v>
      </c>
      <c r="C1523" t="s">
        <v>3403</v>
      </c>
      <c r="D1523" t="s">
        <v>6939</v>
      </c>
      <c r="E1523" t="s">
        <v>4798</v>
      </c>
      <c r="F1523" t="s">
        <v>2823</v>
      </c>
      <c r="G1523">
        <v>1</v>
      </c>
      <c r="H1523">
        <v>1</v>
      </c>
      <c r="I1523" t="s">
        <v>97</v>
      </c>
      <c r="J1523" s="10">
        <v>199</v>
      </c>
      <c r="K1523" s="10">
        <v>597</v>
      </c>
      <c r="L1523" s="10">
        <v>0</v>
      </c>
      <c r="N1523" s="10">
        <v>0</v>
      </c>
      <c r="O1523" t="s">
        <v>99</v>
      </c>
      <c r="P1523" s="10">
        <v>399.95</v>
      </c>
      <c r="S1523">
        <v>22.5</v>
      </c>
      <c r="U1523">
        <v>9</v>
      </c>
      <c r="W1523">
        <v>6.22</v>
      </c>
      <c r="X1523">
        <v>1</v>
      </c>
      <c r="Y1523">
        <v>26</v>
      </c>
      <c r="Z1523">
        <v>12.5</v>
      </c>
      <c r="AA1523">
        <v>12.5</v>
      </c>
      <c r="AB1523">
        <v>2.351</v>
      </c>
      <c r="AC1523">
        <v>9.92</v>
      </c>
      <c r="AE1523">
        <v>3</v>
      </c>
      <c r="AF1523" t="s">
        <v>308</v>
      </c>
      <c r="AG1523">
        <v>60</v>
      </c>
      <c r="AK1523" t="s">
        <v>98</v>
      </c>
      <c r="AM1523" t="s">
        <v>98</v>
      </c>
      <c r="AN1523" t="s">
        <v>99</v>
      </c>
      <c r="AO1523" t="s">
        <v>98</v>
      </c>
      <c r="AP1523" t="s">
        <v>100</v>
      </c>
      <c r="AQ1523" t="s">
        <v>101</v>
      </c>
      <c r="AV1523" t="s">
        <v>98</v>
      </c>
      <c r="AX1523" t="s">
        <v>4268</v>
      </c>
      <c r="AZ1523" t="s">
        <v>124</v>
      </c>
      <c r="BB1523" t="s">
        <v>4917</v>
      </c>
      <c r="BC1523" t="s">
        <v>7624</v>
      </c>
      <c r="BD1523" t="s">
        <v>7528</v>
      </c>
      <c r="BF1523" t="s">
        <v>4828</v>
      </c>
      <c r="BG1523" t="s">
        <v>98</v>
      </c>
      <c r="BH1523" t="s">
        <v>98</v>
      </c>
      <c r="BI1523" t="s">
        <v>98</v>
      </c>
      <c r="BJ1523" t="s">
        <v>99</v>
      </c>
      <c r="BK1523" t="s">
        <v>453</v>
      </c>
      <c r="BL1523" t="s">
        <v>7528</v>
      </c>
      <c r="BR1523">
        <v>0</v>
      </c>
      <c r="BT1523">
        <v>0</v>
      </c>
      <c r="CA1523">
        <v>88885</v>
      </c>
      <c r="CB1523" t="s">
        <v>4268</v>
      </c>
      <c r="CG1523">
        <v>0</v>
      </c>
      <c r="CL1523" t="s">
        <v>99</v>
      </c>
      <c r="CM1523" t="s">
        <v>98</v>
      </c>
      <c r="CN1523" t="s">
        <v>3198</v>
      </c>
      <c r="CO1523" s="1">
        <v>40714</v>
      </c>
      <c r="CP1523" s="1">
        <v>43633</v>
      </c>
    </row>
    <row r="1524" spans="1:94" x14ac:dyDescent="0.25">
      <c r="A1524" t="s">
        <v>4829</v>
      </c>
      <c r="B1524" t="str">
        <f xml:space="preserve"> "" &amp; 747396080383</f>
        <v>747396080383</v>
      </c>
      <c r="C1524" t="s">
        <v>447</v>
      </c>
      <c r="D1524" t="s">
        <v>6940</v>
      </c>
      <c r="E1524" t="s">
        <v>4798</v>
      </c>
      <c r="F1524" t="s">
        <v>449</v>
      </c>
      <c r="G1524">
        <v>1</v>
      </c>
      <c r="H1524">
        <v>1</v>
      </c>
      <c r="I1524" t="s">
        <v>97</v>
      </c>
      <c r="J1524" s="10">
        <v>182</v>
      </c>
      <c r="K1524" s="10">
        <v>546</v>
      </c>
      <c r="L1524" s="10">
        <v>0</v>
      </c>
      <c r="N1524" s="10">
        <v>0</v>
      </c>
      <c r="O1524" t="s">
        <v>99</v>
      </c>
      <c r="P1524" s="10">
        <v>364.95</v>
      </c>
      <c r="S1524">
        <v>22.5</v>
      </c>
      <c r="U1524">
        <v>9</v>
      </c>
      <c r="W1524">
        <v>5.25</v>
      </c>
      <c r="X1524">
        <v>1</v>
      </c>
      <c r="Y1524">
        <v>26</v>
      </c>
      <c r="Z1524">
        <v>12.5</v>
      </c>
      <c r="AA1524">
        <v>12.5</v>
      </c>
      <c r="AB1524">
        <v>2.351</v>
      </c>
      <c r="AC1524">
        <v>8.7100000000000009</v>
      </c>
      <c r="AE1524">
        <v>1</v>
      </c>
      <c r="AF1524" t="s">
        <v>3223</v>
      </c>
      <c r="AG1524">
        <v>13</v>
      </c>
      <c r="AK1524" t="s">
        <v>99</v>
      </c>
      <c r="AM1524" t="s">
        <v>98</v>
      </c>
      <c r="AN1524" t="s">
        <v>99</v>
      </c>
      <c r="AO1524" t="s">
        <v>98</v>
      </c>
      <c r="AP1524" t="s">
        <v>100</v>
      </c>
      <c r="AQ1524" t="s">
        <v>101</v>
      </c>
      <c r="AV1524" t="s">
        <v>98</v>
      </c>
      <c r="AX1524" t="s">
        <v>4268</v>
      </c>
      <c r="AZ1524" t="s">
        <v>124</v>
      </c>
      <c r="BB1524" t="s">
        <v>235</v>
      </c>
      <c r="BC1524" t="s">
        <v>3224</v>
      </c>
      <c r="BD1524" t="s">
        <v>7528</v>
      </c>
      <c r="BF1524" t="s">
        <v>4830</v>
      </c>
      <c r="BG1524" t="s">
        <v>98</v>
      </c>
      <c r="BH1524" t="s">
        <v>98</v>
      </c>
      <c r="BI1524" t="s">
        <v>98</v>
      </c>
      <c r="BJ1524" t="s">
        <v>99</v>
      </c>
      <c r="BK1524" t="s">
        <v>453</v>
      </c>
      <c r="BL1524" t="s">
        <v>7528</v>
      </c>
      <c r="CA1524" t="s">
        <v>4831</v>
      </c>
      <c r="CB1524" t="s">
        <v>4268</v>
      </c>
      <c r="CG1524">
        <v>2700</v>
      </c>
      <c r="CL1524" t="s">
        <v>98</v>
      </c>
      <c r="CM1524" t="s">
        <v>98</v>
      </c>
      <c r="CN1524" t="s">
        <v>3227</v>
      </c>
      <c r="CO1524" s="1">
        <v>40768</v>
      </c>
      <c r="CP1524" s="1">
        <v>43633</v>
      </c>
    </row>
    <row r="1525" spans="1:94" x14ac:dyDescent="0.25">
      <c r="A1525" t="s">
        <v>4832</v>
      </c>
      <c r="B1525" t="str">
        <f xml:space="preserve"> "" &amp; 747396080390</f>
        <v>747396080390</v>
      </c>
      <c r="C1525" t="s">
        <v>4833</v>
      </c>
      <c r="D1525" t="s">
        <v>6941</v>
      </c>
      <c r="E1525" t="s">
        <v>4798</v>
      </c>
      <c r="F1525" t="s">
        <v>2823</v>
      </c>
      <c r="G1525">
        <v>1</v>
      </c>
      <c r="H1525">
        <v>1</v>
      </c>
      <c r="I1525" t="s">
        <v>97</v>
      </c>
      <c r="J1525" s="10">
        <v>199</v>
      </c>
      <c r="K1525" s="10">
        <v>597</v>
      </c>
      <c r="L1525" s="10">
        <v>0</v>
      </c>
      <c r="N1525" s="10">
        <v>0</v>
      </c>
      <c r="O1525" t="s">
        <v>99</v>
      </c>
      <c r="P1525" s="10">
        <v>399.95</v>
      </c>
      <c r="S1525">
        <v>22.5</v>
      </c>
      <c r="U1525">
        <v>9</v>
      </c>
      <c r="W1525">
        <v>6.22</v>
      </c>
      <c r="X1525">
        <v>1</v>
      </c>
      <c r="Y1525">
        <v>26</v>
      </c>
      <c r="Z1525">
        <v>12.5</v>
      </c>
      <c r="AA1525">
        <v>12.5</v>
      </c>
      <c r="AB1525">
        <v>2.351</v>
      </c>
      <c r="AC1525">
        <v>9.92</v>
      </c>
      <c r="AE1525">
        <v>3</v>
      </c>
      <c r="AF1525" t="s">
        <v>519</v>
      </c>
      <c r="AG1525">
        <v>60</v>
      </c>
      <c r="AK1525" t="s">
        <v>98</v>
      </c>
      <c r="AM1525" t="s">
        <v>98</v>
      </c>
      <c r="AN1525" t="s">
        <v>99</v>
      </c>
      <c r="AO1525" t="s">
        <v>98</v>
      </c>
      <c r="AP1525" t="s">
        <v>100</v>
      </c>
      <c r="AQ1525" t="s">
        <v>101</v>
      </c>
      <c r="AV1525" t="s">
        <v>98</v>
      </c>
      <c r="AX1525" t="s">
        <v>4226</v>
      </c>
      <c r="AZ1525" t="s">
        <v>124</v>
      </c>
      <c r="BB1525" t="s">
        <v>4917</v>
      </c>
      <c r="BC1525" t="s">
        <v>7624</v>
      </c>
      <c r="BD1525" t="s">
        <v>7528</v>
      </c>
      <c r="BF1525" t="s">
        <v>4834</v>
      </c>
      <c r="BG1525" t="s">
        <v>98</v>
      </c>
      <c r="BH1525" t="s">
        <v>98</v>
      </c>
      <c r="BI1525" t="s">
        <v>98</v>
      </c>
      <c r="BJ1525" t="s">
        <v>99</v>
      </c>
      <c r="BK1525" t="s">
        <v>453</v>
      </c>
      <c r="BL1525" t="s">
        <v>7528</v>
      </c>
      <c r="BR1525">
        <v>0</v>
      </c>
      <c r="BT1525">
        <v>0</v>
      </c>
      <c r="CA1525">
        <v>8885</v>
      </c>
      <c r="CB1525" t="s">
        <v>4226</v>
      </c>
      <c r="CG1525">
        <v>0</v>
      </c>
      <c r="CL1525" t="s">
        <v>99</v>
      </c>
      <c r="CM1525" t="s">
        <v>98</v>
      </c>
      <c r="CN1525" t="s">
        <v>7528</v>
      </c>
      <c r="CO1525" s="1">
        <v>40768</v>
      </c>
      <c r="CP1525" s="1">
        <v>43633</v>
      </c>
    </row>
    <row r="1526" spans="1:94" x14ac:dyDescent="0.25">
      <c r="A1526" t="s">
        <v>4835</v>
      </c>
      <c r="B1526" t="str">
        <f xml:space="preserve"> "" &amp; 747396080406</f>
        <v>747396080406</v>
      </c>
      <c r="C1526" t="s">
        <v>3677</v>
      </c>
      <c r="D1526" t="s">
        <v>6942</v>
      </c>
      <c r="E1526" t="s">
        <v>4798</v>
      </c>
      <c r="F1526" t="s">
        <v>2823</v>
      </c>
      <c r="G1526">
        <v>1</v>
      </c>
      <c r="H1526">
        <v>1</v>
      </c>
      <c r="I1526" t="s">
        <v>97</v>
      </c>
      <c r="J1526" s="10">
        <v>249</v>
      </c>
      <c r="K1526" s="10">
        <v>747</v>
      </c>
      <c r="L1526" s="10">
        <v>0</v>
      </c>
      <c r="N1526" s="10">
        <v>0</v>
      </c>
      <c r="O1526" t="s">
        <v>99</v>
      </c>
      <c r="P1526" s="10">
        <v>499.95</v>
      </c>
      <c r="S1526">
        <v>26</v>
      </c>
      <c r="U1526">
        <v>10.5</v>
      </c>
      <c r="W1526">
        <v>8.31</v>
      </c>
      <c r="X1526">
        <v>1</v>
      </c>
      <c r="Y1526">
        <v>27.5</v>
      </c>
      <c r="Z1526">
        <v>13.5</v>
      </c>
      <c r="AA1526">
        <v>13.5</v>
      </c>
      <c r="AB1526">
        <v>2.9</v>
      </c>
      <c r="AC1526">
        <v>12.57</v>
      </c>
      <c r="AE1526">
        <v>4</v>
      </c>
      <c r="AF1526" t="s">
        <v>308</v>
      </c>
      <c r="AG1526">
        <v>60</v>
      </c>
      <c r="AK1526" t="s">
        <v>98</v>
      </c>
      <c r="AM1526" t="s">
        <v>98</v>
      </c>
      <c r="AN1526" t="s">
        <v>99</v>
      </c>
      <c r="AO1526" t="s">
        <v>98</v>
      </c>
      <c r="AP1526" t="s">
        <v>100</v>
      </c>
      <c r="AQ1526" t="s">
        <v>101</v>
      </c>
      <c r="AV1526" t="s">
        <v>98</v>
      </c>
      <c r="AX1526" t="s">
        <v>4268</v>
      </c>
      <c r="AZ1526" t="s">
        <v>124</v>
      </c>
      <c r="BB1526" t="s">
        <v>4917</v>
      </c>
      <c r="BC1526" t="s">
        <v>7624</v>
      </c>
      <c r="BD1526" t="s">
        <v>7528</v>
      </c>
      <c r="BF1526" t="s">
        <v>4836</v>
      </c>
      <c r="BG1526" t="s">
        <v>98</v>
      </c>
      <c r="BH1526" t="s">
        <v>98</v>
      </c>
      <c r="BI1526" t="s">
        <v>98</v>
      </c>
      <c r="BJ1526" t="s">
        <v>99</v>
      </c>
      <c r="BK1526" t="s">
        <v>453</v>
      </c>
      <c r="BL1526" t="s">
        <v>7528</v>
      </c>
      <c r="BR1526">
        <v>0</v>
      </c>
      <c r="BT1526">
        <v>0</v>
      </c>
      <c r="CA1526">
        <v>8886</v>
      </c>
      <c r="CB1526" t="s">
        <v>4268</v>
      </c>
      <c r="CG1526">
        <v>0</v>
      </c>
      <c r="CL1526" t="s">
        <v>99</v>
      </c>
      <c r="CM1526" t="s">
        <v>98</v>
      </c>
      <c r="CN1526" t="s">
        <v>3198</v>
      </c>
      <c r="CO1526" s="1">
        <v>40714</v>
      </c>
      <c r="CP1526" s="1">
        <v>43633</v>
      </c>
    </row>
    <row r="1527" spans="1:94" x14ac:dyDescent="0.25">
      <c r="A1527" t="s">
        <v>4837</v>
      </c>
      <c r="B1527" t="str">
        <f xml:space="preserve"> "" &amp; 747396080413</f>
        <v>747396080413</v>
      </c>
      <c r="C1527" t="s">
        <v>3354</v>
      </c>
      <c r="D1527" t="s">
        <v>6943</v>
      </c>
      <c r="E1527" t="s">
        <v>4798</v>
      </c>
      <c r="F1527" t="s">
        <v>2823</v>
      </c>
      <c r="G1527">
        <v>1</v>
      </c>
      <c r="H1527">
        <v>1</v>
      </c>
      <c r="I1527" t="s">
        <v>97</v>
      </c>
      <c r="J1527" s="10">
        <v>129</v>
      </c>
      <c r="K1527" s="10">
        <v>387</v>
      </c>
      <c r="L1527" s="10">
        <v>0</v>
      </c>
      <c r="N1527" s="10">
        <v>0</v>
      </c>
      <c r="O1527" t="s">
        <v>99</v>
      </c>
      <c r="P1527" s="10">
        <v>259.95</v>
      </c>
      <c r="S1527">
        <v>19.5</v>
      </c>
      <c r="U1527">
        <v>10.5</v>
      </c>
      <c r="V1527">
        <v>5.5</v>
      </c>
      <c r="W1527">
        <v>5.07</v>
      </c>
      <c r="X1527">
        <v>1</v>
      </c>
      <c r="Y1527">
        <v>23</v>
      </c>
      <c r="Z1527">
        <v>13</v>
      </c>
      <c r="AA1527">
        <v>8.75</v>
      </c>
      <c r="AB1527">
        <v>1.514</v>
      </c>
      <c r="AC1527">
        <v>7.94</v>
      </c>
      <c r="AE1527">
        <v>2</v>
      </c>
      <c r="AF1527" t="s">
        <v>308</v>
      </c>
      <c r="AG1527">
        <v>60</v>
      </c>
      <c r="AK1527" t="s">
        <v>98</v>
      </c>
      <c r="AM1527" t="s">
        <v>98</v>
      </c>
      <c r="AN1527" t="s">
        <v>99</v>
      </c>
      <c r="AO1527" t="s">
        <v>98</v>
      </c>
      <c r="AP1527" t="s">
        <v>100</v>
      </c>
      <c r="AQ1527" t="s">
        <v>101</v>
      </c>
      <c r="AV1527" t="s">
        <v>98</v>
      </c>
      <c r="AX1527" t="s">
        <v>4268</v>
      </c>
      <c r="AZ1527" t="s">
        <v>124</v>
      </c>
      <c r="BB1527" t="s">
        <v>4917</v>
      </c>
      <c r="BC1527" t="s">
        <v>7624</v>
      </c>
      <c r="BD1527" t="s">
        <v>7528</v>
      </c>
      <c r="BF1527" t="s">
        <v>4838</v>
      </c>
      <c r="BG1527" t="s">
        <v>98</v>
      </c>
      <c r="BH1527" t="s">
        <v>98</v>
      </c>
      <c r="BI1527" t="s">
        <v>98</v>
      </c>
      <c r="BJ1527" t="s">
        <v>99</v>
      </c>
      <c r="BK1527" t="s">
        <v>453</v>
      </c>
      <c r="BL1527" t="s">
        <v>7528</v>
      </c>
      <c r="BR1527">
        <v>19.5</v>
      </c>
      <c r="BT1527">
        <v>10.5</v>
      </c>
      <c r="CA1527">
        <v>8887</v>
      </c>
      <c r="CB1527" t="s">
        <v>4268</v>
      </c>
      <c r="CG1527">
        <v>0</v>
      </c>
      <c r="CL1527" t="s">
        <v>99</v>
      </c>
      <c r="CM1527" t="s">
        <v>98</v>
      </c>
      <c r="CN1527" t="s">
        <v>3198</v>
      </c>
      <c r="CO1527" s="1">
        <v>40722</v>
      </c>
      <c r="CP1527" s="1">
        <v>43633</v>
      </c>
    </row>
    <row r="1528" spans="1:94" x14ac:dyDescent="0.25">
      <c r="A1528" t="s">
        <v>4839</v>
      </c>
      <c r="B1528" t="str">
        <f xml:space="preserve"> "" &amp; 747396080437</f>
        <v>747396080437</v>
      </c>
      <c r="C1528" t="s">
        <v>3354</v>
      </c>
      <c r="D1528" t="s">
        <v>6943</v>
      </c>
      <c r="E1528" t="s">
        <v>4798</v>
      </c>
      <c r="F1528" t="s">
        <v>2823</v>
      </c>
      <c r="G1528">
        <v>1</v>
      </c>
      <c r="H1528">
        <v>1</v>
      </c>
      <c r="I1528" t="s">
        <v>97</v>
      </c>
      <c r="J1528" s="10">
        <v>129</v>
      </c>
      <c r="K1528" s="10">
        <v>387</v>
      </c>
      <c r="L1528" s="10">
        <v>0</v>
      </c>
      <c r="N1528" s="10">
        <v>0</v>
      </c>
      <c r="O1528" t="s">
        <v>99</v>
      </c>
      <c r="P1528" s="10">
        <v>259.95</v>
      </c>
      <c r="S1528">
        <v>19.5</v>
      </c>
      <c r="U1528">
        <v>10.5</v>
      </c>
      <c r="V1528">
        <v>5.5</v>
      </c>
      <c r="W1528">
        <v>5.07</v>
      </c>
      <c r="X1528">
        <v>1</v>
      </c>
      <c r="Y1528">
        <v>23</v>
      </c>
      <c r="Z1528">
        <v>13</v>
      </c>
      <c r="AA1528">
        <v>8.75</v>
      </c>
      <c r="AB1528">
        <v>1.514</v>
      </c>
      <c r="AC1528">
        <v>7.94</v>
      </c>
      <c r="AE1528">
        <v>2</v>
      </c>
      <c r="AF1528" t="s">
        <v>308</v>
      </c>
      <c r="AG1528">
        <v>60</v>
      </c>
      <c r="AK1528" t="s">
        <v>98</v>
      </c>
      <c r="AM1528" t="s">
        <v>98</v>
      </c>
      <c r="AN1528" t="s">
        <v>99</v>
      </c>
      <c r="AO1528" t="s">
        <v>98</v>
      </c>
      <c r="AP1528" t="s">
        <v>100</v>
      </c>
      <c r="AQ1528" t="s">
        <v>101</v>
      </c>
      <c r="AV1528" t="s">
        <v>98</v>
      </c>
      <c r="AX1528" t="s">
        <v>4226</v>
      </c>
      <c r="AZ1528" t="s">
        <v>124</v>
      </c>
      <c r="BB1528" t="s">
        <v>4917</v>
      </c>
      <c r="BC1528" t="s">
        <v>7624</v>
      </c>
      <c r="BD1528" t="s">
        <v>7528</v>
      </c>
      <c r="BF1528" t="s">
        <v>4840</v>
      </c>
      <c r="BG1528" t="s">
        <v>98</v>
      </c>
      <c r="BH1528" t="s">
        <v>98</v>
      </c>
      <c r="BI1528" t="s">
        <v>98</v>
      </c>
      <c r="BJ1528" t="s">
        <v>99</v>
      </c>
      <c r="BK1528" t="s">
        <v>453</v>
      </c>
      <c r="BL1528" t="s">
        <v>236</v>
      </c>
      <c r="BR1528">
        <v>19.5</v>
      </c>
      <c r="BT1528">
        <v>10.5</v>
      </c>
      <c r="CA1528">
        <v>8887</v>
      </c>
      <c r="CB1528" t="s">
        <v>4226</v>
      </c>
      <c r="CG1528">
        <v>0</v>
      </c>
      <c r="CL1528" t="s">
        <v>99</v>
      </c>
      <c r="CM1528" t="s">
        <v>98</v>
      </c>
      <c r="CN1528" t="s">
        <v>3198</v>
      </c>
      <c r="CO1528" s="1">
        <v>40722</v>
      </c>
      <c r="CP1528" s="1">
        <v>43633</v>
      </c>
    </row>
    <row r="1529" spans="1:94" x14ac:dyDescent="0.25">
      <c r="A1529" t="s">
        <v>4841</v>
      </c>
      <c r="B1529" t="str">
        <f xml:space="preserve"> "" &amp; 747396080444</f>
        <v>747396080444</v>
      </c>
      <c r="C1529" t="s">
        <v>1346</v>
      </c>
      <c r="D1529" t="s">
        <v>6944</v>
      </c>
      <c r="E1529" t="s">
        <v>4798</v>
      </c>
      <c r="F1529" t="s">
        <v>2823</v>
      </c>
      <c r="G1529">
        <v>1</v>
      </c>
      <c r="H1529">
        <v>1</v>
      </c>
      <c r="I1529" t="s">
        <v>97</v>
      </c>
      <c r="J1529" s="10">
        <v>119</v>
      </c>
      <c r="K1529" s="10">
        <v>357</v>
      </c>
      <c r="L1529" s="10">
        <v>0</v>
      </c>
      <c r="N1529" s="10">
        <v>0</v>
      </c>
      <c r="O1529" t="s">
        <v>99</v>
      </c>
      <c r="P1529" s="10">
        <v>239.95</v>
      </c>
      <c r="S1529">
        <v>7</v>
      </c>
      <c r="U1529">
        <v>12.75</v>
      </c>
      <c r="W1529">
        <v>5.31</v>
      </c>
      <c r="X1529">
        <v>1</v>
      </c>
      <c r="Y1529">
        <v>10.5</v>
      </c>
      <c r="Z1529">
        <v>16</v>
      </c>
      <c r="AA1529">
        <v>16</v>
      </c>
      <c r="AB1529">
        <v>1.556</v>
      </c>
      <c r="AC1529">
        <v>8.14</v>
      </c>
      <c r="AE1529">
        <v>3</v>
      </c>
      <c r="AF1529" t="s">
        <v>308</v>
      </c>
      <c r="AG1529">
        <v>40</v>
      </c>
      <c r="AK1529" t="s">
        <v>98</v>
      </c>
      <c r="AM1529" t="s">
        <v>98</v>
      </c>
      <c r="AN1529" t="s">
        <v>99</v>
      </c>
      <c r="AO1529" t="s">
        <v>98</v>
      </c>
      <c r="AP1529" t="s">
        <v>100</v>
      </c>
      <c r="AQ1529" t="s">
        <v>101</v>
      </c>
      <c r="AV1529" t="s">
        <v>98</v>
      </c>
      <c r="AX1529" t="s">
        <v>4268</v>
      </c>
      <c r="AZ1529" t="s">
        <v>124</v>
      </c>
      <c r="BB1529" t="s">
        <v>4917</v>
      </c>
      <c r="BC1529" t="s">
        <v>7624</v>
      </c>
      <c r="BD1529" t="s">
        <v>7528</v>
      </c>
      <c r="BF1529" t="s">
        <v>4842</v>
      </c>
      <c r="BG1529" t="s">
        <v>98</v>
      </c>
      <c r="BH1529" t="s">
        <v>98</v>
      </c>
      <c r="BI1529" t="s">
        <v>98</v>
      </c>
      <c r="BK1529" t="s">
        <v>127</v>
      </c>
      <c r="BL1529" t="s">
        <v>7528</v>
      </c>
      <c r="BR1529">
        <v>0</v>
      </c>
      <c r="BT1529">
        <v>0</v>
      </c>
      <c r="CA1529">
        <v>8889</v>
      </c>
      <c r="CB1529" t="s">
        <v>4268</v>
      </c>
      <c r="CG1529">
        <v>0</v>
      </c>
      <c r="CL1529" t="s">
        <v>99</v>
      </c>
      <c r="CM1529" t="s">
        <v>98</v>
      </c>
      <c r="CN1529" t="s">
        <v>3198</v>
      </c>
      <c r="CO1529" s="1">
        <v>40711</v>
      </c>
      <c r="CP1529" s="1">
        <v>43633</v>
      </c>
    </row>
    <row r="1530" spans="1:94" x14ac:dyDescent="0.25">
      <c r="A1530" t="s">
        <v>4843</v>
      </c>
      <c r="B1530" t="str">
        <f xml:space="preserve"> "" &amp; 747396080451</f>
        <v>747396080451</v>
      </c>
      <c r="C1530" t="s">
        <v>1346</v>
      </c>
      <c r="D1530" t="s">
        <v>6944</v>
      </c>
      <c r="E1530" t="s">
        <v>4798</v>
      </c>
      <c r="F1530" t="s">
        <v>2823</v>
      </c>
      <c r="G1530">
        <v>1</v>
      </c>
      <c r="H1530">
        <v>1</v>
      </c>
      <c r="I1530" t="s">
        <v>97</v>
      </c>
      <c r="J1530" s="10">
        <v>119</v>
      </c>
      <c r="K1530" s="10">
        <v>357</v>
      </c>
      <c r="L1530" s="10">
        <v>0</v>
      </c>
      <c r="N1530" s="10">
        <v>0</v>
      </c>
      <c r="O1530" t="s">
        <v>99</v>
      </c>
      <c r="P1530" s="10">
        <v>239.95</v>
      </c>
      <c r="S1530">
        <v>7</v>
      </c>
      <c r="U1530">
        <v>12.75</v>
      </c>
      <c r="W1530">
        <v>5.31</v>
      </c>
      <c r="X1530">
        <v>1</v>
      </c>
      <c r="Y1530">
        <v>10.5</v>
      </c>
      <c r="Z1530">
        <v>16</v>
      </c>
      <c r="AA1530">
        <v>16</v>
      </c>
      <c r="AB1530">
        <v>1.556</v>
      </c>
      <c r="AC1530">
        <v>8.14</v>
      </c>
      <c r="AE1530">
        <v>3</v>
      </c>
      <c r="AF1530" t="s">
        <v>308</v>
      </c>
      <c r="AG1530">
        <v>40</v>
      </c>
      <c r="AK1530" t="s">
        <v>98</v>
      </c>
      <c r="AM1530" t="s">
        <v>98</v>
      </c>
      <c r="AN1530" t="s">
        <v>99</v>
      </c>
      <c r="AO1530" t="s">
        <v>98</v>
      </c>
      <c r="AP1530" t="s">
        <v>100</v>
      </c>
      <c r="AQ1530" t="s">
        <v>101</v>
      </c>
      <c r="AV1530" t="s">
        <v>98</v>
      </c>
      <c r="AX1530" t="s">
        <v>4226</v>
      </c>
      <c r="AZ1530" t="s">
        <v>124</v>
      </c>
      <c r="BB1530" t="s">
        <v>4917</v>
      </c>
      <c r="BC1530" t="s">
        <v>7624</v>
      </c>
      <c r="BD1530" t="s">
        <v>7528</v>
      </c>
      <c r="BF1530" t="s">
        <v>4844</v>
      </c>
      <c r="BG1530" t="s">
        <v>98</v>
      </c>
      <c r="BH1530" t="s">
        <v>98</v>
      </c>
      <c r="BI1530" t="s">
        <v>98</v>
      </c>
      <c r="BK1530" t="s">
        <v>127</v>
      </c>
      <c r="BL1530" t="s">
        <v>7528</v>
      </c>
      <c r="BR1530">
        <v>0</v>
      </c>
      <c r="BT1530">
        <v>0</v>
      </c>
      <c r="CA1530">
        <v>8889</v>
      </c>
      <c r="CB1530" t="s">
        <v>4226</v>
      </c>
      <c r="CG1530">
        <v>0</v>
      </c>
      <c r="CL1530" t="s">
        <v>99</v>
      </c>
      <c r="CM1530" t="s">
        <v>98</v>
      </c>
      <c r="CN1530" t="s">
        <v>3198</v>
      </c>
      <c r="CO1530" s="1">
        <v>40711</v>
      </c>
      <c r="CP1530" s="1">
        <v>43633</v>
      </c>
    </row>
    <row r="1531" spans="1:94" x14ac:dyDescent="0.25">
      <c r="A1531" t="s">
        <v>4845</v>
      </c>
      <c r="B1531" t="str">
        <f xml:space="preserve"> "" &amp; 747396010755</f>
        <v>747396010755</v>
      </c>
      <c r="C1531" t="s">
        <v>1550</v>
      </c>
      <c r="D1531" t="s">
        <v>6945</v>
      </c>
      <c r="E1531" t="s">
        <v>4846</v>
      </c>
      <c r="F1531" t="s">
        <v>2823</v>
      </c>
      <c r="G1531">
        <v>1</v>
      </c>
      <c r="H1531">
        <v>1</v>
      </c>
      <c r="I1531" t="s">
        <v>97</v>
      </c>
      <c r="J1531" s="10">
        <v>89</v>
      </c>
      <c r="K1531" s="10">
        <v>267</v>
      </c>
      <c r="L1531" s="10">
        <v>0</v>
      </c>
      <c r="N1531" s="10">
        <v>0</v>
      </c>
      <c r="O1531" t="s">
        <v>99</v>
      </c>
      <c r="P1531" s="10">
        <v>179.95</v>
      </c>
      <c r="S1531">
        <v>19.5</v>
      </c>
      <c r="U1531">
        <v>6.75</v>
      </c>
      <c r="V1531">
        <v>9.75</v>
      </c>
      <c r="W1531">
        <v>4.45</v>
      </c>
      <c r="X1531">
        <v>1</v>
      </c>
      <c r="Y1531">
        <v>21.25</v>
      </c>
      <c r="Z1531">
        <v>11.38</v>
      </c>
      <c r="AA1531">
        <v>8.6300000000000008</v>
      </c>
      <c r="AB1531">
        <v>1.208</v>
      </c>
      <c r="AC1531">
        <v>6.48</v>
      </c>
      <c r="AE1531">
        <v>2</v>
      </c>
      <c r="AF1531" t="s">
        <v>308</v>
      </c>
      <c r="AG1531">
        <v>40</v>
      </c>
      <c r="AH1531">
        <v>0</v>
      </c>
      <c r="AJ1531">
        <v>0</v>
      </c>
      <c r="AK1531" t="s">
        <v>98</v>
      </c>
      <c r="AM1531" t="s">
        <v>98</v>
      </c>
      <c r="AN1531" t="s">
        <v>98</v>
      </c>
      <c r="AO1531" t="s">
        <v>99</v>
      </c>
      <c r="AP1531" t="s">
        <v>100</v>
      </c>
      <c r="AQ1531" t="s">
        <v>101</v>
      </c>
      <c r="AV1531" t="s">
        <v>98</v>
      </c>
      <c r="AX1531" t="s">
        <v>4233</v>
      </c>
      <c r="AZ1531" t="s">
        <v>124</v>
      </c>
      <c r="BB1531" t="s">
        <v>5833</v>
      </c>
      <c r="BC1531" t="s">
        <v>4964</v>
      </c>
      <c r="BD1531" t="s">
        <v>7528</v>
      </c>
      <c r="BF1531" t="s">
        <v>4847</v>
      </c>
      <c r="BG1531" t="s">
        <v>98</v>
      </c>
      <c r="BH1531" t="s">
        <v>98</v>
      </c>
      <c r="BI1531" t="s">
        <v>98</v>
      </c>
      <c r="BJ1531" t="s">
        <v>99</v>
      </c>
      <c r="BK1531" t="s">
        <v>453</v>
      </c>
      <c r="BL1531" t="s">
        <v>236</v>
      </c>
      <c r="BR1531">
        <v>14.13</v>
      </c>
      <c r="BT1531">
        <v>6</v>
      </c>
      <c r="CA1531">
        <v>8900</v>
      </c>
      <c r="CB1531" t="s">
        <v>4233</v>
      </c>
      <c r="CG1531">
        <v>0</v>
      </c>
      <c r="CL1531" t="s">
        <v>99</v>
      </c>
      <c r="CM1531" t="s">
        <v>98</v>
      </c>
      <c r="CN1531" t="s">
        <v>3227</v>
      </c>
      <c r="CO1531" s="1">
        <v>39604</v>
      </c>
      <c r="CP1531" s="1">
        <v>43633</v>
      </c>
    </row>
    <row r="1532" spans="1:94" x14ac:dyDescent="0.25">
      <c r="A1532" t="s">
        <v>4848</v>
      </c>
      <c r="B1532" t="str">
        <f xml:space="preserve"> "" &amp; 747396010762</f>
        <v>747396010762</v>
      </c>
      <c r="C1532" t="s">
        <v>1799</v>
      </c>
      <c r="D1532" t="s">
        <v>6946</v>
      </c>
      <c r="E1532" t="s">
        <v>4846</v>
      </c>
      <c r="F1532" t="s">
        <v>2823</v>
      </c>
      <c r="G1532">
        <v>1</v>
      </c>
      <c r="H1532">
        <v>1</v>
      </c>
      <c r="I1532" t="s">
        <v>97</v>
      </c>
      <c r="J1532" s="10">
        <v>169</v>
      </c>
      <c r="K1532" s="10">
        <v>507</v>
      </c>
      <c r="L1532" s="10">
        <v>0</v>
      </c>
      <c r="N1532" s="10">
        <v>0</v>
      </c>
      <c r="O1532" t="s">
        <v>99</v>
      </c>
      <c r="P1532" s="10">
        <v>339.95</v>
      </c>
      <c r="S1532">
        <v>28</v>
      </c>
      <c r="U1532">
        <v>9.75</v>
      </c>
      <c r="V1532">
        <v>13.75</v>
      </c>
      <c r="W1532">
        <v>11.6</v>
      </c>
      <c r="X1532">
        <v>1</v>
      </c>
      <c r="Y1532">
        <v>29.75</v>
      </c>
      <c r="Z1532">
        <v>16.5</v>
      </c>
      <c r="AA1532">
        <v>11</v>
      </c>
      <c r="AB1532">
        <v>3.125</v>
      </c>
      <c r="AC1532">
        <v>15.04</v>
      </c>
      <c r="AE1532">
        <v>3</v>
      </c>
      <c r="AF1532" t="s">
        <v>308</v>
      </c>
      <c r="AG1532">
        <v>40</v>
      </c>
      <c r="AH1532">
        <v>0</v>
      </c>
      <c r="AJ1532">
        <v>0</v>
      </c>
      <c r="AK1532" t="s">
        <v>98</v>
      </c>
      <c r="AM1532" t="s">
        <v>98</v>
      </c>
      <c r="AN1532" t="s">
        <v>98</v>
      </c>
      <c r="AO1532" t="s">
        <v>99</v>
      </c>
      <c r="AP1532" t="s">
        <v>100</v>
      </c>
      <c r="AQ1532" t="s">
        <v>101</v>
      </c>
      <c r="AV1532" t="s">
        <v>98</v>
      </c>
      <c r="AX1532" t="s">
        <v>4233</v>
      </c>
      <c r="AZ1532" t="s">
        <v>124</v>
      </c>
      <c r="BB1532" t="s">
        <v>5833</v>
      </c>
      <c r="BC1532" t="s">
        <v>4964</v>
      </c>
      <c r="BD1532" t="s">
        <v>7528</v>
      </c>
      <c r="BF1532" t="s">
        <v>4849</v>
      </c>
      <c r="BG1532" t="s">
        <v>98</v>
      </c>
      <c r="BH1532" t="s">
        <v>98</v>
      </c>
      <c r="BI1532" t="s">
        <v>98</v>
      </c>
      <c r="BJ1532" t="s">
        <v>99</v>
      </c>
      <c r="BK1532" t="s">
        <v>453</v>
      </c>
      <c r="BL1532" t="s">
        <v>236</v>
      </c>
      <c r="BR1532">
        <v>22</v>
      </c>
      <c r="BT1532">
        <v>6</v>
      </c>
      <c r="CA1532">
        <v>8901</v>
      </c>
      <c r="CB1532" t="s">
        <v>4233</v>
      </c>
      <c r="CG1532">
        <v>0</v>
      </c>
      <c r="CL1532" t="s">
        <v>99</v>
      </c>
      <c r="CM1532" t="s">
        <v>98</v>
      </c>
      <c r="CN1532" t="s">
        <v>3227</v>
      </c>
      <c r="CO1532" s="1">
        <v>39604</v>
      </c>
      <c r="CP1532" s="1">
        <v>43633</v>
      </c>
    </row>
    <row r="1533" spans="1:94" x14ac:dyDescent="0.25">
      <c r="A1533" t="s">
        <v>4850</v>
      </c>
      <c r="B1533" t="str">
        <f xml:space="preserve"> "" &amp; 747396620169</f>
        <v>747396620169</v>
      </c>
      <c r="C1533" t="s">
        <v>1799</v>
      </c>
      <c r="D1533" t="s">
        <v>6946</v>
      </c>
      <c r="E1533" t="s">
        <v>4846</v>
      </c>
      <c r="F1533" t="s">
        <v>2823</v>
      </c>
      <c r="G1533">
        <v>1</v>
      </c>
      <c r="H1533">
        <v>1</v>
      </c>
      <c r="I1533" t="s">
        <v>97</v>
      </c>
      <c r="J1533" s="10">
        <v>169</v>
      </c>
      <c r="K1533" s="10">
        <v>507</v>
      </c>
      <c r="L1533" s="10">
        <v>0</v>
      </c>
      <c r="N1533" s="10">
        <v>0</v>
      </c>
      <c r="O1533" t="s">
        <v>99</v>
      </c>
      <c r="P1533" s="10">
        <v>339.95</v>
      </c>
      <c r="S1533">
        <v>27.5</v>
      </c>
      <c r="U1533">
        <v>9.75</v>
      </c>
      <c r="V1533">
        <v>13.75</v>
      </c>
      <c r="W1533">
        <v>11.29</v>
      </c>
      <c r="X1533">
        <v>1</v>
      </c>
      <c r="Y1533">
        <v>29.75</v>
      </c>
      <c r="Z1533">
        <v>16.5</v>
      </c>
      <c r="AA1533">
        <v>11</v>
      </c>
      <c r="AB1533">
        <v>3.125</v>
      </c>
      <c r="AC1533">
        <v>15.04</v>
      </c>
      <c r="AE1533">
        <v>3</v>
      </c>
      <c r="AF1533" t="s">
        <v>519</v>
      </c>
      <c r="AG1533">
        <v>40</v>
      </c>
      <c r="AK1533" t="s">
        <v>98</v>
      </c>
      <c r="AM1533" t="s">
        <v>98</v>
      </c>
      <c r="AN1533" t="s">
        <v>98</v>
      </c>
      <c r="AO1533" t="s">
        <v>99</v>
      </c>
      <c r="AP1533" t="s">
        <v>100</v>
      </c>
      <c r="AQ1533" t="s">
        <v>101</v>
      </c>
      <c r="AV1533" t="s">
        <v>98</v>
      </c>
      <c r="AX1533" t="s">
        <v>4233</v>
      </c>
      <c r="AZ1533" t="s">
        <v>124</v>
      </c>
      <c r="BB1533" t="s">
        <v>235</v>
      </c>
      <c r="BC1533" t="s">
        <v>746</v>
      </c>
      <c r="BD1533" t="s">
        <v>7528</v>
      </c>
      <c r="BF1533" t="s">
        <v>4851</v>
      </c>
      <c r="BG1533" t="s">
        <v>98</v>
      </c>
      <c r="BH1533" t="s">
        <v>98</v>
      </c>
      <c r="BI1533" t="s">
        <v>98</v>
      </c>
      <c r="BJ1533" t="s">
        <v>99</v>
      </c>
      <c r="BK1533" t="s">
        <v>453</v>
      </c>
      <c r="BL1533" t="s">
        <v>128</v>
      </c>
      <c r="BR1533">
        <v>21.75</v>
      </c>
      <c r="BT1533">
        <v>6</v>
      </c>
      <c r="CA1533">
        <v>8902</v>
      </c>
      <c r="CB1533" t="s">
        <v>4233</v>
      </c>
      <c r="CL1533" t="s">
        <v>99</v>
      </c>
      <c r="CM1533" t="s">
        <v>98</v>
      </c>
      <c r="CN1533" t="s">
        <v>7528</v>
      </c>
      <c r="CO1533" s="1">
        <v>39604</v>
      </c>
      <c r="CP1533" s="1">
        <v>43633</v>
      </c>
    </row>
    <row r="1534" spans="1:94" x14ac:dyDescent="0.25">
      <c r="A1534" t="s">
        <v>4852</v>
      </c>
      <c r="B1534" t="str">
        <f xml:space="preserve"> "" &amp; 747396320304</f>
        <v>747396320304</v>
      </c>
      <c r="C1534" t="s">
        <v>3663</v>
      </c>
      <c r="D1534" t="s">
        <v>6947</v>
      </c>
      <c r="E1534" t="s">
        <v>4846</v>
      </c>
      <c r="F1534" t="s">
        <v>2823</v>
      </c>
      <c r="G1534">
        <v>1</v>
      </c>
      <c r="H1534">
        <v>1</v>
      </c>
      <c r="I1534" t="s">
        <v>97</v>
      </c>
      <c r="J1534" s="10">
        <v>162</v>
      </c>
      <c r="K1534" s="10">
        <v>486</v>
      </c>
      <c r="L1534" s="10">
        <v>0</v>
      </c>
      <c r="N1534" s="10">
        <v>0</v>
      </c>
      <c r="O1534" t="s">
        <v>99</v>
      </c>
      <c r="P1534" s="10">
        <v>324.95</v>
      </c>
      <c r="S1534">
        <v>30.25</v>
      </c>
      <c r="U1534">
        <v>12</v>
      </c>
      <c r="W1534">
        <v>9.81</v>
      </c>
      <c r="X1534">
        <v>1</v>
      </c>
      <c r="Y1534">
        <v>32.25</v>
      </c>
      <c r="Z1534">
        <v>13.75</v>
      </c>
      <c r="AA1534">
        <v>13.75</v>
      </c>
      <c r="AB1534">
        <v>3.5289999999999999</v>
      </c>
      <c r="AC1534">
        <v>13.56</v>
      </c>
      <c r="AE1534">
        <v>4</v>
      </c>
      <c r="AF1534" t="s">
        <v>308</v>
      </c>
      <c r="AG1534">
        <v>40</v>
      </c>
      <c r="AH1534">
        <v>0</v>
      </c>
      <c r="AK1534" t="s">
        <v>98</v>
      </c>
      <c r="AM1534" t="s">
        <v>98</v>
      </c>
      <c r="AN1534" t="s">
        <v>98</v>
      </c>
      <c r="AO1534" t="s">
        <v>99</v>
      </c>
      <c r="AP1534" t="s">
        <v>100</v>
      </c>
      <c r="AQ1534" t="s">
        <v>101</v>
      </c>
      <c r="AV1534" t="s">
        <v>98</v>
      </c>
      <c r="AX1534" t="s">
        <v>4233</v>
      </c>
      <c r="AZ1534" t="s">
        <v>124</v>
      </c>
      <c r="BB1534" t="s">
        <v>5833</v>
      </c>
      <c r="BC1534" t="s">
        <v>4964</v>
      </c>
      <c r="BD1534" t="s">
        <v>7528</v>
      </c>
      <c r="BF1534" t="s">
        <v>4853</v>
      </c>
      <c r="BG1534" t="s">
        <v>98</v>
      </c>
      <c r="BH1534" t="s">
        <v>98</v>
      </c>
      <c r="BI1534" t="s">
        <v>98</v>
      </c>
      <c r="BK1534" t="s">
        <v>127</v>
      </c>
      <c r="BL1534" t="s">
        <v>7528</v>
      </c>
      <c r="BR1534">
        <v>0</v>
      </c>
      <c r="BT1534">
        <v>5.13</v>
      </c>
      <c r="CA1534">
        <v>8904</v>
      </c>
      <c r="CB1534" t="s">
        <v>4233</v>
      </c>
      <c r="CG1534">
        <v>0</v>
      </c>
      <c r="CL1534" t="s">
        <v>99</v>
      </c>
      <c r="CM1534" t="s">
        <v>99</v>
      </c>
      <c r="CN1534" t="s">
        <v>3227</v>
      </c>
      <c r="CO1534" s="1">
        <v>39605</v>
      </c>
      <c r="CP1534" s="1">
        <v>43633</v>
      </c>
    </row>
    <row r="1535" spans="1:94" x14ac:dyDescent="0.25">
      <c r="A1535" t="s">
        <v>4854</v>
      </c>
      <c r="B1535" t="str">
        <f xml:space="preserve"> "" &amp; 747396010809</f>
        <v>747396010809</v>
      </c>
      <c r="C1535" t="s">
        <v>1550</v>
      </c>
      <c r="D1535" t="s">
        <v>6945</v>
      </c>
      <c r="E1535" t="s">
        <v>4846</v>
      </c>
      <c r="F1535" t="s">
        <v>2823</v>
      </c>
      <c r="G1535">
        <v>1</v>
      </c>
      <c r="H1535">
        <v>1</v>
      </c>
      <c r="I1535" t="s">
        <v>97</v>
      </c>
      <c r="J1535" s="10">
        <v>79</v>
      </c>
      <c r="K1535" s="10">
        <v>237</v>
      </c>
      <c r="L1535" s="10">
        <v>0</v>
      </c>
      <c r="N1535" s="10">
        <v>0</v>
      </c>
      <c r="O1535" t="s">
        <v>99</v>
      </c>
      <c r="P1535" s="10">
        <v>159.94999999999999</v>
      </c>
      <c r="S1535">
        <v>18.25</v>
      </c>
      <c r="U1535">
        <v>6.75</v>
      </c>
      <c r="V1535">
        <v>7.75</v>
      </c>
      <c r="W1535">
        <v>3.15</v>
      </c>
      <c r="X1535">
        <v>1</v>
      </c>
      <c r="Y1535">
        <v>20.25</v>
      </c>
      <c r="Z1535">
        <v>9.8800000000000008</v>
      </c>
      <c r="AA1535">
        <v>9</v>
      </c>
      <c r="AB1535">
        <v>1.042</v>
      </c>
      <c r="AC1535">
        <v>5.16</v>
      </c>
      <c r="AE1535">
        <v>2</v>
      </c>
      <c r="AF1535" t="s">
        <v>308</v>
      </c>
      <c r="AG1535">
        <v>40</v>
      </c>
      <c r="AH1535">
        <v>0</v>
      </c>
      <c r="AK1535" t="s">
        <v>98</v>
      </c>
      <c r="AM1535" t="s">
        <v>98</v>
      </c>
      <c r="AN1535" t="s">
        <v>98</v>
      </c>
      <c r="AO1535" t="s">
        <v>99</v>
      </c>
      <c r="AP1535" t="s">
        <v>100</v>
      </c>
      <c r="AQ1535" t="s">
        <v>101</v>
      </c>
      <c r="AV1535" t="s">
        <v>98</v>
      </c>
      <c r="AX1535" t="s">
        <v>4233</v>
      </c>
      <c r="AZ1535" t="s">
        <v>124</v>
      </c>
      <c r="BB1535" t="s">
        <v>5833</v>
      </c>
      <c r="BC1535" t="s">
        <v>4964</v>
      </c>
      <c r="BD1535" t="s">
        <v>7528</v>
      </c>
      <c r="BF1535" t="s">
        <v>4855</v>
      </c>
      <c r="BG1535" t="s">
        <v>98</v>
      </c>
      <c r="BH1535" t="s">
        <v>98</v>
      </c>
      <c r="BI1535" t="s">
        <v>98</v>
      </c>
      <c r="BJ1535" t="s">
        <v>99</v>
      </c>
      <c r="BK1535" t="s">
        <v>453</v>
      </c>
      <c r="BL1535" t="s">
        <v>128</v>
      </c>
      <c r="BR1535">
        <v>9.25</v>
      </c>
      <c r="BT1535">
        <v>6.25</v>
      </c>
      <c r="CA1535">
        <v>8905</v>
      </c>
      <c r="CB1535" t="s">
        <v>4233</v>
      </c>
      <c r="CG1535">
        <v>0</v>
      </c>
      <c r="CL1535" t="s">
        <v>99</v>
      </c>
      <c r="CM1535" t="s">
        <v>98</v>
      </c>
      <c r="CN1535" t="s">
        <v>3227</v>
      </c>
      <c r="CO1535" s="1">
        <v>39605</v>
      </c>
      <c r="CP1535" s="1">
        <v>43633</v>
      </c>
    </row>
    <row r="1536" spans="1:94" x14ac:dyDescent="0.25">
      <c r="A1536" t="s">
        <v>4856</v>
      </c>
      <c r="B1536" t="str">
        <f xml:space="preserve"> "" &amp; 747396010816</f>
        <v>747396010816</v>
      </c>
      <c r="C1536" t="s">
        <v>3677</v>
      </c>
      <c r="D1536" t="s">
        <v>6948</v>
      </c>
      <c r="E1536" t="s">
        <v>4846</v>
      </c>
      <c r="F1536" t="s">
        <v>2823</v>
      </c>
      <c r="G1536">
        <v>1</v>
      </c>
      <c r="H1536">
        <v>1</v>
      </c>
      <c r="I1536" t="s">
        <v>97</v>
      </c>
      <c r="J1536" s="10">
        <v>159</v>
      </c>
      <c r="K1536" s="10">
        <v>477</v>
      </c>
      <c r="L1536" s="10">
        <v>0</v>
      </c>
      <c r="N1536" s="10">
        <v>0</v>
      </c>
      <c r="O1536" t="s">
        <v>99</v>
      </c>
      <c r="P1536" s="10">
        <v>314.95</v>
      </c>
      <c r="S1536">
        <v>33</v>
      </c>
      <c r="U1536">
        <v>12</v>
      </c>
      <c r="W1536">
        <v>8.86</v>
      </c>
      <c r="X1536">
        <v>1</v>
      </c>
      <c r="Y1536">
        <v>35</v>
      </c>
      <c r="Z1536">
        <v>13.75</v>
      </c>
      <c r="AA1536">
        <v>13.25</v>
      </c>
      <c r="AB1536">
        <v>3.69</v>
      </c>
      <c r="AC1536">
        <v>12.99</v>
      </c>
      <c r="AE1536">
        <v>4</v>
      </c>
      <c r="AF1536" t="s">
        <v>308</v>
      </c>
      <c r="AG1536">
        <v>40</v>
      </c>
      <c r="AH1536">
        <v>0</v>
      </c>
      <c r="AK1536" t="s">
        <v>98</v>
      </c>
      <c r="AM1536" t="s">
        <v>98</v>
      </c>
      <c r="AN1536" t="s">
        <v>98</v>
      </c>
      <c r="AO1536" t="s">
        <v>99</v>
      </c>
      <c r="AP1536" t="s">
        <v>100</v>
      </c>
      <c r="AQ1536" t="s">
        <v>101</v>
      </c>
      <c r="AV1536" t="s">
        <v>98</v>
      </c>
      <c r="AX1536" t="s">
        <v>4233</v>
      </c>
      <c r="AZ1536" t="s">
        <v>124</v>
      </c>
      <c r="BB1536" t="s">
        <v>5833</v>
      </c>
      <c r="BC1536" t="s">
        <v>4964</v>
      </c>
      <c r="BD1536" t="s">
        <v>7528</v>
      </c>
      <c r="BF1536" t="s">
        <v>4857</v>
      </c>
      <c r="BG1536" t="s">
        <v>98</v>
      </c>
      <c r="BH1536" t="s">
        <v>98</v>
      </c>
      <c r="BI1536" t="s">
        <v>98</v>
      </c>
      <c r="BJ1536" t="s">
        <v>99</v>
      </c>
      <c r="BK1536" t="s">
        <v>453</v>
      </c>
      <c r="BL1536" t="s">
        <v>7528</v>
      </c>
      <c r="BR1536">
        <v>0</v>
      </c>
      <c r="BT1536">
        <v>0</v>
      </c>
      <c r="CA1536">
        <v>8906</v>
      </c>
      <c r="CB1536" t="s">
        <v>4233</v>
      </c>
      <c r="CG1536">
        <v>0</v>
      </c>
      <c r="CL1536" t="s">
        <v>99</v>
      </c>
      <c r="CM1536" t="s">
        <v>98</v>
      </c>
      <c r="CN1536" t="s">
        <v>3227</v>
      </c>
      <c r="CO1536" s="1">
        <v>39605</v>
      </c>
      <c r="CP1536" s="1">
        <v>43633</v>
      </c>
    </row>
    <row r="1537" spans="1:94" x14ac:dyDescent="0.25">
      <c r="A1537" t="s">
        <v>4858</v>
      </c>
      <c r="B1537" t="str">
        <f xml:space="preserve"> "" &amp; 747396693095</f>
        <v>747396693095</v>
      </c>
      <c r="C1537" t="s">
        <v>1550</v>
      </c>
      <c r="D1537" t="s">
        <v>6945</v>
      </c>
      <c r="E1537" t="s">
        <v>4846</v>
      </c>
      <c r="F1537" t="s">
        <v>2823</v>
      </c>
      <c r="G1537">
        <v>1</v>
      </c>
      <c r="H1537">
        <v>1</v>
      </c>
      <c r="I1537" t="s">
        <v>97</v>
      </c>
      <c r="J1537" s="10">
        <v>92</v>
      </c>
      <c r="K1537" s="10">
        <v>276</v>
      </c>
      <c r="L1537" s="10">
        <v>0</v>
      </c>
      <c r="N1537" s="10">
        <v>0</v>
      </c>
      <c r="O1537" t="s">
        <v>99</v>
      </c>
      <c r="P1537" s="10">
        <v>184.95</v>
      </c>
      <c r="S1537">
        <v>19.5</v>
      </c>
      <c r="U1537">
        <v>6.75</v>
      </c>
      <c r="V1537">
        <v>9.75</v>
      </c>
      <c r="W1537">
        <v>4.43</v>
      </c>
      <c r="X1537">
        <v>1</v>
      </c>
      <c r="Y1537">
        <v>21.25</v>
      </c>
      <c r="Z1537">
        <v>11.38</v>
      </c>
      <c r="AA1537">
        <v>8.6300000000000008</v>
      </c>
      <c r="AB1537">
        <v>1.208</v>
      </c>
      <c r="AC1537">
        <v>5.75</v>
      </c>
      <c r="AE1537">
        <v>2</v>
      </c>
      <c r="AF1537" t="s">
        <v>308</v>
      </c>
      <c r="AG1537">
        <v>40</v>
      </c>
      <c r="AH1537">
        <v>0</v>
      </c>
      <c r="AK1537" t="s">
        <v>98</v>
      </c>
      <c r="AM1537" t="s">
        <v>98</v>
      </c>
      <c r="AN1537" t="s">
        <v>99</v>
      </c>
      <c r="AO1537" t="s">
        <v>98</v>
      </c>
      <c r="AP1537" t="s">
        <v>100</v>
      </c>
      <c r="AQ1537" t="s">
        <v>101</v>
      </c>
      <c r="AV1537" t="s">
        <v>98</v>
      </c>
      <c r="AX1537" t="s">
        <v>4233</v>
      </c>
      <c r="AZ1537" t="s">
        <v>124</v>
      </c>
      <c r="BB1537" t="s">
        <v>5833</v>
      </c>
      <c r="BC1537" t="s">
        <v>4859</v>
      </c>
      <c r="BD1537" t="s">
        <v>7528</v>
      </c>
      <c r="BF1537" t="s">
        <v>4860</v>
      </c>
      <c r="BG1537" t="s">
        <v>98</v>
      </c>
      <c r="BH1537" t="s">
        <v>98</v>
      </c>
      <c r="BI1537" t="s">
        <v>98</v>
      </c>
      <c r="BJ1537" t="s">
        <v>99</v>
      </c>
      <c r="BK1537" t="s">
        <v>453</v>
      </c>
      <c r="BL1537" t="s">
        <v>128</v>
      </c>
      <c r="BM1537">
        <v>6</v>
      </c>
      <c r="BN1537">
        <v>14.25</v>
      </c>
      <c r="CA1537">
        <v>8907</v>
      </c>
      <c r="CB1537" t="s">
        <v>4233</v>
      </c>
      <c r="CL1537" t="s">
        <v>99</v>
      </c>
      <c r="CM1537" t="s">
        <v>98</v>
      </c>
      <c r="CN1537" t="s">
        <v>3227</v>
      </c>
      <c r="CO1537" s="1">
        <v>39605</v>
      </c>
      <c r="CP1537" s="1">
        <v>43633</v>
      </c>
    </row>
    <row r="1538" spans="1:94" x14ac:dyDescent="0.25">
      <c r="A1538" t="s">
        <v>4861</v>
      </c>
      <c r="B1538" t="str">
        <f xml:space="preserve"> "" &amp; 747396620176</f>
        <v>747396620176</v>
      </c>
      <c r="C1538" t="s">
        <v>3394</v>
      </c>
      <c r="D1538" t="s">
        <v>6949</v>
      </c>
      <c r="E1538" t="s">
        <v>4846</v>
      </c>
      <c r="F1538" t="s">
        <v>2823</v>
      </c>
      <c r="G1538">
        <v>1</v>
      </c>
      <c r="H1538">
        <v>1</v>
      </c>
      <c r="I1538" t="s">
        <v>97</v>
      </c>
      <c r="J1538" s="10">
        <v>254</v>
      </c>
      <c r="K1538" s="10">
        <v>762</v>
      </c>
      <c r="L1538" s="10">
        <v>0</v>
      </c>
      <c r="N1538" s="10">
        <v>0</v>
      </c>
      <c r="O1538" t="s">
        <v>99</v>
      </c>
      <c r="P1538" s="10">
        <v>509.95</v>
      </c>
      <c r="S1538">
        <v>34.25</v>
      </c>
      <c r="U1538">
        <v>12</v>
      </c>
      <c r="V1538">
        <v>16.75</v>
      </c>
      <c r="W1538">
        <v>18.63</v>
      </c>
      <c r="X1538">
        <v>1</v>
      </c>
      <c r="Y1538">
        <v>37</v>
      </c>
      <c r="Z1538">
        <v>18.88</v>
      </c>
      <c r="AA1538">
        <v>13.75</v>
      </c>
      <c r="AB1538">
        <v>5.5590000000000002</v>
      </c>
      <c r="AC1538">
        <v>23.92</v>
      </c>
      <c r="AE1538">
        <v>4</v>
      </c>
      <c r="AF1538" t="s">
        <v>308</v>
      </c>
      <c r="AG1538">
        <v>40</v>
      </c>
      <c r="AH1538">
        <v>0</v>
      </c>
      <c r="AK1538" t="s">
        <v>98</v>
      </c>
      <c r="AM1538" t="s">
        <v>98</v>
      </c>
      <c r="AN1538" t="s">
        <v>98</v>
      </c>
      <c r="AO1538" t="s">
        <v>99</v>
      </c>
      <c r="AP1538" t="s">
        <v>100</v>
      </c>
      <c r="AQ1538" t="s">
        <v>101</v>
      </c>
      <c r="AV1538" t="s">
        <v>98</v>
      </c>
      <c r="AX1538" t="s">
        <v>4233</v>
      </c>
      <c r="AZ1538" t="s">
        <v>124</v>
      </c>
      <c r="BB1538" t="s">
        <v>5833</v>
      </c>
      <c r="BC1538" t="s">
        <v>4964</v>
      </c>
      <c r="BD1538" t="s">
        <v>7528</v>
      </c>
      <c r="BF1538" t="s">
        <v>4862</v>
      </c>
      <c r="BG1538" t="s">
        <v>98</v>
      </c>
      <c r="BH1538" t="s">
        <v>98</v>
      </c>
      <c r="BI1538" t="s">
        <v>98</v>
      </c>
      <c r="BJ1538" t="s">
        <v>99</v>
      </c>
      <c r="BK1538" t="s">
        <v>453</v>
      </c>
      <c r="BL1538" t="s">
        <v>128</v>
      </c>
      <c r="BR1538">
        <v>29</v>
      </c>
      <c r="BT1538">
        <v>7.25</v>
      </c>
      <c r="CA1538">
        <v>8908</v>
      </c>
      <c r="CB1538" t="s">
        <v>4233</v>
      </c>
      <c r="CG1538">
        <v>0</v>
      </c>
      <c r="CL1538" t="s">
        <v>99</v>
      </c>
      <c r="CM1538" t="s">
        <v>98</v>
      </c>
      <c r="CN1538" t="s">
        <v>3227</v>
      </c>
      <c r="CO1538" s="1">
        <v>39605</v>
      </c>
      <c r="CP1538" s="1">
        <v>43633</v>
      </c>
    </row>
    <row r="1539" spans="1:94" x14ac:dyDescent="0.25">
      <c r="A1539" t="s">
        <v>4863</v>
      </c>
      <c r="B1539" t="str">
        <f xml:space="preserve"> "" &amp; 747396010847</f>
        <v>747396010847</v>
      </c>
      <c r="C1539" t="s">
        <v>3403</v>
      </c>
      <c r="D1539" t="s">
        <v>6950</v>
      </c>
      <c r="E1539" t="s">
        <v>4846</v>
      </c>
      <c r="F1539" t="s">
        <v>2823</v>
      </c>
      <c r="G1539">
        <v>1</v>
      </c>
      <c r="H1539">
        <v>1</v>
      </c>
      <c r="I1539" t="s">
        <v>97</v>
      </c>
      <c r="J1539" s="10">
        <v>116</v>
      </c>
      <c r="K1539" s="10">
        <v>348</v>
      </c>
      <c r="L1539" s="10">
        <v>0</v>
      </c>
      <c r="N1539" s="10">
        <v>0</v>
      </c>
      <c r="O1539" t="s">
        <v>99</v>
      </c>
      <c r="P1539" s="10">
        <v>229.95</v>
      </c>
      <c r="S1539">
        <v>28</v>
      </c>
      <c r="U1539">
        <v>9.75</v>
      </c>
      <c r="W1539">
        <v>6.53</v>
      </c>
      <c r="X1539">
        <v>1</v>
      </c>
      <c r="Y1539">
        <v>28.38</v>
      </c>
      <c r="Z1539">
        <v>11</v>
      </c>
      <c r="AA1539">
        <v>11</v>
      </c>
      <c r="AB1539">
        <v>1.9870000000000001</v>
      </c>
      <c r="AC1539">
        <v>8.86</v>
      </c>
      <c r="AE1539">
        <v>3</v>
      </c>
      <c r="AF1539" t="s">
        <v>308</v>
      </c>
      <c r="AG1539">
        <v>40</v>
      </c>
      <c r="AH1539">
        <v>0</v>
      </c>
      <c r="AK1539" t="s">
        <v>98</v>
      </c>
      <c r="AM1539" t="s">
        <v>98</v>
      </c>
      <c r="AN1539" t="s">
        <v>98</v>
      </c>
      <c r="AO1539" t="s">
        <v>99</v>
      </c>
      <c r="AP1539" t="s">
        <v>100</v>
      </c>
      <c r="AQ1539" t="s">
        <v>101</v>
      </c>
      <c r="AV1539" t="s">
        <v>98</v>
      </c>
      <c r="AX1539" t="s">
        <v>4233</v>
      </c>
      <c r="AZ1539" t="s">
        <v>124</v>
      </c>
      <c r="BB1539" t="s">
        <v>5833</v>
      </c>
      <c r="BC1539" t="s">
        <v>4964</v>
      </c>
      <c r="BD1539" t="s">
        <v>7528</v>
      </c>
      <c r="BF1539" t="s">
        <v>4864</v>
      </c>
      <c r="BG1539" t="s">
        <v>98</v>
      </c>
      <c r="BH1539" t="s">
        <v>98</v>
      </c>
      <c r="BI1539" t="s">
        <v>98</v>
      </c>
      <c r="BJ1539" t="s">
        <v>99</v>
      </c>
      <c r="BK1539" t="s">
        <v>453</v>
      </c>
      <c r="BL1539" t="s">
        <v>7528</v>
      </c>
      <c r="BR1539">
        <v>0</v>
      </c>
      <c r="BT1539">
        <v>0</v>
      </c>
      <c r="CA1539">
        <v>8909</v>
      </c>
      <c r="CB1539" t="s">
        <v>4233</v>
      </c>
      <c r="CG1539">
        <v>0</v>
      </c>
      <c r="CL1539" t="s">
        <v>99</v>
      </c>
      <c r="CM1539" t="s">
        <v>98</v>
      </c>
      <c r="CN1539" t="s">
        <v>3227</v>
      </c>
      <c r="CO1539" s="1">
        <v>39605</v>
      </c>
      <c r="CP1539" s="1">
        <v>43633</v>
      </c>
    </row>
    <row r="1540" spans="1:94" x14ac:dyDescent="0.25">
      <c r="A1540" t="s">
        <v>4873</v>
      </c>
      <c r="B1540" t="str">
        <f xml:space="preserve"> "" &amp; 747396800806</f>
        <v>747396800806</v>
      </c>
      <c r="C1540" t="s">
        <v>1577</v>
      </c>
      <c r="D1540" t="s">
        <v>6951</v>
      </c>
      <c r="E1540" t="s">
        <v>4874</v>
      </c>
      <c r="F1540" t="s">
        <v>2823</v>
      </c>
      <c r="G1540">
        <v>1</v>
      </c>
      <c r="H1540">
        <v>1</v>
      </c>
      <c r="I1540" t="s">
        <v>97</v>
      </c>
      <c r="J1540" s="10">
        <v>242</v>
      </c>
      <c r="K1540" s="10">
        <v>726</v>
      </c>
      <c r="L1540" s="10">
        <v>0</v>
      </c>
      <c r="N1540" s="10">
        <v>0</v>
      </c>
      <c r="O1540" t="s">
        <v>99</v>
      </c>
      <c r="P1540" s="10">
        <v>484.95</v>
      </c>
      <c r="S1540">
        <v>20.75</v>
      </c>
      <c r="U1540">
        <v>8</v>
      </c>
      <c r="V1540">
        <v>11.25</v>
      </c>
      <c r="W1540">
        <v>9.92</v>
      </c>
      <c r="X1540">
        <v>1</v>
      </c>
      <c r="Y1540">
        <v>24</v>
      </c>
      <c r="Z1540">
        <v>14.5</v>
      </c>
      <c r="AA1540">
        <v>11.5</v>
      </c>
      <c r="AB1540">
        <v>2.3159999999999998</v>
      </c>
      <c r="AC1540">
        <v>12.92</v>
      </c>
      <c r="AE1540">
        <v>1</v>
      </c>
      <c r="AF1540" t="s">
        <v>233</v>
      </c>
      <c r="AG1540">
        <v>100</v>
      </c>
      <c r="AH1540">
        <v>0</v>
      </c>
      <c r="AK1540" t="s">
        <v>98</v>
      </c>
      <c r="AM1540" t="s">
        <v>98</v>
      </c>
      <c r="AN1540" t="s">
        <v>98</v>
      </c>
      <c r="AO1540" t="s">
        <v>98</v>
      </c>
      <c r="AP1540" t="s">
        <v>100</v>
      </c>
      <c r="AQ1540" t="s">
        <v>101</v>
      </c>
      <c r="AR1540" s="2">
        <v>42629</v>
      </c>
      <c r="AV1540" t="s">
        <v>98</v>
      </c>
      <c r="AX1540" t="s">
        <v>4875</v>
      </c>
      <c r="AZ1540" t="s">
        <v>124</v>
      </c>
      <c r="BB1540" t="s">
        <v>7528</v>
      </c>
      <c r="BC1540" t="s">
        <v>7528</v>
      </c>
      <c r="BD1540" t="s">
        <v>7528</v>
      </c>
      <c r="BF1540" t="s">
        <v>4876</v>
      </c>
      <c r="BG1540" t="s">
        <v>98</v>
      </c>
      <c r="BH1540" t="s">
        <v>98</v>
      </c>
      <c r="BI1540" t="s">
        <v>98</v>
      </c>
      <c r="BJ1540" t="s">
        <v>99</v>
      </c>
      <c r="BK1540" t="s">
        <v>453</v>
      </c>
      <c r="BL1540" t="s">
        <v>128</v>
      </c>
      <c r="BR1540">
        <v>10.5</v>
      </c>
      <c r="BT1540">
        <v>6.75</v>
      </c>
      <c r="CA1540">
        <v>8930</v>
      </c>
      <c r="CB1540" t="s">
        <v>4875</v>
      </c>
      <c r="CG1540">
        <v>0</v>
      </c>
      <c r="CL1540" t="s">
        <v>99</v>
      </c>
      <c r="CM1540" t="s">
        <v>98</v>
      </c>
      <c r="CN1540" t="s">
        <v>4259</v>
      </c>
      <c r="CO1540" s="1">
        <v>36389</v>
      </c>
      <c r="CP1540" s="1">
        <v>43633</v>
      </c>
    </row>
    <row r="1541" spans="1:94" x14ac:dyDescent="0.25">
      <c r="A1541" t="s">
        <v>4877</v>
      </c>
      <c r="B1541" t="str">
        <f xml:space="preserve"> "" &amp; 747396800370</f>
        <v>747396800370</v>
      </c>
      <c r="C1541" t="s">
        <v>1550</v>
      </c>
      <c r="D1541" t="s">
        <v>6952</v>
      </c>
      <c r="E1541" t="s">
        <v>4874</v>
      </c>
      <c r="F1541" t="s">
        <v>2823</v>
      </c>
      <c r="G1541">
        <v>1</v>
      </c>
      <c r="H1541">
        <v>1</v>
      </c>
      <c r="I1541" t="s">
        <v>97</v>
      </c>
      <c r="J1541" s="10">
        <v>329</v>
      </c>
      <c r="K1541" s="10">
        <v>987</v>
      </c>
      <c r="L1541" s="10">
        <v>0</v>
      </c>
      <c r="N1541" s="10">
        <v>0</v>
      </c>
      <c r="O1541" t="s">
        <v>99</v>
      </c>
      <c r="P1541" s="10">
        <v>659.95</v>
      </c>
      <c r="S1541">
        <v>25.25</v>
      </c>
      <c r="U1541">
        <v>12.25</v>
      </c>
      <c r="V1541">
        <v>14.25</v>
      </c>
      <c r="W1541">
        <v>16.53</v>
      </c>
      <c r="X1541">
        <v>1</v>
      </c>
      <c r="Y1541">
        <v>28</v>
      </c>
      <c r="Z1541">
        <v>17.38</v>
      </c>
      <c r="AA1541">
        <v>14.63</v>
      </c>
      <c r="AB1541">
        <v>4.12</v>
      </c>
      <c r="AC1541">
        <v>21.23</v>
      </c>
      <c r="AE1541">
        <v>2</v>
      </c>
      <c r="AF1541" t="s">
        <v>308</v>
      </c>
      <c r="AG1541">
        <v>60</v>
      </c>
      <c r="AH1541">
        <v>0</v>
      </c>
      <c r="AK1541" t="s">
        <v>98</v>
      </c>
      <c r="AM1541" t="s">
        <v>98</v>
      </c>
      <c r="AN1541" t="s">
        <v>99</v>
      </c>
      <c r="AO1541" t="s">
        <v>98</v>
      </c>
      <c r="AP1541" t="s">
        <v>100</v>
      </c>
      <c r="AQ1541" t="s">
        <v>101</v>
      </c>
      <c r="AV1541" t="s">
        <v>98</v>
      </c>
      <c r="AX1541" t="s">
        <v>4875</v>
      </c>
      <c r="AZ1541" t="s">
        <v>124</v>
      </c>
      <c r="BB1541" t="s">
        <v>235</v>
      </c>
      <c r="BC1541" t="s">
        <v>4697</v>
      </c>
      <c r="BD1541" t="s">
        <v>7528</v>
      </c>
      <c r="BF1541" t="s">
        <v>4878</v>
      </c>
      <c r="BG1541" t="s">
        <v>98</v>
      </c>
      <c r="BH1541" t="s">
        <v>98</v>
      </c>
      <c r="BI1541" t="s">
        <v>98</v>
      </c>
      <c r="BJ1541" t="s">
        <v>99</v>
      </c>
      <c r="BK1541" t="s">
        <v>453</v>
      </c>
      <c r="BL1541" t="s">
        <v>128</v>
      </c>
      <c r="BR1541">
        <v>12.5</v>
      </c>
      <c r="BT1541">
        <v>6.5</v>
      </c>
      <c r="CA1541">
        <v>8931</v>
      </c>
      <c r="CB1541" t="s">
        <v>4875</v>
      </c>
      <c r="CG1541">
        <v>0</v>
      </c>
      <c r="CL1541" t="s">
        <v>99</v>
      </c>
      <c r="CM1541" t="s">
        <v>98</v>
      </c>
      <c r="CN1541" t="s">
        <v>4259</v>
      </c>
      <c r="CO1541" s="1">
        <v>36389</v>
      </c>
      <c r="CP1541" s="1">
        <v>43633</v>
      </c>
    </row>
    <row r="1542" spans="1:94" x14ac:dyDescent="0.25">
      <c r="A1542" t="s">
        <v>4879</v>
      </c>
      <c r="B1542" t="str">
        <f xml:space="preserve"> "" &amp; 747396800790</f>
        <v>747396800790</v>
      </c>
      <c r="C1542" t="s">
        <v>3394</v>
      </c>
      <c r="D1542" t="s">
        <v>6953</v>
      </c>
      <c r="E1542" t="s">
        <v>4874</v>
      </c>
      <c r="F1542" t="s">
        <v>2823</v>
      </c>
      <c r="G1542">
        <v>1</v>
      </c>
      <c r="H1542">
        <v>1</v>
      </c>
      <c r="I1542" t="s">
        <v>97</v>
      </c>
      <c r="J1542" s="10">
        <v>469</v>
      </c>
      <c r="K1542" s="10">
        <v>1407</v>
      </c>
      <c r="L1542" s="10">
        <v>0</v>
      </c>
      <c r="N1542" s="10">
        <v>0</v>
      </c>
      <c r="O1542" t="s">
        <v>99</v>
      </c>
      <c r="P1542" s="10">
        <v>939.95</v>
      </c>
      <c r="S1542">
        <v>33.5</v>
      </c>
      <c r="U1542">
        <v>13.75</v>
      </c>
      <c r="V1542">
        <v>16.75</v>
      </c>
      <c r="W1542">
        <v>22.66</v>
      </c>
      <c r="X1542">
        <v>1</v>
      </c>
      <c r="Y1542">
        <v>36</v>
      </c>
      <c r="Z1542">
        <v>20</v>
      </c>
      <c r="AA1542">
        <v>16</v>
      </c>
      <c r="AB1542">
        <v>6.6669999999999998</v>
      </c>
      <c r="AC1542">
        <v>29.12</v>
      </c>
      <c r="AE1542">
        <v>4</v>
      </c>
      <c r="AF1542" t="s">
        <v>308</v>
      </c>
      <c r="AG1542">
        <v>40</v>
      </c>
      <c r="AH1542">
        <v>0</v>
      </c>
      <c r="AK1542" t="s">
        <v>98</v>
      </c>
      <c r="AM1542" t="s">
        <v>98</v>
      </c>
      <c r="AN1542" t="s">
        <v>99</v>
      </c>
      <c r="AO1542" t="s">
        <v>98</v>
      </c>
      <c r="AP1542" t="s">
        <v>259</v>
      </c>
      <c r="AQ1542" t="s">
        <v>101</v>
      </c>
      <c r="AV1542" t="s">
        <v>98</v>
      </c>
      <c r="AX1542" t="s">
        <v>4875</v>
      </c>
      <c r="AZ1542" t="s">
        <v>124</v>
      </c>
      <c r="BB1542" t="s">
        <v>235</v>
      </c>
      <c r="BC1542" t="s">
        <v>7625</v>
      </c>
      <c r="BD1542" t="s">
        <v>7528</v>
      </c>
      <c r="BF1542" t="s">
        <v>4880</v>
      </c>
      <c r="BG1542" t="s">
        <v>98</v>
      </c>
      <c r="BH1542" t="s">
        <v>98</v>
      </c>
      <c r="BI1542" t="s">
        <v>98</v>
      </c>
      <c r="BJ1542" t="s">
        <v>99</v>
      </c>
      <c r="BK1542" t="s">
        <v>453</v>
      </c>
      <c r="BL1542" t="s">
        <v>128</v>
      </c>
      <c r="BR1542">
        <v>19.75</v>
      </c>
      <c r="BT1542">
        <v>6.5</v>
      </c>
      <c r="CA1542">
        <v>8932</v>
      </c>
      <c r="CB1542" t="s">
        <v>4875</v>
      </c>
      <c r="CG1542">
        <v>0</v>
      </c>
      <c r="CL1542" t="s">
        <v>99</v>
      </c>
      <c r="CM1542" t="s">
        <v>98</v>
      </c>
      <c r="CN1542" t="s">
        <v>4259</v>
      </c>
      <c r="CO1542" s="1">
        <v>36653</v>
      </c>
      <c r="CP1542" s="1">
        <v>43633</v>
      </c>
    </row>
    <row r="1543" spans="1:94" x14ac:dyDescent="0.25">
      <c r="A1543" t="s">
        <v>4881</v>
      </c>
      <c r="B1543" t="str">
        <f xml:space="preserve"> "" &amp; 747396011288</f>
        <v>747396011288</v>
      </c>
      <c r="C1543" t="s">
        <v>4820</v>
      </c>
      <c r="D1543" t="s">
        <v>6954</v>
      </c>
      <c r="E1543" t="s">
        <v>4874</v>
      </c>
      <c r="F1543" t="s">
        <v>2823</v>
      </c>
      <c r="G1543">
        <v>1</v>
      </c>
      <c r="H1543">
        <v>1</v>
      </c>
      <c r="I1543" t="s">
        <v>97</v>
      </c>
      <c r="J1543" s="10">
        <v>695</v>
      </c>
      <c r="K1543" s="10">
        <v>2085</v>
      </c>
      <c r="L1543" s="10">
        <v>0</v>
      </c>
      <c r="N1543" s="10">
        <v>0</v>
      </c>
      <c r="O1543" t="s">
        <v>99</v>
      </c>
      <c r="P1543" s="10">
        <v>1389.95</v>
      </c>
      <c r="S1543">
        <v>40</v>
      </c>
      <c r="U1543">
        <v>17.5</v>
      </c>
      <c r="V1543">
        <v>21.25</v>
      </c>
      <c r="W1543">
        <v>36.33</v>
      </c>
      <c r="X1543">
        <v>1</v>
      </c>
      <c r="Y1543">
        <v>44.25</v>
      </c>
      <c r="Z1543">
        <v>24.5</v>
      </c>
      <c r="AA1543">
        <v>20.5</v>
      </c>
      <c r="AB1543">
        <v>12.861000000000001</v>
      </c>
      <c r="AC1543">
        <v>46.3</v>
      </c>
      <c r="AE1543">
        <v>5</v>
      </c>
      <c r="AF1543" t="s">
        <v>308</v>
      </c>
      <c r="AG1543">
        <v>40</v>
      </c>
      <c r="AH1543">
        <v>0</v>
      </c>
      <c r="AK1543" t="s">
        <v>98</v>
      </c>
      <c r="AM1543" t="s">
        <v>98</v>
      </c>
      <c r="AN1543" t="s">
        <v>99</v>
      </c>
      <c r="AO1543" t="s">
        <v>98</v>
      </c>
      <c r="AP1543" t="s">
        <v>259</v>
      </c>
      <c r="AQ1543" t="s">
        <v>101</v>
      </c>
      <c r="AV1543" t="s">
        <v>98</v>
      </c>
      <c r="AX1543" t="s">
        <v>4875</v>
      </c>
      <c r="AZ1543" t="s">
        <v>124</v>
      </c>
      <c r="BB1543" t="s">
        <v>235</v>
      </c>
      <c r="BC1543" t="s">
        <v>7626</v>
      </c>
      <c r="BD1543" t="s">
        <v>7528</v>
      </c>
      <c r="BF1543" t="s">
        <v>4882</v>
      </c>
      <c r="BG1543" t="s">
        <v>98</v>
      </c>
      <c r="BH1543" t="s">
        <v>98</v>
      </c>
      <c r="BI1543" t="s">
        <v>98</v>
      </c>
      <c r="BJ1543" t="s">
        <v>99</v>
      </c>
      <c r="BK1543" t="s">
        <v>453</v>
      </c>
      <c r="BL1543" t="s">
        <v>128</v>
      </c>
      <c r="BR1543">
        <v>23</v>
      </c>
      <c r="BT1543">
        <v>6.63</v>
      </c>
      <c r="CA1543">
        <v>8933</v>
      </c>
      <c r="CB1543" t="s">
        <v>4875</v>
      </c>
      <c r="CG1543">
        <v>0</v>
      </c>
      <c r="CL1543" t="s">
        <v>99</v>
      </c>
      <c r="CM1543" t="s">
        <v>98</v>
      </c>
      <c r="CN1543" t="s">
        <v>4259</v>
      </c>
      <c r="CO1543" s="1">
        <v>36389</v>
      </c>
      <c r="CP1543" s="1">
        <v>43633</v>
      </c>
    </row>
    <row r="1544" spans="1:94" x14ac:dyDescent="0.25">
      <c r="A1544" t="s">
        <v>4883</v>
      </c>
      <c r="B1544" t="str">
        <f xml:space="preserve"> "" &amp; 747396800776</f>
        <v>747396800776</v>
      </c>
      <c r="C1544" t="s">
        <v>4823</v>
      </c>
      <c r="D1544" t="s">
        <v>6955</v>
      </c>
      <c r="E1544" t="s">
        <v>4874</v>
      </c>
      <c r="F1544" t="s">
        <v>2823</v>
      </c>
      <c r="G1544">
        <v>1</v>
      </c>
      <c r="H1544">
        <v>1</v>
      </c>
      <c r="I1544" t="s">
        <v>97</v>
      </c>
      <c r="J1544" s="10">
        <v>515</v>
      </c>
      <c r="K1544" s="10">
        <v>1545</v>
      </c>
      <c r="L1544" s="10">
        <v>0</v>
      </c>
      <c r="N1544" s="10">
        <v>0</v>
      </c>
      <c r="O1544" t="s">
        <v>99</v>
      </c>
      <c r="P1544" s="10">
        <v>1029.95</v>
      </c>
      <c r="S1544">
        <v>30</v>
      </c>
      <c r="U1544">
        <v>18.5</v>
      </c>
      <c r="W1544">
        <v>25.42</v>
      </c>
      <c r="X1544">
        <v>1</v>
      </c>
      <c r="Y1544">
        <v>28.5</v>
      </c>
      <c r="Z1544">
        <v>20</v>
      </c>
      <c r="AA1544">
        <v>20</v>
      </c>
      <c r="AB1544">
        <v>6.5970000000000004</v>
      </c>
      <c r="AC1544">
        <v>31.7</v>
      </c>
      <c r="AE1544">
        <v>5</v>
      </c>
      <c r="AF1544" t="s">
        <v>308</v>
      </c>
      <c r="AG1544">
        <v>40</v>
      </c>
      <c r="AH1544">
        <v>0</v>
      </c>
      <c r="AK1544" t="s">
        <v>98</v>
      </c>
      <c r="AM1544" t="s">
        <v>98</v>
      </c>
      <c r="AN1544" t="s">
        <v>99</v>
      </c>
      <c r="AO1544" t="s">
        <v>98</v>
      </c>
      <c r="AP1544" t="s">
        <v>259</v>
      </c>
      <c r="AQ1544" t="s">
        <v>101</v>
      </c>
      <c r="AV1544" t="s">
        <v>98</v>
      </c>
      <c r="AX1544" t="s">
        <v>4875</v>
      </c>
      <c r="AZ1544" t="s">
        <v>124</v>
      </c>
      <c r="BB1544" t="s">
        <v>235</v>
      </c>
      <c r="BC1544" t="s">
        <v>7625</v>
      </c>
      <c r="BD1544" t="s">
        <v>7528</v>
      </c>
      <c r="BF1544" t="s">
        <v>4884</v>
      </c>
      <c r="BG1544" t="s">
        <v>98</v>
      </c>
      <c r="BH1544" t="s">
        <v>98</v>
      </c>
      <c r="BI1544" t="s">
        <v>98</v>
      </c>
      <c r="BK1544" t="s">
        <v>127</v>
      </c>
      <c r="BL1544" t="s">
        <v>7528</v>
      </c>
      <c r="BR1544">
        <v>1</v>
      </c>
      <c r="BT1544">
        <v>5</v>
      </c>
      <c r="CA1544">
        <v>8934</v>
      </c>
      <c r="CB1544" t="s">
        <v>4875</v>
      </c>
      <c r="CG1544">
        <v>0</v>
      </c>
      <c r="CL1544" t="s">
        <v>99</v>
      </c>
      <c r="CM1544" t="s">
        <v>99</v>
      </c>
      <c r="CN1544" t="s">
        <v>4259</v>
      </c>
      <c r="CO1544" s="1">
        <v>36389</v>
      </c>
      <c r="CP1544" s="1">
        <v>43633</v>
      </c>
    </row>
    <row r="1545" spans="1:94" x14ac:dyDescent="0.25">
      <c r="A1545" t="s">
        <v>4885</v>
      </c>
      <c r="B1545" t="str">
        <f xml:space="preserve"> "" &amp; 747396011301</f>
        <v>747396011301</v>
      </c>
      <c r="C1545" t="s">
        <v>4511</v>
      </c>
      <c r="D1545" t="s">
        <v>6956</v>
      </c>
      <c r="E1545" t="s">
        <v>4874</v>
      </c>
      <c r="F1545" t="s">
        <v>2823</v>
      </c>
      <c r="G1545">
        <v>1</v>
      </c>
      <c r="H1545">
        <v>1</v>
      </c>
      <c r="I1545" t="s">
        <v>97</v>
      </c>
      <c r="J1545" s="10">
        <v>249</v>
      </c>
      <c r="K1545" s="10">
        <v>747</v>
      </c>
      <c r="L1545" s="10">
        <v>0</v>
      </c>
      <c r="N1545" s="10">
        <v>0</v>
      </c>
      <c r="O1545" t="s">
        <v>99</v>
      </c>
      <c r="P1545" s="10">
        <v>499.95</v>
      </c>
      <c r="S1545">
        <v>23.5</v>
      </c>
      <c r="T1545">
        <v>12.25</v>
      </c>
      <c r="U1545">
        <v>12.25</v>
      </c>
      <c r="W1545">
        <v>10.69</v>
      </c>
      <c r="X1545">
        <v>1</v>
      </c>
      <c r="Y1545">
        <v>26.25</v>
      </c>
      <c r="Z1545">
        <v>14.5</v>
      </c>
      <c r="AA1545">
        <v>14.5</v>
      </c>
      <c r="AB1545">
        <v>3.194</v>
      </c>
      <c r="AC1545">
        <v>14</v>
      </c>
      <c r="AE1545">
        <v>2</v>
      </c>
      <c r="AF1545" t="s">
        <v>308</v>
      </c>
      <c r="AG1545">
        <v>60</v>
      </c>
      <c r="AH1545">
        <v>0</v>
      </c>
      <c r="AK1545" t="s">
        <v>98</v>
      </c>
      <c r="AM1545" t="s">
        <v>98</v>
      </c>
      <c r="AN1545" t="s">
        <v>99</v>
      </c>
      <c r="AO1545" t="s">
        <v>98</v>
      </c>
      <c r="AP1545" t="s">
        <v>100</v>
      </c>
      <c r="AQ1545" t="s">
        <v>101</v>
      </c>
      <c r="AV1545" t="s">
        <v>98</v>
      </c>
      <c r="AX1545" t="s">
        <v>4875</v>
      </c>
      <c r="AZ1545" t="s">
        <v>124</v>
      </c>
      <c r="BB1545" t="s">
        <v>235</v>
      </c>
      <c r="BC1545" t="s">
        <v>4697</v>
      </c>
      <c r="BD1545" t="s">
        <v>7528</v>
      </c>
      <c r="BF1545" t="s">
        <v>4886</v>
      </c>
      <c r="BG1545" t="s">
        <v>98</v>
      </c>
      <c r="BH1545" t="s">
        <v>98</v>
      </c>
      <c r="BI1545" t="s">
        <v>98</v>
      </c>
      <c r="BJ1545" t="s">
        <v>99</v>
      </c>
      <c r="BK1545" t="s">
        <v>453</v>
      </c>
      <c r="BL1545" t="s">
        <v>7528</v>
      </c>
      <c r="BR1545">
        <v>0</v>
      </c>
      <c r="BT1545">
        <v>0</v>
      </c>
      <c r="CA1545">
        <v>8935</v>
      </c>
      <c r="CB1545" t="s">
        <v>4875</v>
      </c>
      <c r="CG1545">
        <v>0</v>
      </c>
      <c r="CL1545" t="s">
        <v>99</v>
      </c>
      <c r="CM1545" t="s">
        <v>98</v>
      </c>
      <c r="CN1545" t="s">
        <v>4259</v>
      </c>
      <c r="CO1545" s="1">
        <v>36653</v>
      </c>
      <c r="CP1545" s="1">
        <v>43633</v>
      </c>
    </row>
    <row r="1546" spans="1:94" x14ac:dyDescent="0.25">
      <c r="A1546" t="s">
        <v>4887</v>
      </c>
      <c r="B1546" t="str">
        <f xml:space="preserve"> "" &amp; 747396011325</f>
        <v>747396011325</v>
      </c>
      <c r="C1546" t="s">
        <v>3677</v>
      </c>
      <c r="D1546" t="s">
        <v>6957</v>
      </c>
      <c r="E1546" t="s">
        <v>4874</v>
      </c>
      <c r="F1546" t="s">
        <v>2823</v>
      </c>
      <c r="G1546">
        <v>1</v>
      </c>
      <c r="H1546">
        <v>1</v>
      </c>
      <c r="I1546" t="s">
        <v>97</v>
      </c>
      <c r="J1546" s="10">
        <v>310</v>
      </c>
      <c r="K1546" s="10">
        <v>930</v>
      </c>
      <c r="L1546" s="10">
        <v>0</v>
      </c>
      <c r="N1546" s="10">
        <v>0</v>
      </c>
      <c r="O1546" t="s">
        <v>99</v>
      </c>
      <c r="P1546" s="10">
        <v>619.95000000000005</v>
      </c>
      <c r="S1546">
        <v>28</v>
      </c>
      <c r="U1546">
        <v>14.25</v>
      </c>
      <c r="W1546">
        <v>15.26</v>
      </c>
      <c r="X1546">
        <v>1</v>
      </c>
      <c r="Y1546">
        <v>30.5</v>
      </c>
      <c r="Z1546">
        <v>16</v>
      </c>
      <c r="AA1546">
        <v>16</v>
      </c>
      <c r="AB1546">
        <v>4.5190000000000001</v>
      </c>
      <c r="AC1546">
        <v>20</v>
      </c>
      <c r="AE1546">
        <v>4</v>
      </c>
      <c r="AF1546" t="s">
        <v>308</v>
      </c>
      <c r="AG1546">
        <v>40</v>
      </c>
      <c r="AH1546">
        <v>0</v>
      </c>
      <c r="AK1546" t="s">
        <v>98</v>
      </c>
      <c r="AM1546" t="s">
        <v>98</v>
      </c>
      <c r="AN1546" t="s">
        <v>99</v>
      </c>
      <c r="AO1546" t="s">
        <v>98</v>
      </c>
      <c r="AP1546" t="s">
        <v>100</v>
      </c>
      <c r="AQ1546" t="s">
        <v>101</v>
      </c>
      <c r="AV1546" t="s">
        <v>98</v>
      </c>
      <c r="AX1546" t="s">
        <v>4875</v>
      </c>
      <c r="AZ1546" t="s">
        <v>124</v>
      </c>
      <c r="BB1546" t="s">
        <v>7528</v>
      </c>
      <c r="BC1546" t="s">
        <v>7625</v>
      </c>
      <c r="BD1546" t="s">
        <v>7528</v>
      </c>
      <c r="BF1546" t="s">
        <v>4888</v>
      </c>
      <c r="BG1546" t="s">
        <v>98</v>
      </c>
      <c r="BH1546" t="s">
        <v>98</v>
      </c>
      <c r="BI1546" t="s">
        <v>98</v>
      </c>
      <c r="BJ1546" t="s">
        <v>99</v>
      </c>
      <c r="BK1546" t="s">
        <v>453</v>
      </c>
      <c r="BL1546" t="s">
        <v>7528</v>
      </c>
      <c r="BR1546">
        <v>0</v>
      </c>
      <c r="BT1546">
        <v>0</v>
      </c>
      <c r="CA1546">
        <v>8936</v>
      </c>
      <c r="CB1546" t="s">
        <v>4875</v>
      </c>
      <c r="CG1546">
        <v>0</v>
      </c>
      <c r="CL1546" t="s">
        <v>99</v>
      </c>
      <c r="CM1546" t="s">
        <v>98</v>
      </c>
      <c r="CN1546" t="s">
        <v>4259</v>
      </c>
      <c r="CO1546" s="1">
        <v>36373</v>
      </c>
      <c r="CP1546" s="1">
        <v>43633</v>
      </c>
    </row>
    <row r="1547" spans="1:94" x14ac:dyDescent="0.25">
      <c r="A1547" t="s">
        <v>4889</v>
      </c>
      <c r="B1547" t="str">
        <f xml:space="preserve"> "" &amp; 747396011349</f>
        <v>747396011349</v>
      </c>
      <c r="C1547" t="s">
        <v>1577</v>
      </c>
      <c r="D1547" t="s">
        <v>6951</v>
      </c>
      <c r="E1547" t="s">
        <v>4874</v>
      </c>
      <c r="F1547" t="s">
        <v>2823</v>
      </c>
      <c r="G1547">
        <v>1</v>
      </c>
      <c r="H1547">
        <v>1</v>
      </c>
      <c r="I1547" t="s">
        <v>97</v>
      </c>
      <c r="J1547" s="10">
        <v>215</v>
      </c>
      <c r="K1547" s="10">
        <v>645</v>
      </c>
      <c r="L1547" s="10">
        <v>0</v>
      </c>
      <c r="N1547" s="10">
        <v>0</v>
      </c>
      <c r="O1547" t="s">
        <v>99</v>
      </c>
      <c r="P1547" s="10">
        <v>429.95</v>
      </c>
      <c r="S1547">
        <v>15.25</v>
      </c>
      <c r="U1547">
        <v>8</v>
      </c>
      <c r="V1547">
        <v>11.5</v>
      </c>
      <c r="W1547">
        <v>8.16</v>
      </c>
      <c r="X1547">
        <v>1</v>
      </c>
      <c r="Y1547">
        <v>18.25</v>
      </c>
      <c r="Z1547">
        <v>14.5</v>
      </c>
      <c r="AA1547">
        <v>11.5</v>
      </c>
      <c r="AB1547">
        <v>1.7609999999999999</v>
      </c>
      <c r="AC1547">
        <v>10.47</v>
      </c>
      <c r="AE1547">
        <v>1</v>
      </c>
      <c r="AF1547" t="s">
        <v>233</v>
      </c>
      <c r="AG1547">
        <v>100</v>
      </c>
      <c r="AH1547">
        <v>0</v>
      </c>
      <c r="AK1547" t="s">
        <v>98</v>
      </c>
      <c r="AM1547" t="s">
        <v>98</v>
      </c>
      <c r="AN1547" t="s">
        <v>99</v>
      </c>
      <c r="AO1547" t="s">
        <v>98</v>
      </c>
      <c r="AP1547" t="s">
        <v>100</v>
      </c>
      <c r="AQ1547" t="s">
        <v>101</v>
      </c>
      <c r="AV1547" t="s">
        <v>98</v>
      </c>
      <c r="AX1547" t="s">
        <v>4875</v>
      </c>
      <c r="AZ1547" t="s">
        <v>124</v>
      </c>
      <c r="BB1547" t="s">
        <v>235</v>
      </c>
      <c r="BC1547" t="s">
        <v>4697</v>
      </c>
      <c r="BD1547" t="s">
        <v>7528</v>
      </c>
      <c r="BF1547" t="s">
        <v>4890</v>
      </c>
      <c r="BG1547" t="s">
        <v>98</v>
      </c>
      <c r="BH1547" t="s">
        <v>98</v>
      </c>
      <c r="BI1547" t="s">
        <v>98</v>
      </c>
      <c r="BJ1547" t="s">
        <v>99</v>
      </c>
      <c r="BK1547" t="s">
        <v>453</v>
      </c>
      <c r="BL1547" t="s">
        <v>128</v>
      </c>
      <c r="BR1547">
        <v>10.5</v>
      </c>
      <c r="BT1547">
        <v>6.75</v>
      </c>
      <c r="CA1547">
        <v>8937</v>
      </c>
      <c r="CB1547" t="s">
        <v>4875</v>
      </c>
      <c r="CG1547">
        <v>0</v>
      </c>
      <c r="CL1547" t="s">
        <v>99</v>
      </c>
      <c r="CM1547" t="s">
        <v>98</v>
      </c>
      <c r="CN1547" t="s">
        <v>4259</v>
      </c>
      <c r="CO1547" s="1">
        <v>36653</v>
      </c>
      <c r="CP1547" s="1">
        <v>43633</v>
      </c>
    </row>
    <row r="1548" spans="1:94" x14ac:dyDescent="0.25">
      <c r="A1548" t="s">
        <v>4865</v>
      </c>
      <c r="B1548" t="str">
        <f xml:space="preserve"> "" &amp; 747396011356</f>
        <v>747396011356</v>
      </c>
      <c r="C1548" t="s">
        <v>1346</v>
      </c>
      <c r="D1548" t="s">
        <v>6958</v>
      </c>
      <c r="E1548" t="s">
        <v>362</v>
      </c>
      <c r="F1548" t="s">
        <v>478</v>
      </c>
      <c r="G1548">
        <v>1</v>
      </c>
      <c r="H1548">
        <v>1</v>
      </c>
      <c r="I1548" t="s">
        <v>97</v>
      </c>
      <c r="J1548" s="10">
        <v>19.95</v>
      </c>
      <c r="K1548" s="10">
        <v>59.85</v>
      </c>
      <c r="L1548" s="10">
        <v>0</v>
      </c>
      <c r="N1548" s="10">
        <v>0</v>
      </c>
      <c r="O1548" t="s">
        <v>99</v>
      </c>
      <c r="P1548" s="10">
        <v>39.950000000000003</v>
      </c>
      <c r="S1548">
        <v>6.5</v>
      </c>
      <c r="T1548">
        <v>15.5</v>
      </c>
      <c r="U1548">
        <v>15.5</v>
      </c>
      <c r="W1548">
        <v>3.57</v>
      </c>
      <c r="X1548">
        <v>1</v>
      </c>
      <c r="Y1548">
        <v>6.75</v>
      </c>
      <c r="Z1548">
        <v>15.75</v>
      </c>
      <c r="AA1548">
        <v>15.75</v>
      </c>
      <c r="AB1548">
        <v>0.96899999999999997</v>
      </c>
      <c r="AC1548">
        <v>5.22</v>
      </c>
      <c r="AE1548">
        <v>3</v>
      </c>
      <c r="AF1548" t="s">
        <v>233</v>
      </c>
      <c r="AG1548">
        <v>60</v>
      </c>
      <c r="AK1548" t="s">
        <v>98</v>
      </c>
      <c r="AM1548" t="s">
        <v>98</v>
      </c>
      <c r="AN1548" t="s">
        <v>99</v>
      </c>
      <c r="AO1548" t="s">
        <v>98</v>
      </c>
      <c r="AP1548" t="s">
        <v>100</v>
      </c>
      <c r="AQ1548" t="s">
        <v>101</v>
      </c>
      <c r="AV1548" t="s">
        <v>98</v>
      </c>
      <c r="AX1548" t="s">
        <v>279</v>
      </c>
      <c r="AZ1548" t="s">
        <v>102</v>
      </c>
      <c r="BB1548" t="s">
        <v>235</v>
      </c>
      <c r="BC1548" t="s">
        <v>363</v>
      </c>
      <c r="BD1548" t="s">
        <v>7528</v>
      </c>
      <c r="BF1548" t="s">
        <v>4866</v>
      </c>
      <c r="BG1548" t="s">
        <v>98</v>
      </c>
      <c r="BH1548" t="s">
        <v>98</v>
      </c>
      <c r="BI1548" t="s">
        <v>98</v>
      </c>
      <c r="BK1548" t="s">
        <v>127</v>
      </c>
      <c r="BL1548" t="s">
        <v>128</v>
      </c>
      <c r="CA1548">
        <v>893</v>
      </c>
      <c r="CB1548" t="s">
        <v>279</v>
      </c>
      <c r="CL1548" t="s">
        <v>99</v>
      </c>
      <c r="CM1548" t="s">
        <v>98</v>
      </c>
      <c r="CN1548" t="s">
        <v>237</v>
      </c>
      <c r="CO1548" s="1">
        <v>36356</v>
      </c>
      <c r="CP1548" s="1">
        <v>43633</v>
      </c>
    </row>
    <row r="1549" spans="1:94" x14ac:dyDescent="0.25">
      <c r="A1549" t="s">
        <v>4867</v>
      </c>
      <c r="B1549" t="str">
        <f xml:space="preserve"> "" &amp; 747396053547</f>
        <v>747396053547</v>
      </c>
      <c r="C1549" t="s">
        <v>1346</v>
      </c>
      <c r="D1549" t="s">
        <v>6959</v>
      </c>
      <c r="E1549" t="s">
        <v>362</v>
      </c>
      <c r="F1549" t="s">
        <v>144</v>
      </c>
      <c r="G1549">
        <v>1</v>
      </c>
      <c r="H1549">
        <v>1</v>
      </c>
      <c r="I1549" t="s">
        <v>97</v>
      </c>
      <c r="J1549" s="10">
        <v>34</v>
      </c>
      <c r="K1549" s="10">
        <v>102</v>
      </c>
      <c r="L1549" s="10">
        <v>0</v>
      </c>
      <c r="N1549" s="10">
        <v>0</v>
      </c>
      <c r="O1549" t="s">
        <v>99</v>
      </c>
      <c r="P1549" s="10">
        <v>69.95</v>
      </c>
      <c r="S1549">
        <v>6.5</v>
      </c>
      <c r="T1549">
        <v>15.5</v>
      </c>
      <c r="U1549">
        <v>15.5</v>
      </c>
      <c r="W1549">
        <v>4.0999999999999996</v>
      </c>
      <c r="Y1549">
        <v>6.75</v>
      </c>
      <c r="Z1549">
        <v>15.75</v>
      </c>
      <c r="AA1549">
        <v>15.75</v>
      </c>
      <c r="AB1549">
        <v>0.96899999999999997</v>
      </c>
      <c r="AC1549">
        <v>5.64</v>
      </c>
      <c r="AE1549">
        <v>3</v>
      </c>
      <c r="AF1549" t="s">
        <v>4868</v>
      </c>
      <c r="AG1549">
        <v>13</v>
      </c>
      <c r="AH1549">
        <v>0</v>
      </c>
      <c r="AJ1549">
        <v>0</v>
      </c>
      <c r="AK1549" t="s">
        <v>98</v>
      </c>
      <c r="AM1549" t="s">
        <v>98</v>
      </c>
      <c r="AN1549" t="s">
        <v>99</v>
      </c>
      <c r="AO1549" t="s">
        <v>98</v>
      </c>
      <c r="AP1549" t="s">
        <v>100</v>
      </c>
      <c r="AQ1549" t="s">
        <v>101</v>
      </c>
      <c r="AV1549" t="s">
        <v>99</v>
      </c>
      <c r="AX1549" t="s">
        <v>279</v>
      </c>
      <c r="AZ1549" t="s">
        <v>102</v>
      </c>
      <c r="BB1549" t="s">
        <v>235</v>
      </c>
      <c r="BC1549" t="s">
        <v>363</v>
      </c>
      <c r="BD1549" t="s">
        <v>7528</v>
      </c>
      <c r="BF1549" t="s">
        <v>4869</v>
      </c>
      <c r="BG1549" t="s">
        <v>98</v>
      </c>
      <c r="BH1549" t="s">
        <v>98</v>
      </c>
      <c r="BI1549" t="s">
        <v>98</v>
      </c>
      <c r="BK1549" t="s">
        <v>127</v>
      </c>
      <c r="BL1549" t="s">
        <v>128</v>
      </c>
      <c r="CA1549" t="s">
        <v>4870</v>
      </c>
      <c r="CB1549" t="s">
        <v>279</v>
      </c>
      <c r="CG1549">
        <v>2700</v>
      </c>
      <c r="CK1549">
        <v>10000</v>
      </c>
      <c r="CL1549" t="s">
        <v>98</v>
      </c>
      <c r="CM1549" t="s">
        <v>98</v>
      </c>
      <c r="CN1549" t="s">
        <v>442</v>
      </c>
      <c r="CO1549" s="1">
        <v>38803</v>
      </c>
      <c r="CP1549" s="1">
        <v>43633</v>
      </c>
    </row>
    <row r="1550" spans="1:94" x14ac:dyDescent="0.25">
      <c r="A1550" t="s">
        <v>4871</v>
      </c>
      <c r="B1550" t="str">
        <f xml:space="preserve"> "" &amp; 747396053554</f>
        <v>747396053554</v>
      </c>
      <c r="C1550" t="s">
        <v>1346</v>
      </c>
      <c r="D1550" t="s">
        <v>6960</v>
      </c>
      <c r="E1550" t="s">
        <v>7528</v>
      </c>
      <c r="F1550" t="s">
        <v>7535</v>
      </c>
      <c r="G1550">
        <v>1</v>
      </c>
      <c r="H1550">
        <v>1</v>
      </c>
      <c r="I1550" t="s">
        <v>97</v>
      </c>
      <c r="J1550" s="10">
        <v>15</v>
      </c>
      <c r="K1550" s="10">
        <v>45</v>
      </c>
      <c r="L1550" s="10">
        <v>0</v>
      </c>
      <c r="N1550" s="10">
        <v>0</v>
      </c>
      <c r="S1550">
        <v>6</v>
      </c>
      <c r="T1550">
        <v>15.5</v>
      </c>
      <c r="U1550">
        <v>15</v>
      </c>
      <c r="W1550">
        <v>3.7</v>
      </c>
      <c r="X1550">
        <v>1</v>
      </c>
      <c r="Y1550">
        <v>6.75</v>
      </c>
      <c r="Z1550">
        <v>15.75</v>
      </c>
      <c r="AA1550">
        <v>15.75</v>
      </c>
      <c r="AB1550">
        <v>0.96899999999999997</v>
      </c>
      <c r="AC1550">
        <v>5.51</v>
      </c>
      <c r="AE1550">
        <v>3</v>
      </c>
      <c r="AF1550" t="s">
        <v>1530</v>
      </c>
      <c r="AG1550">
        <v>13</v>
      </c>
      <c r="AH1550">
        <v>0</v>
      </c>
      <c r="AJ1550">
        <v>0</v>
      </c>
      <c r="AK1550" t="s">
        <v>99</v>
      </c>
      <c r="AM1550" t="s">
        <v>98</v>
      </c>
      <c r="AN1550" t="s">
        <v>99</v>
      </c>
      <c r="AO1550" t="s">
        <v>98</v>
      </c>
      <c r="AP1550" t="s">
        <v>100</v>
      </c>
      <c r="AQ1550" t="s">
        <v>101</v>
      </c>
      <c r="AV1550" t="s">
        <v>99</v>
      </c>
      <c r="AX1550" t="s">
        <v>3202</v>
      </c>
      <c r="AZ1550" t="s">
        <v>124</v>
      </c>
      <c r="BB1550" t="s">
        <v>235</v>
      </c>
      <c r="BC1550" t="s">
        <v>363</v>
      </c>
      <c r="BD1550" t="s">
        <v>7528</v>
      </c>
      <c r="BF1550" t="s">
        <v>4872</v>
      </c>
      <c r="BG1550" t="s">
        <v>98</v>
      </c>
      <c r="BH1550" t="s">
        <v>98</v>
      </c>
      <c r="BI1550" t="s">
        <v>98</v>
      </c>
      <c r="BK1550" t="s">
        <v>127</v>
      </c>
      <c r="BL1550" t="s">
        <v>128</v>
      </c>
      <c r="CA1550" t="s">
        <v>4870</v>
      </c>
      <c r="CB1550" t="s">
        <v>3202</v>
      </c>
      <c r="CL1550" t="s">
        <v>98</v>
      </c>
      <c r="CM1550" t="s">
        <v>98</v>
      </c>
      <c r="CN1550" t="s">
        <v>442</v>
      </c>
      <c r="CO1550" s="1">
        <v>38803</v>
      </c>
      <c r="CP1550" s="1">
        <v>43633</v>
      </c>
    </row>
    <row r="1551" spans="1:94" x14ac:dyDescent="0.25">
      <c r="A1551" t="s">
        <v>4891</v>
      </c>
      <c r="B1551" t="str">
        <f xml:space="preserve"> "" &amp; 747396026442</f>
        <v>747396026442</v>
      </c>
      <c r="C1551" t="s">
        <v>1577</v>
      </c>
      <c r="D1551" t="s">
        <v>6961</v>
      </c>
      <c r="E1551" t="s">
        <v>4892</v>
      </c>
      <c r="F1551" t="s">
        <v>2823</v>
      </c>
      <c r="G1551">
        <v>1</v>
      </c>
      <c r="H1551">
        <v>1</v>
      </c>
      <c r="I1551" t="s">
        <v>97</v>
      </c>
      <c r="J1551" s="10">
        <v>108</v>
      </c>
      <c r="K1551" s="10">
        <v>324</v>
      </c>
      <c r="L1551" s="10">
        <v>0</v>
      </c>
      <c r="N1551" s="10">
        <v>0</v>
      </c>
      <c r="O1551" t="s">
        <v>99</v>
      </c>
      <c r="P1551" s="10">
        <v>214.95</v>
      </c>
      <c r="S1551">
        <v>19.75</v>
      </c>
      <c r="U1551">
        <v>7.5</v>
      </c>
      <c r="V1551">
        <v>12.25</v>
      </c>
      <c r="W1551">
        <v>6.61</v>
      </c>
      <c r="X1551">
        <v>1</v>
      </c>
      <c r="Y1551">
        <v>23</v>
      </c>
      <c r="Z1551">
        <v>14.13</v>
      </c>
      <c r="AA1551">
        <v>9.6300000000000008</v>
      </c>
      <c r="AB1551">
        <v>1.8109999999999999</v>
      </c>
      <c r="AC1551">
        <v>10.6</v>
      </c>
      <c r="AE1551">
        <v>1</v>
      </c>
      <c r="AF1551" t="s">
        <v>233</v>
      </c>
      <c r="AG1551">
        <v>100</v>
      </c>
      <c r="AH1551">
        <v>0</v>
      </c>
      <c r="AK1551" t="s">
        <v>98</v>
      </c>
      <c r="AM1551" t="s">
        <v>98</v>
      </c>
      <c r="AN1551" t="s">
        <v>99</v>
      </c>
      <c r="AO1551" t="s">
        <v>98</v>
      </c>
      <c r="AP1551" t="s">
        <v>100</v>
      </c>
      <c r="AQ1551" t="s">
        <v>101</v>
      </c>
      <c r="AV1551" t="s">
        <v>98</v>
      </c>
      <c r="AX1551" t="s">
        <v>4226</v>
      </c>
      <c r="AZ1551" t="s">
        <v>124</v>
      </c>
      <c r="BB1551" t="s">
        <v>4917</v>
      </c>
      <c r="BC1551" t="s">
        <v>4964</v>
      </c>
      <c r="BD1551" t="s">
        <v>7528</v>
      </c>
      <c r="BF1551" t="s">
        <v>4893</v>
      </c>
      <c r="BG1551" t="s">
        <v>98</v>
      </c>
      <c r="BH1551" t="s">
        <v>98</v>
      </c>
      <c r="BI1551" t="s">
        <v>98</v>
      </c>
      <c r="BJ1551" t="s">
        <v>99</v>
      </c>
      <c r="BK1551" t="s">
        <v>453</v>
      </c>
      <c r="BL1551" t="s">
        <v>236</v>
      </c>
      <c r="BR1551">
        <v>14.38</v>
      </c>
      <c r="BT1551">
        <v>5.63</v>
      </c>
      <c r="CA1551">
        <v>8990</v>
      </c>
      <c r="CB1551" t="s">
        <v>4226</v>
      </c>
      <c r="CG1551">
        <v>0</v>
      </c>
      <c r="CL1551" t="s">
        <v>99</v>
      </c>
      <c r="CM1551" t="s">
        <v>98</v>
      </c>
      <c r="CN1551" t="s">
        <v>4894</v>
      </c>
      <c r="CO1551" s="1">
        <v>36653</v>
      </c>
      <c r="CP1551" s="1">
        <v>43633</v>
      </c>
    </row>
    <row r="1552" spans="1:94" x14ac:dyDescent="0.25">
      <c r="A1552" t="s">
        <v>4895</v>
      </c>
      <c r="B1552" t="str">
        <f xml:space="preserve"> "" &amp; 747396083865</f>
        <v>747396083865</v>
      </c>
      <c r="C1552" t="s">
        <v>1577</v>
      </c>
      <c r="D1552" t="s">
        <v>6961</v>
      </c>
      <c r="E1552" t="s">
        <v>4892</v>
      </c>
      <c r="F1552" t="s">
        <v>2823</v>
      </c>
      <c r="G1552">
        <v>1</v>
      </c>
      <c r="H1552">
        <v>1</v>
      </c>
      <c r="I1552" t="s">
        <v>97</v>
      </c>
      <c r="J1552" s="10">
        <v>110</v>
      </c>
      <c r="K1552" s="10">
        <v>330</v>
      </c>
      <c r="L1552" s="10">
        <v>0</v>
      </c>
      <c r="N1552" s="10">
        <v>0</v>
      </c>
      <c r="O1552" t="s">
        <v>99</v>
      </c>
      <c r="P1552" s="10">
        <v>219.95</v>
      </c>
      <c r="S1552">
        <v>19.75</v>
      </c>
      <c r="U1552">
        <v>7.75</v>
      </c>
      <c r="V1552">
        <v>12.25</v>
      </c>
      <c r="W1552">
        <v>6.61</v>
      </c>
      <c r="Y1552">
        <v>22.75</v>
      </c>
      <c r="Z1552">
        <v>14.13</v>
      </c>
      <c r="AA1552">
        <v>9.6300000000000008</v>
      </c>
      <c r="AB1552">
        <v>1.7909999999999999</v>
      </c>
      <c r="AC1552">
        <v>10.6</v>
      </c>
      <c r="AE1552">
        <v>1</v>
      </c>
      <c r="AF1552" t="s">
        <v>282</v>
      </c>
      <c r="AG1552">
        <v>100</v>
      </c>
      <c r="AK1552" t="s">
        <v>98</v>
      </c>
      <c r="AM1552" t="s">
        <v>98</v>
      </c>
      <c r="AN1552" t="s">
        <v>99</v>
      </c>
      <c r="AO1552" t="s">
        <v>98</v>
      </c>
      <c r="AP1552" t="s">
        <v>100</v>
      </c>
      <c r="AQ1552" t="s">
        <v>101</v>
      </c>
      <c r="AV1552" t="s">
        <v>98</v>
      </c>
      <c r="AX1552" t="s">
        <v>164</v>
      </c>
      <c r="AZ1552" t="s">
        <v>124</v>
      </c>
      <c r="BB1552" t="s">
        <v>235</v>
      </c>
      <c r="BC1552" t="s">
        <v>4896</v>
      </c>
      <c r="BD1552" t="s">
        <v>7528</v>
      </c>
      <c r="BF1552" t="s">
        <v>4897</v>
      </c>
      <c r="BG1552" t="s">
        <v>98</v>
      </c>
      <c r="BH1552" t="s">
        <v>98</v>
      </c>
      <c r="BI1552" t="s">
        <v>98</v>
      </c>
      <c r="BJ1552" t="s">
        <v>99</v>
      </c>
      <c r="BK1552" t="s">
        <v>453</v>
      </c>
      <c r="BL1552" t="s">
        <v>236</v>
      </c>
      <c r="BR1552">
        <v>14.38</v>
      </c>
      <c r="BT1552">
        <v>5.63</v>
      </c>
      <c r="CA1552">
        <v>8990</v>
      </c>
      <c r="CB1552" t="s">
        <v>164</v>
      </c>
      <c r="CL1552" t="s">
        <v>99</v>
      </c>
      <c r="CM1552" t="s">
        <v>98</v>
      </c>
      <c r="CN1552" t="s">
        <v>4255</v>
      </c>
      <c r="CO1552" s="1">
        <v>40976</v>
      </c>
      <c r="CP1552" s="1">
        <v>43633</v>
      </c>
    </row>
    <row r="1553" spans="1:94" x14ac:dyDescent="0.25">
      <c r="A1553" t="s">
        <v>4898</v>
      </c>
      <c r="B1553" t="str">
        <f xml:space="preserve"> "" &amp; 747396026473</f>
        <v>747396026473</v>
      </c>
      <c r="C1553" t="s">
        <v>1550</v>
      </c>
      <c r="D1553" t="s">
        <v>6962</v>
      </c>
      <c r="E1553" t="s">
        <v>4892</v>
      </c>
      <c r="F1553" t="s">
        <v>2823</v>
      </c>
      <c r="G1553">
        <v>1</v>
      </c>
      <c r="H1553">
        <v>1</v>
      </c>
      <c r="I1553" t="s">
        <v>97</v>
      </c>
      <c r="J1553" s="10">
        <v>159</v>
      </c>
      <c r="K1553" s="10">
        <v>477</v>
      </c>
      <c r="L1553" s="10">
        <v>0</v>
      </c>
      <c r="N1553" s="10">
        <v>0</v>
      </c>
      <c r="O1553" t="s">
        <v>99</v>
      </c>
      <c r="P1553" s="10">
        <v>319.95</v>
      </c>
      <c r="S1553">
        <v>24.5</v>
      </c>
      <c r="U1553">
        <v>9.5</v>
      </c>
      <c r="V1553">
        <v>15</v>
      </c>
      <c r="W1553">
        <v>11.09</v>
      </c>
      <c r="X1553">
        <v>1</v>
      </c>
      <c r="Y1553">
        <v>27.76</v>
      </c>
      <c r="Z1553">
        <v>17.329999999999998</v>
      </c>
      <c r="AA1553">
        <v>12.33</v>
      </c>
      <c r="AB1553">
        <v>3.4329999999999998</v>
      </c>
      <c r="AC1553">
        <v>15.15</v>
      </c>
      <c r="AE1553">
        <v>2</v>
      </c>
      <c r="AF1553" t="s">
        <v>308</v>
      </c>
      <c r="AG1553">
        <v>60</v>
      </c>
      <c r="AH1553">
        <v>0</v>
      </c>
      <c r="AK1553" t="s">
        <v>98</v>
      </c>
      <c r="AM1553" t="s">
        <v>98</v>
      </c>
      <c r="AN1553" t="s">
        <v>99</v>
      </c>
      <c r="AO1553" t="s">
        <v>98</v>
      </c>
      <c r="AP1553" t="s">
        <v>100</v>
      </c>
      <c r="AQ1553" t="s">
        <v>101</v>
      </c>
      <c r="AV1553" t="s">
        <v>98</v>
      </c>
      <c r="AX1553" t="s">
        <v>4226</v>
      </c>
      <c r="AZ1553" t="s">
        <v>124</v>
      </c>
      <c r="BB1553" t="s">
        <v>4917</v>
      </c>
      <c r="BC1553" t="s">
        <v>4964</v>
      </c>
      <c r="BD1553" t="s">
        <v>7528</v>
      </c>
      <c r="BF1553" t="s">
        <v>4899</v>
      </c>
      <c r="BG1553" t="s">
        <v>98</v>
      </c>
      <c r="BH1553" t="s">
        <v>98</v>
      </c>
      <c r="BI1553" t="s">
        <v>98</v>
      </c>
      <c r="BJ1553" t="s">
        <v>99</v>
      </c>
      <c r="BK1553" t="s">
        <v>453</v>
      </c>
      <c r="BL1553" t="s">
        <v>236</v>
      </c>
      <c r="BR1553">
        <v>20.75</v>
      </c>
      <c r="BT1553">
        <v>5.75</v>
      </c>
      <c r="CA1553">
        <v>8991</v>
      </c>
      <c r="CB1553" t="s">
        <v>4226</v>
      </c>
      <c r="CG1553">
        <v>0</v>
      </c>
      <c r="CL1553" t="s">
        <v>99</v>
      </c>
      <c r="CM1553" t="s">
        <v>98</v>
      </c>
      <c r="CN1553" t="s">
        <v>4900</v>
      </c>
      <c r="CO1553" s="1">
        <v>36653</v>
      </c>
      <c r="CP1553" s="1">
        <v>43633</v>
      </c>
    </row>
    <row r="1554" spans="1:94" x14ac:dyDescent="0.25">
      <c r="A1554" t="s">
        <v>4901</v>
      </c>
      <c r="B1554" t="str">
        <f xml:space="preserve"> "" &amp; 747396083872</f>
        <v>747396083872</v>
      </c>
      <c r="C1554" t="s">
        <v>1550</v>
      </c>
      <c r="D1554" t="s">
        <v>6962</v>
      </c>
      <c r="E1554" t="s">
        <v>4892</v>
      </c>
      <c r="F1554" t="s">
        <v>2823</v>
      </c>
      <c r="G1554">
        <v>1</v>
      </c>
      <c r="H1554">
        <v>1</v>
      </c>
      <c r="I1554" t="s">
        <v>97</v>
      </c>
      <c r="J1554" s="10">
        <v>159</v>
      </c>
      <c r="K1554" s="10">
        <v>477</v>
      </c>
      <c r="L1554" s="10">
        <v>0</v>
      </c>
      <c r="N1554" s="10">
        <v>0</v>
      </c>
      <c r="O1554" t="s">
        <v>99</v>
      </c>
      <c r="P1554" s="10">
        <v>319.95</v>
      </c>
      <c r="S1554">
        <v>25</v>
      </c>
      <c r="U1554">
        <v>9.5</v>
      </c>
      <c r="V1554">
        <v>15</v>
      </c>
      <c r="W1554">
        <v>11.02</v>
      </c>
      <c r="Y1554">
        <v>27.75</v>
      </c>
      <c r="Z1554">
        <v>17.25</v>
      </c>
      <c r="AA1554">
        <v>12</v>
      </c>
      <c r="AB1554">
        <v>3.3239999999999998</v>
      </c>
      <c r="AC1554">
        <v>14.4</v>
      </c>
      <c r="AE1554">
        <v>2</v>
      </c>
      <c r="AF1554" t="s">
        <v>519</v>
      </c>
      <c r="AG1554">
        <v>60</v>
      </c>
      <c r="AK1554" t="s">
        <v>98</v>
      </c>
      <c r="AM1554" t="s">
        <v>98</v>
      </c>
      <c r="AN1554" t="s">
        <v>99</v>
      </c>
      <c r="AO1554" t="s">
        <v>98</v>
      </c>
      <c r="AP1554" t="s">
        <v>100</v>
      </c>
      <c r="AQ1554" t="s">
        <v>101</v>
      </c>
      <c r="AV1554" t="s">
        <v>98</v>
      </c>
      <c r="AX1554" t="s">
        <v>164</v>
      </c>
      <c r="AZ1554" t="s">
        <v>124</v>
      </c>
      <c r="BB1554" t="s">
        <v>235</v>
      </c>
      <c r="BC1554" t="s">
        <v>4896</v>
      </c>
      <c r="BD1554" t="s">
        <v>7528</v>
      </c>
      <c r="BF1554" t="s">
        <v>4902</v>
      </c>
      <c r="BG1554" t="s">
        <v>98</v>
      </c>
      <c r="BH1554" t="s">
        <v>98</v>
      </c>
      <c r="BI1554" t="s">
        <v>98</v>
      </c>
      <c r="BJ1554" t="s">
        <v>99</v>
      </c>
      <c r="BK1554" t="s">
        <v>453</v>
      </c>
      <c r="BL1554" t="s">
        <v>236</v>
      </c>
      <c r="BR1554">
        <v>20.25</v>
      </c>
      <c r="BT1554">
        <v>5.5</v>
      </c>
      <c r="CA1554">
        <v>8991</v>
      </c>
      <c r="CB1554" t="s">
        <v>164</v>
      </c>
      <c r="CL1554" t="s">
        <v>99</v>
      </c>
      <c r="CM1554" t="s">
        <v>98</v>
      </c>
      <c r="CN1554" t="s">
        <v>4255</v>
      </c>
      <c r="CO1554" s="1">
        <v>40976</v>
      </c>
      <c r="CP1554" s="1">
        <v>43633</v>
      </c>
    </row>
    <row r="1555" spans="1:94" x14ac:dyDescent="0.25">
      <c r="A1555" t="s">
        <v>4903</v>
      </c>
      <c r="B1555" t="str">
        <f xml:space="preserve"> "" &amp; 747396011714</f>
        <v>747396011714</v>
      </c>
      <c r="C1555" t="s">
        <v>1799</v>
      </c>
      <c r="D1555" t="s">
        <v>6963</v>
      </c>
      <c r="E1555" t="s">
        <v>4892</v>
      </c>
      <c r="F1555" t="s">
        <v>2823</v>
      </c>
      <c r="G1555">
        <v>1</v>
      </c>
      <c r="H1555">
        <v>1</v>
      </c>
      <c r="I1555" t="s">
        <v>97</v>
      </c>
      <c r="J1555" s="10">
        <v>309</v>
      </c>
      <c r="K1555" s="10">
        <v>927</v>
      </c>
      <c r="L1555" s="10">
        <v>0</v>
      </c>
      <c r="N1555" s="10">
        <v>0</v>
      </c>
      <c r="O1555" t="s">
        <v>99</v>
      </c>
      <c r="P1555" s="10">
        <v>619.95000000000005</v>
      </c>
      <c r="S1555">
        <v>31.5</v>
      </c>
      <c r="U1555">
        <v>12</v>
      </c>
      <c r="V1555">
        <v>18.5</v>
      </c>
      <c r="W1555">
        <v>19.2</v>
      </c>
      <c r="X1555">
        <v>1</v>
      </c>
      <c r="Y1555">
        <v>36</v>
      </c>
      <c r="Z1555">
        <v>20.88</v>
      </c>
      <c r="AA1555">
        <v>15</v>
      </c>
      <c r="AB1555">
        <v>6.5250000000000004</v>
      </c>
      <c r="AC1555">
        <v>24.12</v>
      </c>
      <c r="AE1555">
        <v>3</v>
      </c>
      <c r="AF1555" t="s">
        <v>308</v>
      </c>
      <c r="AG1555">
        <v>60</v>
      </c>
      <c r="AH1555">
        <v>0</v>
      </c>
      <c r="AK1555" t="s">
        <v>98</v>
      </c>
      <c r="AM1555" t="s">
        <v>98</v>
      </c>
      <c r="AN1555" t="s">
        <v>99</v>
      </c>
      <c r="AO1555" t="s">
        <v>98</v>
      </c>
      <c r="AP1555" t="s">
        <v>259</v>
      </c>
      <c r="AQ1555" t="s">
        <v>101</v>
      </c>
      <c r="AV1555" t="s">
        <v>98</v>
      </c>
      <c r="AX1555" t="s">
        <v>4226</v>
      </c>
      <c r="AZ1555" t="s">
        <v>124</v>
      </c>
      <c r="BB1555" t="s">
        <v>4917</v>
      </c>
      <c r="BC1555" t="s">
        <v>4964</v>
      </c>
      <c r="BD1555" t="s">
        <v>7528</v>
      </c>
      <c r="BF1555" t="s">
        <v>4904</v>
      </c>
      <c r="BG1555" t="s">
        <v>98</v>
      </c>
      <c r="BH1555" t="s">
        <v>98</v>
      </c>
      <c r="BI1555" t="s">
        <v>98</v>
      </c>
      <c r="BJ1555" t="s">
        <v>99</v>
      </c>
      <c r="BK1555" t="s">
        <v>453</v>
      </c>
      <c r="BL1555" t="s">
        <v>236</v>
      </c>
      <c r="BR1555">
        <v>23</v>
      </c>
      <c r="BT1555">
        <v>5.63</v>
      </c>
      <c r="CA1555">
        <v>8992</v>
      </c>
      <c r="CB1555" t="s">
        <v>4226</v>
      </c>
      <c r="CG1555">
        <v>0</v>
      </c>
      <c r="CL1555" t="s">
        <v>99</v>
      </c>
      <c r="CM1555" t="s">
        <v>98</v>
      </c>
      <c r="CN1555" t="s">
        <v>4900</v>
      </c>
      <c r="CO1555" s="1">
        <v>36653</v>
      </c>
      <c r="CP1555" s="1">
        <v>43633</v>
      </c>
    </row>
    <row r="1556" spans="1:94" x14ac:dyDescent="0.25">
      <c r="A1556" t="s">
        <v>4905</v>
      </c>
      <c r="B1556" t="str">
        <f xml:space="preserve"> "" &amp; 747396083889</f>
        <v>747396083889</v>
      </c>
      <c r="C1556" t="s">
        <v>1799</v>
      </c>
      <c r="D1556" t="s">
        <v>6963</v>
      </c>
      <c r="E1556" t="s">
        <v>4892</v>
      </c>
      <c r="F1556" t="s">
        <v>2823</v>
      </c>
      <c r="G1556">
        <v>1</v>
      </c>
      <c r="H1556">
        <v>1</v>
      </c>
      <c r="I1556" t="s">
        <v>97</v>
      </c>
      <c r="J1556" s="10">
        <v>305</v>
      </c>
      <c r="K1556" s="10">
        <v>915</v>
      </c>
      <c r="L1556" s="10">
        <v>0</v>
      </c>
      <c r="N1556" s="10">
        <v>0</v>
      </c>
      <c r="O1556" t="s">
        <v>99</v>
      </c>
      <c r="P1556" s="10">
        <v>609.95000000000005</v>
      </c>
      <c r="S1556">
        <v>31.5</v>
      </c>
      <c r="U1556">
        <v>12</v>
      </c>
      <c r="V1556">
        <v>18.5</v>
      </c>
      <c r="W1556">
        <v>19.2</v>
      </c>
      <c r="Y1556">
        <v>35.5</v>
      </c>
      <c r="Z1556">
        <v>20.88</v>
      </c>
      <c r="AA1556">
        <v>15</v>
      </c>
      <c r="AB1556">
        <v>6.4340000000000002</v>
      </c>
      <c r="AC1556">
        <v>24.12</v>
      </c>
      <c r="AE1556">
        <v>3</v>
      </c>
      <c r="AF1556" t="s">
        <v>519</v>
      </c>
      <c r="AG1556">
        <v>60</v>
      </c>
      <c r="AK1556" t="s">
        <v>98</v>
      </c>
      <c r="AM1556" t="s">
        <v>98</v>
      </c>
      <c r="AN1556" t="s">
        <v>99</v>
      </c>
      <c r="AO1556" t="s">
        <v>98</v>
      </c>
      <c r="AP1556" t="s">
        <v>100</v>
      </c>
      <c r="AQ1556" t="s">
        <v>101</v>
      </c>
      <c r="AV1556" t="s">
        <v>98</v>
      </c>
      <c r="AX1556" t="s">
        <v>164</v>
      </c>
      <c r="AZ1556" t="s">
        <v>124</v>
      </c>
      <c r="BB1556" t="s">
        <v>235</v>
      </c>
      <c r="BC1556" t="s">
        <v>4896</v>
      </c>
      <c r="BD1556" t="s">
        <v>7528</v>
      </c>
      <c r="BF1556" t="s">
        <v>4906</v>
      </c>
      <c r="BG1556" t="s">
        <v>98</v>
      </c>
      <c r="BH1556" t="s">
        <v>98</v>
      </c>
      <c r="BI1556" t="s">
        <v>98</v>
      </c>
      <c r="BJ1556" t="s">
        <v>99</v>
      </c>
      <c r="BK1556" t="s">
        <v>453</v>
      </c>
      <c r="BL1556" t="s">
        <v>236</v>
      </c>
      <c r="BR1556">
        <v>23</v>
      </c>
      <c r="BT1556">
        <v>5.63</v>
      </c>
      <c r="CA1556">
        <v>8992</v>
      </c>
      <c r="CB1556" t="s">
        <v>164</v>
      </c>
      <c r="CL1556" t="s">
        <v>99</v>
      </c>
      <c r="CM1556" t="s">
        <v>98</v>
      </c>
      <c r="CN1556" t="s">
        <v>7528</v>
      </c>
      <c r="CO1556" s="1">
        <v>40420</v>
      </c>
      <c r="CP1556" s="1">
        <v>43633</v>
      </c>
    </row>
    <row r="1557" spans="1:94" x14ac:dyDescent="0.25">
      <c r="A1557" t="s">
        <v>4907</v>
      </c>
      <c r="B1557" t="str">
        <f xml:space="preserve"> "" &amp; 747396011738</f>
        <v>747396011738</v>
      </c>
      <c r="C1557" t="s">
        <v>4823</v>
      </c>
      <c r="D1557" t="s">
        <v>6964</v>
      </c>
      <c r="E1557" t="s">
        <v>4892</v>
      </c>
      <c r="F1557" t="s">
        <v>2823</v>
      </c>
      <c r="G1557">
        <v>1</v>
      </c>
      <c r="H1557">
        <v>1</v>
      </c>
      <c r="I1557" t="s">
        <v>97</v>
      </c>
      <c r="J1557" s="10">
        <v>310</v>
      </c>
      <c r="K1557" s="10">
        <v>930</v>
      </c>
      <c r="L1557" s="10">
        <v>0</v>
      </c>
      <c r="N1557" s="10">
        <v>0</v>
      </c>
      <c r="O1557" t="s">
        <v>99</v>
      </c>
      <c r="P1557" s="10">
        <v>624.95000000000005</v>
      </c>
      <c r="S1557">
        <v>35.75</v>
      </c>
      <c r="U1557">
        <v>15</v>
      </c>
      <c r="W1557">
        <v>16.03</v>
      </c>
      <c r="X1557">
        <v>1</v>
      </c>
      <c r="Y1557">
        <v>34</v>
      </c>
      <c r="Z1557">
        <v>17.5</v>
      </c>
      <c r="AA1557">
        <v>17.5</v>
      </c>
      <c r="AB1557">
        <v>6.0259999999999998</v>
      </c>
      <c r="AC1557">
        <v>22.31</v>
      </c>
      <c r="AE1557">
        <v>5</v>
      </c>
      <c r="AF1557" t="s">
        <v>308</v>
      </c>
      <c r="AG1557">
        <v>60</v>
      </c>
      <c r="AH1557">
        <v>0</v>
      </c>
      <c r="AK1557" t="s">
        <v>98</v>
      </c>
      <c r="AM1557" t="s">
        <v>98</v>
      </c>
      <c r="AN1557" t="s">
        <v>99</v>
      </c>
      <c r="AO1557" t="s">
        <v>98</v>
      </c>
      <c r="AP1557" t="s">
        <v>100</v>
      </c>
      <c r="AQ1557" t="s">
        <v>101</v>
      </c>
      <c r="AV1557" t="s">
        <v>98</v>
      </c>
      <c r="AX1557" t="s">
        <v>4226</v>
      </c>
      <c r="AZ1557" t="s">
        <v>124</v>
      </c>
      <c r="BB1557" t="s">
        <v>4917</v>
      </c>
      <c r="BC1557" t="s">
        <v>4964</v>
      </c>
      <c r="BD1557" t="s">
        <v>7528</v>
      </c>
      <c r="BF1557" t="s">
        <v>4908</v>
      </c>
      <c r="BG1557" t="s">
        <v>98</v>
      </c>
      <c r="BH1557" t="s">
        <v>98</v>
      </c>
      <c r="BI1557" t="s">
        <v>98</v>
      </c>
      <c r="BK1557" t="s">
        <v>127</v>
      </c>
      <c r="BL1557" t="s">
        <v>7528</v>
      </c>
      <c r="BR1557">
        <v>0</v>
      </c>
      <c r="BT1557">
        <v>5.13</v>
      </c>
      <c r="CA1557">
        <v>8994</v>
      </c>
      <c r="CB1557" t="s">
        <v>4226</v>
      </c>
      <c r="CG1557">
        <v>0</v>
      </c>
      <c r="CL1557" t="s">
        <v>99</v>
      </c>
      <c r="CM1557" t="s">
        <v>99</v>
      </c>
      <c r="CN1557" t="s">
        <v>4900</v>
      </c>
      <c r="CO1557" s="1">
        <v>36653</v>
      </c>
      <c r="CP1557" s="1">
        <v>43633</v>
      </c>
    </row>
    <row r="1558" spans="1:94" x14ac:dyDescent="0.25">
      <c r="A1558" t="s">
        <v>4909</v>
      </c>
      <c r="B1558" t="str">
        <f xml:space="preserve"> "" &amp; 747396026565</f>
        <v>747396026565</v>
      </c>
      <c r="C1558" t="s">
        <v>4511</v>
      </c>
      <c r="D1558" t="s">
        <v>6965</v>
      </c>
      <c r="E1558" t="s">
        <v>4892</v>
      </c>
      <c r="F1558" t="s">
        <v>2823</v>
      </c>
      <c r="G1558">
        <v>1</v>
      </c>
      <c r="H1558">
        <v>1</v>
      </c>
      <c r="I1558" t="s">
        <v>97</v>
      </c>
      <c r="J1558" s="10">
        <v>100</v>
      </c>
      <c r="K1558" s="10">
        <v>300</v>
      </c>
      <c r="L1558" s="10">
        <v>0</v>
      </c>
      <c r="N1558" s="10">
        <v>0</v>
      </c>
      <c r="O1558" t="s">
        <v>99</v>
      </c>
      <c r="P1558" s="10">
        <v>199.95</v>
      </c>
      <c r="S1558">
        <v>23.75</v>
      </c>
      <c r="T1558">
        <v>9.5</v>
      </c>
      <c r="U1558">
        <v>9.5</v>
      </c>
      <c r="W1558">
        <v>4.92</v>
      </c>
      <c r="X1558">
        <v>1</v>
      </c>
      <c r="Y1558">
        <v>22.88</v>
      </c>
      <c r="Z1558">
        <v>12.5</v>
      </c>
      <c r="AA1558">
        <v>12.5</v>
      </c>
      <c r="AB1558">
        <v>2.069</v>
      </c>
      <c r="AC1558">
        <v>7.01</v>
      </c>
      <c r="AE1558">
        <v>2</v>
      </c>
      <c r="AF1558" t="s">
        <v>308</v>
      </c>
      <c r="AG1558">
        <v>60</v>
      </c>
      <c r="AH1558">
        <v>0</v>
      </c>
      <c r="AK1558" t="s">
        <v>98</v>
      </c>
      <c r="AM1558" t="s">
        <v>98</v>
      </c>
      <c r="AN1558" t="s">
        <v>99</v>
      </c>
      <c r="AO1558" t="s">
        <v>98</v>
      </c>
      <c r="AP1558" t="s">
        <v>100</v>
      </c>
      <c r="AQ1558" t="s">
        <v>101</v>
      </c>
      <c r="AV1558" t="s">
        <v>98</v>
      </c>
      <c r="AX1558" t="s">
        <v>4226</v>
      </c>
      <c r="AZ1558" t="s">
        <v>124</v>
      </c>
      <c r="BB1558" t="s">
        <v>4917</v>
      </c>
      <c r="BC1558" t="s">
        <v>4964</v>
      </c>
      <c r="BD1558" t="s">
        <v>7528</v>
      </c>
      <c r="BF1558" t="s">
        <v>4910</v>
      </c>
      <c r="BG1558" t="s">
        <v>98</v>
      </c>
      <c r="BH1558" t="s">
        <v>98</v>
      </c>
      <c r="BI1558" t="s">
        <v>98</v>
      </c>
      <c r="BJ1558" t="s">
        <v>99</v>
      </c>
      <c r="BK1558" t="s">
        <v>453</v>
      </c>
      <c r="BL1558" t="s">
        <v>7528</v>
      </c>
      <c r="BR1558">
        <v>0</v>
      </c>
      <c r="BT1558">
        <v>0</v>
      </c>
      <c r="CA1558">
        <v>8995</v>
      </c>
      <c r="CB1558" t="s">
        <v>4226</v>
      </c>
      <c r="CG1558">
        <v>0</v>
      </c>
      <c r="CL1558" t="s">
        <v>99</v>
      </c>
      <c r="CM1558" t="s">
        <v>98</v>
      </c>
      <c r="CN1558" t="s">
        <v>3218</v>
      </c>
      <c r="CO1558" s="1">
        <v>37183</v>
      </c>
      <c r="CP1558" s="1">
        <v>43633</v>
      </c>
    </row>
    <row r="1559" spans="1:94" x14ac:dyDescent="0.25">
      <c r="A1559" t="s">
        <v>4911</v>
      </c>
      <c r="B1559" t="str">
        <f xml:space="preserve"> "" &amp; 747396083896</f>
        <v>747396083896</v>
      </c>
      <c r="C1559" t="s">
        <v>4511</v>
      </c>
      <c r="D1559" t="s">
        <v>6965</v>
      </c>
      <c r="E1559" t="s">
        <v>4892</v>
      </c>
      <c r="F1559" t="s">
        <v>2823</v>
      </c>
      <c r="G1559">
        <v>1</v>
      </c>
      <c r="H1559">
        <v>1</v>
      </c>
      <c r="I1559" t="s">
        <v>97</v>
      </c>
      <c r="J1559" s="10">
        <v>100</v>
      </c>
      <c r="K1559" s="10">
        <v>300</v>
      </c>
      <c r="L1559" s="10">
        <v>0</v>
      </c>
      <c r="N1559" s="10">
        <v>0</v>
      </c>
      <c r="O1559" t="s">
        <v>99</v>
      </c>
      <c r="P1559" s="10">
        <v>199.95</v>
      </c>
      <c r="S1559">
        <v>23.75</v>
      </c>
      <c r="U1559">
        <v>9.5</v>
      </c>
      <c r="W1559">
        <v>4.72</v>
      </c>
      <c r="Y1559">
        <v>22.84</v>
      </c>
      <c r="Z1559">
        <v>12.4</v>
      </c>
      <c r="AA1559">
        <v>12.4</v>
      </c>
      <c r="AB1559">
        <v>2.032</v>
      </c>
      <c r="AC1559">
        <v>7.72</v>
      </c>
      <c r="AE1559">
        <v>2</v>
      </c>
      <c r="AF1559" t="s">
        <v>519</v>
      </c>
      <c r="AG1559">
        <v>60</v>
      </c>
      <c r="AK1559" t="s">
        <v>98</v>
      </c>
      <c r="AM1559" t="s">
        <v>98</v>
      </c>
      <c r="AN1559" t="s">
        <v>99</v>
      </c>
      <c r="AO1559" t="s">
        <v>98</v>
      </c>
      <c r="AP1559" t="s">
        <v>100</v>
      </c>
      <c r="AQ1559" t="s">
        <v>101</v>
      </c>
      <c r="AV1559" t="s">
        <v>98</v>
      </c>
      <c r="AX1559" t="s">
        <v>164</v>
      </c>
      <c r="AZ1559" t="s">
        <v>124</v>
      </c>
      <c r="BB1559" t="s">
        <v>235</v>
      </c>
      <c r="BC1559" t="s">
        <v>4896</v>
      </c>
      <c r="BD1559" t="s">
        <v>7528</v>
      </c>
      <c r="BF1559" t="s">
        <v>4912</v>
      </c>
      <c r="BG1559" t="s">
        <v>98</v>
      </c>
      <c r="BH1559" t="s">
        <v>98</v>
      </c>
      <c r="BI1559" t="s">
        <v>98</v>
      </c>
      <c r="BJ1559" t="s">
        <v>99</v>
      </c>
      <c r="BK1559" t="s">
        <v>453</v>
      </c>
      <c r="BL1559" t="s">
        <v>7528</v>
      </c>
      <c r="CA1559">
        <v>8995</v>
      </c>
      <c r="CB1559" t="s">
        <v>164</v>
      </c>
      <c r="CL1559" t="s">
        <v>99</v>
      </c>
      <c r="CM1559" t="s">
        <v>98</v>
      </c>
      <c r="CN1559" t="s">
        <v>7528</v>
      </c>
      <c r="CO1559" s="1">
        <v>40976</v>
      </c>
      <c r="CP1559" s="1">
        <v>43633</v>
      </c>
    </row>
    <row r="1560" spans="1:94" x14ac:dyDescent="0.25">
      <c r="A1560" t="s">
        <v>4913</v>
      </c>
      <c r="B1560" t="str">
        <f xml:space="preserve"> "" &amp; 747396026589</f>
        <v>747396026589</v>
      </c>
      <c r="C1560" t="s">
        <v>3403</v>
      </c>
      <c r="D1560" t="s">
        <v>6966</v>
      </c>
      <c r="E1560" t="s">
        <v>4892</v>
      </c>
      <c r="F1560" t="s">
        <v>2823</v>
      </c>
      <c r="G1560">
        <v>1</v>
      </c>
      <c r="H1560">
        <v>1</v>
      </c>
      <c r="I1560" t="s">
        <v>97</v>
      </c>
      <c r="J1560" s="10">
        <v>209</v>
      </c>
      <c r="K1560" s="10">
        <v>627</v>
      </c>
      <c r="L1560" s="10">
        <v>0</v>
      </c>
      <c r="N1560" s="10">
        <v>0</v>
      </c>
      <c r="O1560" t="s">
        <v>99</v>
      </c>
      <c r="P1560" s="10">
        <v>419.95</v>
      </c>
      <c r="S1560">
        <v>28.75</v>
      </c>
      <c r="U1560">
        <v>12</v>
      </c>
      <c r="W1560">
        <v>7.36</v>
      </c>
      <c r="X1560">
        <v>1</v>
      </c>
      <c r="Y1560">
        <v>28</v>
      </c>
      <c r="Z1560">
        <v>14.63</v>
      </c>
      <c r="AA1560">
        <v>14.63</v>
      </c>
      <c r="AB1560">
        <v>3.468</v>
      </c>
      <c r="AC1560">
        <v>10.76</v>
      </c>
      <c r="AE1560">
        <v>3</v>
      </c>
      <c r="AF1560" t="s">
        <v>308</v>
      </c>
      <c r="AG1560">
        <v>60</v>
      </c>
      <c r="AH1560">
        <v>0</v>
      </c>
      <c r="AK1560" t="s">
        <v>98</v>
      </c>
      <c r="AM1560" t="s">
        <v>98</v>
      </c>
      <c r="AN1560" t="s">
        <v>99</v>
      </c>
      <c r="AO1560" t="s">
        <v>98</v>
      </c>
      <c r="AP1560" t="s">
        <v>100</v>
      </c>
      <c r="AQ1560" t="s">
        <v>101</v>
      </c>
      <c r="AV1560" t="s">
        <v>98</v>
      </c>
      <c r="AX1560" t="s">
        <v>4226</v>
      </c>
      <c r="AZ1560" t="s">
        <v>124</v>
      </c>
      <c r="BB1560" t="s">
        <v>4917</v>
      </c>
      <c r="BC1560" t="s">
        <v>4964</v>
      </c>
      <c r="BD1560" t="s">
        <v>7528</v>
      </c>
      <c r="BF1560" t="s">
        <v>4914</v>
      </c>
      <c r="BG1560" t="s">
        <v>98</v>
      </c>
      <c r="BH1560" t="s">
        <v>98</v>
      </c>
      <c r="BI1560" t="s">
        <v>98</v>
      </c>
      <c r="BJ1560" t="s">
        <v>99</v>
      </c>
      <c r="BK1560" t="s">
        <v>453</v>
      </c>
      <c r="BL1560" t="s">
        <v>7528</v>
      </c>
      <c r="CA1560">
        <v>8996</v>
      </c>
      <c r="CB1560" t="s">
        <v>4226</v>
      </c>
      <c r="CG1560">
        <v>0</v>
      </c>
      <c r="CL1560" t="s">
        <v>99</v>
      </c>
      <c r="CM1560" t="s">
        <v>98</v>
      </c>
      <c r="CN1560" t="s">
        <v>4915</v>
      </c>
      <c r="CO1560" s="1">
        <v>36653</v>
      </c>
      <c r="CP1560" s="1">
        <v>43633</v>
      </c>
    </row>
    <row r="1561" spans="1:94" x14ac:dyDescent="0.25">
      <c r="A1561" t="s">
        <v>4916</v>
      </c>
      <c r="B1561" t="str">
        <f xml:space="preserve"> "" &amp; 747396026602</f>
        <v>747396026602</v>
      </c>
      <c r="C1561" t="s">
        <v>1577</v>
      </c>
      <c r="D1561" t="s">
        <v>6961</v>
      </c>
      <c r="E1561" t="s">
        <v>4892</v>
      </c>
      <c r="F1561" t="s">
        <v>2823</v>
      </c>
      <c r="G1561">
        <v>1</v>
      </c>
      <c r="H1561">
        <v>1</v>
      </c>
      <c r="I1561" t="s">
        <v>97</v>
      </c>
      <c r="J1561" s="10">
        <v>82</v>
      </c>
      <c r="K1561" s="10">
        <v>246</v>
      </c>
      <c r="L1561" s="10">
        <v>0</v>
      </c>
      <c r="N1561" s="10">
        <v>0</v>
      </c>
      <c r="O1561" t="s">
        <v>99</v>
      </c>
      <c r="P1561" s="10">
        <v>164.95</v>
      </c>
      <c r="S1561">
        <v>17.5</v>
      </c>
      <c r="U1561">
        <v>7.75</v>
      </c>
      <c r="V1561">
        <v>9.25</v>
      </c>
      <c r="W1561">
        <v>3.55</v>
      </c>
      <c r="X1561">
        <v>1</v>
      </c>
      <c r="Y1561">
        <v>20</v>
      </c>
      <c r="Z1561">
        <v>11.5</v>
      </c>
      <c r="AA1561">
        <v>9.5</v>
      </c>
      <c r="AB1561">
        <v>1.264</v>
      </c>
      <c r="AC1561">
        <v>5.6</v>
      </c>
      <c r="AE1561">
        <v>1</v>
      </c>
      <c r="AF1561" t="s">
        <v>466</v>
      </c>
      <c r="AG1561">
        <v>100</v>
      </c>
      <c r="AK1561" t="s">
        <v>98</v>
      </c>
      <c r="AM1561" t="s">
        <v>98</v>
      </c>
      <c r="AN1561" t="s">
        <v>99</v>
      </c>
      <c r="AO1561" t="s">
        <v>98</v>
      </c>
      <c r="AP1561" t="s">
        <v>100</v>
      </c>
      <c r="AQ1561" t="s">
        <v>101</v>
      </c>
      <c r="AV1561" t="s">
        <v>98</v>
      </c>
      <c r="AX1561" t="s">
        <v>4226</v>
      </c>
      <c r="AZ1561" t="s">
        <v>124</v>
      </c>
      <c r="BB1561" t="s">
        <v>4917</v>
      </c>
      <c r="BC1561" t="s">
        <v>4964</v>
      </c>
      <c r="BD1561" t="s">
        <v>7528</v>
      </c>
      <c r="BF1561" t="s">
        <v>4918</v>
      </c>
      <c r="BG1561" t="s">
        <v>98</v>
      </c>
      <c r="BH1561" t="s">
        <v>98</v>
      </c>
      <c r="BI1561" t="s">
        <v>98</v>
      </c>
      <c r="BJ1561" t="s">
        <v>99</v>
      </c>
      <c r="BK1561" t="s">
        <v>453</v>
      </c>
      <c r="BL1561" t="s">
        <v>128</v>
      </c>
      <c r="BM1561">
        <v>5</v>
      </c>
      <c r="BN1561">
        <v>8.1300000000000008</v>
      </c>
      <c r="CA1561">
        <v>8997</v>
      </c>
      <c r="CB1561" t="s">
        <v>4226</v>
      </c>
      <c r="CL1561" t="s">
        <v>99</v>
      </c>
      <c r="CM1561" t="s">
        <v>98</v>
      </c>
      <c r="CN1561" t="s">
        <v>3218</v>
      </c>
      <c r="CO1561" s="1">
        <v>37183</v>
      </c>
      <c r="CP1561" s="1">
        <v>43633</v>
      </c>
    </row>
    <row r="1562" spans="1:94" x14ac:dyDescent="0.25">
      <c r="A1562" t="s">
        <v>4919</v>
      </c>
      <c r="B1562" t="str">
        <f xml:space="preserve"> "" &amp; 747396083902</f>
        <v>747396083902</v>
      </c>
      <c r="C1562" t="s">
        <v>1577</v>
      </c>
      <c r="D1562" t="s">
        <v>6961</v>
      </c>
      <c r="E1562" t="s">
        <v>4892</v>
      </c>
      <c r="F1562" t="s">
        <v>2823</v>
      </c>
      <c r="G1562">
        <v>1</v>
      </c>
      <c r="H1562">
        <v>1</v>
      </c>
      <c r="I1562" t="s">
        <v>97</v>
      </c>
      <c r="J1562" s="10">
        <v>82</v>
      </c>
      <c r="K1562" s="10">
        <v>246</v>
      </c>
      <c r="L1562" s="10">
        <v>0</v>
      </c>
      <c r="N1562" s="10">
        <v>0</v>
      </c>
      <c r="O1562" t="s">
        <v>99</v>
      </c>
      <c r="P1562" s="10">
        <v>164.95</v>
      </c>
      <c r="S1562">
        <v>17.5</v>
      </c>
      <c r="U1562">
        <v>7.75</v>
      </c>
      <c r="V1562">
        <v>9.5</v>
      </c>
      <c r="W1562">
        <v>3.55</v>
      </c>
      <c r="Y1562">
        <v>20</v>
      </c>
      <c r="Z1562">
        <v>11.5</v>
      </c>
      <c r="AA1562">
        <v>9.5</v>
      </c>
      <c r="AB1562">
        <v>1.264</v>
      </c>
      <c r="AC1562">
        <v>5.6</v>
      </c>
      <c r="AE1562">
        <v>1</v>
      </c>
      <c r="AF1562" t="s">
        <v>282</v>
      </c>
      <c r="AG1562">
        <v>100</v>
      </c>
      <c r="AK1562" t="s">
        <v>98</v>
      </c>
      <c r="AM1562" t="s">
        <v>98</v>
      </c>
      <c r="AN1562" t="s">
        <v>99</v>
      </c>
      <c r="AO1562" t="s">
        <v>98</v>
      </c>
      <c r="AP1562" t="s">
        <v>100</v>
      </c>
      <c r="AQ1562" t="s">
        <v>101</v>
      </c>
      <c r="AV1562" t="s">
        <v>98</v>
      </c>
      <c r="AX1562" t="s">
        <v>164</v>
      </c>
      <c r="AZ1562" t="s">
        <v>124</v>
      </c>
      <c r="BB1562" t="s">
        <v>235</v>
      </c>
      <c r="BC1562" t="s">
        <v>4896</v>
      </c>
      <c r="BD1562" t="s">
        <v>7528</v>
      </c>
      <c r="BF1562" t="s">
        <v>4920</v>
      </c>
      <c r="BG1562" t="s">
        <v>98</v>
      </c>
      <c r="BH1562" t="s">
        <v>98</v>
      </c>
      <c r="BI1562" t="s">
        <v>98</v>
      </c>
      <c r="BJ1562" t="s">
        <v>99</v>
      </c>
      <c r="BK1562" t="s">
        <v>453</v>
      </c>
      <c r="BL1562" t="s">
        <v>128</v>
      </c>
      <c r="BM1562">
        <v>4.88</v>
      </c>
      <c r="BN1562">
        <v>8.1300000000000008</v>
      </c>
      <c r="CA1562">
        <v>8997</v>
      </c>
      <c r="CB1562" t="s">
        <v>164</v>
      </c>
      <c r="CL1562" t="s">
        <v>99</v>
      </c>
      <c r="CM1562" t="s">
        <v>98</v>
      </c>
      <c r="CN1562" t="s">
        <v>4255</v>
      </c>
      <c r="CO1562" s="1">
        <v>40977</v>
      </c>
      <c r="CP1562" s="1">
        <v>43633</v>
      </c>
    </row>
    <row r="1563" spans="1:94" x14ac:dyDescent="0.25">
      <c r="A1563" t="s">
        <v>4921</v>
      </c>
      <c r="B1563" t="str">
        <f xml:space="preserve"> "" &amp; 747396011769</f>
        <v>747396011769</v>
      </c>
      <c r="C1563" t="s">
        <v>1577</v>
      </c>
      <c r="D1563" t="s">
        <v>6967</v>
      </c>
      <c r="E1563" t="s">
        <v>4922</v>
      </c>
      <c r="F1563" t="s">
        <v>2823</v>
      </c>
      <c r="G1563">
        <v>1</v>
      </c>
      <c r="H1563">
        <v>1</v>
      </c>
      <c r="I1563" t="s">
        <v>97</v>
      </c>
      <c r="J1563" s="10">
        <v>54</v>
      </c>
      <c r="K1563" s="10">
        <v>162</v>
      </c>
      <c r="L1563" s="10">
        <v>0</v>
      </c>
      <c r="N1563" s="10">
        <v>0</v>
      </c>
      <c r="O1563" t="s">
        <v>99</v>
      </c>
      <c r="P1563" s="10">
        <v>109.95</v>
      </c>
      <c r="S1563">
        <v>13.75</v>
      </c>
      <c r="U1563">
        <v>6.75</v>
      </c>
      <c r="V1563">
        <v>9.5</v>
      </c>
      <c r="W1563">
        <v>3.84</v>
      </c>
      <c r="X1563">
        <v>1</v>
      </c>
      <c r="Y1563">
        <v>16.14</v>
      </c>
      <c r="Z1563">
        <v>10.53</v>
      </c>
      <c r="AA1563">
        <v>8</v>
      </c>
      <c r="AB1563">
        <v>0.78700000000000003</v>
      </c>
      <c r="AC1563">
        <v>6.15</v>
      </c>
      <c r="AE1563">
        <v>1</v>
      </c>
      <c r="AF1563" t="s">
        <v>233</v>
      </c>
      <c r="AG1563">
        <v>100</v>
      </c>
      <c r="AH1563">
        <v>0</v>
      </c>
      <c r="AK1563" t="s">
        <v>98</v>
      </c>
      <c r="AM1563" t="s">
        <v>98</v>
      </c>
      <c r="AN1563" t="s">
        <v>99</v>
      </c>
      <c r="AO1563" t="s">
        <v>98</v>
      </c>
      <c r="AP1563" t="s">
        <v>100</v>
      </c>
      <c r="AQ1563" t="s">
        <v>101</v>
      </c>
      <c r="AV1563" t="s">
        <v>98</v>
      </c>
      <c r="AX1563" t="s">
        <v>164</v>
      </c>
      <c r="AZ1563" t="s">
        <v>124</v>
      </c>
      <c r="BB1563" t="s">
        <v>235</v>
      </c>
      <c r="BC1563" t="s">
        <v>4923</v>
      </c>
      <c r="BD1563" t="s">
        <v>7528</v>
      </c>
      <c r="BF1563" t="s">
        <v>4924</v>
      </c>
      <c r="BG1563" t="s">
        <v>98</v>
      </c>
      <c r="BH1563" t="s">
        <v>98</v>
      </c>
      <c r="BI1563" t="s">
        <v>98</v>
      </c>
      <c r="BJ1563" t="s">
        <v>99</v>
      </c>
      <c r="BK1563" t="s">
        <v>453</v>
      </c>
      <c r="BL1563" t="s">
        <v>128</v>
      </c>
      <c r="BM1563">
        <v>5</v>
      </c>
      <c r="BN1563">
        <v>7</v>
      </c>
      <c r="CA1563">
        <v>9010</v>
      </c>
      <c r="CB1563" t="s">
        <v>164</v>
      </c>
      <c r="CG1563">
        <v>0</v>
      </c>
      <c r="CL1563" t="s">
        <v>99</v>
      </c>
      <c r="CM1563" t="s">
        <v>98</v>
      </c>
      <c r="CN1563" t="s">
        <v>3218</v>
      </c>
      <c r="CO1563" s="1">
        <v>36389</v>
      </c>
      <c r="CP1563" s="1">
        <v>43633</v>
      </c>
    </row>
    <row r="1564" spans="1:94" x14ac:dyDescent="0.25">
      <c r="A1564" t="s">
        <v>4925</v>
      </c>
      <c r="B1564" t="str">
        <f xml:space="preserve"> "" &amp; 747396011783</f>
        <v>747396011783</v>
      </c>
      <c r="C1564" t="s">
        <v>1799</v>
      </c>
      <c r="D1564" t="s">
        <v>6968</v>
      </c>
      <c r="E1564" t="s">
        <v>4922</v>
      </c>
      <c r="F1564" t="s">
        <v>2823</v>
      </c>
      <c r="G1564">
        <v>1</v>
      </c>
      <c r="H1564">
        <v>1</v>
      </c>
      <c r="I1564" t="s">
        <v>97</v>
      </c>
      <c r="J1564" s="10">
        <v>64</v>
      </c>
      <c r="K1564" s="10">
        <v>192</v>
      </c>
      <c r="L1564" s="10">
        <v>0</v>
      </c>
      <c r="N1564" s="10">
        <v>0</v>
      </c>
      <c r="O1564" t="s">
        <v>99</v>
      </c>
      <c r="P1564" s="10">
        <v>129.94999999999999</v>
      </c>
      <c r="S1564">
        <v>17.5</v>
      </c>
      <c r="U1564">
        <v>8.5</v>
      </c>
      <c r="V1564">
        <v>11.5</v>
      </c>
      <c r="W1564">
        <v>5.64</v>
      </c>
      <c r="X1564">
        <v>1</v>
      </c>
      <c r="Y1564">
        <v>20</v>
      </c>
      <c r="Z1564">
        <v>12.5</v>
      </c>
      <c r="AA1564">
        <v>10</v>
      </c>
      <c r="AB1564">
        <v>1.4470000000000001</v>
      </c>
      <c r="AC1564">
        <v>8.2200000000000006</v>
      </c>
      <c r="AE1564">
        <v>3</v>
      </c>
      <c r="AF1564" t="s">
        <v>308</v>
      </c>
      <c r="AG1564">
        <v>60</v>
      </c>
      <c r="AK1564" t="s">
        <v>98</v>
      </c>
      <c r="AM1564" t="s">
        <v>98</v>
      </c>
      <c r="AN1564" t="s">
        <v>99</v>
      </c>
      <c r="AO1564" t="s">
        <v>98</v>
      </c>
      <c r="AP1564" t="s">
        <v>100</v>
      </c>
      <c r="AQ1564" t="s">
        <v>101</v>
      </c>
      <c r="AV1564" t="s">
        <v>98</v>
      </c>
      <c r="AX1564" t="s">
        <v>164</v>
      </c>
      <c r="AZ1564" t="s">
        <v>124</v>
      </c>
      <c r="BB1564" t="s">
        <v>4934</v>
      </c>
      <c r="BC1564" t="s">
        <v>1446</v>
      </c>
      <c r="BD1564" t="s">
        <v>7528</v>
      </c>
      <c r="BF1564" t="s">
        <v>4926</v>
      </c>
      <c r="BG1564" t="s">
        <v>98</v>
      </c>
      <c r="BH1564" t="s">
        <v>98</v>
      </c>
      <c r="BI1564" t="s">
        <v>98</v>
      </c>
      <c r="BJ1564" t="s">
        <v>99</v>
      </c>
      <c r="BK1564" t="s">
        <v>453</v>
      </c>
      <c r="BL1564" t="s">
        <v>128</v>
      </c>
      <c r="BM1564">
        <v>5</v>
      </c>
      <c r="BN1564">
        <v>9</v>
      </c>
      <c r="CA1564">
        <v>9011</v>
      </c>
      <c r="CB1564" t="s">
        <v>164</v>
      </c>
      <c r="CL1564" t="s">
        <v>99</v>
      </c>
      <c r="CM1564" t="s">
        <v>98</v>
      </c>
      <c r="CN1564" t="s">
        <v>3218</v>
      </c>
      <c r="CO1564" s="1">
        <v>36389</v>
      </c>
      <c r="CP1564" s="1">
        <v>43633</v>
      </c>
    </row>
    <row r="1565" spans="1:94" x14ac:dyDescent="0.25">
      <c r="A1565" t="s">
        <v>4927</v>
      </c>
      <c r="B1565" t="str">
        <f xml:space="preserve"> "" &amp; 747396011806</f>
        <v>747396011806</v>
      </c>
      <c r="C1565" t="s">
        <v>3403</v>
      </c>
      <c r="D1565" t="s">
        <v>6969</v>
      </c>
      <c r="E1565" t="s">
        <v>4922</v>
      </c>
      <c r="F1565" t="s">
        <v>2823</v>
      </c>
      <c r="G1565">
        <v>1</v>
      </c>
      <c r="H1565">
        <v>1</v>
      </c>
      <c r="I1565" t="s">
        <v>97</v>
      </c>
      <c r="J1565" s="10">
        <v>74</v>
      </c>
      <c r="K1565" s="10">
        <v>222</v>
      </c>
      <c r="L1565" s="10">
        <v>0</v>
      </c>
      <c r="N1565" s="10">
        <v>0</v>
      </c>
      <c r="O1565" t="s">
        <v>99</v>
      </c>
      <c r="P1565" s="10">
        <v>149.94999999999999</v>
      </c>
      <c r="S1565">
        <v>21.5</v>
      </c>
      <c r="U1565">
        <v>8.5</v>
      </c>
      <c r="W1565">
        <v>5.49</v>
      </c>
      <c r="X1565">
        <v>1</v>
      </c>
      <c r="Y1565">
        <v>21</v>
      </c>
      <c r="Z1565">
        <v>9.8800000000000008</v>
      </c>
      <c r="AA1565">
        <v>9.8800000000000008</v>
      </c>
      <c r="AB1565">
        <v>1.1859999999999999</v>
      </c>
      <c r="AC1565">
        <v>8.6</v>
      </c>
      <c r="AE1565">
        <v>3</v>
      </c>
      <c r="AF1565" t="s">
        <v>308</v>
      </c>
      <c r="AG1565">
        <v>60</v>
      </c>
      <c r="AH1565">
        <v>0</v>
      </c>
      <c r="AK1565" t="s">
        <v>98</v>
      </c>
      <c r="AM1565" t="s">
        <v>98</v>
      </c>
      <c r="AN1565" t="s">
        <v>98</v>
      </c>
      <c r="AO1565" t="s">
        <v>99</v>
      </c>
      <c r="AP1565" t="s">
        <v>100</v>
      </c>
      <c r="AQ1565" t="s">
        <v>101</v>
      </c>
      <c r="AV1565" t="s">
        <v>98</v>
      </c>
      <c r="AX1565" t="s">
        <v>164</v>
      </c>
      <c r="AZ1565" t="s">
        <v>124</v>
      </c>
      <c r="BB1565" t="s">
        <v>4934</v>
      </c>
      <c r="BC1565" t="s">
        <v>4923</v>
      </c>
      <c r="BD1565" t="s">
        <v>7528</v>
      </c>
      <c r="BF1565" t="s">
        <v>4928</v>
      </c>
      <c r="BG1565" t="s">
        <v>98</v>
      </c>
      <c r="BH1565" t="s">
        <v>98</v>
      </c>
      <c r="BI1565" t="s">
        <v>98</v>
      </c>
      <c r="BJ1565" t="s">
        <v>99</v>
      </c>
      <c r="BK1565" t="s">
        <v>453</v>
      </c>
      <c r="BL1565" t="s">
        <v>7528</v>
      </c>
      <c r="BR1565">
        <v>0</v>
      </c>
      <c r="BT1565">
        <v>0</v>
      </c>
      <c r="CA1565">
        <v>9016</v>
      </c>
      <c r="CB1565" t="s">
        <v>164</v>
      </c>
      <c r="CG1565">
        <v>0</v>
      </c>
      <c r="CL1565" t="s">
        <v>99</v>
      </c>
      <c r="CM1565" t="s">
        <v>98</v>
      </c>
      <c r="CN1565" t="s">
        <v>3218</v>
      </c>
      <c r="CO1565" s="1">
        <v>36389</v>
      </c>
      <c r="CP1565" s="1">
        <v>43633</v>
      </c>
    </row>
    <row r="1566" spans="1:94" x14ac:dyDescent="0.25">
      <c r="A1566" t="s">
        <v>4929</v>
      </c>
      <c r="B1566" t="str">
        <f xml:space="preserve"> "" &amp; 747396011844</f>
        <v>747396011844</v>
      </c>
      <c r="C1566" t="s">
        <v>1799</v>
      </c>
      <c r="D1566" t="s">
        <v>6968</v>
      </c>
      <c r="E1566" t="s">
        <v>4922</v>
      </c>
      <c r="F1566" t="s">
        <v>2823</v>
      </c>
      <c r="G1566">
        <v>1</v>
      </c>
      <c r="H1566">
        <v>1</v>
      </c>
      <c r="I1566" t="s">
        <v>97</v>
      </c>
      <c r="J1566" s="10">
        <v>74</v>
      </c>
      <c r="K1566" s="10">
        <v>222</v>
      </c>
      <c r="L1566" s="10">
        <v>0</v>
      </c>
      <c r="N1566" s="10">
        <v>0</v>
      </c>
      <c r="O1566" t="s">
        <v>99</v>
      </c>
      <c r="P1566" s="10">
        <v>149.94999999999999</v>
      </c>
      <c r="S1566">
        <v>23.25</v>
      </c>
      <c r="U1566">
        <v>8.5</v>
      </c>
      <c r="V1566">
        <v>11.5</v>
      </c>
      <c r="W1566">
        <v>6.79</v>
      </c>
      <c r="X1566">
        <v>1</v>
      </c>
      <c r="Y1566">
        <v>22.75</v>
      </c>
      <c r="Z1566">
        <v>12.5</v>
      </c>
      <c r="AA1566">
        <v>10</v>
      </c>
      <c r="AB1566">
        <v>1.6459999999999999</v>
      </c>
      <c r="AC1566">
        <v>9.6999999999999993</v>
      </c>
      <c r="AE1566">
        <v>3</v>
      </c>
      <c r="AF1566" t="s">
        <v>308</v>
      </c>
      <c r="AG1566">
        <v>60</v>
      </c>
      <c r="AH1566">
        <v>0</v>
      </c>
      <c r="AK1566" t="s">
        <v>98</v>
      </c>
      <c r="AM1566" t="s">
        <v>98</v>
      </c>
      <c r="AN1566" t="s">
        <v>99</v>
      </c>
      <c r="AO1566" t="s">
        <v>98</v>
      </c>
      <c r="AP1566" t="s">
        <v>100</v>
      </c>
      <c r="AQ1566" t="s">
        <v>101</v>
      </c>
      <c r="AV1566" t="s">
        <v>98</v>
      </c>
      <c r="AX1566" t="s">
        <v>164</v>
      </c>
      <c r="AZ1566" t="s">
        <v>124</v>
      </c>
      <c r="BB1566" t="s">
        <v>4934</v>
      </c>
      <c r="BC1566" t="s">
        <v>4923</v>
      </c>
      <c r="BD1566" t="s">
        <v>7528</v>
      </c>
      <c r="BF1566" t="s">
        <v>4930</v>
      </c>
      <c r="BG1566" t="s">
        <v>98</v>
      </c>
      <c r="BH1566" t="s">
        <v>98</v>
      </c>
      <c r="BI1566" t="s">
        <v>98</v>
      </c>
      <c r="BJ1566" t="s">
        <v>99</v>
      </c>
      <c r="BK1566" t="s">
        <v>453</v>
      </c>
      <c r="BL1566" t="s">
        <v>236</v>
      </c>
      <c r="BR1566">
        <v>9</v>
      </c>
      <c r="BT1566">
        <v>5</v>
      </c>
      <c r="CA1566">
        <v>9018</v>
      </c>
      <c r="CB1566" t="s">
        <v>164</v>
      </c>
      <c r="CG1566">
        <v>0</v>
      </c>
      <c r="CL1566" t="s">
        <v>99</v>
      </c>
      <c r="CM1566" t="s">
        <v>98</v>
      </c>
      <c r="CN1566" t="s">
        <v>3218</v>
      </c>
      <c r="CO1566" s="1">
        <v>36389</v>
      </c>
      <c r="CP1566" s="1">
        <v>43633</v>
      </c>
    </row>
    <row r="1567" spans="1:94" x14ac:dyDescent="0.25">
      <c r="A1567" t="s">
        <v>4931</v>
      </c>
      <c r="B1567" t="str">
        <f xml:space="preserve"> "" &amp; 747396012285</f>
        <v>747396012285</v>
      </c>
      <c r="C1567" t="s">
        <v>4932</v>
      </c>
      <c r="D1567" t="s">
        <v>6970</v>
      </c>
      <c r="E1567" t="s">
        <v>4933</v>
      </c>
      <c r="F1567" t="s">
        <v>2823</v>
      </c>
      <c r="G1567">
        <v>1</v>
      </c>
      <c r="H1567">
        <v>1</v>
      </c>
      <c r="I1567" t="s">
        <v>97</v>
      </c>
      <c r="J1567" s="10">
        <v>20</v>
      </c>
      <c r="K1567" s="10">
        <v>60</v>
      </c>
      <c r="L1567" s="10">
        <v>0</v>
      </c>
      <c r="N1567" s="10">
        <v>0</v>
      </c>
      <c r="S1567">
        <v>16.5</v>
      </c>
      <c r="T1567">
        <v>7.5</v>
      </c>
      <c r="U1567">
        <v>6</v>
      </c>
      <c r="V1567">
        <v>7</v>
      </c>
      <c r="W1567">
        <v>2.4300000000000002</v>
      </c>
      <c r="X1567">
        <v>1</v>
      </c>
      <c r="Y1567">
        <v>10.5</v>
      </c>
      <c r="Z1567">
        <v>7.5</v>
      </c>
      <c r="AA1567">
        <v>6.75</v>
      </c>
      <c r="AB1567">
        <v>0.308</v>
      </c>
      <c r="AC1567">
        <v>3.09</v>
      </c>
      <c r="AE1567">
        <v>1</v>
      </c>
      <c r="AF1567" t="s">
        <v>233</v>
      </c>
      <c r="AG1567">
        <v>100</v>
      </c>
      <c r="AH1567">
        <v>0</v>
      </c>
      <c r="AK1567" t="s">
        <v>98</v>
      </c>
      <c r="AM1567" t="s">
        <v>98</v>
      </c>
      <c r="AN1567" t="s">
        <v>99</v>
      </c>
      <c r="AO1567" t="s">
        <v>98</v>
      </c>
      <c r="AP1567" t="s">
        <v>100</v>
      </c>
      <c r="AQ1567" t="s">
        <v>101</v>
      </c>
      <c r="AV1567" t="s">
        <v>98</v>
      </c>
      <c r="AX1567" t="s">
        <v>164</v>
      </c>
      <c r="AZ1567" t="s">
        <v>124</v>
      </c>
      <c r="BB1567" t="s">
        <v>4934</v>
      </c>
      <c r="BC1567" t="s">
        <v>746</v>
      </c>
      <c r="BD1567" t="s">
        <v>7528</v>
      </c>
      <c r="BF1567" t="s">
        <v>4935</v>
      </c>
      <c r="BG1567" t="s">
        <v>98</v>
      </c>
      <c r="BH1567" t="s">
        <v>98</v>
      </c>
      <c r="BI1567" t="s">
        <v>98</v>
      </c>
      <c r="BJ1567" t="s">
        <v>99</v>
      </c>
      <c r="BK1567" t="s">
        <v>453</v>
      </c>
      <c r="BL1567" t="s">
        <v>236</v>
      </c>
      <c r="BM1567">
        <v>4.5</v>
      </c>
      <c r="BN1567">
        <v>6</v>
      </c>
      <c r="CA1567">
        <v>9060</v>
      </c>
      <c r="CB1567" t="s">
        <v>164</v>
      </c>
      <c r="CL1567" t="s">
        <v>99</v>
      </c>
      <c r="CM1567" t="s">
        <v>98</v>
      </c>
      <c r="CN1567" t="s">
        <v>3227</v>
      </c>
      <c r="CO1567" s="1">
        <v>39308</v>
      </c>
      <c r="CP1567" s="1">
        <v>43633</v>
      </c>
    </row>
    <row r="1568" spans="1:94" x14ac:dyDescent="0.25">
      <c r="A1568" t="s">
        <v>4936</v>
      </c>
      <c r="B1568" t="str">
        <f xml:space="preserve"> "" &amp; 747396012292</f>
        <v>747396012292</v>
      </c>
      <c r="C1568" t="s">
        <v>1577</v>
      </c>
      <c r="D1568" t="s">
        <v>6970</v>
      </c>
      <c r="E1568" t="s">
        <v>4933</v>
      </c>
      <c r="F1568" t="s">
        <v>2823</v>
      </c>
      <c r="G1568">
        <v>1</v>
      </c>
      <c r="H1568">
        <v>1</v>
      </c>
      <c r="I1568" t="s">
        <v>97</v>
      </c>
      <c r="J1568" s="10">
        <v>20</v>
      </c>
      <c r="K1568" s="10">
        <v>60</v>
      </c>
      <c r="L1568" s="10">
        <v>0</v>
      </c>
      <c r="N1568" s="10">
        <v>0</v>
      </c>
      <c r="S1568">
        <v>16.5</v>
      </c>
      <c r="T1568">
        <v>7.5</v>
      </c>
      <c r="U1568">
        <v>6</v>
      </c>
      <c r="V1568">
        <v>6.75</v>
      </c>
      <c r="W1568">
        <v>28.04</v>
      </c>
      <c r="X1568">
        <v>1</v>
      </c>
      <c r="Y1568">
        <v>10.5</v>
      </c>
      <c r="Z1568">
        <v>7.5</v>
      </c>
      <c r="AA1568">
        <v>6.75</v>
      </c>
      <c r="AB1568">
        <v>0.308</v>
      </c>
      <c r="AC1568">
        <v>36.049999999999997</v>
      </c>
      <c r="AE1568">
        <v>1</v>
      </c>
      <c r="AF1568" t="s">
        <v>233</v>
      </c>
      <c r="AG1568">
        <v>100</v>
      </c>
      <c r="AH1568">
        <v>0</v>
      </c>
      <c r="AK1568" t="s">
        <v>98</v>
      </c>
      <c r="AM1568" t="s">
        <v>98</v>
      </c>
      <c r="AN1568" t="s">
        <v>98</v>
      </c>
      <c r="AO1568" t="s">
        <v>99</v>
      </c>
      <c r="AP1568" t="s">
        <v>100</v>
      </c>
      <c r="AQ1568" t="s">
        <v>101</v>
      </c>
      <c r="AV1568" t="s">
        <v>98</v>
      </c>
      <c r="AX1568" t="s">
        <v>3202</v>
      </c>
      <c r="AZ1568" t="s">
        <v>124</v>
      </c>
      <c r="BB1568" t="s">
        <v>235</v>
      </c>
      <c r="BC1568" t="s">
        <v>7528</v>
      </c>
      <c r="BD1568" t="s">
        <v>7528</v>
      </c>
      <c r="BF1568" t="s">
        <v>4937</v>
      </c>
      <c r="BG1568" t="s">
        <v>98</v>
      </c>
      <c r="BH1568" t="s">
        <v>98</v>
      </c>
      <c r="BI1568" t="s">
        <v>98</v>
      </c>
      <c r="BJ1568" t="s">
        <v>99</v>
      </c>
      <c r="BK1568" t="s">
        <v>453</v>
      </c>
      <c r="BL1568" t="s">
        <v>236</v>
      </c>
      <c r="BR1568">
        <v>6</v>
      </c>
      <c r="BT1568">
        <v>4.5</v>
      </c>
      <c r="CA1568">
        <v>9060</v>
      </c>
      <c r="CB1568" t="s">
        <v>3202</v>
      </c>
      <c r="CG1568">
        <v>0</v>
      </c>
      <c r="CL1568" t="s">
        <v>99</v>
      </c>
      <c r="CM1568" t="s">
        <v>98</v>
      </c>
      <c r="CN1568" t="s">
        <v>3227</v>
      </c>
      <c r="CO1568" s="1">
        <v>39308</v>
      </c>
      <c r="CP1568" s="1">
        <v>43633</v>
      </c>
    </row>
    <row r="1569" spans="1:94" x14ac:dyDescent="0.25">
      <c r="A1569" t="s">
        <v>4938</v>
      </c>
      <c r="B1569" t="str">
        <f xml:space="preserve"> "" &amp; 747396012308</f>
        <v>747396012308</v>
      </c>
      <c r="C1569" t="s">
        <v>447</v>
      </c>
      <c r="D1569" t="s">
        <v>6971</v>
      </c>
      <c r="E1569" t="s">
        <v>4933</v>
      </c>
      <c r="F1569" t="s">
        <v>2823</v>
      </c>
      <c r="G1569">
        <v>1</v>
      </c>
      <c r="H1569">
        <v>1</v>
      </c>
      <c r="I1569" t="s">
        <v>97</v>
      </c>
      <c r="J1569" s="10">
        <v>20</v>
      </c>
      <c r="K1569" s="10">
        <v>60</v>
      </c>
      <c r="L1569" s="10">
        <v>0</v>
      </c>
      <c r="N1569" s="10">
        <v>0</v>
      </c>
      <c r="S1569">
        <v>16.75</v>
      </c>
      <c r="T1569">
        <v>7.25</v>
      </c>
      <c r="U1569">
        <v>7.25</v>
      </c>
      <c r="W1569">
        <v>2.73</v>
      </c>
      <c r="X1569">
        <v>1</v>
      </c>
      <c r="Y1569">
        <v>12</v>
      </c>
      <c r="Z1569">
        <v>7.5</v>
      </c>
      <c r="AA1569">
        <v>7.5</v>
      </c>
      <c r="AB1569">
        <v>0.39100000000000001</v>
      </c>
      <c r="AC1569">
        <v>3.59</v>
      </c>
      <c r="AE1569">
        <v>1</v>
      </c>
      <c r="AF1569" t="s">
        <v>233</v>
      </c>
      <c r="AG1569">
        <v>100</v>
      </c>
      <c r="AH1569">
        <v>0</v>
      </c>
      <c r="AK1569" t="s">
        <v>98</v>
      </c>
      <c r="AM1569" t="s">
        <v>98</v>
      </c>
      <c r="AN1569" t="s">
        <v>98</v>
      </c>
      <c r="AO1569" t="s">
        <v>99</v>
      </c>
      <c r="AP1569" t="s">
        <v>100</v>
      </c>
      <c r="AQ1569" t="s">
        <v>101</v>
      </c>
      <c r="AV1569" t="s">
        <v>98</v>
      </c>
      <c r="AX1569" t="s">
        <v>164</v>
      </c>
      <c r="AZ1569" t="s">
        <v>124</v>
      </c>
      <c r="BB1569" t="s">
        <v>235</v>
      </c>
      <c r="BC1569" t="s">
        <v>2591</v>
      </c>
      <c r="BD1569" t="s">
        <v>7528</v>
      </c>
      <c r="BF1569" t="s">
        <v>4939</v>
      </c>
      <c r="BG1569" t="s">
        <v>98</v>
      </c>
      <c r="BH1569" t="s">
        <v>98</v>
      </c>
      <c r="BI1569" t="s">
        <v>98</v>
      </c>
      <c r="BJ1569" t="s">
        <v>99</v>
      </c>
      <c r="BK1569" t="s">
        <v>453</v>
      </c>
      <c r="BL1569" t="s">
        <v>7528</v>
      </c>
      <c r="BR1569">
        <v>0</v>
      </c>
      <c r="BT1569">
        <v>0</v>
      </c>
      <c r="CA1569">
        <v>9066</v>
      </c>
      <c r="CB1569" t="s">
        <v>164</v>
      </c>
      <c r="CG1569">
        <v>0</v>
      </c>
      <c r="CL1569" t="s">
        <v>99</v>
      </c>
      <c r="CM1569" t="s">
        <v>98</v>
      </c>
      <c r="CN1569" t="s">
        <v>3227</v>
      </c>
      <c r="CO1569" s="1">
        <v>39308</v>
      </c>
      <c r="CP1569" s="1">
        <v>43633</v>
      </c>
    </row>
    <row r="1570" spans="1:94" x14ac:dyDescent="0.25">
      <c r="A1570" t="s">
        <v>4940</v>
      </c>
      <c r="B1570" t="str">
        <f xml:space="preserve"> "" &amp; 747396012339</f>
        <v>747396012339</v>
      </c>
      <c r="C1570" t="s">
        <v>1577</v>
      </c>
      <c r="D1570" t="s">
        <v>6970</v>
      </c>
      <c r="E1570" t="s">
        <v>4933</v>
      </c>
      <c r="F1570" t="s">
        <v>2823</v>
      </c>
      <c r="G1570">
        <v>1</v>
      </c>
      <c r="H1570">
        <v>1</v>
      </c>
      <c r="I1570" t="s">
        <v>97</v>
      </c>
      <c r="J1570" s="10">
        <v>19</v>
      </c>
      <c r="K1570" s="10">
        <v>57</v>
      </c>
      <c r="L1570" s="10">
        <v>0</v>
      </c>
      <c r="N1570" s="10">
        <v>0</v>
      </c>
      <c r="S1570">
        <v>16.5</v>
      </c>
      <c r="T1570">
        <v>7.5</v>
      </c>
      <c r="U1570">
        <v>6</v>
      </c>
      <c r="V1570">
        <v>6.75</v>
      </c>
      <c r="W1570">
        <v>29.1</v>
      </c>
      <c r="X1570">
        <v>1</v>
      </c>
      <c r="Y1570">
        <v>9.5</v>
      </c>
      <c r="Z1570">
        <v>7.5</v>
      </c>
      <c r="AA1570">
        <v>6.25</v>
      </c>
      <c r="AB1570">
        <v>0.25800000000000001</v>
      </c>
      <c r="AC1570">
        <v>35.94</v>
      </c>
      <c r="AE1570">
        <v>1</v>
      </c>
      <c r="AF1570" t="s">
        <v>233</v>
      </c>
      <c r="AG1570">
        <v>100</v>
      </c>
      <c r="AH1570">
        <v>0</v>
      </c>
      <c r="AK1570" t="s">
        <v>98</v>
      </c>
      <c r="AM1570" t="s">
        <v>98</v>
      </c>
      <c r="AN1570" t="s">
        <v>98</v>
      </c>
      <c r="AO1570" t="s">
        <v>99</v>
      </c>
      <c r="AP1570" t="s">
        <v>100</v>
      </c>
      <c r="AQ1570" t="s">
        <v>101</v>
      </c>
      <c r="AV1570" t="s">
        <v>98</v>
      </c>
      <c r="AX1570" t="s">
        <v>164</v>
      </c>
      <c r="AZ1570" t="s">
        <v>124</v>
      </c>
      <c r="BB1570" t="s">
        <v>4934</v>
      </c>
      <c r="BC1570" t="s">
        <v>746</v>
      </c>
      <c r="BD1570" t="s">
        <v>7528</v>
      </c>
      <c r="BF1570" t="s">
        <v>4941</v>
      </c>
      <c r="BG1570" t="s">
        <v>98</v>
      </c>
      <c r="BH1570" t="s">
        <v>98</v>
      </c>
      <c r="BI1570" t="s">
        <v>98</v>
      </c>
      <c r="BJ1570" t="s">
        <v>99</v>
      </c>
      <c r="BK1570" t="s">
        <v>453</v>
      </c>
      <c r="BL1570" t="s">
        <v>128</v>
      </c>
      <c r="BR1570">
        <v>6</v>
      </c>
      <c r="BT1570">
        <v>4.5</v>
      </c>
      <c r="CA1570">
        <v>9067</v>
      </c>
      <c r="CB1570" t="s">
        <v>164</v>
      </c>
      <c r="CG1570">
        <v>0</v>
      </c>
      <c r="CL1570" t="s">
        <v>99</v>
      </c>
      <c r="CM1570" t="s">
        <v>98</v>
      </c>
      <c r="CN1570" t="s">
        <v>3227</v>
      </c>
      <c r="CO1570" s="1">
        <v>39340</v>
      </c>
      <c r="CP1570" s="1">
        <v>43633</v>
      </c>
    </row>
    <row r="1571" spans="1:94" x14ac:dyDescent="0.25">
      <c r="A1571" t="s">
        <v>4942</v>
      </c>
      <c r="B1571" t="str">
        <f xml:space="preserve"> "" &amp; 747396012346</f>
        <v>747396012346</v>
      </c>
      <c r="C1571" t="s">
        <v>1577</v>
      </c>
      <c r="D1571" t="s">
        <v>6970</v>
      </c>
      <c r="E1571" t="s">
        <v>4933</v>
      </c>
      <c r="F1571" t="s">
        <v>2823</v>
      </c>
      <c r="G1571">
        <v>1</v>
      </c>
      <c r="H1571">
        <v>1</v>
      </c>
      <c r="I1571" t="s">
        <v>97</v>
      </c>
      <c r="J1571" s="10">
        <v>19</v>
      </c>
      <c r="K1571" s="10">
        <v>57</v>
      </c>
      <c r="L1571" s="10">
        <v>0</v>
      </c>
      <c r="N1571" s="10">
        <v>0</v>
      </c>
      <c r="S1571">
        <v>16.5</v>
      </c>
      <c r="T1571">
        <v>7.5</v>
      </c>
      <c r="U1571">
        <v>6</v>
      </c>
      <c r="V1571">
        <v>6.75</v>
      </c>
      <c r="W1571">
        <v>29.1</v>
      </c>
      <c r="X1571">
        <v>1</v>
      </c>
      <c r="Y1571">
        <v>9.5</v>
      </c>
      <c r="Z1571">
        <v>7.5</v>
      </c>
      <c r="AA1571">
        <v>6.25</v>
      </c>
      <c r="AB1571">
        <v>0.25800000000000001</v>
      </c>
      <c r="AC1571">
        <v>35.94</v>
      </c>
      <c r="AE1571">
        <v>1</v>
      </c>
      <c r="AF1571" t="s">
        <v>662</v>
      </c>
      <c r="AG1571">
        <v>100</v>
      </c>
      <c r="AH1571">
        <v>0</v>
      </c>
      <c r="AK1571" t="s">
        <v>98</v>
      </c>
      <c r="AM1571" t="s">
        <v>98</v>
      </c>
      <c r="AN1571" t="s">
        <v>98</v>
      </c>
      <c r="AO1571" t="s">
        <v>99</v>
      </c>
      <c r="AP1571" t="s">
        <v>100</v>
      </c>
      <c r="AQ1571" t="s">
        <v>101</v>
      </c>
      <c r="AV1571" t="s">
        <v>98</v>
      </c>
      <c r="AX1571" t="s">
        <v>3202</v>
      </c>
      <c r="AZ1571" t="s">
        <v>124</v>
      </c>
      <c r="BB1571" t="s">
        <v>235</v>
      </c>
      <c r="BC1571" t="s">
        <v>2591</v>
      </c>
      <c r="BD1571" t="s">
        <v>7528</v>
      </c>
      <c r="BF1571" t="s">
        <v>4943</v>
      </c>
      <c r="BG1571" t="s">
        <v>98</v>
      </c>
      <c r="BH1571" t="s">
        <v>98</v>
      </c>
      <c r="BI1571" t="s">
        <v>98</v>
      </c>
      <c r="BJ1571" t="s">
        <v>99</v>
      </c>
      <c r="BK1571" t="s">
        <v>453</v>
      </c>
      <c r="BL1571" t="s">
        <v>128</v>
      </c>
      <c r="BR1571">
        <v>6</v>
      </c>
      <c r="BT1571">
        <v>4.5</v>
      </c>
      <c r="CA1571">
        <v>9067</v>
      </c>
      <c r="CB1571" t="s">
        <v>3202</v>
      </c>
      <c r="CG1571">
        <v>0</v>
      </c>
      <c r="CL1571" t="s">
        <v>99</v>
      </c>
      <c r="CM1571" t="s">
        <v>98</v>
      </c>
      <c r="CN1571" t="s">
        <v>3227</v>
      </c>
      <c r="CO1571" s="1">
        <v>39340</v>
      </c>
      <c r="CP1571" s="1">
        <v>43633</v>
      </c>
    </row>
    <row r="1572" spans="1:94" x14ac:dyDescent="0.25">
      <c r="A1572" t="s">
        <v>4944</v>
      </c>
      <c r="B1572" t="str">
        <f xml:space="preserve"> "" &amp; 747396092164</f>
        <v>747396092164</v>
      </c>
      <c r="C1572" t="s">
        <v>3354</v>
      </c>
      <c r="D1572" t="s">
        <v>4945</v>
      </c>
      <c r="E1572" t="s">
        <v>4946</v>
      </c>
      <c r="F1572" t="s">
        <v>2823</v>
      </c>
      <c r="G1572">
        <v>1</v>
      </c>
      <c r="H1572">
        <v>1</v>
      </c>
      <c r="I1572" t="s">
        <v>97</v>
      </c>
      <c r="J1572" s="10">
        <v>215</v>
      </c>
      <c r="K1572" s="10">
        <v>645</v>
      </c>
      <c r="L1572" s="10">
        <v>0</v>
      </c>
      <c r="N1572" s="10">
        <v>0</v>
      </c>
      <c r="O1572" t="s">
        <v>99</v>
      </c>
      <c r="P1572" s="10">
        <v>429.95</v>
      </c>
      <c r="S1572">
        <v>18.25</v>
      </c>
      <c r="U1572">
        <v>7</v>
      </c>
      <c r="V1572">
        <v>6</v>
      </c>
      <c r="W1572">
        <v>6.68</v>
      </c>
      <c r="Y1572">
        <v>10.5</v>
      </c>
      <c r="Z1572">
        <v>22</v>
      </c>
      <c r="AA1572">
        <v>10.63</v>
      </c>
      <c r="AB1572">
        <v>1.421</v>
      </c>
      <c r="AC1572">
        <v>8.58</v>
      </c>
      <c r="AE1572">
        <v>2</v>
      </c>
      <c r="AF1572" t="s">
        <v>308</v>
      </c>
      <c r="AG1572">
        <v>60</v>
      </c>
      <c r="AK1572" t="s">
        <v>98</v>
      </c>
      <c r="AM1572" t="s">
        <v>98</v>
      </c>
      <c r="AN1572" t="s">
        <v>99</v>
      </c>
      <c r="AO1572" t="s">
        <v>98</v>
      </c>
      <c r="AP1572" t="s">
        <v>100</v>
      </c>
      <c r="AQ1572" t="s">
        <v>101</v>
      </c>
      <c r="AV1572" t="s">
        <v>98</v>
      </c>
      <c r="AX1572" t="s">
        <v>4947</v>
      </c>
      <c r="AZ1572" t="s">
        <v>124</v>
      </c>
      <c r="BB1572" t="s">
        <v>235</v>
      </c>
      <c r="BC1572" t="s">
        <v>746</v>
      </c>
      <c r="BD1572" t="s">
        <v>7528</v>
      </c>
      <c r="BF1572" t="s">
        <v>4948</v>
      </c>
      <c r="BG1572" t="s">
        <v>98</v>
      </c>
      <c r="BH1572" t="s">
        <v>98</v>
      </c>
      <c r="BI1572" t="s">
        <v>98</v>
      </c>
      <c r="BJ1572" t="s">
        <v>99</v>
      </c>
      <c r="BK1572" t="s">
        <v>453</v>
      </c>
      <c r="BL1572" t="s">
        <v>7528</v>
      </c>
      <c r="BR1572">
        <v>11.13</v>
      </c>
      <c r="BT1572">
        <v>5.25</v>
      </c>
      <c r="CA1572">
        <v>9071</v>
      </c>
      <c r="CB1572" t="s">
        <v>4947</v>
      </c>
      <c r="CL1572" t="s">
        <v>99</v>
      </c>
      <c r="CM1572" t="s">
        <v>98</v>
      </c>
      <c r="CN1572" t="s">
        <v>7650</v>
      </c>
      <c r="CO1572" s="1">
        <v>41589</v>
      </c>
      <c r="CP1572" s="1">
        <v>43633</v>
      </c>
    </row>
    <row r="1573" spans="1:94" x14ac:dyDescent="0.25">
      <c r="A1573" t="s">
        <v>4949</v>
      </c>
      <c r="B1573" t="str">
        <f xml:space="preserve"> "" &amp; 747396092171</f>
        <v>747396092171</v>
      </c>
      <c r="C1573" t="s">
        <v>1550</v>
      </c>
      <c r="D1573" t="s">
        <v>4950</v>
      </c>
      <c r="E1573" t="s">
        <v>4946</v>
      </c>
      <c r="F1573" t="s">
        <v>2823</v>
      </c>
      <c r="G1573">
        <v>1</v>
      </c>
      <c r="H1573">
        <v>1</v>
      </c>
      <c r="I1573" t="s">
        <v>97</v>
      </c>
      <c r="J1573" s="10">
        <v>215</v>
      </c>
      <c r="K1573" s="10">
        <v>645</v>
      </c>
      <c r="L1573" s="10">
        <v>0</v>
      </c>
      <c r="N1573" s="10">
        <v>0</v>
      </c>
      <c r="O1573" t="s">
        <v>99</v>
      </c>
      <c r="P1573" s="10">
        <v>429.95</v>
      </c>
      <c r="S1573">
        <v>18.25</v>
      </c>
      <c r="U1573">
        <v>6.75</v>
      </c>
      <c r="V1573">
        <v>7.5</v>
      </c>
      <c r="W1573">
        <v>7.32</v>
      </c>
      <c r="Y1573">
        <v>10</v>
      </c>
      <c r="Z1573">
        <v>21.63</v>
      </c>
      <c r="AA1573">
        <v>11.5</v>
      </c>
      <c r="AB1573">
        <v>1.4390000000000001</v>
      </c>
      <c r="AC1573">
        <v>9.1300000000000008</v>
      </c>
      <c r="AE1573">
        <v>2</v>
      </c>
      <c r="AF1573" t="s">
        <v>308</v>
      </c>
      <c r="AG1573">
        <v>60</v>
      </c>
      <c r="AK1573" t="s">
        <v>98</v>
      </c>
      <c r="AM1573" t="s">
        <v>98</v>
      </c>
      <c r="AN1573" t="s">
        <v>99</v>
      </c>
      <c r="AO1573" t="s">
        <v>98</v>
      </c>
      <c r="AP1573" t="s">
        <v>100</v>
      </c>
      <c r="AQ1573" t="s">
        <v>101</v>
      </c>
      <c r="AV1573" t="s">
        <v>98</v>
      </c>
      <c r="AX1573" t="s">
        <v>4947</v>
      </c>
      <c r="AZ1573" t="s">
        <v>124</v>
      </c>
      <c r="BB1573" t="s">
        <v>235</v>
      </c>
      <c r="BC1573" t="s">
        <v>746</v>
      </c>
      <c r="BD1573" t="s">
        <v>7528</v>
      </c>
      <c r="BF1573" t="s">
        <v>4951</v>
      </c>
      <c r="BG1573" t="s">
        <v>98</v>
      </c>
      <c r="BH1573" t="s">
        <v>98</v>
      </c>
      <c r="BI1573" t="s">
        <v>98</v>
      </c>
      <c r="BJ1573" t="s">
        <v>99</v>
      </c>
      <c r="BK1573" t="s">
        <v>453</v>
      </c>
      <c r="BL1573" t="s">
        <v>7528</v>
      </c>
      <c r="BR1573">
        <v>7</v>
      </c>
      <c r="BT1573">
        <v>4.38</v>
      </c>
      <c r="CA1573">
        <v>9072</v>
      </c>
      <c r="CB1573" t="s">
        <v>4947</v>
      </c>
      <c r="CL1573" t="s">
        <v>99</v>
      </c>
      <c r="CM1573" t="s">
        <v>98</v>
      </c>
      <c r="CN1573" t="s">
        <v>7651</v>
      </c>
      <c r="CO1573" s="1">
        <v>41589</v>
      </c>
      <c r="CP1573" s="1">
        <v>43633</v>
      </c>
    </row>
    <row r="1574" spans="1:94" x14ac:dyDescent="0.25">
      <c r="A1574" t="s">
        <v>4952</v>
      </c>
      <c r="B1574" t="str">
        <f xml:space="preserve"> "" &amp; 747396092188</f>
        <v>747396092188</v>
      </c>
      <c r="C1574" t="s">
        <v>4953</v>
      </c>
      <c r="D1574" t="s">
        <v>4954</v>
      </c>
      <c r="E1574" t="s">
        <v>4946</v>
      </c>
      <c r="F1574" t="s">
        <v>2823</v>
      </c>
      <c r="G1574">
        <v>1</v>
      </c>
      <c r="H1574">
        <v>1</v>
      </c>
      <c r="I1574" t="s">
        <v>97</v>
      </c>
      <c r="J1574" s="10">
        <v>245</v>
      </c>
      <c r="K1574" s="10">
        <v>735</v>
      </c>
      <c r="L1574" s="10">
        <v>0</v>
      </c>
      <c r="N1574" s="10">
        <v>0</v>
      </c>
      <c r="O1574" t="s">
        <v>99</v>
      </c>
      <c r="P1574" s="10">
        <v>489.95</v>
      </c>
      <c r="S1574">
        <v>18.5</v>
      </c>
      <c r="U1574">
        <v>9.75</v>
      </c>
      <c r="V1574">
        <v>6</v>
      </c>
      <c r="W1574">
        <v>8.49</v>
      </c>
      <c r="Y1574">
        <v>10.5</v>
      </c>
      <c r="Z1574">
        <v>22</v>
      </c>
      <c r="AA1574">
        <v>13.38</v>
      </c>
      <c r="AB1574">
        <v>1.7889999999999999</v>
      </c>
      <c r="AC1574">
        <v>10.58</v>
      </c>
      <c r="AE1574">
        <v>3</v>
      </c>
      <c r="AF1574" t="s">
        <v>308</v>
      </c>
      <c r="AG1574">
        <v>60</v>
      </c>
      <c r="AK1574" t="s">
        <v>98</v>
      </c>
      <c r="AM1574" t="s">
        <v>98</v>
      </c>
      <c r="AN1574" t="s">
        <v>99</v>
      </c>
      <c r="AO1574" t="s">
        <v>98</v>
      </c>
      <c r="AP1574" t="s">
        <v>100</v>
      </c>
      <c r="AQ1574" t="s">
        <v>101</v>
      </c>
      <c r="AV1574" t="s">
        <v>98</v>
      </c>
      <c r="AX1574" t="s">
        <v>4947</v>
      </c>
      <c r="AZ1574" t="s">
        <v>124</v>
      </c>
      <c r="BB1574" t="s">
        <v>235</v>
      </c>
      <c r="BC1574" t="s">
        <v>746</v>
      </c>
      <c r="BD1574" t="s">
        <v>7528</v>
      </c>
      <c r="BF1574" t="s">
        <v>4955</v>
      </c>
      <c r="BG1574" t="s">
        <v>98</v>
      </c>
      <c r="BH1574" t="s">
        <v>98</v>
      </c>
      <c r="BI1574" t="s">
        <v>98</v>
      </c>
      <c r="BJ1574" t="s">
        <v>99</v>
      </c>
      <c r="BK1574" t="s">
        <v>453</v>
      </c>
      <c r="BL1574" t="s">
        <v>7528</v>
      </c>
      <c r="BM1574">
        <v>8.1300000000000008</v>
      </c>
      <c r="BN1574">
        <v>10.38</v>
      </c>
      <c r="CA1574">
        <v>9073</v>
      </c>
      <c r="CB1574" t="s">
        <v>4947</v>
      </c>
      <c r="CL1574" t="s">
        <v>99</v>
      </c>
      <c r="CM1574" t="s">
        <v>98</v>
      </c>
      <c r="CN1574" t="s">
        <v>7651</v>
      </c>
      <c r="CO1574" s="1">
        <v>41589</v>
      </c>
      <c r="CP1574" s="1">
        <v>43633</v>
      </c>
    </row>
    <row r="1575" spans="1:94" x14ac:dyDescent="0.25">
      <c r="A1575" t="s">
        <v>4956</v>
      </c>
      <c r="B1575" t="str">
        <f xml:space="preserve"> "" &amp; 747396027012</f>
        <v>747396027012</v>
      </c>
      <c r="C1575" t="s">
        <v>4957</v>
      </c>
      <c r="D1575" t="s">
        <v>6972</v>
      </c>
      <c r="E1575" t="s">
        <v>4874</v>
      </c>
      <c r="F1575" t="s">
        <v>2823</v>
      </c>
      <c r="G1575">
        <v>1</v>
      </c>
      <c r="H1575">
        <v>1</v>
      </c>
      <c r="I1575" t="s">
        <v>97</v>
      </c>
      <c r="J1575" s="10">
        <v>1995</v>
      </c>
      <c r="K1575" s="10">
        <v>5985</v>
      </c>
      <c r="L1575" s="10">
        <v>0</v>
      </c>
      <c r="N1575" s="10">
        <v>0</v>
      </c>
      <c r="O1575" t="s">
        <v>99</v>
      </c>
      <c r="P1575" s="10">
        <v>3990</v>
      </c>
      <c r="S1575">
        <v>63.25</v>
      </c>
      <c r="U1575">
        <v>25.5</v>
      </c>
      <c r="V1575">
        <v>31.5</v>
      </c>
      <c r="W1575">
        <v>138.88999999999999</v>
      </c>
      <c r="X1575">
        <v>1</v>
      </c>
      <c r="Y1575">
        <v>84.5</v>
      </c>
      <c r="Z1575">
        <v>42.875</v>
      </c>
      <c r="AA1575">
        <v>36.625</v>
      </c>
      <c r="AB1575">
        <v>76.787999999999997</v>
      </c>
      <c r="AC1575">
        <v>220.46</v>
      </c>
      <c r="AE1575">
        <v>9</v>
      </c>
      <c r="AF1575" t="s">
        <v>233</v>
      </c>
      <c r="AG1575">
        <v>60</v>
      </c>
      <c r="AH1575">
        <v>0</v>
      </c>
      <c r="AK1575" t="s">
        <v>98</v>
      </c>
      <c r="AM1575" t="s">
        <v>98</v>
      </c>
      <c r="AN1575" t="s">
        <v>99</v>
      </c>
      <c r="AO1575" t="s">
        <v>98</v>
      </c>
      <c r="AP1575" t="s">
        <v>259</v>
      </c>
      <c r="AQ1575" t="s">
        <v>101</v>
      </c>
      <c r="AV1575" t="s">
        <v>98</v>
      </c>
      <c r="AX1575" t="s">
        <v>4875</v>
      </c>
      <c r="AZ1575" t="s">
        <v>124</v>
      </c>
      <c r="BB1575" t="s">
        <v>235</v>
      </c>
      <c r="BC1575" t="s">
        <v>4697</v>
      </c>
      <c r="BD1575" t="s">
        <v>7528</v>
      </c>
      <c r="BF1575" t="s">
        <v>4958</v>
      </c>
      <c r="BG1575" t="s">
        <v>98</v>
      </c>
      <c r="BH1575" t="s">
        <v>98</v>
      </c>
      <c r="BI1575" t="s">
        <v>98</v>
      </c>
      <c r="BJ1575" t="s">
        <v>99</v>
      </c>
      <c r="BK1575" t="s">
        <v>453</v>
      </c>
      <c r="BL1575" t="s">
        <v>128</v>
      </c>
      <c r="BR1575">
        <v>38.5</v>
      </c>
      <c r="BT1575">
        <v>10</v>
      </c>
      <c r="CA1575">
        <v>9091</v>
      </c>
      <c r="CB1575" t="s">
        <v>4875</v>
      </c>
      <c r="CG1575">
        <v>0</v>
      </c>
      <c r="CL1575" t="s">
        <v>99</v>
      </c>
      <c r="CM1575" t="s">
        <v>98</v>
      </c>
      <c r="CN1575" t="s">
        <v>4259</v>
      </c>
      <c r="CO1575" s="1">
        <v>36845</v>
      </c>
      <c r="CP1575" s="1">
        <v>43672</v>
      </c>
    </row>
    <row r="1576" spans="1:94" x14ac:dyDescent="0.25">
      <c r="A1576" t="s">
        <v>4959</v>
      </c>
      <c r="B1576" t="str">
        <f xml:space="preserve"> "" &amp; 747396027029</f>
        <v>747396027029</v>
      </c>
      <c r="C1576" t="s">
        <v>4960</v>
      </c>
      <c r="D1576" t="s">
        <v>6973</v>
      </c>
      <c r="E1576" t="s">
        <v>4874</v>
      </c>
      <c r="F1576" t="s">
        <v>2823</v>
      </c>
      <c r="G1576">
        <v>1</v>
      </c>
      <c r="H1576">
        <v>1</v>
      </c>
      <c r="I1576" t="s">
        <v>97</v>
      </c>
      <c r="J1576" s="10">
        <v>1475</v>
      </c>
      <c r="K1576" s="10">
        <v>4425</v>
      </c>
      <c r="L1576" s="10">
        <v>0</v>
      </c>
      <c r="N1576" s="10">
        <v>0</v>
      </c>
      <c r="O1576" t="s">
        <v>99</v>
      </c>
      <c r="P1576" s="10">
        <v>2950</v>
      </c>
      <c r="S1576">
        <v>46</v>
      </c>
      <c r="U1576">
        <v>25</v>
      </c>
      <c r="W1576">
        <v>75.62</v>
      </c>
      <c r="X1576">
        <v>1</v>
      </c>
      <c r="Y1576">
        <v>53.63</v>
      </c>
      <c r="Z1576">
        <v>36.25</v>
      </c>
      <c r="AA1576">
        <v>36.25</v>
      </c>
      <c r="AB1576">
        <v>40.783000000000001</v>
      </c>
      <c r="AC1576">
        <v>103.62</v>
      </c>
      <c r="AE1576">
        <v>9</v>
      </c>
      <c r="AF1576" t="s">
        <v>233</v>
      </c>
      <c r="AG1576">
        <v>60</v>
      </c>
      <c r="AH1576">
        <v>0</v>
      </c>
      <c r="AK1576" t="s">
        <v>98</v>
      </c>
      <c r="AM1576" t="s">
        <v>98</v>
      </c>
      <c r="AN1576" t="s">
        <v>99</v>
      </c>
      <c r="AO1576" t="s">
        <v>98</v>
      </c>
      <c r="AP1576" t="s">
        <v>259</v>
      </c>
      <c r="AQ1576" t="s">
        <v>101</v>
      </c>
      <c r="AV1576" t="s">
        <v>98</v>
      </c>
      <c r="AX1576" t="s">
        <v>4875</v>
      </c>
      <c r="AZ1576" t="s">
        <v>124</v>
      </c>
      <c r="BB1576" t="s">
        <v>235</v>
      </c>
      <c r="BC1576" t="s">
        <v>4697</v>
      </c>
      <c r="BD1576" t="s">
        <v>7528</v>
      </c>
      <c r="BF1576" t="s">
        <v>4961</v>
      </c>
      <c r="BG1576" t="s">
        <v>98</v>
      </c>
      <c r="BH1576" t="s">
        <v>98</v>
      </c>
      <c r="BI1576" t="s">
        <v>98</v>
      </c>
      <c r="BK1576" t="s">
        <v>127</v>
      </c>
      <c r="BL1576" t="s">
        <v>7528</v>
      </c>
      <c r="BR1576">
        <v>0</v>
      </c>
      <c r="BT1576">
        <v>5.5</v>
      </c>
      <c r="CA1576">
        <v>9094</v>
      </c>
      <c r="CB1576" t="s">
        <v>4875</v>
      </c>
      <c r="CG1576">
        <v>0</v>
      </c>
      <c r="CL1576" t="s">
        <v>99</v>
      </c>
      <c r="CM1576" t="s">
        <v>99</v>
      </c>
      <c r="CN1576" t="s">
        <v>4259</v>
      </c>
      <c r="CO1576" s="1">
        <v>36845</v>
      </c>
      <c r="CP1576" s="1">
        <v>43633</v>
      </c>
    </row>
    <row r="1577" spans="1:94" x14ac:dyDescent="0.25">
      <c r="A1577" t="s">
        <v>4962</v>
      </c>
      <c r="B1577" t="str">
        <f xml:space="preserve"> "" &amp; 747396080505</f>
        <v>747396080505</v>
      </c>
      <c r="C1577" t="s">
        <v>1577</v>
      </c>
      <c r="D1577" t="s">
        <v>6974</v>
      </c>
      <c r="E1577" t="s">
        <v>4963</v>
      </c>
      <c r="F1577" t="s">
        <v>2823</v>
      </c>
      <c r="G1577">
        <v>1</v>
      </c>
      <c r="H1577">
        <v>1</v>
      </c>
      <c r="I1577" t="s">
        <v>97</v>
      </c>
      <c r="J1577" s="10">
        <v>92</v>
      </c>
      <c r="K1577" s="10">
        <v>276</v>
      </c>
      <c r="L1577" s="10">
        <v>0</v>
      </c>
      <c r="N1577" s="10">
        <v>0</v>
      </c>
      <c r="O1577" t="s">
        <v>99</v>
      </c>
      <c r="P1577" s="10">
        <v>179.95</v>
      </c>
      <c r="S1577">
        <v>10</v>
      </c>
      <c r="U1577">
        <v>7</v>
      </c>
      <c r="V1577">
        <v>9</v>
      </c>
      <c r="W1577">
        <v>2.93</v>
      </c>
      <c r="X1577">
        <v>1</v>
      </c>
      <c r="Y1577">
        <v>12.75</v>
      </c>
      <c r="Z1577">
        <v>11.5</v>
      </c>
      <c r="AA1577">
        <v>9.5</v>
      </c>
      <c r="AB1577">
        <v>0.80600000000000005</v>
      </c>
      <c r="AC1577">
        <v>4.25</v>
      </c>
      <c r="AE1577">
        <v>1</v>
      </c>
      <c r="AF1577" t="s">
        <v>282</v>
      </c>
      <c r="AG1577">
        <v>60</v>
      </c>
      <c r="AK1577" t="s">
        <v>98</v>
      </c>
      <c r="AM1577" t="s">
        <v>98</v>
      </c>
      <c r="AN1577" t="s">
        <v>99</v>
      </c>
      <c r="AO1577" t="s">
        <v>98</v>
      </c>
      <c r="AP1577" t="s">
        <v>100</v>
      </c>
      <c r="AQ1577" t="s">
        <v>101</v>
      </c>
      <c r="AV1577" t="s">
        <v>98</v>
      </c>
      <c r="AX1577" t="s">
        <v>234</v>
      </c>
      <c r="AZ1577" t="s">
        <v>124</v>
      </c>
      <c r="BB1577" t="s">
        <v>4934</v>
      </c>
      <c r="BC1577" t="s">
        <v>4964</v>
      </c>
      <c r="BD1577" t="s">
        <v>7528</v>
      </c>
      <c r="BF1577" t="s">
        <v>4965</v>
      </c>
      <c r="BG1577" t="s">
        <v>98</v>
      </c>
      <c r="BH1577" t="s">
        <v>98</v>
      </c>
      <c r="BI1577" t="s">
        <v>98</v>
      </c>
      <c r="BJ1577" t="s">
        <v>99</v>
      </c>
      <c r="BK1577" t="s">
        <v>453</v>
      </c>
      <c r="BL1577" t="s">
        <v>128</v>
      </c>
      <c r="BR1577">
        <v>5.75</v>
      </c>
      <c r="BT1577">
        <v>5</v>
      </c>
      <c r="CA1577">
        <v>9151</v>
      </c>
      <c r="CB1577" t="s">
        <v>234</v>
      </c>
      <c r="CL1577" t="s">
        <v>99</v>
      </c>
      <c r="CM1577" t="s">
        <v>98</v>
      </c>
      <c r="CN1577" t="s">
        <v>7528</v>
      </c>
      <c r="CO1577" s="1">
        <v>40770</v>
      </c>
      <c r="CP1577" s="1">
        <v>43633</v>
      </c>
    </row>
    <row r="1578" spans="1:94" x14ac:dyDescent="0.25">
      <c r="A1578" t="s">
        <v>4966</v>
      </c>
      <c r="B1578" t="str">
        <f xml:space="preserve"> "" &amp; 747396080512</f>
        <v>747396080512</v>
      </c>
      <c r="C1578" t="s">
        <v>1577</v>
      </c>
      <c r="D1578" t="s">
        <v>6974</v>
      </c>
      <c r="E1578" t="s">
        <v>4963</v>
      </c>
      <c r="F1578" t="s">
        <v>449</v>
      </c>
      <c r="G1578">
        <v>1</v>
      </c>
      <c r="H1578">
        <v>1</v>
      </c>
      <c r="I1578" t="s">
        <v>97</v>
      </c>
      <c r="J1578" s="10">
        <v>85</v>
      </c>
      <c r="K1578" s="10">
        <v>255</v>
      </c>
      <c r="L1578" s="10">
        <v>0</v>
      </c>
      <c r="N1578" s="10">
        <v>0</v>
      </c>
      <c r="O1578" t="s">
        <v>99</v>
      </c>
      <c r="P1578" s="10">
        <v>169.95</v>
      </c>
      <c r="S1578">
        <v>9.8800000000000008</v>
      </c>
      <c r="T1578">
        <v>12</v>
      </c>
      <c r="U1578">
        <v>7</v>
      </c>
      <c r="V1578">
        <v>9.5</v>
      </c>
      <c r="W1578">
        <v>2.4700000000000002</v>
      </c>
      <c r="X1578">
        <v>1</v>
      </c>
      <c r="Y1578">
        <v>12.75</v>
      </c>
      <c r="Z1578">
        <v>12</v>
      </c>
      <c r="AA1578">
        <v>9.5</v>
      </c>
      <c r="AB1578">
        <v>0.84099999999999997</v>
      </c>
      <c r="AC1578">
        <v>4.0599999999999996</v>
      </c>
      <c r="AE1578">
        <v>1</v>
      </c>
      <c r="AF1578" t="s">
        <v>3223</v>
      </c>
      <c r="AG1578">
        <v>13</v>
      </c>
      <c r="AK1578" t="s">
        <v>99</v>
      </c>
      <c r="AM1578" t="s">
        <v>98</v>
      </c>
      <c r="AN1578" t="s">
        <v>99</v>
      </c>
      <c r="AO1578" t="s">
        <v>98</v>
      </c>
      <c r="AP1578" t="s">
        <v>100</v>
      </c>
      <c r="AQ1578" t="s">
        <v>101</v>
      </c>
      <c r="AV1578" t="s">
        <v>98</v>
      </c>
      <c r="AX1578" t="s">
        <v>234</v>
      </c>
      <c r="AZ1578" t="s">
        <v>124</v>
      </c>
      <c r="BB1578" t="s">
        <v>235</v>
      </c>
      <c r="BC1578" t="s">
        <v>3224</v>
      </c>
      <c r="BD1578" t="s">
        <v>7528</v>
      </c>
      <c r="BF1578" t="s">
        <v>4967</v>
      </c>
      <c r="BG1578" t="s">
        <v>98</v>
      </c>
      <c r="BH1578" t="s">
        <v>98</v>
      </c>
      <c r="BI1578" t="s">
        <v>98</v>
      </c>
      <c r="BJ1578" t="s">
        <v>99</v>
      </c>
      <c r="BK1578" t="s">
        <v>453</v>
      </c>
      <c r="BL1578" t="s">
        <v>128</v>
      </c>
      <c r="BR1578">
        <v>5.75</v>
      </c>
      <c r="BT1578">
        <v>5</v>
      </c>
      <c r="CA1578" t="s">
        <v>4968</v>
      </c>
      <c r="CB1578" t="s">
        <v>234</v>
      </c>
      <c r="CG1578">
        <v>2700</v>
      </c>
      <c r="CL1578" t="s">
        <v>98</v>
      </c>
      <c r="CM1578" t="s">
        <v>98</v>
      </c>
      <c r="CN1578" t="s">
        <v>3227</v>
      </c>
      <c r="CO1578" s="1">
        <v>40721</v>
      </c>
      <c r="CP1578" s="1">
        <v>43633</v>
      </c>
    </row>
    <row r="1579" spans="1:94" x14ac:dyDescent="0.25">
      <c r="A1579" t="s">
        <v>4969</v>
      </c>
      <c r="B1579" t="str">
        <f xml:space="preserve"> "" &amp; 747396080529</f>
        <v>747396080529</v>
      </c>
      <c r="C1579" t="s">
        <v>1550</v>
      </c>
      <c r="D1579" t="s">
        <v>6975</v>
      </c>
      <c r="E1579" t="s">
        <v>4963</v>
      </c>
      <c r="F1579" t="s">
        <v>2823</v>
      </c>
      <c r="G1579">
        <v>1</v>
      </c>
      <c r="H1579">
        <v>1</v>
      </c>
      <c r="I1579" t="s">
        <v>97</v>
      </c>
      <c r="J1579" s="10">
        <v>112</v>
      </c>
      <c r="K1579" s="10">
        <v>336</v>
      </c>
      <c r="L1579" s="10">
        <v>0</v>
      </c>
      <c r="N1579" s="10">
        <v>0</v>
      </c>
      <c r="O1579" t="s">
        <v>99</v>
      </c>
      <c r="P1579" s="10">
        <v>224.95</v>
      </c>
      <c r="S1579">
        <v>12.38</v>
      </c>
      <c r="U1579">
        <v>9</v>
      </c>
      <c r="V1579">
        <v>11</v>
      </c>
      <c r="W1579">
        <v>4.3</v>
      </c>
      <c r="X1579">
        <v>1</v>
      </c>
      <c r="Y1579">
        <v>15.5</v>
      </c>
      <c r="Z1579">
        <v>14</v>
      </c>
      <c r="AA1579">
        <v>12</v>
      </c>
      <c r="AB1579">
        <v>1.5069999999999999</v>
      </c>
      <c r="AC1579">
        <v>6.28</v>
      </c>
      <c r="AE1579">
        <v>2</v>
      </c>
      <c r="AF1579" t="s">
        <v>519</v>
      </c>
      <c r="AG1579">
        <v>60</v>
      </c>
      <c r="AK1579" t="s">
        <v>98</v>
      </c>
      <c r="AM1579" t="s">
        <v>98</v>
      </c>
      <c r="AN1579" t="s">
        <v>99</v>
      </c>
      <c r="AO1579" t="s">
        <v>98</v>
      </c>
      <c r="AP1579" t="s">
        <v>100</v>
      </c>
      <c r="AQ1579" t="s">
        <v>101</v>
      </c>
      <c r="AV1579" t="s">
        <v>98</v>
      </c>
      <c r="AX1579" t="s">
        <v>234</v>
      </c>
      <c r="AZ1579" t="s">
        <v>124</v>
      </c>
      <c r="BB1579" t="s">
        <v>235</v>
      </c>
      <c r="BC1579" t="s">
        <v>2607</v>
      </c>
      <c r="BD1579" t="s">
        <v>7528</v>
      </c>
      <c r="BF1579" t="s">
        <v>4970</v>
      </c>
      <c r="BG1579" t="s">
        <v>98</v>
      </c>
      <c r="BH1579" t="s">
        <v>98</v>
      </c>
      <c r="BI1579" t="s">
        <v>98</v>
      </c>
      <c r="BJ1579" t="s">
        <v>99</v>
      </c>
      <c r="BK1579" t="s">
        <v>453</v>
      </c>
      <c r="BL1579" t="s">
        <v>128</v>
      </c>
      <c r="BR1579">
        <v>7.38</v>
      </c>
      <c r="BT1579">
        <v>5.13</v>
      </c>
      <c r="CA1579">
        <v>9152</v>
      </c>
      <c r="CB1579" t="s">
        <v>234</v>
      </c>
      <c r="CL1579" t="s">
        <v>99</v>
      </c>
      <c r="CM1579" t="s">
        <v>98</v>
      </c>
      <c r="CN1579" t="s">
        <v>7528</v>
      </c>
      <c r="CO1579" s="1">
        <v>40770</v>
      </c>
      <c r="CP1579" s="1">
        <v>43633</v>
      </c>
    </row>
    <row r="1580" spans="1:94" x14ac:dyDescent="0.25">
      <c r="A1580" t="s">
        <v>4971</v>
      </c>
      <c r="B1580" t="str">
        <f xml:space="preserve"> "" &amp; 747396080536</f>
        <v>747396080536</v>
      </c>
      <c r="C1580" t="s">
        <v>1577</v>
      </c>
      <c r="D1580" t="s">
        <v>6976</v>
      </c>
      <c r="E1580" t="s">
        <v>4963</v>
      </c>
      <c r="F1580" t="s">
        <v>449</v>
      </c>
      <c r="G1580">
        <v>1</v>
      </c>
      <c r="H1580">
        <v>1</v>
      </c>
      <c r="I1580" t="s">
        <v>97</v>
      </c>
      <c r="J1580" s="10">
        <v>115</v>
      </c>
      <c r="K1580" s="10">
        <v>345</v>
      </c>
      <c r="L1580" s="10">
        <v>0</v>
      </c>
      <c r="N1580" s="10">
        <v>0</v>
      </c>
      <c r="O1580" t="s">
        <v>99</v>
      </c>
      <c r="P1580" s="10">
        <v>229.95</v>
      </c>
      <c r="S1580">
        <v>12.5</v>
      </c>
      <c r="U1580">
        <v>9</v>
      </c>
      <c r="V1580">
        <v>11.5</v>
      </c>
      <c r="W1580">
        <v>3.7</v>
      </c>
      <c r="X1580">
        <v>1</v>
      </c>
      <c r="Y1580">
        <v>15.5</v>
      </c>
      <c r="Z1580">
        <v>14</v>
      </c>
      <c r="AA1580">
        <v>12</v>
      </c>
      <c r="AB1580">
        <v>1.5069999999999999</v>
      </c>
      <c r="AC1580">
        <v>6.02</v>
      </c>
      <c r="AE1580">
        <v>1</v>
      </c>
      <c r="AF1580" t="s">
        <v>2784</v>
      </c>
      <c r="AG1580">
        <v>13</v>
      </c>
      <c r="AK1580" t="s">
        <v>99</v>
      </c>
      <c r="AM1580" t="s">
        <v>98</v>
      </c>
      <c r="AN1580" t="s">
        <v>99</v>
      </c>
      <c r="AO1580" t="s">
        <v>98</v>
      </c>
      <c r="AP1580" t="s">
        <v>100</v>
      </c>
      <c r="AQ1580" t="s">
        <v>101</v>
      </c>
      <c r="AV1580" t="s">
        <v>98</v>
      </c>
      <c r="AX1580" t="s">
        <v>234</v>
      </c>
      <c r="AZ1580" t="s">
        <v>124</v>
      </c>
      <c r="BB1580" t="s">
        <v>235</v>
      </c>
      <c r="BC1580" t="s">
        <v>3224</v>
      </c>
      <c r="BD1580" t="s">
        <v>7528</v>
      </c>
      <c r="BF1580" t="s">
        <v>4972</v>
      </c>
      <c r="BG1580" t="s">
        <v>98</v>
      </c>
      <c r="BH1580" t="s">
        <v>98</v>
      </c>
      <c r="BI1580" t="s">
        <v>98</v>
      </c>
      <c r="BJ1580" t="s">
        <v>99</v>
      </c>
      <c r="BK1580" t="s">
        <v>453</v>
      </c>
      <c r="BL1580" t="s">
        <v>128</v>
      </c>
      <c r="BR1580">
        <v>7.38</v>
      </c>
      <c r="BT1580">
        <v>5.13</v>
      </c>
      <c r="CA1580" t="s">
        <v>4973</v>
      </c>
      <c r="CB1580" t="s">
        <v>234</v>
      </c>
      <c r="CG1580">
        <v>2700</v>
      </c>
      <c r="CL1580" t="s">
        <v>98</v>
      </c>
      <c r="CM1580" t="s">
        <v>98</v>
      </c>
      <c r="CN1580" t="s">
        <v>4974</v>
      </c>
      <c r="CO1580" s="1">
        <v>40721</v>
      </c>
      <c r="CP1580" s="1">
        <v>43633</v>
      </c>
    </row>
    <row r="1581" spans="1:94" x14ac:dyDescent="0.25">
      <c r="A1581" t="s">
        <v>4975</v>
      </c>
      <c r="B1581" t="str">
        <f xml:space="preserve"> "" &amp; 747396080543</f>
        <v>747396080543</v>
      </c>
      <c r="C1581" t="s">
        <v>1799</v>
      </c>
      <c r="D1581" t="s">
        <v>6977</v>
      </c>
      <c r="E1581" t="s">
        <v>4963</v>
      </c>
      <c r="F1581" t="s">
        <v>2823</v>
      </c>
      <c r="G1581">
        <v>1</v>
      </c>
      <c r="H1581">
        <v>1</v>
      </c>
      <c r="I1581" t="s">
        <v>97</v>
      </c>
      <c r="J1581" s="10">
        <v>139</v>
      </c>
      <c r="K1581" s="10">
        <v>417</v>
      </c>
      <c r="L1581" s="10">
        <v>0</v>
      </c>
      <c r="N1581" s="10">
        <v>0</v>
      </c>
      <c r="O1581" t="s">
        <v>99</v>
      </c>
      <c r="P1581" s="10">
        <v>279.95</v>
      </c>
      <c r="S1581">
        <v>14.25</v>
      </c>
      <c r="U1581">
        <v>11</v>
      </c>
      <c r="V1581">
        <v>12.75</v>
      </c>
      <c r="W1581">
        <v>5</v>
      </c>
      <c r="X1581">
        <v>1</v>
      </c>
      <c r="Y1581">
        <v>18.5</v>
      </c>
      <c r="Z1581">
        <v>16</v>
      </c>
      <c r="AA1581">
        <v>14.5</v>
      </c>
      <c r="AB1581">
        <v>2.484</v>
      </c>
      <c r="AC1581">
        <v>8.27</v>
      </c>
      <c r="AE1581">
        <v>3</v>
      </c>
      <c r="AF1581" t="s">
        <v>519</v>
      </c>
      <c r="AG1581">
        <v>60</v>
      </c>
      <c r="AK1581" t="s">
        <v>98</v>
      </c>
      <c r="AM1581" t="s">
        <v>98</v>
      </c>
      <c r="AN1581" t="s">
        <v>99</v>
      </c>
      <c r="AO1581" t="s">
        <v>98</v>
      </c>
      <c r="AP1581" t="s">
        <v>100</v>
      </c>
      <c r="AQ1581" t="s">
        <v>101</v>
      </c>
      <c r="AV1581" t="s">
        <v>98</v>
      </c>
      <c r="AX1581" t="s">
        <v>234</v>
      </c>
      <c r="AZ1581" t="s">
        <v>124</v>
      </c>
      <c r="BB1581" t="s">
        <v>235</v>
      </c>
      <c r="BC1581" t="s">
        <v>3576</v>
      </c>
      <c r="BD1581" t="s">
        <v>7528</v>
      </c>
      <c r="BF1581" t="s">
        <v>4976</v>
      </c>
      <c r="BG1581" t="s">
        <v>98</v>
      </c>
      <c r="BH1581" t="s">
        <v>98</v>
      </c>
      <c r="BI1581" t="s">
        <v>98</v>
      </c>
      <c r="BJ1581" t="s">
        <v>99</v>
      </c>
      <c r="BK1581" t="s">
        <v>453</v>
      </c>
      <c r="BL1581" t="s">
        <v>128</v>
      </c>
      <c r="BR1581">
        <v>7.38</v>
      </c>
      <c r="BT1581">
        <v>5.13</v>
      </c>
      <c r="CA1581">
        <v>9153</v>
      </c>
      <c r="CB1581" t="s">
        <v>234</v>
      </c>
      <c r="CL1581" t="s">
        <v>99</v>
      </c>
      <c r="CM1581" t="s">
        <v>98</v>
      </c>
      <c r="CN1581" t="s">
        <v>3227</v>
      </c>
      <c r="CO1581" s="1">
        <v>40849</v>
      </c>
      <c r="CP1581" s="1">
        <v>43633</v>
      </c>
    </row>
    <row r="1582" spans="1:94" x14ac:dyDescent="0.25">
      <c r="A1582" t="s">
        <v>4977</v>
      </c>
      <c r="B1582" t="str">
        <f xml:space="preserve"> "" &amp; 747396080550</f>
        <v>747396080550</v>
      </c>
      <c r="C1582" t="s">
        <v>1577</v>
      </c>
      <c r="D1582" t="s">
        <v>6974</v>
      </c>
      <c r="E1582" t="s">
        <v>4963</v>
      </c>
      <c r="F1582" t="s">
        <v>449</v>
      </c>
      <c r="G1582">
        <v>1</v>
      </c>
      <c r="H1582">
        <v>1</v>
      </c>
      <c r="I1582" t="s">
        <v>97</v>
      </c>
      <c r="J1582" s="10">
        <v>135</v>
      </c>
      <c r="K1582" s="10">
        <v>405</v>
      </c>
      <c r="L1582" s="10">
        <v>0</v>
      </c>
      <c r="N1582" s="10">
        <v>0</v>
      </c>
      <c r="O1582" t="s">
        <v>99</v>
      </c>
      <c r="P1582" s="10">
        <v>269.95</v>
      </c>
      <c r="S1582">
        <v>14.25</v>
      </c>
      <c r="U1582">
        <v>11</v>
      </c>
      <c r="V1582">
        <v>13.25</v>
      </c>
      <c r="W1582">
        <v>4.8499999999999996</v>
      </c>
      <c r="X1582">
        <v>1</v>
      </c>
      <c r="Y1582">
        <v>18.5</v>
      </c>
      <c r="Z1582">
        <v>16</v>
      </c>
      <c r="AA1582">
        <v>14.5</v>
      </c>
      <c r="AB1582">
        <v>2.484</v>
      </c>
      <c r="AC1582">
        <v>7.83</v>
      </c>
      <c r="AE1582">
        <v>1</v>
      </c>
      <c r="AF1582" t="s">
        <v>3223</v>
      </c>
      <c r="AG1582">
        <v>26</v>
      </c>
      <c r="AK1582" t="s">
        <v>99</v>
      </c>
      <c r="AM1582" t="s">
        <v>98</v>
      </c>
      <c r="AN1582" t="s">
        <v>99</v>
      </c>
      <c r="AO1582" t="s">
        <v>98</v>
      </c>
      <c r="AP1582" t="s">
        <v>100</v>
      </c>
      <c r="AQ1582" t="s">
        <v>101</v>
      </c>
      <c r="AV1582" t="s">
        <v>98</v>
      </c>
      <c r="AX1582" t="s">
        <v>234</v>
      </c>
      <c r="AZ1582" t="s">
        <v>124</v>
      </c>
      <c r="BB1582" t="s">
        <v>235</v>
      </c>
      <c r="BC1582" t="s">
        <v>3224</v>
      </c>
      <c r="BD1582" t="s">
        <v>7528</v>
      </c>
      <c r="BF1582" t="s">
        <v>4978</v>
      </c>
      <c r="BG1582" t="s">
        <v>98</v>
      </c>
      <c r="BH1582" t="s">
        <v>98</v>
      </c>
      <c r="BI1582" t="s">
        <v>98</v>
      </c>
      <c r="BJ1582" t="s">
        <v>99</v>
      </c>
      <c r="BK1582" t="s">
        <v>453</v>
      </c>
      <c r="BL1582" t="s">
        <v>128</v>
      </c>
      <c r="BR1582">
        <v>7.38</v>
      </c>
      <c r="BT1582">
        <v>5.13</v>
      </c>
      <c r="CA1582" t="s">
        <v>4979</v>
      </c>
      <c r="CB1582" t="s">
        <v>234</v>
      </c>
      <c r="CG1582">
        <v>2700</v>
      </c>
      <c r="CL1582" t="s">
        <v>98</v>
      </c>
      <c r="CM1582" t="s">
        <v>98</v>
      </c>
      <c r="CN1582" t="s">
        <v>3227</v>
      </c>
      <c r="CO1582" s="1">
        <v>40721</v>
      </c>
      <c r="CP1582" s="1">
        <v>43633</v>
      </c>
    </row>
    <row r="1583" spans="1:94" x14ac:dyDescent="0.25">
      <c r="A1583" t="s">
        <v>4980</v>
      </c>
      <c r="B1583" t="str">
        <f xml:space="preserve"> "" &amp; 747396080567</f>
        <v>747396080567</v>
      </c>
      <c r="C1583" t="s">
        <v>3399</v>
      </c>
      <c r="D1583" t="s">
        <v>6978</v>
      </c>
      <c r="E1583" t="s">
        <v>4963</v>
      </c>
      <c r="F1583" t="s">
        <v>2823</v>
      </c>
      <c r="G1583">
        <v>1</v>
      </c>
      <c r="H1583">
        <v>1</v>
      </c>
      <c r="I1583" t="s">
        <v>97</v>
      </c>
      <c r="J1583" s="10">
        <v>159</v>
      </c>
      <c r="K1583" s="10">
        <v>477</v>
      </c>
      <c r="L1583" s="10">
        <v>0</v>
      </c>
      <c r="N1583" s="10">
        <v>0</v>
      </c>
      <c r="O1583" t="s">
        <v>99</v>
      </c>
      <c r="P1583" s="10">
        <v>319.95</v>
      </c>
      <c r="S1583">
        <v>16</v>
      </c>
      <c r="U1583">
        <v>11</v>
      </c>
      <c r="W1583">
        <v>6.59</v>
      </c>
      <c r="X1583">
        <v>1</v>
      </c>
      <c r="Y1583">
        <v>20</v>
      </c>
      <c r="Z1583">
        <v>14.5</v>
      </c>
      <c r="AA1583">
        <v>14.5</v>
      </c>
      <c r="AB1583">
        <v>2.4329999999999998</v>
      </c>
      <c r="AC1583">
        <v>9.59</v>
      </c>
      <c r="AE1583">
        <v>3</v>
      </c>
      <c r="AF1583" t="s">
        <v>519</v>
      </c>
      <c r="AG1583">
        <v>60</v>
      </c>
      <c r="AK1583" t="s">
        <v>98</v>
      </c>
      <c r="AM1583" t="s">
        <v>98</v>
      </c>
      <c r="AN1583" t="s">
        <v>99</v>
      </c>
      <c r="AO1583" t="s">
        <v>98</v>
      </c>
      <c r="AP1583" t="s">
        <v>100</v>
      </c>
      <c r="AQ1583" t="s">
        <v>101</v>
      </c>
      <c r="AV1583" t="s">
        <v>98</v>
      </c>
      <c r="AX1583" t="s">
        <v>234</v>
      </c>
      <c r="AZ1583" t="s">
        <v>124</v>
      </c>
      <c r="BB1583" t="s">
        <v>235</v>
      </c>
      <c r="BC1583" t="s">
        <v>2607</v>
      </c>
      <c r="BD1583" t="s">
        <v>7528</v>
      </c>
      <c r="BF1583" t="s">
        <v>4981</v>
      </c>
      <c r="BG1583" t="s">
        <v>98</v>
      </c>
      <c r="BH1583" t="s">
        <v>98</v>
      </c>
      <c r="BI1583" t="s">
        <v>98</v>
      </c>
      <c r="BK1583" t="s">
        <v>127</v>
      </c>
      <c r="BL1583" t="s">
        <v>7528</v>
      </c>
      <c r="BT1583">
        <v>5.5</v>
      </c>
      <c r="CA1583">
        <v>9154</v>
      </c>
      <c r="CB1583" t="s">
        <v>234</v>
      </c>
      <c r="CL1583" t="s">
        <v>99</v>
      </c>
      <c r="CM1583" t="s">
        <v>98</v>
      </c>
      <c r="CN1583" t="s">
        <v>7528</v>
      </c>
      <c r="CO1583" s="1">
        <v>40632</v>
      </c>
      <c r="CP1583" s="1">
        <v>43633</v>
      </c>
    </row>
    <row r="1584" spans="1:94" x14ac:dyDescent="0.25">
      <c r="A1584" t="s">
        <v>4982</v>
      </c>
      <c r="B1584" t="str">
        <f xml:space="preserve"> "" &amp; 747396080574</f>
        <v>747396080574</v>
      </c>
      <c r="C1584" t="s">
        <v>3413</v>
      </c>
      <c r="D1584" t="s">
        <v>6979</v>
      </c>
      <c r="E1584" t="s">
        <v>4963</v>
      </c>
      <c r="F1584" t="s">
        <v>449</v>
      </c>
      <c r="G1584">
        <v>1</v>
      </c>
      <c r="H1584">
        <v>1</v>
      </c>
      <c r="I1584" t="s">
        <v>97</v>
      </c>
      <c r="J1584" s="10">
        <v>159</v>
      </c>
      <c r="K1584" s="10">
        <v>477</v>
      </c>
      <c r="L1584" s="10">
        <v>0</v>
      </c>
      <c r="N1584" s="10">
        <v>0</v>
      </c>
      <c r="O1584" t="s">
        <v>99</v>
      </c>
      <c r="P1584" s="10">
        <v>319.95</v>
      </c>
      <c r="S1584">
        <v>16</v>
      </c>
      <c r="U1584">
        <v>11</v>
      </c>
      <c r="W1584">
        <v>6.04</v>
      </c>
      <c r="X1584">
        <v>1</v>
      </c>
      <c r="Y1584">
        <v>20</v>
      </c>
      <c r="Z1584">
        <v>14.5</v>
      </c>
      <c r="AA1584">
        <v>14.5</v>
      </c>
      <c r="AB1584">
        <v>2.4329999999999998</v>
      </c>
      <c r="AC1584">
        <v>9.2799999999999994</v>
      </c>
      <c r="AE1584">
        <v>1</v>
      </c>
      <c r="AF1584" t="s">
        <v>3223</v>
      </c>
      <c r="AG1584">
        <v>26</v>
      </c>
      <c r="AK1584" t="s">
        <v>99</v>
      </c>
      <c r="AM1584" t="s">
        <v>98</v>
      </c>
      <c r="AN1584" t="s">
        <v>99</v>
      </c>
      <c r="AO1584" t="s">
        <v>98</v>
      </c>
      <c r="AP1584" t="s">
        <v>100</v>
      </c>
      <c r="AQ1584" t="s">
        <v>101</v>
      </c>
      <c r="AV1584" t="s">
        <v>98</v>
      </c>
      <c r="AX1584" t="s">
        <v>234</v>
      </c>
      <c r="AZ1584" t="s">
        <v>124</v>
      </c>
      <c r="BB1584" t="s">
        <v>235</v>
      </c>
      <c r="BC1584" t="s">
        <v>3224</v>
      </c>
      <c r="BD1584" t="s">
        <v>7528</v>
      </c>
      <c r="BF1584" t="s">
        <v>4983</v>
      </c>
      <c r="BG1584" t="s">
        <v>98</v>
      </c>
      <c r="BH1584" t="s">
        <v>98</v>
      </c>
      <c r="BI1584" t="s">
        <v>98</v>
      </c>
      <c r="BK1584" t="s">
        <v>127</v>
      </c>
      <c r="BL1584" t="s">
        <v>7528</v>
      </c>
      <c r="BQ1584">
        <v>5.5</v>
      </c>
      <c r="CA1584" t="s">
        <v>4984</v>
      </c>
      <c r="CB1584" t="s">
        <v>234</v>
      </c>
      <c r="CG1584">
        <v>2700</v>
      </c>
      <c r="CL1584" t="s">
        <v>98</v>
      </c>
      <c r="CM1584" t="s">
        <v>98</v>
      </c>
      <c r="CN1584" t="s">
        <v>3227</v>
      </c>
      <c r="CO1584" s="1">
        <v>40632</v>
      </c>
      <c r="CP1584" s="1">
        <v>43633</v>
      </c>
    </row>
    <row r="1585" spans="1:94" x14ac:dyDescent="0.25">
      <c r="A1585" t="s">
        <v>4985</v>
      </c>
      <c r="B1585" t="str">
        <f xml:space="preserve"> "" &amp; 747396080581</f>
        <v>747396080581</v>
      </c>
      <c r="C1585" t="s">
        <v>4511</v>
      </c>
      <c r="D1585" t="s">
        <v>6980</v>
      </c>
      <c r="E1585" t="s">
        <v>4963</v>
      </c>
      <c r="F1585" t="s">
        <v>2823</v>
      </c>
      <c r="G1585">
        <v>1</v>
      </c>
      <c r="H1585">
        <v>1</v>
      </c>
      <c r="I1585" t="s">
        <v>97</v>
      </c>
      <c r="J1585" s="10">
        <v>118</v>
      </c>
      <c r="K1585" s="10">
        <v>354</v>
      </c>
      <c r="L1585" s="10">
        <v>0</v>
      </c>
      <c r="N1585" s="10">
        <v>0</v>
      </c>
      <c r="O1585" t="s">
        <v>99</v>
      </c>
      <c r="P1585" s="10">
        <v>234.95</v>
      </c>
      <c r="S1585">
        <v>16.13</v>
      </c>
      <c r="U1585">
        <v>9</v>
      </c>
      <c r="W1585">
        <v>4.5</v>
      </c>
      <c r="X1585">
        <v>1</v>
      </c>
      <c r="Y1585">
        <v>18.75</v>
      </c>
      <c r="Z1585">
        <v>12</v>
      </c>
      <c r="AA1585">
        <v>12</v>
      </c>
      <c r="AB1585">
        <v>1.5629999999999999</v>
      </c>
      <c r="AC1585">
        <v>6.97</v>
      </c>
      <c r="AE1585">
        <v>2</v>
      </c>
      <c r="AF1585" t="s">
        <v>519</v>
      </c>
      <c r="AG1585">
        <v>60</v>
      </c>
      <c r="AK1585" t="s">
        <v>98</v>
      </c>
      <c r="AM1585" t="s">
        <v>98</v>
      </c>
      <c r="AN1585" t="s">
        <v>99</v>
      </c>
      <c r="AO1585" t="s">
        <v>98</v>
      </c>
      <c r="AP1585" t="s">
        <v>100</v>
      </c>
      <c r="AQ1585" t="s">
        <v>101</v>
      </c>
      <c r="AV1585" t="s">
        <v>98</v>
      </c>
      <c r="AX1585" t="s">
        <v>234</v>
      </c>
      <c r="AZ1585" t="s">
        <v>124</v>
      </c>
      <c r="BB1585" t="s">
        <v>235</v>
      </c>
      <c r="BC1585" t="s">
        <v>2607</v>
      </c>
      <c r="BD1585" t="s">
        <v>7528</v>
      </c>
      <c r="BF1585" t="s">
        <v>4986</v>
      </c>
      <c r="BG1585" t="s">
        <v>98</v>
      </c>
      <c r="BH1585" t="s">
        <v>98</v>
      </c>
      <c r="BI1585" t="s">
        <v>98</v>
      </c>
      <c r="BJ1585" t="s">
        <v>99</v>
      </c>
      <c r="BK1585" t="s">
        <v>453</v>
      </c>
      <c r="BL1585" t="s">
        <v>7528</v>
      </c>
      <c r="CA1585">
        <v>9156</v>
      </c>
      <c r="CB1585" t="s">
        <v>234</v>
      </c>
      <c r="CL1585" t="s">
        <v>99</v>
      </c>
      <c r="CM1585" t="s">
        <v>98</v>
      </c>
      <c r="CN1585" t="s">
        <v>7528</v>
      </c>
      <c r="CO1585" s="1">
        <v>40674</v>
      </c>
      <c r="CP1585" s="1">
        <v>43633</v>
      </c>
    </row>
    <row r="1586" spans="1:94" x14ac:dyDescent="0.25">
      <c r="A1586" t="s">
        <v>4987</v>
      </c>
      <c r="B1586" t="str">
        <f xml:space="preserve"> "" &amp; 747396063027</f>
        <v>747396063027</v>
      </c>
      <c r="C1586" t="s">
        <v>4988</v>
      </c>
      <c r="D1586" t="s">
        <v>6981</v>
      </c>
      <c r="E1586" t="s">
        <v>4989</v>
      </c>
      <c r="F1586" t="s">
        <v>7538</v>
      </c>
      <c r="G1586">
        <v>1</v>
      </c>
      <c r="H1586">
        <v>1</v>
      </c>
      <c r="I1586" t="s">
        <v>97</v>
      </c>
      <c r="J1586" s="10">
        <v>79.95</v>
      </c>
      <c r="K1586" s="10">
        <v>239.85</v>
      </c>
      <c r="L1586" s="10">
        <v>0</v>
      </c>
      <c r="N1586" s="10">
        <v>0</v>
      </c>
      <c r="S1586">
        <v>28.25</v>
      </c>
      <c r="U1586">
        <v>13.75</v>
      </c>
      <c r="W1586">
        <v>20.39</v>
      </c>
      <c r="X1586">
        <v>1</v>
      </c>
      <c r="Y1586">
        <v>31</v>
      </c>
      <c r="Z1586">
        <v>16.5</v>
      </c>
      <c r="AA1586">
        <v>15</v>
      </c>
      <c r="AB1586">
        <v>4.4400000000000004</v>
      </c>
      <c r="AC1586">
        <v>25.86</v>
      </c>
      <c r="AE1586">
        <v>1</v>
      </c>
      <c r="AF1586" t="s">
        <v>3363</v>
      </c>
      <c r="AG1586">
        <v>26</v>
      </c>
      <c r="AH1586">
        <v>0</v>
      </c>
      <c r="AK1586" t="s">
        <v>99</v>
      </c>
      <c r="AM1586" t="s">
        <v>98</v>
      </c>
      <c r="AN1586" t="s">
        <v>99</v>
      </c>
      <c r="AO1586" t="s">
        <v>98</v>
      </c>
      <c r="AP1586" t="s">
        <v>100</v>
      </c>
      <c r="AQ1586" t="s">
        <v>101</v>
      </c>
      <c r="AV1586" t="s">
        <v>98</v>
      </c>
      <c r="AX1586" t="s">
        <v>164</v>
      </c>
      <c r="AZ1586" t="s">
        <v>7528</v>
      </c>
      <c r="BB1586" t="s">
        <v>7528</v>
      </c>
      <c r="BC1586" t="s">
        <v>7528</v>
      </c>
      <c r="BD1586" t="s">
        <v>7528</v>
      </c>
      <c r="BF1586" t="s">
        <v>4990</v>
      </c>
      <c r="BG1586" t="s">
        <v>99</v>
      </c>
      <c r="BH1586" t="s">
        <v>98</v>
      </c>
      <c r="BI1586" t="s">
        <v>99</v>
      </c>
      <c r="BJ1586" t="s">
        <v>99</v>
      </c>
      <c r="BK1586" t="s">
        <v>453</v>
      </c>
      <c r="BL1586" t="s">
        <v>7528</v>
      </c>
      <c r="BR1586">
        <v>0</v>
      </c>
      <c r="BT1586">
        <v>0</v>
      </c>
      <c r="CA1586" t="s">
        <v>4991</v>
      </c>
      <c r="CB1586" t="s">
        <v>164</v>
      </c>
      <c r="CG1586">
        <v>2700</v>
      </c>
      <c r="CL1586" t="s">
        <v>98</v>
      </c>
      <c r="CM1586" t="s">
        <v>98</v>
      </c>
      <c r="CN1586" t="s">
        <v>237</v>
      </c>
      <c r="CO1586" s="1">
        <v>39181</v>
      </c>
      <c r="CP1586" s="1">
        <v>43633</v>
      </c>
    </row>
    <row r="1587" spans="1:94" x14ac:dyDescent="0.25">
      <c r="A1587" t="s">
        <v>4992</v>
      </c>
      <c r="B1587" t="str">
        <f xml:space="preserve"> "" &amp; 747396063089</f>
        <v>747396063089</v>
      </c>
      <c r="C1587" t="s">
        <v>4988</v>
      </c>
      <c r="D1587" t="s">
        <v>6981</v>
      </c>
      <c r="E1587" t="s">
        <v>4989</v>
      </c>
      <c r="F1587" t="s">
        <v>7538</v>
      </c>
      <c r="G1587">
        <v>1</v>
      </c>
      <c r="H1587">
        <v>1</v>
      </c>
      <c r="I1587" t="s">
        <v>97</v>
      </c>
      <c r="J1587" s="10">
        <v>79.95</v>
      </c>
      <c r="K1587" s="10">
        <v>239.85</v>
      </c>
      <c r="L1587" s="10">
        <v>0</v>
      </c>
      <c r="N1587" s="10">
        <v>0</v>
      </c>
      <c r="S1587">
        <v>28.25</v>
      </c>
      <c r="U1587">
        <v>14</v>
      </c>
      <c r="W1587">
        <v>23.92</v>
      </c>
      <c r="X1587">
        <v>1</v>
      </c>
      <c r="Y1587">
        <v>31</v>
      </c>
      <c r="Z1587">
        <v>16.5</v>
      </c>
      <c r="AA1587">
        <v>15</v>
      </c>
      <c r="AB1587">
        <v>4.4400000000000004</v>
      </c>
      <c r="AC1587">
        <v>29.54</v>
      </c>
      <c r="AE1587">
        <v>1</v>
      </c>
      <c r="AF1587" t="s">
        <v>4993</v>
      </c>
      <c r="AG1587">
        <v>26</v>
      </c>
      <c r="AH1587">
        <v>0</v>
      </c>
      <c r="AK1587" t="s">
        <v>99</v>
      </c>
      <c r="AM1587" t="s">
        <v>98</v>
      </c>
      <c r="AN1587" t="s">
        <v>99</v>
      </c>
      <c r="AO1587" t="s">
        <v>98</v>
      </c>
      <c r="AP1587" t="s">
        <v>100</v>
      </c>
      <c r="AQ1587" t="s">
        <v>101</v>
      </c>
      <c r="AV1587" t="s">
        <v>98</v>
      </c>
      <c r="AX1587" t="s">
        <v>164</v>
      </c>
      <c r="AZ1587" t="s">
        <v>7528</v>
      </c>
      <c r="BB1587" t="s">
        <v>235</v>
      </c>
      <c r="BC1587" t="s">
        <v>7627</v>
      </c>
      <c r="BD1587" t="s">
        <v>7528</v>
      </c>
      <c r="BF1587" t="s">
        <v>4994</v>
      </c>
      <c r="BG1587" t="s">
        <v>98</v>
      </c>
      <c r="BH1587" t="s">
        <v>98</v>
      </c>
      <c r="BI1587" t="s">
        <v>99</v>
      </c>
      <c r="BJ1587" t="s">
        <v>99</v>
      </c>
      <c r="BK1587" t="s">
        <v>453</v>
      </c>
      <c r="BL1587" t="s">
        <v>7528</v>
      </c>
      <c r="BR1587">
        <v>0</v>
      </c>
      <c r="BT1587">
        <v>0</v>
      </c>
      <c r="CA1587" t="s">
        <v>4995</v>
      </c>
      <c r="CB1587" t="s">
        <v>164</v>
      </c>
      <c r="CG1587">
        <v>2700</v>
      </c>
      <c r="CL1587" t="s">
        <v>98</v>
      </c>
      <c r="CM1587" t="s">
        <v>98</v>
      </c>
      <c r="CN1587" t="s">
        <v>237</v>
      </c>
      <c r="CO1587" s="1">
        <v>39170</v>
      </c>
      <c r="CP1587" s="1">
        <v>43633</v>
      </c>
    </row>
    <row r="1588" spans="1:94" x14ac:dyDescent="0.25">
      <c r="A1588" t="s">
        <v>4996</v>
      </c>
      <c r="B1588" t="str">
        <f xml:space="preserve"> "" &amp; 747396079608</f>
        <v>747396079608</v>
      </c>
      <c r="C1588" t="s">
        <v>1577</v>
      </c>
      <c r="D1588" t="s">
        <v>6982</v>
      </c>
      <c r="E1588" t="s">
        <v>4997</v>
      </c>
      <c r="F1588" t="s">
        <v>449</v>
      </c>
      <c r="G1588">
        <v>1</v>
      </c>
      <c r="H1588">
        <v>1</v>
      </c>
      <c r="I1588" t="s">
        <v>97</v>
      </c>
      <c r="J1588" s="10">
        <v>60</v>
      </c>
      <c r="K1588" s="10">
        <v>180</v>
      </c>
      <c r="L1588" s="10">
        <v>0</v>
      </c>
      <c r="N1588" s="10">
        <v>0</v>
      </c>
      <c r="S1588">
        <v>12.5</v>
      </c>
      <c r="U1588">
        <v>6.5</v>
      </c>
      <c r="V1588">
        <v>8.75</v>
      </c>
      <c r="W1588">
        <v>5.29</v>
      </c>
      <c r="X1588">
        <v>1</v>
      </c>
      <c r="Y1588">
        <v>14.75</v>
      </c>
      <c r="Z1588">
        <v>10.63</v>
      </c>
      <c r="AA1588">
        <v>9</v>
      </c>
      <c r="AB1588">
        <v>0.81699999999999995</v>
      </c>
      <c r="AC1588">
        <v>6.46</v>
      </c>
      <c r="AE1588">
        <v>1</v>
      </c>
      <c r="AF1588" t="s">
        <v>3223</v>
      </c>
      <c r="AG1588">
        <v>13</v>
      </c>
      <c r="AK1588" t="s">
        <v>99</v>
      </c>
      <c r="AM1588" t="s">
        <v>98</v>
      </c>
      <c r="AN1588" t="s">
        <v>99</v>
      </c>
      <c r="AO1588" t="s">
        <v>98</v>
      </c>
      <c r="AP1588" t="s">
        <v>100</v>
      </c>
      <c r="AQ1588" t="s">
        <v>101</v>
      </c>
      <c r="AV1588" t="s">
        <v>98</v>
      </c>
      <c r="AX1588" t="s">
        <v>4998</v>
      </c>
      <c r="AZ1588" t="s">
        <v>124</v>
      </c>
      <c r="BB1588" t="s">
        <v>235</v>
      </c>
      <c r="BC1588" t="s">
        <v>4999</v>
      </c>
      <c r="BD1588" t="s">
        <v>7528</v>
      </c>
      <c r="BF1588" t="s">
        <v>5000</v>
      </c>
      <c r="BG1588" t="s">
        <v>98</v>
      </c>
      <c r="BH1588" t="s">
        <v>98</v>
      </c>
      <c r="BI1588" t="s">
        <v>98</v>
      </c>
      <c r="BJ1588" t="s">
        <v>99</v>
      </c>
      <c r="BK1588" t="s">
        <v>453</v>
      </c>
      <c r="BL1588" t="s">
        <v>128</v>
      </c>
      <c r="BR1588">
        <v>8</v>
      </c>
      <c r="BT1588">
        <v>5.5</v>
      </c>
      <c r="CA1588" t="s">
        <v>5001</v>
      </c>
      <c r="CB1588" t="s">
        <v>4998</v>
      </c>
      <c r="CG1588">
        <v>2700</v>
      </c>
      <c r="CL1588" t="s">
        <v>98</v>
      </c>
      <c r="CM1588" t="s">
        <v>98</v>
      </c>
      <c r="CN1588" t="s">
        <v>3227</v>
      </c>
      <c r="CO1588" s="1">
        <v>40613</v>
      </c>
      <c r="CP1588" s="1">
        <v>43633</v>
      </c>
    </row>
    <row r="1589" spans="1:94" x14ac:dyDescent="0.25">
      <c r="A1589" t="s">
        <v>5002</v>
      </c>
      <c r="B1589" t="str">
        <f xml:space="preserve"> "" &amp; 747396078731</f>
        <v>747396078731</v>
      </c>
      <c r="C1589" t="s">
        <v>1577</v>
      </c>
      <c r="D1589" t="s">
        <v>5003</v>
      </c>
      <c r="E1589" t="s">
        <v>5004</v>
      </c>
      <c r="F1589" t="s">
        <v>2823</v>
      </c>
      <c r="G1589">
        <v>1</v>
      </c>
      <c r="H1589">
        <v>1</v>
      </c>
      <c r="I1589" t="s">
        <v>97</v>
      </c>
      <c r="J1589" s="10">
        <v>65.95</v>
      </c>
      <c r="K1589" s="10">
        <v>197.85</v>
      </c>
      <c r="L1589" s="10">
        <v>0</v>
      </c>
      <c r="N1589" s="10">
        <v>0</v>
      </c>
      <c r="O1589" t="s">
        <v>99</v>
      </c>
      <c r="P1589" s="10">
        <v>129.94999999999999</v>
      </c>
      <c r="S1589">
        <v>14.5</v>
      </c>
      <c r="T1589">
        <v>9.75</v>
      </c>
      <c r="U1589">
        <v>6.5</v>
      </c>
      <c r="V1589">
        <v>7.25</v>
      </c>
      <c r="W1589">
        <v>4.41</v>
      </c>
      <c r="Y1589">
        <v>16.75</v>
      </c>
      <c r="Z1589">
        <v>9.75</v>
      </c>
      <c r="AA1589">
        <v>9</v>
      </c>
      <c r="AB1589">
        <v>0.85099999999999998</v>
      </c>
      <c r="AC1589">
        <v>5.86</v>
      </c>
      <c r="AE1589">
        <v>1</v>
      </c>
      <c r="AF1589" t="s">
        <v>233</v>
      </c>
      <c r="AG1589">
        <v>60</v>
      </c>
      <c r="AK1589" t="s">
        <v>98</v>
      </c>
      <c r="AM1589" t="s">
        <v>98</v>
      </c>
      <c r="AN1589" t="s">
        <v>99</v>
      </c>
      <c r="AO1589" t="s">
        <v>98</v>
      </c>
      <c r="AP1589" t="s">
        <v>100</v>
      </c>
      <c r="AQ1589" t="s">
        <v>101</v>
      </c>
      <c r="AV1589" t="s">
        <v>98</v>
      </c>
      <c r="AX1589" t="s">
        <v>5005</v>
      </c>
      <c r="AZ1589" t="s">
        <v>124</v>
      </c>
      <c r="BB1589" t="s">
        <v>235</v>
      </c>
      <c r="BC1589" t="s">
        <v>746</v>
      </c>
      <c r="BD1589" t="s">
        <v>7528</v>
      </c>
      <c r="BF1589" t="s">
        <v>5006</v>
      </c>
      <c r="BG1589" t="s">
        <v>98</v>
      </c>
      <c r="BH1589" t="s">
        <v>98</v>
      </c>
      <c r="BI1589" t="s">
        <v>98</v>
      </c>
      <c r="BJ1589" t="s">
        <v>99</v>
      </c>
      <c r="BK1589" t="s">
        <v>453</v>
      </c>
      <c r="BL1589" t="s">
        <v>128</v>
      </c>
      <c r="BR1589">
        <v>6.38</v>
      </c>
      <c r="BT1589">
        <v>4.5</v>
      </c>
      <c r="CA1589">
        <v>9281</v>
      </c>
      <c r="CB1589" t="s">
        <v>5005</v>
      </c>
      <c r="CG1589">
        <v>0</v>
      </c>
      <c r="CL1589" t="s">
        <v>99</v>
      </c>
      <c r="CM1589" t="s">
        <v>98</v>
      </c>
      <c r="CN1589" t="s">
        <v>3227</v>
      </c>
      <c r="CO1589" s="1">
        <v>40420</v>
      </c>
      <c r="CP1589" s="1">
        <v>43633</v>
      </c>
    </row>
    <row r="1590" spans="1:94" x14ac:dyDescent="0.25">
      <c r="A1590" t="s">
        <v>5007</v>
      </c>
      <c r="B1590" t="str">
        <f xml:space="preserve"> "" &amp; 747396078748</f>
        <v>747396078748</v>
      </c>
      <c r="C1590" t="s">
        <v>1550</v>
      </c>
      <c r="D1590" t="s">
        <v>5008</v>
      </c>
      <c r="E1590" t="s">
        <v>5004</v>
      </c>
      <c r="F1590" t="s">
        <v>2823</v>
      </c>
      <c r="G1590">
        <v>1</v>
      </c>
      <c r="H1590">
        <v>1</v>
      </c>
      <c r="I1590" t="s">
        <v>97</v>
      </c>
      <c r="J1590" s="10">
        <v>88.95</v>
      </c>
      <c r="K1590" s="10">
        <v>266.85000000000002</v>
      </c>
      <c r="L1590" s="10">
        <v>0</v>
      </c>
      <c r="N1590" s="10">
        <v>0</v>
      </c>
      <c r="O1590" t="s">
        <v>99</v>
      </c>
      <c r="P1590" s="10">
        <v>179.95</v>
      </c>
      <c r="S1590">
        <v>19.25</v>
      </c>
      <c r="U1590">
        <v>8.5</v>
      </c>
      <c r="V1590">
        <v>9.5</v>
      </c>
      <c r="W1590">
        <v>7.5</v>
      </c>
      <c r="Y1590">
        <v>21.25</v>
      </c>
      <c r="Z1590">
        <v>12.25</v>
      </c>
      <c r="AA1590">
        <v>11.25</v>
      </c>
      <c r="AB1590">
        <v>1.6950000000000001</v>
      </c>
      <c r="AC1590">
        <v>9.77</v>
      </c>
      <c r="AE1590">
        <v>2</v>
      </c>
      <c r="AF1590" t="s">
        <v>308</v>
      </c>
      <c r="AG1590">
        <v>60</v>
      </c>
      <c r="AK1590" t="s">
        <v>98</v>
      </c>
      <c r="AM1590" t="s">
        <v>98</v>
      </c>
      <c r="AN1590" t="s">
        <v>99</v>
      </c>
      <c r="AO1590" t="s">
        <v>98</v>
      </c>
      <c r="AP1590" t="s">
        <v>100</v>
      </c>
      <c r="AQ1590" t="s">
        <v>101</v>
      </c>
      <c r="AV1590" t="s">
        <v>98</v>
      </c>
      <c r="AX1590" t="s">
        <v>5005</v>
      </c>
      <c r="AZ1590" t="s">
        <v>124</v>
      </c>
      <c r="BB1590" t="s">
        <v>235</v>
      </c>
      <c r="BC1590" t="s">
        <v>746</v>
      </c>
      <c r="BD1590" t="s">
        <v>7528</v>
      </c>
      <c r="BF1590" t="s">
        <v>5009</v>
      </c>
      <c r="BG1590" t="s">
        <v>98</v>
      </c>
      <c r="BH1590" t="s">
        <v>98</v>
      </c>
      <c r="BI1590" t="s">
        <v>98</v>
      </c>
      <c r="BJ1590" t="s">
        <v>99</v>
      </c>
      <c r="BK1590" t="s">
        <v>453</v>
      </c>
      <c r="BL1590" t="s">
        <v>128</v>
      </c>
      <c r="BR1590">
        <v>8.25</v>
      </c>
      <c r="BT1590">
        <v>4.5</v>
      </c>
      <c r="CA1590">
        <v>9282</v>
      </c>
      <c r="CB1590" t="s">
        <v>5005</v>
      </c>
      <c r="CG1590">
        <v>0</v>
      </c>
      <c r="CL1590" t="s">
        <v>99</v>
      </c>
      <c r="CM1590" t="s">
        <v>98</v>
      </c>
      <c r="CN1590" t="s">
        <v>3227</v>
      </c>
      <c r="CO1590" s="1">
        <v>40420</v>
      </c>
      <c r="CP1590" s="1">
        <v>43633</v>
      </c>
    </row>
    <row r="1591" spans="1:94" x14ac:dyDescent="0.25">
      <c r="A1591" t="s">
        <v>5010</v>
      </c>
      <c r="B1591" t="str">
        <f xml:space="preserve"> "" &amp; 747396083537</f>
        <v>747396083537</v>
      </c>
      <c r="C1591" t="s">
        <v>3394</v>
      </c>
      <c r="D1591" t="s">
        <v>5011</v>
      </c>
      <c r="E1591" t="s">
        <v>5004</v>
      </c>
      <c r="F1591" t="s">
        <v>2823</v>
      </c>
      <c r="G1591">
        <v>1</v>
      </c>
      <c r="H1591">
        <v>1</v>
      </c>
      <c r="I1591" t="s">
        <v>97</v>
      </c>
      <c r="J1591" s="10">
        <v>139.94999999999999</v>
      </c>
      <c r="K1591" s="10">
        <v>419.85</v>
      </c>
      <c r="L1591" s="10">
        <v>0</v>
      </c>
      <c r="N1591" s="10">
        <v>0</v>
      </c>
      <c r="O1591" t="s">
        <v>99</v>
      </c>
      <c r="P1591" s="10">
        <v>279.95</v>
      </c>
      <c r="S1591">
        <v>23.5</v>
      </c>
      <c r="U1591">
        <v>10.5</v>
      </c>
      <c r="V1591">
        <v>12</v>
      </c>
      <c r="W1591">
        <v>10.96</v>
      </c>
      <c r="Y1591">
        <v>26</v>
      </c>
      <c r="Z1591">
        <v>14.75</v>
      </c>
      <c r="AA1591">
        <v>13.5</v>
      </c>
      <c r="AB1591">
        <v>2.996</v>
      </c>
      <c r="AC1591">
        <v>14.77</v>
      </c>
      <c r="AE1591">
        <v>4</v>
      </c>
      <c r="AF1591" t="s">
        <v>772</v>
      </c>
      <c r="AG1591">
        <v>60</v>
      </c>
      <c r="AK1591" t="s">
        <v>98</v>
      </c>
      <c r="AM1591" t="s">
        <v>98</v>
      </c>
      <c r="AN1591" t="s">
        <v>99</v>
      </c>
      <c r="AO1591" t="s">
        <v>98</v>
      </c>
      <c r="AP1591" t="s">
        <v>100</v>
      </c>
      <c r="AQ1591" t="s">
        <v>101</v>
      </c>
      <c r="AV1591" t="s">
        <v>98</v>
      </c>
      <c r="AX1591" t="s">
        <v>5005</v>
      </c>
      <c r="AZ1591" t="s">
        <v>124</v>
      </c>
      <c r="BB1591" t="s">
        <v>235</v>
      </c>
      <c r="BC1591" t="s">
        <v>746</v>
      </c>
      <c r="BD1591" t="s">
        <v>7528</v>
      </c>
      <c r="BF1591" t="s">
        <v>5012</v>
      </c>
      <c r="BG1591" t="s">
        <v>98</v>
      </c>
      <c r="BH1591" t="s">
        <v>98</v>
      </c>
      <c r="BI1591" t="s">
        <v>98</v>
      </c>
      <c r="BJ1591" t="s">
        <v>99</v>
      </c>
      <c r="BK1591" t="s">
        <v>453</v>
      </c>
      <c r="BL1591" t="s">
        <v>128</v>
      </c>
      <c r="BT1591">
        <v>5.63</v>
      </c>
      <c r="CA1591">
        <v>9283</v>
      </c>
      <c r="CB1591" t="s">
        <v>5005</v>
      </c>
      <c r="CL1591" t="s">
        <v>99</v>
      </c>
      <c r="CM1591" t="s">
        <v>98</v>
      </c>
      <c r="CN1591" t="s">
        <v>3227</v>
      </c>
      <c r="CO1591" s="1">
        <v>40420</v>
      </c>
      <c r="CP1591" s="1">
        <v>43633</v>
      </c>
    </row>
    <row r="1592" spans="1:94" x14ac:dyDescent="0.25">
      <c r="A1592" t="s">
        <v>5013</v>
      </c>
      <c r="B1592" t="str">
        <f xml:space="preserve"> "" &amp; 747396079110</f>
        <v>747396079110</v>
      </c>
      <c r="C1592" t="s">
        <v>3403</v>
      </c>
      <c r="D1592" t="s">
        <v>5014</v>
      </c>
      <c r="E1592" t="s">
        <v>5004</v>
      </c>
      <c r="F1592" t="s">
        <v>2823</v>
      </c>
      <c r="G1592">
        <v>1</v>
      </c>
      <c r="H1592">
        <v>1</v>
      </c>
      <c r="I1592" t="s">
        <v>97</v>
      </c>
      <c r="J1592" s="10">
        <v>88.95</v>
      </c>
      <c r="K1592" s="10">
        <v>266.85000000000002</v>
      </c>
      <c r="L1592" s="10">
        <v>0</v>
      </c>
      <c r="N1592" s="10">
        <v>0</v>
      </c>
      <c r="O1592" t="s">
        <v>99</v>
      </c>
      <c r="P1592" s="10">
        <v>179.95</v>
      </c>
      <c r="S1592">
        <v>19.5</v>
      </c>
      <c r="T1592">
        <v>8.5</v>
      </c>
      <c r="U1592">
        <v>8.5</v>
      </c>
      <c r="W1592">
        <v>6.17</v>
      </c>
      <c r="Y1592">
        <v>21.88</v>
      </c>
      <c r="Z1592">
        <v>11.25</v>
      </c>
      <c r="AA1592">
        <v>11.25</v>
      </c>
      <c r="AB1592">
        <v>1.603</v>
      </c>
      <c r="AC1592">
        <v>7.94</v>
      </c>
      <c r="AE1592">
        <v>3</v>
      </c>
      <c r="AF1592" t="s">
        <v>308</v>
      </c>
      <c r="AG1592">
        <v>60</v>
      </c>
      <c r="AK1592" t="s">
        <v>98</v>
      </c>
      <c r="AM1592" t="s">
        <v>98</v>
      </c>
      <c r="AN1592" t="s">
        <v>99</v>
      </c>
      <c r="AO1592" t="s">
        <v>98</v>
      </c>
      <c r="AP1592" t="s">
        <v>100</v>
      </c>
      <c r="AQ1592" t="s">
        <v>101</v>
      </c>
      <c r="AV1592" t="s">
        <v>98</v>
      </c>
      <c r="AX1592" t="s">
        <v>5005</v>
      </c>
      <c r="AZ1592" t="s">
        <v>124</v>
      </c>
      <c r="BB1592" t="s">
        <v>235</v>
      </c>
      <c r="BC1592" t="s">
        <v>746</v>
      </c>
      <c r="BD1592" t="s">
        <v>7528</v>
      </c>
      <c r="BF1592" t="s">
        <v>5015</v>
      </c>
      <c r="BG1592" t="s">
        <v>98</v>
      </c>
      <c r="BH1592" t="s">
        <v>98</v>
      </c>
      <c r="BI1592" t="s">
        <v>98</v>
      </c>
      <c r="BJ1592" t="s">
        <v>99</v>
      </c>
      <c r="BK1592" t="s">
        <v>453</v>
      </c>
      <c r="BL1592" t="s">
        <v>7528</v>
      </c>
      <c r="BR1592">
        <v>0</v>
      </c>
      <c r="BT1592">
        <v>0</v>
      </c>
      <c r="CA1592">
        <v>9286</v>
      </c>
      <c r="CB1592" t="s">
        <v>5005</v>
      </c>
      <c r="CG1592">
        <v>0</v>
      </c>
      <c r="CL1592" t="s">
        <v>99</v>
      </c>
      <c r="CM1592" t="s">
        <v>98</v>
      </c>
      <c r="CN1592" t="s">
        <v>3227</v>
      </c>
      <c r="CO1592" s="1">
        <v>40420</v>
      </c>
      <c r="CP1592" s="1">
        <v>43633</v>
      </c>
    </row>
    <row r="1593" spans="1:94" x14ac:dyDescent="0.25">
      <c r="A1593" t="s">
        <v>5016</v>
      </c>
      <c r="B1593" t="str">
        <f xml:space="preserve"> "" &amp; 747396083704</f>
        <v>747396083704</v>
      </c>
      <c r="C1593" t="s">
        <v>4988</v>
      </c>
      <c r="D1593" t="s">
        <v>5017</v>
      </c>
      <c r="E1593" t="s">
        <v>5018</v>
      </c>
      <c r="F1593" t="s">
        <v>2823</v>
      </c>
      <c r="G1593">
        <v>1</v>
      </c>
      <c r="H1593">
        <v>1</v>
      </c>
      <c r="I1593" t="s">
        <v>97</v>
      </c>
      <c r="J1593" s="10">
        <v>39.950000000000003</v>
      </c>
      <c r="K1593" s="10">
        <v>119.85</v>
      </c>
      <c r="L1593" s="10">
        <v>0</v>
      </c>
      <c r="N1593" s="10">
        <v>0</v>
      </c>
      <c r="S1593">
        <v>17.5</v>
      </c>
      <c r="U1593">
        <v>8</v>
      </c>
      <c r="W1593">
        <v>4.41</v>
      </c>
      <c r="Y1593">
        <v>17.5</v>
      </c>
      <c r="Z1593">
        <v>11</v>
      </c>
      <c r="AA1593">
        <v>10.88</v>
      </c>
      <c r="AB1593">
        <v>1.212</v>
      </c>
      <c r="AC1593">
        <v>6.13</v>
      </c>
      <c r="AE1593">
        <v>1</v>
      </c>
      <c r="AF1593" t="s">
        <v>282</v>
      </c>
      <c r="AG1593">
        <v>100</v>
      </c>
      <c r="AK1593" t="s">
        <v>98</v>
      </c>
      <c r="AM1593" t="s">
        <v>98</v>
      </c>
      <c r="AN1593" t="s">
        <v>99</v>
      </c>
      <c r="AO1593" t="s">
        <v>98</v>
      </c>
      <c r="AP1593" t="s">
        <v>100</v>
      </c>
      <c r="AQ1593" t="s">
        <v>101</v>
      </c>
      <c r="AV1593" t="s">
        <v>98</v>
      </c>
      <c r="AX1593" t="s">
        <v>5005</v>
      </c>
      <c r="AZ1593" t="s">
        <v>124</v>
      </c>
      <c r="BB1593" t="s">
        <v>235</v>
      </c>
      <c r="BC1593" t="s">
        <v>5019</v>
      </c>
      <c r="BD1593" t="s">
        <v>7528</v>
      </c>
      <c r="BF1593" t="s">
        <v>5020</v>
      </c>
      <c r="BG1593" t="s">
        <v>98</v>
      </c>
      <c r="BH1593" t="s">
        <v>98</v>
      </c>
      <c r="BI1593" t="s">
        <v>98</v>
      </c>
      <c r="BJ1593" t="s">
        <v>99</v>
      </c>
      <c r="BK1593" t="s">
        <v>453</v>
      </c>
      <c r="BL1593" t="s">
        <v>7528</v>
      </c>
      <c r="CA1593">
        <v>9306</v>
      </c>
      <c r="CB1593" t="s">
        <v>5005</v>
      </c>
      <c r="CL1593" t="s">
        <v>99</v>
      </c>
      <c r="CM1593" t="s">
        <v>98</v>
      </c>
      <c r="CN1593" t="s">
        <v>3227</v>
      </c>
      <c r="CO1593" s="1">
        <v>40806</v>
      </c>
      <c r="CP1593" s="1">
        <v>43633</v>
      </c>
    </row>
    <row r="1594" spans="1:94" x14ac:dyDescent="0.25">
      <c r="A1594" t="s">
        <v>5021</v>
      </c>
      <c r="B1594" t="str">
        <f xml:space="preserve"> "" &amp; 747396097794</f>
        <v>747396097794</v>
      </c>
      <c r="C1594" t="s">
        <v>5022</v>
      </c>
      <c r="D1594" t="s">
        <v>5023</v>
      </c>
      <c r="E1594" t="s">
        <v>5024</v>
      </c>
      <c r="F1594" t="s">
        <v>2823</v>
      </c>
      <c r="G1594">
        <v>1</v>
      </c>
      <c r="H1594">
        <v>1</v>
      </c>
      <c r="I1594" t="s">
        <v>97</v>
      </c>
      <c r="J1594" s="10">
        <v>199.95</v>
      </c>
      <c r="K1594" s="10">
        <v>599.85</v>
      </c>
      <c r="L1594" s="10">
        <v>0</v>
      </c>
      <c r="N1594" s="10">
        <v>0</v>
      </c>
      <c r="S1594">
        <v>22</v>
      </c>
      <c r="T1594">
        <v>8.75</v>
      </c>
      <c r="U1594">
        <v>8.75</v>
      </c>
      <c r="W1594">
        <v>7.28</v>
      </c>
      <c r="Y1594">
        <v>21</v>
      </c>
      <c r="Z1594">
        <v>12</v>
      </c>
      <c r="AA1594">
        <v>12</v>
      </c>
      <c r="AB1594">
        <v>1.75</v>
      </c>
      <c r="AC1594">
        <v>9.3699999999999992</v>
      </c>
      <c r="AE1594">
        <v>4</v>
      </c>
      <c r="AF1594" t="s">
        <v>1545</v>
      </c>
      <c r="AG1594">
        <v>40</v>
      </c>
      <c r="AK1594" t="s">
        <v>98</v>
      </c>
      <c r="AM1594" t="s">
        <v>98</v>
      </c>
      <c r="AN1594" t="s">
        <v>99</v>
      </c>
      <c r="AO1594" t="s">
        <v>98</v>
      </c>
      <c r="AP1594" t="s">
        <v>100</v>
      </c>
      <c r="AQ1594" t="s">
        <v>101</v>
      </c>
      <c r="AV1594" t="s">
        <v>98</v>
      </c>
      <c r="AX1594" t="s">
        <v>4998</v>
      </c>
      <c r="AZ1594" t="s">
        <v>124</v>
      </c>
      <c r="BB1594" t="s">
        <v>235</v>
      </c>
      <c r="BC1594" t="s">
        <v>3416</v>
      </c>
      <c r="BD1594" t="s">
        <v>7528</v>
      </c>
      <c r="BF1594" t="s">
        <v>5025</v>
      </c>
      <c r="BG1594" t="s">
        <v>98</v>
      </c>
      <c r="BH1594" t="s">
        <v>98</v>
      </c>
      <c r="BI1594" t="s">
        <v>98</v>
      </c>
      <c r="BK1594" t="s">
        <v>127</v>
      </c>
      <c r="BL1594" t="s">
        <v>7528</v>
      </c>
      <c r="BQ1594">
        <v>5</v>
      </c>
      <c r="BR1594">
        <v>0.88</v>
      </c>
      <c r="BS1594">
        <v>5</v>
      </c>
      <c r="BT1594">
        <v>5</v>
      </c>
      <c r="CA1594">
        <v>9314</v>
      </c>
      <c r="CB1594" t="s">
        <v>4998</v>
      </c>
      <c r="CL1594" t="s">
        <v>99</v>
      </c>
      <c r="CM1594" t="s">
        <v>99</v>
      </c>
      <c r="CN1594" t="s">
        <v>5026</v>
      </c>
      <c r="CO1594" s="1">
        <v>42325</v>
      </c>
      <c r="CP1594" s="1">
        <v>43633</v>
      </c>
    </row>
    <row r="1595" spans="1:94" x14ac:dyDescent="0.25">
      <c r="A1595" t="s">
        <v>5027</v>
      </c>
      <c r="B1595" t="str">
        <f xml:space="preserve"> "" &amp; 747396097800</f>
        <v>747396097800</v>
      </c>
      <c r="C1595" t="s">
        <v>5028</v>
      </c>
      <c r="D1595" t="s">
        <v>5029</v>
      </c>
      <c r="E1595" t="s">
        <v>5024</v>
      </c>
      <c r="F1595" t="s">
        <v>2823</v>
      </c>
      <c r="G1595">
        <v>1</v>
      </c>
      <c r="H1595">
        <v>1</v>
      </c>
      <c r="I1595" t="s">
        <v>97</v>
      </c>
      <c r="J1595" s="10">
        <v>199.95</v>
      </c>
      <c r="K1595" s="10">
        <v>599.85</v>
      </c>
      <c r="L1595" s="10">
        <v>0</v>
      </c>
      <c r="N1595" s="10">
        <v>0</v>
      </c>
      <c r="S1595">
        <v>23.5</v>
      </c>
      <c r="T1595">
        <v>8.75</v>
      </c>
      <c r="U1595">
        <v>8.75</v>
      </c>
      <c r="W1595">
        <v>5.95</v>
      </c>
      <c r="Y1595">
        <v>24.5</v>
      </c>
      <c r="Z1595">
        <v>12</v>
      </c>
      <c r="AA1595">
        <v>12</v>
      </c>
      <c r="AB1595">
        <v>2.0419999999999998</v>
      </c>
      <c r="AC1595">
        <v>8.16</v>
      </c>
      <c r="AE1595">
        <v>4</v>
      </c>
      <c r="AF1595" t="s">
        <v>519</v>
      </c>
      <c r="AG1595">
        <v>40</v>
      </c>
      <c r="AK1595" t="s">
        <v>98</v>
      </c>
      <c r="AM1595" t="s">
        <v>98</v>
      </c>
      <c r="AN1595" t="s">
        <v>99</v>
      </c>
      <c r="AO1595" t="s">
        <v>98</v>
      </c>
      <c r="AP1595" t="s">
        <v>100</v>
      </c>
      <c r="AQ1595" t="s">
        <v>101</v>
      </c>
      <c r="AV1595" t="s">
        <v>98</v>
      </c>
      <c r="AX1595" t="s">
        <v>4998</v>
      </c>
      <c r="AZ1595" t="s">
        <v>124</v>
      </c>
      <c r="BB1595" t="s">
        <v>235</v>
      </c>
      <c r="BC1595" t="s">
        <v>3416</v>
      </c>
      <c r="BD1595" t="s">
        <v>7528</v>
      </c>
      <c r="BF1595" t="s">
        <v>5030</v>
      </c>
      <c r="BG1595" t="s">
        <v>98</v>
      </c>
      <c r="BH1595" t="s">
        <v>98</v>
      </c>
      <c r="BI1595" t="s">
        <v>98</v>
      </c>
      <c r="BJ1595" t="s">
        <v>99</v>
      </c>
      <c r="BK1595" t="s">
        <v>453</v>
      </c>
      <c r="BL1595" t="s">
        <v>7528</v>
      </c>
      <c r="CA1595">
        <v>9316</v>
      </c>
      <c r="CB1595" t="s">
        <v>4998</v>
      </c>
      <c r="CL1595" t="s">
        <v>99</v>
      </c>
      <c r="CM1595" t="s">
        <v>98</v>
      </c>
      <c r="CN1595" t="s">
        <v>5031</v>
      </c>
      <c r="CO1595" s="1">
        <v>42325</v>
      </c>
      <c r="CP1595" s="1">
        <v>43633</v>
      </c>
    </row>
    <row r="1596" spans="1:94" x14ac:dyDescent="0.25">
      <c r="A1596" t="s">
        <v>5032</v>
      </c>
      <c r="B1596" t="str">
        <f xml:space="preserve"> "" &amp; 747396097817</f>
        <v>747396097817</v>
      </c>
      <c r="C1596" t="s">
        <v>5033</v>
      </c>
      <c r="D1596" t="s">
        <v>6983</v>
      </c>
      <c r="E1596" t="s">
        <v>5035</v>
      </c>
      <c r="F1596" t="s">
        <v>2823</v>
      </c>
      <c r="G1596">
        <v>1</v>
      </c>
      <c r="H1596">
        <v>1</v>
      </c>
      <c r="I1596" t="s">
        <v>97</v>
      </c>
      <c r="J1596" s="10">
        <v>325</v>
      </c>
      <c r="K1596" s="10">
        <v>975</v>
      </c>
      <c r="L1596" s="10">
        <v>0</v>
      </c>
      <c r="N1596" s="10">
        <v>0</v>
      </c>
      <c r="O1596" t="s">
        <v>99</v>
      </c>
      <c r="P1596" s="10">
        <v>684.95</v>
      </c>
      <c r="S1596">
        <v>25.25</v>
      </c>
      <c r="U1596">
        <v>9</v>
      </c>
      <c r="V1596">
        <v>11.25</v>
      </c>
      <c r="W1596">
        <v>11.24</v>
      </c>
      <c r="Y1596">
        <v>23.5</v>
      </c>
      <c r="Z1596">
        <v>14.5</v>
      </c>
      <c r="AA1596">
        <v>12.75</v>
      </c>
      <c r="AB1596">
        <v>2.5139999999999998</v>
      </c>
      <c r="AC1596">
        <v>13.67</v>
      </c>
      <c r="AE1596">
        <v>4</v>
      </c>
      <c r="AF1596" t="s">
        <v>519</v>
      </c>
      <c r="AG1596">
        <v>40</v>
      </c>
      <c r="AK1596" t="s">
        <v>98</v>
      </c>
      <c r="AM1596" t="s">
        <v>98</v>
      </c>
      <c r="AN1596" t="s">
        <v>99</v>
      </c>
      <c r="AO1596" t="s">
        <v>98</v>
      </c>
      <c r="AP1596" t="s">
        <v>100</v>
      </c>
      <c r="AQ1596" t="s">
        <v>101</v>
      </c>
      <c r="AV1596" t="s">
        <v>98</v>
      </c>
      <c r="AX1596" t="s">
        <v>5036</v>
      </c>
      <c r="AZ1596" t="s">
        <v>124</v>
      </c>
      <c r="BB1596" t="s">
        <v>235</v>
      </c>
      <c r="BC1596" t="s">
        <v>5037</v>
      </c>
      <c r="BD1596" t="s">
        <v>7528</v>
      </c>
      <c r="BF1596" t="s">
        <v>5038</v>
      </c>
      <c r="BG1596" t="s">
        <v>98</v>
      </c>
      <c r="BH1596" t="s">
        <v>98</v>
      </c>
      <c r="BI1596" t="s">
        <v>98</v>
      </c>
      <c r="BJ1596" t="s">
        <v>99</v>
      </c>
      <c r="BK1596" t="s">
        <v>453</v>
      </c>
      <c r="BL1596" t="s">
        <v>236</v>
      </c>
      <c r="BM1596">
        <v>5.88</v>
      </c>
      <c r="BN1596">
        <v>16.25</v>
      </c>
      <c r="CA1596">
        <v>9321</v>
      </c>
      <c r="CB1596" t="s">
        <v>5036</v>
      </c>
      <c r="CL1596" t="s">
        <v>99</v>
      </c>
      <c r="CM1596" t="s">
        <v>98</v>
      </c>
      <c r="CN1596" t="s">
        <v>5026</v>
      </c>
      <c r="CO1596" s="1">
        <v>42324</v>
      </c>
      <c r="CP1596" s="1">
        <v>43633</v>
      </c>
    </row>
    <row r="1597" spans="1:94" x14ac:dyDescent="0.25">
      <c r="A1597" t="s">
        <v>5039</v>
      </c>
      <c r="B1597" t="str">
        <f xml:space="preserve"> "" &amp; 747396097824</f>
        <v>747396097824</v>
      </c>
      <c r="C1597" t="s">
        <v>5033</v>
      </c>
      <c r="D1597" t="s">
        <v>5034</v>
      </c>
      <c r="E1597" t="s">
        <v>5035</v>
      </c>
      <c r="F1597" t="s">
        <v>2823</v>
      </c>
      <c r="G1597">
        <v>1</v>
      </c>
      <c r="H1597">
        <v>1</v>
      </c>
      <c r="I1597" t="s">
        <v>97</v>
      </c>
      <c r="J1597" s="10">
        <v>475</v>
      </c>
      <c r="K1597" s="10">
        <v>1425</v>
      </c>
      <c r="L1597" s="10">
        <v>0</v>
      </c>
      <c r="N1597" s="10">
        <v>0</v>
      </c>
      <c r="O1597" t="s">
        <v>99</v>
      </c>
      <c r="P1597" s="10">
        <v>1004.95</v>
      </c>
      <c r="S1597">
        <v>31.75</v>
      </c>
      <c r="U1597">
        <v>11</v>
      </c>
      <c r="V1597">
        <v>13.5</v>
      </c>
      <c r="W1597">
        <v>15.98</v>
      </c>
      <c r="Y1597">
        <v>28.25</v>
      </c>
      <c r="Z1597">
        <v>16.25</v>
      </c>
      <c r="AA1597">
        <v>14.75</v>
      </c>
      <c r="AB1597">
        <v>3.919</v>
      </c>
      <c r="AC1597">
        <v>19.29</v>
      </c>
      <c r="AE1597">
        <v>4</v>
      </c>
      <c r="AF1597" t="s">
        <v>519</v>
      </c>
      <c r="AG1597">
        <v>40</v>
      </c>
      <c r="AK1597" t="s">
        <v>98</v>
      </c>
      <c r="AM1597" t="s">
        <v>98</v>
      </c>
      <c r="AN1597" t="s">
        <v>99</v>
      </c>
      <c r="AO1597" t="s">
        <v>98</v>
      </c>
      <c r="AP1597" t="s">
        <v>100</v>
      </c>
      <c r="AQ1597" t="s">
        <v>101</v>
      </c>
      <c r="AV1597" t="s">
        <v>98</v>
      </c>
      <c r="AX1597" t="s">
        <v>5036</v>
      </c>
      <c r="AZ1597" t="s">
        <v>124</v>
      </c>
      <c r="BB1597" t="s">
        <v>235</v>
      </c>
      <c r="BC1597" t="s">
        <v>5037</v>
      </c>
      <c r="BD1597" t="s">
        <v>7528</v>
      </c>
      <c r="BF1597" t="s">
        <v>5040</v>
      </c>
      <c r="BG1597" t="s">
        <v>98</v>
      </c>
      <c r="BH1597" t="s">
        <v>98</v>
      </c>
      <c r="BI1597" t="s">
        <v>98</v>
      </c>
      <c r="BJ1597" t="s">
        <v>99</v>
      </c>
      <c r="BK1597" t="s">
        <v>453</v>
      </c>
      <c r="BL1597" t="s">
        <v>236</v>
      </c>
      <c r="BM1597">
        <v>5.88</v>
      </c>
      <c r="BN1597">
        <v>19</v>
      </c>
      <c r="CA1597">
        <v>9322</v>
      </c>
      <c r="CB1597" t="s">
        <v>5036</v>
      </c>
      <c r="CL1597" t="s">
        <v>99</v>
      </c>
      <c r="CM1597" t="s">
        <v>98</v>
      </c>
      <c r="CN1597" t="s">
        <v>5031</v>
      </c>
      <c r="CO1597" s="1">
        <v>42324</v>
      </c>
      <c r="CP1597" s="1">
        <v>43633</v>
      </c>
    </row>
    <row r="1598" spans="1:94" x14ac:dyDescent="0.25">
      <c r="A1598" t="s">
        <v>5041</v>
      </c>
      <c r="B1598" t="str">
        <f xml:space="preserve"> "" &amp; 747396097831</f>
        <v>747396097831</v>
      </c>
      <c r="C1598" t="s">
        <v>5042</v>
      </c>
      <c r="D1598" t="s">
        <v>5043</v>
      </c>
      <c r="E1598" t="s">
        <v>5035</v>
      </c>
      <c r="F1598" t="s">
        <v>2823</v>
      </c>
      <c r="G1598">
        <v>1</v>
      </c>
      <c r="H1598">
        <v>1</v>
      </c>
      <c r="I1598" t="s">
        <v>97</v>
      </c>
      <c r="J1598" s="10">
        <v>585</v>
      </c>
      <c r="K1598" s="10">
        <v>1755</v>
      </c>
      <c r="L1598" s="10">
        <v>0</v>
      </c>
      <c r="N1598" s="10">
        <v>0</v>
      </c>
      <c r="O1598" t="s">
        <v>99</v>
      </c>
      <c r="P1598" s="10">
        <v>1234.95</v>
      </c>
      <c r="S1598">
        <v>37.75</v>
      </c>
      <c r="U1598">
        <v>13</v>
      </c>
      <c r="V1598">
        <v>15.25</v>
      </c>
      <c r="W1598">
        <v>23.92</v>
      </c>
      <c r="Y1598">
        <v>33.5</v>
      </c>
      <c r="Z1598">
        <v>18.25</v>
      </c>
      <c r="AA1598">
        <v>16.75</v>
      </c>
      <c r="AB1598">
        <v>5.9260000000000002</v>
      </c>
      <c r="AC1598">
        <v>28.88</v>
      </c>
      <c r="AE1598">
        <v>6</v>
      </c>
      <c r="AF1598" t="s">
        <v>519</v>
      </c>
      <c r="AG1598">
        <v>40</v>
      </c>
      <c r="AK1598" t="s">
        <v>98</v>
      </c>
      <c r="AM1598" t="s">
        <v>98</v>
      </c>
      <c r="AN1598" t="s">
        <v>99</v>
      </c>
      <c r="AO1598" t="s">
        <v>98</v>
      </c>
      <c r="AP1598" t="s">
        <v>100</v>
      </c>
      <c r="AQ1598" t="s">
        <v>101</v>
      </c>
      <c r="AV1598" t="s">
        <v>98</v>
      </c>
      <c r="AX1598" t="s">
        <v>5036</v>
      </c>
      <c r="AZ1598" t="s">
        <v>124</v>
      </c>
      <c r="BB1598" t="s">
        <v>235</v>
      </c>
      <c r="BC1598" t="s">
        <v>5037</v>
      </c>
      <c r="BD1598" t="s">
        <v>7528</v>
      </c>
      <c r="BF1598" t="s">
        <v>5044</v>
      </c>
      <c r="BG1598" t="s">
        <v>98</v>
      </c>
      <c r="BH1598" t="s">
        <v>98</v>
      </c>
      <c r="BI1598" t="s">
        <v>98</v>
      </c>
      <c r="BJ1598" t="s">
        <v>99</v>
      </c>
      <c r="BK1598" t="s">
        <v>453</v>
      </c>
      <c r="BL1598" t="s">
        <v>236</v>
      </c>
      <c r="BM1598">
        <v>5.88</v>
      </c>
      <c r="BN1598">
        <v>22.13</v>
      </c>
      <c r="CA1598">
        <v>9323</v>
      </c>
      <c r="CB1598" t="s">
        <v>5036</v>
      </c>
      <c r="CL1598" t="s">
        <v>99</v>
      </c>
      <c r="CM1598" t="s">
        <v>98</v>
      </c>
      <c r="CN1598" t="s">
        <v>5026</v>
      </c>
      <c r="CO1598" s="1">
        <v>42324</v>
      </c>
      <c r="CP1598" s="1">
        <v>43633</v>
      </c>
    </row>
    <row r="1599" spans="1:94" x14ac:dyDescent="0.25">
      <c r="A1599" t="s">
        <v>5045</v>
      </c>
      <c r="B1599" t="str">
        <f xml:space="preserve"> "" &amp; 747396097848</f>
        <v>747396097848</v>
      </c>
      <c r="C1599" t="s">
        <v>5022</v>
      </c>
      <c r="D1599" t="s">
        <v>5046</v>
      </c>
      <c r="E1599" t="s">
        <v>5035</v>
      </c>
      <c r="F1599" t="s">
        <v>2823</v>
      </c>
      <c r="G1599">
        <v>1</v>
      </c>
      <c r="H1599">
        <v>1</v>
      </c>
      <c r="I1599" t="s">
        <v>97</v>
      </c>
      <c r="J1599" s="10">
        <v>415</v>
      </c>
      <c r="K1599" s="10">
        <v>1245</v>
      </c>
      <c r="L1599" s="10">
        <v>0</v>
      </c>
      <c r="N1599" s="10">
        <v>0</v>
      </c>
      <c r="O1599" t="s">
        <v>99</v>
      </c>
      <c r="P1599" s="10">
        <v>874.95</v>
      </c>
      <c r="S1599">
        <v>31.75</v>
      </c>
      <c r="T1599">
        <v>11</v>
      </c>
      <c r="U1599">
        <v>11</v>
      </c>
      <c r="W1599">
        <v>15.54</v>
      </c>
      <c r="Y1599">
        <v>27</v>
      </c>
      <c r="Z1599">
        <v>14.5</v>
      </c>
      <c r="AA1599">
        <v>14.5</v>
      </c>
      <c r="AB1599">
        <v>3.2850000000000001</v>
      </c>
      <c r="AC1599">
        <v>18.41</v>
      </c>
      <c r="AE1599">
        <v>4</v>
      </c>
      <c r="AF1599" t="s">
        <v>519</v>
      </c>
      <c r="AG1599">
        <v>40</v>
      </c>
      <c r="AK1599" t="s">
        <v>98</v>
      </c>
      <c r="AM1599" t="s">
        <v>98</v>
      </c>
      <c r="AN1599" t="s">
        <v>99</v>
      </c>
      <c r="AO1599" t="s">
        <v>98</v>
      </c>
      <c r="AP1599" t="s">
        <v>100</v>
      </c>
      <c r="AQ1599" t="s">
        <v>101</v>
      </c>
      <c r="AV1599" t="s">
        <v>98</v>
      </c>
      <c r="AX1599" t="s">
        <v>5036</v>
      </c>
      <c r="AZ1599" t="s">
        <v>124</v>
      </c>
      <c r="BB1599" t="s">
        <v>235</v>
      </c>
      <c r="BC1599" t="s">
        <v>5037</v>
      </c>
      <c r="BD1599" t="s">
        <v>7528</v>
      </c>
      <c r="BF1599" t="s">
        <v>5047</v>
      </c>
      <c r="BG1599" t="s">
        <v>98</v>
      </c>
      <c r="BH1599" t="s">
        <v>98</v>
      </c>
      <c r="BI1599" t="s">
        <v>98</v>
      </c>
      <c r="BK1599" t="s">
        <v>127</v>
      </c>
      <c r="BL1599" t="s">
        <v>7528</v>
      </c>
      <c r="BQ1599">
        <v>5</v>
      </c>
      <c r="BR1599">
        <v>0.88</v>
      </c>
      <c r="BS1599">
        <v>5</v>
      </c>
      <c r="BT1599">
        <v>5</v>
      </c>
      <c r="CA1599">
        <v>9324</v>
      </c>
      <c r="CB1599" t="s">
        <v>5036</v>
      </c>
      <c r="CL1599" t="s">
        <v>99</v>
      </c>
      <c r="CM1599" t="s">
        <v>98</v>
      </c>
      <c r="CN1599" t="s">
        <v>5026</v>
      </c>
      <c r="CO1599" s="1">
        <v>42342</v>
      </c>
      <c r="CP1599" s="1">
        <v>43633</v>
      </c>
    </row>
    <row r="1600" spans="1:94" x14ac:dyDescent="0.25">
      <c r="A1600" t="s">
        <v>5048</v>
      </c>
      <c r="B1600" t="str">
        <f xml:space="preserve"> "" &amp; 747396097855</f>
        <v>747396097855</v>
      </c>
      <c r="C1600" t="s">
        <v>3468</v>
      </c>
      <c r="D1600" t="s">
        <v>5049</v>
      </c>
      <c r="E1600" t="s">
        <v>5035</v>
      </c>
      <c r="F1600" t="s">
        <v>2823</v>
      </c>
      <c r="G1600">
        <v>1</v>
      </c>
      <c r="H1600">
        <v>1</v>
      </c>
      <c r="I1600" t="s">
        <v>97</v>
      </c>
      <c r="J1600" s="10">
        <v>415</v>
      </c>
      <c r="K1600" s="10">
        <v>1245</v>
      </c>
      <c r="L1600" s="10">
        <v>0</v>
      </c>
      <c r="N1600" s="10">
        <v>0</v>
      </c>
      <c r="O1600" t="s">
        <v>99</v>
      </c>
      <c r="P1600" s="10">
        <v>874.95</v>
      </c>
      <c r="S1600">
        <v>32.5</v>
      </c>
      <c r="T1600">
        <v>11</v>
      </c>
      <c r="U1600">
        <v>11</v>
      </c>
      <c r="W1600">
        <v>13.78</v>
      </c>
      <c r="Y1600">
        <v>30.5</v>
      </c>
      <c r="Z1600">
        <v>14.5</v>
      </c>
      <c r="AA1600">
        <v>14.5</v>
      </c>
      <c r="AB1600">
        <v>3.7109999999999999</v>
      </c>
      <c r="AC1600">
        <v>17.2</v>
      </c>
      <c r="AE1600">
        <v>4</v>
      </c>
      <c r="AF1600" t="s">
        <v>519</v>
      </c>
      <c r="AG1600">
        <v>40</v>
      </c>
      <c r="AK1600" t="s">
        <v>98</v>
      </c>
      <c r="AM1600" t="s">
        <v>98</v>
      </c>
      <c r="AN1600" t="s">
        <v>99</v>
      </c>
      <c r="AO1600" t="s">
        <v>98</v>
      </c>
      <c r="AP1600" t="s">
        <v>100</v>
      </c>
      <c r="AQ1600" t="s">
        <v>101</v>
      </c>
      <c r="AV1600" t="s">
        <v>98</v>
      </c>
      <c r="AX1600" t="s">
        <v>5036</v>
      </c>
      <c r="AZ1600" t="s">
        <v>124</v>
      </c>
      <c r="BB1600" t="s">
        <v>235</v>
      </c>
      <c r="BC1600" t="s">
        <v>5037</v>
      </c>
      <c r="BD1600" t="s">
        <v>7528</v>
      </c>
      <c r="BF1600" t="s">
        <v>5050</v>
      </c>
      <c r="BG1600" t="s">
        <v>98</v>
      </c>
      <c r="BH1600" t="s">
        <v>98</v>
      </c>
      <c r="BI1600" t="s">
        <v>98</v>
      </c>
      <c r="BJ1600" t="s">
        <v>99</v>
      </c>
      <c r="BK1600" t="s">
        <v>453</v>
      </c>
      <c r="BL1600" t="s">
        <v>7528</v>
      </c>
      <c r="CA1600">
        <v>9326</v>
      </c>
      <c r="CB1600" t="s">
        <v>5036</v>
      </c>
      <c r="CL1600" t="s">
        <v>99</v>
      </c>
      <c r="CM1600" t="s">
        <v>98</v>
      </c>
      <c r="CN1600" t="s">
        <v>3236</v>
      </c>
      <c r="CO1600" s="1">
        <v>42325</v>
      </c>
      <c r="CP1600" s="1">
        <v>43633</v>
      </c>
    </row>
    <row r="1601" spans="1:94" x14ac:dyDescent="0.25">
      <c r="A1601" t="s">
        <v>5051</v>
      </c>
      <c r="B1601" t="str">
        <f xml:space="preserve"> "" &amp; 747396057828</f>
        <v>747396057828</v>
      </c>
      <c r="C1601" t="s">
        <v>243</v>
      </c>
      <c r="D1601" t="s">
        <v>6984</v>
      </c>
      <c r="E1601" t="s">
        <v>635</v>
      </c>
      <c r="F1601" t="s">
        <v>240</v>
      </c>
      <c r="G1601">
        <v>1</v>
      </c>
      <c r="H1601">
        <v>1</v>
      </c>
      <c r="I1601" t="s">
        <v>97</v>
      </c>
      <c r="J1601" s="10">
        <v>175.95</v>
      </c>
      <c r="K1601" s="10">
        <v>527.85</v>
      </c>
      <c r="L1601" s="10">
        <v>0</v>
      </c>
      <c r="N1601" s="10">
        <v>0</v>
      </c>
      <c r="O1601" t="s">
        <v>99</v>
      </c>
      <c r="P1601" s="10">
        <v>351.9</v>
      </c>
      <c r="S1601">
        <v>27.75</v>
      </c>
      <c r="T1601">
        <v>22</v>
      </c>
      <c r="U1601">
        <v>22</v>
      </c>
      <c r="W1601">
        <v>21.01</v>
      </c>
      <c r="X1601">
        <v>1</v>
      </c>
      <c r="Y1601">
        <v>22.75</v>
      </c>
      <c r="Z1601">
        <v>24</v>
      </c>
      <c r="AA1601">
        <v>22.5</v>
      </c>
      <c r="AB1601">
        <v>7.109</v>
      </c>
      <c r="AC1601">
        <v>29.54</v>
      </c>
      <c r="AE1601">
        <v>3</v>
      </c>
      <c r="AF1601" t="s">
        <v>340</v>
      </c>
      <c r="AG1601">
        <v>100</v>
      </c>
      <c r="AH1601">
        <v>0</v>
      </c>
      <c r="AK1601" t="s">
        <v>98</v>
      </c>
      <c r="AM1601" t="s">
        <v>98</v>
      </c>
      <c r="AN1601" t="s">
        <v>99</v>
      </c>
      <c r="AO1601" t="s">
        <v>98</v>
      </c>
      <c r="AP1601" t="s">
        <v>100</v>
      </c>
      <c r="AQ1601" t="s">
        <v>101</v>
      </c>
      <c r="AV1601" t="s">
        <v>98</v>
      </c>
      <c r="AX1601" t="s">
        <v>636</v>
      </c>
      <c r="AZ1601" t="s">
        <v>124</v>
      </c>
      <c r="BB1601" t="s">
        <v>235</v>
      </c>
      <c r="BC1601" t="s">
        <v>5052</v>
      </c>
      <c r="BD1601" t="s">
        <v>7528</v>
      </c>
      <c r="BF1601" t="s">
        <v>5053</v>
      </c>
      <c r="BG1601" t="s">
        <v>98</v>
      </c>
      <c r="BH1601" t="s">
        <v>98</v>
      </c>
      <c r="BI1601" t="s">
        <v>98</v>
      </c>
      <c r="BK1601" t="s">
        <v>110</v>
      </c>
      <c r="BL1601" t="s">
        <v>128</v>
      </c>
      <c r="BR1601">
        <v>1.63</v>
      </c>
      <c r="BT1601">
        <v>5.25</v>
      </c>
      <c r="CA1601">
        <v>937</v>
      </c>
      <c r="CB1601" t="s">
        <v>636</v>
      </c>
      <c r="CL1601" t="s">
        <v>99</v>
      </c>
      <c r="CM1601" t="s">
        <v>99</v>
      </c>
      <c r="CN1601" t="s">
        <v>337</v>
      </c>
      <c r="CO1601" s="1">
        <v>38889</v>
      </c>
      <c r="CP1601" s="1">
        <v>43633</v>
      </c>
    </row>
    <row r="1602" spans="1:94" x14ac:dyDescent="0.25">
      <c r="A1602" t="s">
        <v>5054</v>
      </c>
      <c r="B1602" t="str">
        <f xml:space="preserve"> "" &amp; 747396014753</f>
        <v>747396014753</v>
      </c>
      <c r="C1602" t="s">
        <v>376</v>
      </c>
      <c r="D1602" t="s">
        <v>6985</v>
      </c>
      <c r="E1602" t="s">
        <v>635</v>
      </c>
      <c r="F1602" t="s">
        <v>377</v>
      </c>
      <c r="G1602">
        <v>1</v>
      </c>
      <c r="H1602">
        <v>1</v>
      </c>
      <c r="I1602" t="s">
        <v>97</v>
      </c>
      <c r="J1602" s="10">
        <v>104.5</v>
      </c>
      <c r="K1602" s="10">
        <v>313.5</v>
      </c>
      <c r="L1602" s="10">
        <v>0</v>
      </c>
      <c r="N1602" s="10">
        <v>0</v>
      </c>
      <c r="O1602" t="s">
        <v>99</v>
      </c>
      <c r="P1602" s="10">
        <v>209</v>
      </c>
      <c r="S1602">
        <v>14.5</v>
      </c>
      <c r="T1602">
        <v>18</v>
      </c>
      <c r="U1602">
        <v>18</v>
      </c>
      <c r="W1602">
        <v>11.75</v>
      </c>
      <c r="X1602">
        <v>1</v>
      </c>
      <c r="Y1602">
        <v>16</v>
      </c>
      <c r="Z1602">
        <v>20</v>
      </c>
      <c r="AA1602">
        <v>19.5</v>
      </c>
      <c r="AB1602">
        <v>3.6110000000000002</v>
      </c>
      <c r="AC1602">
        <v>15.39</v>
      </c>
      <c r="AE1602">
        <v>3</v>
      </c>
      <c r="AF1602" t="s">
        <v>340</v>
      </c>
      <c r="AG1602">
        <v>60</v>
      </c>
      <c r="AH1602">
        <v>0</v>
      </c>
      <c r="AK1602" t="s">
        <v>98</v>
      </c>
      <c r="AM1602" t="s">
        <v>98</v>
      </c>
      <c r="AN1602" t="s">
        <v>99</v>
      </c>
      <c r="AO1602" t="s">
        <v>98</v>
      </c>
      <c r="AP1602" t="s">
        <v>100</v>
      </c>
      <c r="AQ1602" t="s">
        <v>101</v>
      </c>
      <c r="AV1602" t="s">
        <v>98</v>
      </c>
      <c r="AX1602" t="s">
        <v>636</v>
      </c>
      <c r="AZ1602" t="s">
        <v>124</v>
      </c>
      <c r="BB1602" t="s">
        <v>235</v>
      </c>
      <c r="BC1602" t="s">
        <v>5052</v>
      </c>
      <c r="BD1602" t="s">
        <v>7528</v>
      </c>
      <c r="BF1602" t="s">
        <v>5055</v>
      </c>
      <c r="BG1602" t="s">
        <v>98</v>
      </c>
      <c r="BH1602" t="s">
        <v>98</v>
      </c>
      <c r="BI1602" t="s">
        <v>98</v>
      </c>
      <c r="BK1602" t="s">
        <v>127</v>
      </c>
      <c r="BL1602" t="s">
        <v>128</v>
      </c>
      <c r="BT1602">
        <v>5.25</v>
      </c>
      <c r="CA1602">
        <v>949</v>
      </c>
      <c r="CB1602" t="s">
        <v>636</v>
      </c>
      <c r="CL1602" t="s">
        <v>99</v>
      </c>
      <c r="CM1602" t="s">
        <v>98</v>
      </c>
      <c r="CN1602" t="s">
        <v>337</v>
      </c>
      <c r="CO1602" s="1">
        <v>37588</v>
      </c>
      <c r="CP1602" s="1">
        <v>43633</v>
      </c>
    </row>
    <row r="1603" spans="1:94" x14ac:dyDescent="0.25">
      <c r="A1603" t="s">
        <v>5056</v>
      </c>
      <c r="B1603" t="str">
        <f xml:space="preserve"> "" &amp; 747396014722</f>
        <v>747396014722</v>
      </c>
      <c r="C1603" t="s">
        <v>1346</v>
      </c>
      <c r="D1603" t="s">
        <v>6986</v>
      </c>
      <c r="E1603" t="s">
        <v>635</v>
      </c>
      <c r="F1603" t="s">
        <v>478</v>
      </c>
      <c r="G1603">
        <v>1</v>
      </c>
      <c r="H1603">
        <v>1</v>
      </c>
      <c r="I1603" t="s">
        <v>97</v>
      </c>
      <c r="J1603" s="10">
        <v>64.95</v>
      </c>
      <c r="K1603" s="10">
        <v>194.85</v>
      </c>
      <c r="L1603" s="10">
        <v>0</v>
      </c>
      <c r="N1603" s="10">
        <v>0</v>
      </c>
      <c r="O1603" t="s">
        <v>99</v>
      </c>
      <c r="P1603" s="10">
        <v>129.9</v>
      </c>
      <c r="S1603">
        <v>7.5</v>
      </c>
      <c r="T1603">
        <v>15.25</v>
      </c>
      <c r="U1603">
        <v>15.25</v>
      </c>
      <c r="W1603">
        <v>8.82</v>
      </c>
      <c r="X1603">
        <v>1</v>
      </c>
      <c r="Y1603">
        <v>8.75</v>
      </c>
      <c r="Z1603">
        <v>17.5</v>
      </c>
      <c r="AA1603">
        <v>17.5</v>
      </c>
      <c r="AB1603">
        <v>1.5509999999999999</v>
      </c>
      <c r="AC1603">
        <v>11.16</v>
      </c>
      <c r="AE1603">
        <v>3</v>
      </c>
      <c r="AF1603" t="s">
        <v>340</v>
      </c>
      <c r="AG1603">
        <v>60</v>
      </c>
      <c r="AH1603">
        <v>0</v>
      </c>
      <c r="AK1603" t="s">
        <v>98</v>
      </c>
      <c r="AM1603" t="s">
        <v>98</v>
      </c>
      <c r="AN1603" t="s">
        <v>99</v>
      </c>
      <c r="AO1603" t="s">
        <v>98</v>
      </c>
      <c r="AP1603" t="s">
        <v>100</v>
      </c>
      <c r="AQ1603" t="s">
        <v>101</v>
      </c>
      <c r="AV1603" t="s">
        <v>98</v>
      </c>
      <c r="AX1603" t="s">
        <v>636</v>
      </c>
      <c r="AZ1603" t="s">
        <v>124</v>
      </c>
      <c r="BB1603" t="s">
        <v>235</v>
      </c>
      <c r="BC1603" t="s">
        <v>5052</v>
      </c>
      <c r="BD1603" t="s">
        <v>7528</v>
      </c>
      <c r="BF1603" t="s">
        <v>5057</v>
      </c>
      <c r="BG1603" t="s">
        <v>98</v>
      </c>
      <c r="BH1603" t="s">
        <v>98</v>
      </c>
      <c r="BI1603" t="s">
        <v>98</v>
      </c>
      <c r="BK1603" t="s">
        <v>127</v>
      </c>
      <c r="BL1603" t="s">
        <v>128</v>
      </c>
      <c r="CA1603">
        <v>959</v>
      </c>
      <c r="CB1603" t="s">
        <v>636</v>
      </c>
      <c r="CL1603" t="s">
        <v>99</v>
      </c>
      <c r="CM1603" t="s">
        <v>98</v>
      </c>
      <c r="CN1603" t="s">
        <v>337</v>
      </c>
      <c r="CO1603" s="1">
        <v>37588</v>
      </c>
      <c r="CP1603" s="1">
        <v>43633</v>
      </c>
    </row>
    <row r="1604" spans="1:94" x14ac:dyDescent="0.25">
      <c r="A1604" t="s">
        <v>5058</v>
      </c>
      <c r="B1604" t="str">
        <f xml:space="preserve"> "" &amp; 747396014975</f>
        <v>747396014975</v>
      </c>
      <c r="C1604" t="s">
        <v>3382</v>
      </c>
      <c r="D1604" t="s">
        <v>6987</v>
      </c>
      <c r="E1604" t="s">
        <v>635</v>
      </c>
      <c r="F1604" t="s">
        <v>478</v>
      </c>
      <c r="G1604">
        <v>1</v>
      </c>
      <c r="H1604">
        <v>1</v>
      </c>
      <c r="I1604" t="s">
        <v>97</v>
      </c>
      <c r="J1604" s="10">
        <v>38.450000000000003</v>
      </c>
      <c r="K1604" s="10">
        <v>115.35</v>
      </c>
      <c r="L1604" s="10">
        <v>0</v>
      </c>
      <c r="N1604" s="10">
        <v>0</v>
      </c>
      <c r="O1604" t="s">
        <v>99</v>
      </c>
      <c r="P1604" s="10">
        <v>76.900000000000006</v>
      </c>
      <c r="S1604">
        <v>6.25</v>
      </c>
      <c r="T1604">
        <v>11.5</v>
      </c>
      <c r="U1604">
        <v>11.5</v>
      </c>
      <c r="W1604">
        <v>5.03</v>
      </c>
      <c r="X1604">
        <v>1</v>
      </c>
      <c r="Y1604">
        <v>8</v>
      </c>
      <c r="Z1604">
        <v>14</v>
      </c>
      <c r="AA1604">
        <v>14</v>
      </c>
      <c r="AB1604">
        <v>0.90700000000000003</v>
      </c>
      <c r="AC1604">
        <v>6.61</v>
      </c>
      <c r="AE1604">
        <v>1</v>
      </c>
      <c r="AF1604" t="s">
        <v>598</v>
      </c>
      <c r="AG1604">
        <v>60</v>
      </c>
      <c r="AH1604">
        <v>0</v>
      </c>
      <c r="AK1604" t="s">
        <v>98</v>
      </c>
      <c r="AM1604" t="s">
        <v>98</v>
      </c>
      <c r="AN1604" t="s">
        <v>99</v>
      </c>
      <c r="AO1604" t="s">
        <v>98</v>
      </c>
      <c r="AP1604" t="s">
        <v>100</v>
      </c>
      <c r="AQ1604" t="s">
        <v>101</v>
      </c>
      <c r="AV1604" t="s">
        <v>98</v>
      </c>
      <c r="AX1604" t="s">
        <v>636</v>
      </c>
      <c r="AZ1604" t="s">
        <v>124</v>
      </c>
      <c r="BB1604" t="s">
        <v>235</v>
      </c>
      <c r="BC1604" t="s">
        <v>5052</v>
      </c>
      <c r="BD1604" t="s">
        <v>7528</v>
      </c>
      <c r="BF1604" t="s">
        <v>5059</v>
      </c>
      <c r="BG1604" t="s">
        <v>98</v>
      </c>
      <c r="BH1604" t="s">
        <v>98</v>
      </c>
      <c r="BI1604" t="s">
        <v>98</v>
      </c>
      <c r="BK1604" t="s">
        <v>127</v>
      </c>
      <c r="BL1604" t="s">
        <v>128</v>
      </c>
      <c r="CA1604">
        <v>960</v>
      </c>
      <c r="CB1604" t="s">
        <v>636</v>
      </c>
      <c r="CL1604" t="s">
        <v>99</v>
      </c>
      <c r="CM1604" t="s">
        <v>98</v>
      </c>
      <c r="CN1604" t="s">
        <v>337</v>
      </c>
      <c r="CO1604" s="1">
        <v>37588</v>
      </c>
      <c r="CP1604" s="1">
        <v>43633</v>
      </c>
    </row>
    <row r="1605" spans="1:94" x14ac:dyDescent="0.25">
      <c r="A1605" t="s">
        <v>5060</v>
      </c>
      <c r="B1605" t="str">
        <f xml:space="preserve"> "" &amp; 747396014371</f>
        <v>747396014371</v>
      </c>
      <c r="C1605" t="s">
        <v>835</v>
      </c>
      <c r="D1605" t="s">
        <v>6988</v>
      </c>
      <c r="E1605" t="s">
        <v>3350</v>
      </c>
      <c r="F1605" t="s">
        <v>232</v>
      </c>
      <c r="G1605">
        <v>1</v>
      </c>
      <c r="H1605">
        <v>1</v>
      </c>
      <c r="I1605" t="s">
        <v>97</v>
      </c>
      <c r="J1605" s="10">
        <v>35</v>
      </c>
      <c r="K1605" s="10">
        <v>105</v>
      </c>
      <c r="L1605" s="10">
        <v>0</v>
      </c>
      <c r="N1605" s="10">
        <v>0</v>
      </c>
      <c r="O1605" t="s">
        <v>99</v>
      </c>
      <c r="P1605" s="10">
        <v>69.95</v>
      </c>
      <c r="S1605">
        <v>4.75</v>
      </c>
      <c r="U1605">
        <v>8.25</v>
      </c>
      <c r="V1605">
        <v>5</v>
      </c>
      <c r="W1605">
        <v>1.65</v>
      </c>
      <c r="X1605">
        <v>1</v>
      </c>
      <c r="Y1605">
        <v>7.5</v>
      </c>
      <c r="Z1605">
        <v>10</v>
      </c>
      <c r="AA1605">
        <v>7</v>
      </c>
      <c r="AB1605">
        <v>0.30399999999999999</v>
      </c>
      <c r="AC1605">
        <v>2.31</v>
      </c>
      <c r="AE1605">
        <v>1</v>
      </c>
      <c r="AF1605" t="s">
        <v>772</v>
      </c>
      <c r="AG1605">
        <v>60</v>
      </c>
      <c r="AH1605">
        <v>0</v>
      </c>
      <c r="AK1605" t="s">
        <v>98</v>
      </c>
      <c r="AM1605" t="s">
        <v>98</v>
      </c>
      <c r="AN1605" t="s">
        <v>99</v>
      </c>
      <c r="AO1605" t="s">
        <v>98</v>
      </c>
      <c r="AP1605" t="s">
        <v>100</v>
      </c>
      <c r="AQ1605" t="s">
        <v>101</v>
      </c>
      <c r="AV1605" t="s">
        <v>98</v>
      </c>
      <c r="AX1605" t="s">
        <v>640</v>
      </c>
      <c r="AZ1605" t="s">
        <v>124</v>
      </c>
      <c r="BB1605" t="s">
        <v>235</v>
      </c>
      <c r="BC1605" t="s">
        <v>641</v>
      </c>
      <c r="BD1605" t="s">
        <v>7528</v>
      </c>
      <c r="BF1605" t="s">
        <v>5061</v>
      </c>
      <c r="BG1605" t="s">
        <v>98</v>
      </c>
      <c r="BH1605" t="s">
        <v>98</v>
      </c>
      <c r="BI1605" t="s">
        <v>98</v>
      </c>
      <c r="BK1605" t="s">
        <v>127</v>
      </c>
      <c r="BL1605" t="s">
        <v>236</v>
      </c>
      <c r="BR1605">
        <v>4.63</v>
      </c>
      <c r="BT1605">
        <v>8.5</v>
      </c>
      <c r="CA1605">
        <v>971</v>
      </c>
      <c r="CB1605" t="s">
        <v>640</v>
      </c>
      <c r="CL1605" t="s">
        <v>99</v>
      </c>
      <c r="CM1605" t="s">
        <v>98</v>
      </c>
      <c r="CN1605" t="s">
        <v>442</v>
      </c>
      <c r="CO1605" s="1">
        <v>40503</v>
      </c>
      <c r="CP1605" s="1">
        <v>43633</v>
      </c>
    </row>
    <row r="1606" spans="1:94" x14ac:dyDescent="0.25">
      <c r="A1606" t="s">
        <v>5062</v>
      </c>
      <c r="B1606" t="str">
        <f xml:space="preserve"> "" &amp; 747396055695</f>
        <v>747396055695</v>
      </c>
      <c r="C1606" t="s">
        <v>476</v>
      </c>
      <c r="D1606" t="s">
        <v>6989</v>
      </c>
      <c r="E1606" t="s">
        <v>3350</v>
      </c>
      <c r="F1606" t="s">
        <v>478</v>
      </c>
      <c r="G1606">
        <v>1</v>
      </c>
      <c r="H1606">
        <v>1</v>
      </c>
      <c r="I1606" t="s">
        <v>97</v>
      </c>
      <c r="J1606" s="10">
        <v>35</v>
      </c>
      <c r="K1606" s="10">
        <v>105</v>
      </c>
      <c r="L1606" s="10">
        <v>0</v>
      </c>
      <c r="N1606" s="10">
        <v>0</v>
      </c>
      <c r="S1606">
        <v>7.5</v>
      </c>
      <c r="T1606">
        <v>12</v>
      </c>
      <c r="U1606">
        <v>12</v>
      </c>
      <c r="W1606">
        <v>4.67</v>
      </c>
      <c r="X1606">
        <v>1</v>
      </c>
      <c r="Y1606">
        <v>9.3800000000000008</v>
      </c>
      <c r="Z1606">
        <v>14.63</v>
      </c>
      <c r="AA1606">
        <v>14.38</v>
      </c>
      <c r="AB1606">
        <v>1.1419999999999999</v>
      </c>
      <c r="AC1606">
        <v>7.1</v>
      </c>
      <c r="AE1606">
        <v>2</v>
      </c>
      <c r="AF1606" t="s">
        <v>282</v>
      </c>
      <c r="AG1606">
        <v>60</v>
      </c>
      <c r="AH1606">
        <v>0</v>
      </c>
      <c r="AK1606" t="s">
        <v>98</v>
      </c>
      <c r="AM1606" t="s">
        <v>98</v>
      </c>
      <c r="AN1606" t="s">
        <v>99</v>
      </c>
      <c r="AO1606" t="s">
        <v>98</v>
      </c>
      <c r="AP1606" t="s">
        <v>100</v>
      </c>
      <c r="AQ1606" t="s">
        <v>101</v>
      </c>
      <c r="AV1606" t="s">
        <v>98</v>
      </c>
      <c r="AX1606" t="s">
        <v>640</v>
      </c>
      <c r="AZ1606" t="s">
        <v>124</v>
      </c>
      <c r="BB1606" t="s">
        <v>235</v>
      </c>
      <c r="BC1606" t="s">
        <v>641</v>
      </c>
      <c r="BD1606" t="s">
        <v>7528</v>
      </c>
      <c r="BF1606" t="s">
        <v>5063</v>
      </c>
      <c r="BG1606" t="s">
        <v>98</v>
      </c>
      <c r="BH1606" t="s">
        <v>98</v>
      </c>
      <c r="BI1606" t="s">
        <v>98</v>
      </c>
      <c r="BK1606" t="s">
        <v>127</v>
      </c>
      <c r="BL1606" t="s">
        <v>128</v>
      </c>
      <c r="CA1606" t="s">
        <v>5064</v>
      </c>
      <c r="CB1606" t="s">
        <v>640</v>
      </c>
      <c r="CL1606" t="s">
        <v>99</v>
      </c>
      <c r="CM1606" t="s">
        <v>98</v>
      </c>
      <c r="CN1606" t="s">
        <v>442</v>
      </c>
      <c r="CO1606" s="1">
        <v>40504</v>
      </c>
      <c r="CP1606" s="1">
        <v>43633</v>
      </c>
    </row>
    <row r="1607" spans="1:94" x14ac:dyDescent="0.25">
      <c r="A1607" t="s">
        <v>5065</v>
      </c>
      <c r="B1607" t="str">
        <f xml:space="preserve"> "" &amp; 747396055664</f>
        <v>747396055664</v>
      </c>
      <c r="C1607" t="s">
        <v>239</v>
      </c>
      <c r="D1607" t="s">
        <v>6990</v>
      </c>
      <c r="E1607" t="s">
        <v>3350</v>
      </c>
      <c r="F1607" t="s">
        <v>240</v>
      </c>
      <c r="G1607">
        <v>1</v>
      </c>
      <c r="H1607">
        <v>1</v>
      </c>
      <c r="I1607" t="s">
        <v>97</v>
      </c>
      <c r="J1607" s="10">
        <v>46.95</v>
      </c>
      <c r="K1607" s="10">
        <v>140.85</v>
      </c>
      <c r="L1607" s="10">
        <v>0</v>
      </c>
      <c r="N1607" s="10">
        <v>0</v>
      </c>
      <c r="O1607" t="s">
        <v>99</v>
      </c>
      <c r="P1607" s="10">
        <v>93.9</v>
      </c>
      <c r="S1607">
        <v>10.75</v>
      </c>
      <c r="T1607">
        <v>6.75</v>
      </c>
      <c r="U1607">
        <v>6.75</v>
      </c>
      <c r="W1607">
        <v>4.5599999999999996</v>
      </c>
      <c r="X1607">
        <v>1</v>
      </c>
      <c r="Y1607">
        <v>7.5</v>
      </c>
      <c r="Z1607">
        <v>14.5</v>
      </c>
      <c r="AA1607">
        <v>7</v>
      </c>
      <c r="AB1607">
        <v>0.441</v>
      </c>
      <c r="AC1607">
        <v>5.73</v>
      </c>
      <c r="AE1607">
        <v>1</v>
      </c>
      <c r="AF1607" t="s">
        <v>282</v>
      </c>
      <c r="AG1607">
        <v>100</v>
      </c>
      <c r="AH1607">
        <v>0</v>
      </c>
      <c r="AK1607" t="s">
        <v>98</v>
      </c>
      <c r="AM1607" t="s">
        <v>98</v>
      </c>
      <c r="AN1607" t="s">
        <v>99</v>
      </c>
      <c r="AO1607" t="s">
        <v>98</v>
      </c>
      <c r="AP1607" t="s">
        <v>100</v>
      </c>
      <c r="AQ1607" t="s">
        <v>101</v>
      </c>
      <c r="AV1607" t="s">
        <v>98</v>
      </c>
      <c r="AX1607" t="s">
        <v>640</v>
      </c>
      <c r="AZ1607" t="s">
        <v>124</v>
      </c>
      <c r="BB1607" t="s">
        <v>235</v>
      </c>
      <c r="BC1607" t="s">
        <v>641</v>
      </c>
      <c r="BD1607" t="s">
        <v>7528</v>
      </c>
      <c r="BF1607" t="s">
        <v>5066</v>
      </c>
      <c r="BG1607" t="s">
        <v>98</v>
      </c>
      <c r="BH1607" t="s">
        <v>98</v>
      </c>
      <c r="BI1607" t="s">
        <v>98</v>
      </c>
      <c r="BK1607" t="s">
        <v>110</v>
      </c>
      <c r="BL1607" t="s">
        <v>128</v>
      </c>
      <c r="BR1607">
        <v>0.75</v>
      </c>
      <c r="BT1607">
        <v>5.63</v>
      </c>
      <c r="CA1607" t="s">
        <v>5067</v>
      </c>
      <c r="CB1607" t="s">
        <v>640</v>
      </c>
      <c r="CL1607" t="s">
        <v>99</v>
      </c>
      <c r="CM1607" t="s">
        <v>98</v>
      </c>
      <c r="CN1607" t="s">
        <v>442</v>
      </c>
      <c r="CO1607" s="1">
        <v>40520</v>
      </c>
      <c r="CP1607" s="1">
        <v>43633</v>
      </c>
    </row>
    <row r="1608" spans="1:94" x14ac:dyDescent="0.25">
      <c r="A1608" t="s">
        <v>5068</v>
      </c>
      <c r="B1608" t="str">
        <f xml:space="preserve"> "" &amp; 747396041391</f>
        <v>747396041391</v>
      </c>
      <c r="C1608" t="s">
        <v>3349</v>
      </c>
      <c r="D1608" t="s">
        <v>6991</v>
      </c>
      <c r="E1608" t="s">
        <v>5069</v>
      </c>
      <c r="F1608" t="s">
        <v>2823</v>
      </c>
      <c r="G1608">
        <v>1</v>
      </c>
      <c r="H1608">
        <v>1</v>
      </c>
      <c r="I1608" t="s">
        <v>97</v>
      </c>
      <c r="J1608" s="10">
        <v>69</v>
      </c>
      <c r="K1608" s="10">
        <v>207</v>
      </c>
      <c r="L1608" s="10">
        <v>0</v>
      </c>
      <c r="N1608" s="10">
        <v>0</v>
      </c>
      <c r="O1608" t="s">
        <v>99</v>
      </c>
      <c r="P1608" s="10">
        <v>139.94999999999999</v>
      </c>
      <c r="S1608">
        <v>9.5</v>
      </c>
      <c r="U1608">
        <v>7</v>
      </c>
      <c r="V1608">
        <v>4</v>
      </c>
      <c r="W1608">
        <v>2.98</v>
      </c>
      <c r="X1608">
        <v>1</v>
      </c>
      <c r="Y1608">
        <v>7.75</v>
      </c>
      <c r="Z1608">
        <v>11.5</v>
      </c>
      <c r="AA1608">
        <v>8.6300000000000008</v>
      </c>
      <c r="AB1608">
        <v>0.44500000000000001</v>
      </c>
      <c r="AC1608">
        <v>3.97</v>
      </c>
      <c r="AE1608">
        <v>1</v>
      </c>
      <c r="AF1608" t="s">
        <v>233</v>
      </c>
      <c r="AG1608">
        <v>60</v>
      </c>
      <c r="AK1608" t="s">
        <v>98</v>
      </c>
      <c r="AM1608" t="s">
        <v>98</v>
      </c>
      <c r="AN1608" t="s">
        <v>99</v>
      </c>
      <c r="AO1608" t="s">
        <v>98</v>
      </c>
      <c r="AP1608" t="s">
        <v>100</v>
      </c>
      <c r="AQ1608" t="s">
        <v>101</v>
      </c>
      <c r="AV1608" t="s">
        <v>98</v>
      </c>
      <c r="AX1608" t="s">
        <v>3264</v>
      </c>
      <c r="AZ1608" t="s">
        <v>392</v>
      </c>
      <c r="BB1608" t="s">
        <v>235</v>
      </c>
      <c r="BC1608" t="s">
        <v>1501</v>
      </c>
      <c r="BD1608" t="s">
        <v>7528</v>
      </c>
      <c r="BF1608" t="s">
        <v>5070</v>
      </c>
      <c r="BG1608" t="s">
        <v>98</v>
      </c>
      <c r="BH1608" t="s">
        <v>99</v>
      </c>
      <c r="BI1608" t="s">
        <v>98</v>
      </c>
      <c r="BJ1608" t="s">
        <v>99</v>
      </c>
      <c r="BK1608" t="s">
        <v>453</v>
      </c>
      <c r="BL1608" t="s">
        <v>645</v>
      </c>
      <c r="BR1608">
        <v>9.5</v>
      </c>
      <c r="BT1608">
        <v>7</v>
      </c>
      <c r="CA1608">
        <v>9801</v>
      </c>
      <c r="CB1608" t="s">
        <v>3264</v>
      </c>
      <c r="CG1608">
        <v>0</v>
      </c>
      <c r="CL1608" t="s">
        <v>99</v>
      </c>
      <c r="CM1608" t="s">
        <v>98</v>
      </c>
      <c r="CN1608" t="s">
        <v>3411</v>
      </c>
      <c r="CO1608" s="1">
        <v>37911</v>
      </c>
      <c r="CP1608" s="1">
        <v>43633</v>
      </c>
    </row>
    <row r="1609" spans="1:94" x14ac:dyDescent="0.25">
      <c r="A1609" t="s">
        <v>5071</v>
      </c>
      <c r="B1609" t="str">
        <f xml:space="preserve"> "" &amp; 747396090993</f>
        <v>747396090993</v>
      </c>
      <c r="C1609" t="s">
        <v>5072</v>
      </c>
      <c r="D1609" t="s">
        <v>6992</v>
      </c>
      <c r="E1609" t="s">
        <v>5069</v>
      </c>
      <c r="F1609" t="s">
        <v>3188</v>
      </c>
      <c r="G1609">
        <v>1</v>
      </c>
      <c r="H1609">
        <v>1</v>
      </c>
      <c r="I1609" t="s">
        <v>97</v>
      </c>
      <c r="J1609" s="10">
        <v>106</v>
      </c>
      <c r="K1609" s="10">
        <v>318</v>
      </c>
      <c r="L1609" s="10">
        <v>0</v>
      </c>
      <c r="N1609" s="10">
        <v>0</v>
      </c>
      <c r="O1609" t="s">
        <v>99</v>
      </c>
      <c r="P1609" s="10">
        <v>209.95</v>
      </c>
      <c r="S1609">
        <v>9.5</v>
      </c>
      <c r="U1609">
        <v>7</v>
      </c>
      <c r="V1609">
        <v>4</v>
      </c>
      <c r="W1609">
        <v>4.08</v>
      </c>
      <c r="Y1609">
        <v>9.5</v>
      </c>
      <c r="Z1609">
        <v>11</v>
      </c>
      <c r="AA1609">
        <v>8.75</v>
      </c>
      <c r="AB1609">
        <v>0.52900000000000003</v>
      </c>
      <c r="AC1609">
        <v>4.8499999999999996</v>
      </c>
      <c r="AE1609">
        <v>1</v>
      </c>
      <c r="AF1609" t="s">
        <v>5073</v>
      </c>
      <c r="AG1609">
        <v>14</v>
      </c>
      <c r="AK1609" t="s">
        <v>99</v>
      </c>
      <c r="AM1609" t="s">
        <v>98</v>
      </c>
      <c r="AN1609" t="s">
        <v>99</v>
      </c>
      <c r="AO1609" t="s">
        <v>98</v>
      </c>
      <c r="AP1609" t="s">
        <v>100</v>
      </c>
      <c r="AQ1609" t="s">
        <v>101</v>
      </c>
      <c r="AV1609" t="s">
        <v>98</v>
      </c>
      <c r="AX1609" t="s">
        <v>3264</v>
      </c>
      <c r="AZ1609" t="s">
        <v>392</v>
      </c>
      <c r="BB1609" t="s">
        <v>235</v>
      </c>
      <c r="BC1609" t="s">
        <v>1501</v>
      </c>
      <c r="BD1609" t="s">
        <v>7528</v>
      </c>
      <c r="BF1609" t="s">
        <v>5074</v>
      </c>
      <c r="BG1609" t="s">
        <v>98</v>
      </c>
      <c r="BH1609" t="s">
        <v>98</v>
      </c>
      <c r="BI1609" t="s">
        <v>98</v>
      </c>
      <c r="BJ1609" t="s">
        <v>99</v>
      </c>
      <c r="BK1609" t="s">
        <v>453</v>
      </c>
      <c r="BL1609" t="s">
        <v>7528</v>
      </c>
      <c r="BM1609">
        <v>7</v>
      </c>
      <c r="BN1609">
        <v>9.5</v>
      </c>
      <c r="CA1609">
        <v>9801</v>
      </c>
      <c r="CB1609" t="s">
        <v>3264</v>
      </c>
      <c r="CG1609">
        <v>2700</v>
      </c>
      <c r="CH1609">
        <v>81</v>
      </c>
      <c r="CI1609">
        <v>1200</v>
      </c>
      <c r="CJ1609">
        <v>332.89</v>
      </c>
      <c r="CK1609">
        <v>30000</v>
      </c>
      <c r="CL1609" t="s">
        <v>99</v>
      </c>
      <c r="CM1609" t="s">
        <v>98</v>
      </c>
      <c r="CN1609" t="s">
        <v>5090</v>
      </c>
      <c r="CO1609" s="1">
        <v>41682</v>
      </c>
      <c r="CP1609" s="1">
        <v>43633</v>
      </c>
    </row>
    <row r="1610" spans="1:94" x14ac:dyDescent="0.25">
      <c r="A1610" t="s">
        <v>5075</v>
      </c>
      <c r="B1610" t="str">
        <f xml:space="preserve"> "" &amp; 747396051406</f>
        <v>747396051406</v>
      </c>
      <c r="C1610" t="s">
        <v>3349</v>
      </c>
      <c r="D1610" t="s">
        <v>6991</v>
      </c>
      <c r="E1610" t="s">
        <v>5069</v>
      </c>
      <c r="F1610" t="s">
        <v>449</v>
      </c>
      <c r="G1610">
        <v>1</v>
      </c>
      <c r="H1610">
        <v>1</v>
      </c>
      <c r="I1610" t="s">
        <v>97</v>
      </c>
      <c r="J1610" s="10">
        <v>74</v>
      </c>
      <c r="K1610" s="10">
        <v>222</v>
      </c>
      <c r="L1610" s="10">
        <v>0</v>
      </c>
      <c r="N1610" s="10">
        <v>0</v>
      </c>
      <c r="O1610" t="s">
        <v>99</v>
      </c>
      <c r="P1610" s="10">
        <v>144.94999999999999</v>
      </c>
      <c r="S1610">
        <v>9.5</v>
      </c>
      <c r="U1610">
        <v>6.88</v>
      </c>
      <c r="V1610">
        <v>4</v>
      </c>
      <c r="W1610">
        <v>2.98</v>
      </c>
      <c r="X1610">
        <v>1</v>
      </c>
      <c r="Y1610">
        <v>7.75</v>
      </c>
      <c r="Z1610">
        <v>11.5</v>
      </c>
      <c r="AA1610">
        <v>8.6300000000000008</v>
      </c>
      <c r="AB1610">
        <v>0.44500000000000001</v>
      </c>
      <c r="AC1610">
        <v>3.97</v>
      </c>
      <c r="AE1610">
        <v>1</v>
      </c>
      <c r="AF1610" t="s">
        <v>2784</v>
      </c>
      <c r="AG1610">
        <v>13</v>
      </c>
      <c r="AH1610">
        <v>0</v>
      </c>
      <c r="AJ1610">
        <v>0</v>
      </c>
      <c r="AK1610" t="s">
        <v>99</v>
      </c>
      <c r="AM1610" t="s">
        <v>98</v>
      </c>
      <c r="AN1610" t="s">
        <v>99</v>
      </c>
      <c r="AO1610" t="s">
        <v>98</v>
      </c>
      <c r="AP1610" t="s">
        <v>100</v>
      </c>
      <c r="AQ1610" t="s">
        <v>101</v>
      </c>
      <c r="AV1610" t="s">
        <v>98</v>
      </c>
      <c r="AX1610" t="s">
        <v>3264</v>
      </c>
      <c r="AZ1610" t="s">
        <v>392</v>
      </c>
      <c r="BB1610" t="s">
        <v>235</v>
      </c>
      <c r="BC1610" t="s">
        <v>460</v>
      </c>
      <c r="BD1610" t="s">
        <v>7528</v>
      </c>
      <c r="BF1610" t="s">
        <v>5076</v>
      </c>
      <c r="BG1610" t="s">
        <v>98</v>
      </c>
      <c r="BH1610" t="s">
        <v>99</v>
      </c>
      <c r="BI1610" t="s">
        <v>98</v>
      </c>
      <c r="BJ1610" t="s">
        <v>99</v>
      </c>
      <c r="BK1610" t="s">
        <v>453</v>
      </c>
      <c r="BL1610" t="s">
        <v>645</v>
      </c>
      <c r="BR1610">
        <v>9.5</v>
      </c>
      <c r="BT1610">
        <v>7</v>
      </c>
      <c r="CA1610" t="s">
        <v>5077</v>
      </c>
      <c r="CB1610" t="s">
        <v>3264</v>
      </c>
      <c r="CG1610">
        <v>2700</v>
      </c>
      <c r="CL1610" t="s">
        <v>98</v>
      </c>
      <c r="CM1610" t="s">
        <v>98</v>
      </c>
      <c r="CN1610" t="s">
        <v>3411</v>
      </c>
      <c r="CO1610" s="1">
        <v>38582</v>
      </c>
      <c r="CP1610" s="1">
        <v>43633</v>
      </c>
    </row>
    <row r="1611" spans="1:94" x14ac:dyDescent="0.25">
      <c r="A1611" t="s">
        <v>5078</v>
      </c>
      <c r="B1611" t="str">
        <f xml:space="preserve"> "" &amp; 747396042824</f>
        <v>747396042824</v>
      </c>
      <c r="C1611" t="s">
        <v>3349</v>
      </c>
      <c r="D1611" t="s">
        <v>6991</v>
      </c>
      <c r="E1611" t="s">
        <v>5069</v>
      </c>
      <c r="F1611" t="s">
        <v>2823</v>
      </c>
      <c r="G1611">
        <v>1</v>
      </c>
      <c r="H1611">
        <v>1</v>
      </c>
      <c r="I1611" t="s">
        <v>97</v>
      </c>
      <c r="J1611" s="10">
        <v>69</v>
      </c>
      <c r="K1611" s="10">
        <v>207</v>
      </c>
      <c r="L1611" s="10">
        <v>0</v>
      </c>
      <c r="N1611" s="10">
        <v>0</v>
      </c>
      <c r="O1611" t="s">
        <v>99</v>
      </c>
      <c r="P1611" s="10">
        <v>139.94999999999999</v>
      </c>
      <c r="S1611">
        <v>9.5</v>
      </c>
      <c r="U1611">
        <v>7</v>
      </c>
      <c r="V1611">
        <v>4</v>
      </c>
      <c r="W1611">
        <v>2.98</v>
      </c>
      <c r="X1611">
        <v>1</v>
      </c>
      <c r="Y1611">
        <v>7.75</v>
      </c>
      <c r="Z1611">
        <v>11.5</v>
      </c>
      <c r="AA1611">
        <v>8.6300000000000008</v>
      </c>
      <c r="AB1611">
        <v>0.44500000000000001</v>
      </c>
      <c r="AC1611">
        <v>3.97</v>
      </c>
      <c r="AE1611">
        <v>1</v>
      </c>
      <c r="AF1611" t="s">
        <v>233</v>
      </c>
      <c r="AG1611">
        <v>60</v>
      </c>
      <c r="AH1611">
        <v>0</v>
      </c>
      <c r="AJ1611">
        <v>0</v>
      </c>
      <c r="AK1611" t="s">
        <v>98</v>
      </c>
      <c r="AM1611" t="s">
        <v>98</v>
      </c>
      <c r="AN1611" t="s">
        <v>99</v>
      </c>
      <c r="AO1611" t="s">
        <v>98</v>
      </c>
      <c r="AP1611" t="s">
        <v>100</v>
      </c>
      <c r="AQ1611" t="s">
        <v>101</v>
      </c>
      <c r="AV1611" t="s">
        <v>98</v>
      </c>
      <c r="AX1611" t="s">
        <v>1918</v>
      </c>
      <c r="AZ1611" t="s">
        <v>392</v>
      </c>
      <c r="BB1611" t="s">
        <v>235</v>
      </c>
      <c r="BC1611" t="s">
        <v>460</v>
      </c>
      <c r="BD1611" t="s">
        <v>7528</v>
      </c>
      <c r="BF1611" t="s">
        <v>5079</v>
      </c>
      <c r="BG1611" t="s">
        <v>98</v>
      </c>
      <c r="BH1611" t="s">
        <v>99</v>
      </c>
      <c r="BI1611" t="s">
        <v>98</v>
      </c>
      <c r="BJ1611" t="s">
        <v>99</v>
      </c>
      <c r="BK1611" t="s">
        <v>453</v>
      </c>
      <c r="BL1611" t="s">
        <v>645</v>
      </c>
      <c r="BM1611">
        <v>7</v>
      </c>
      <c r="BN1611">
        <v>9.5</v>
      </c>
      <c r="CA1611">
        <v>9801</v>
      </c>
      <c r="CB1611" t="s">
        <v>1918</v>
      </c>
      <c r="CL1611" t="s">
        <v>99</v>
      </c>
      <c r="CM1611" t="s">
        <v>98</v>
      </c>
      <c r="CN1611" t="s">
        <v>3411</v>
      </c>
      <c r="CO1611" s="1">
        <v>37911</v>
      </c>
      <c r="CP1611" s="1">
        <v>43633</v>
      </c>
    </row>
    <row r="1612" spans="1:94" x14ac:dyDescent="0.25">
      <c r="A1612" t="s">
        <v>5080</v>
      </c>
      <c r="B1612" t="str">
        <f xml:space="preserve"> "" &amp; 747396091006</f>
        <v>747396091006</v>
      </c>
      <c r="C1612" t="s">
        <v>5072</v>
      </c>
      <c r="D1612" t="s">
        <v>6993</v>
      </c>
      <c r="E1612" t="s">
        <v>5069</v>
      </c>
      <c r="F1612" t="s">
        <v>3188</v>
      </c>
      <c r="G1612">
        <v>1</v>
      </c>
      <c r="H1612">
        <v>1</v>
      </c>
      <c r="I1612" t="s">
        <v>97</v>
      </c>
      <c r="J1612" s="10">
        <v>106</v>
      </c>
      <c r="K1612" s="10">
        <v>318</v>
      </c>
      <c r="L1612" s="10">
        <v>0</v>
      </c>
      <c r="N1612" s="10">
        <v>0</v>
      </c>
      <c r="O1612" t="s">
        <v>99</v>
      </c>
      <c r="P1612" s="10">
        <v>209.95</v>
      </c>
      <c r="S1612">
        <v>9.5</v>
      </c>
      <c r="U1612">
        <v>6.75</v>
      </c>
      <c r="V1612">
        <v>4</v>
      </c>
      <c r="W1612">
        <v>4.08</v>
      </c>
      <c r="Y1612">
        <v>9.5</v>
      </c>
      <c r="Z1612">
        <v>11</v>
      </c>
      <c r="AA1612">
        <v>8.75</v>
      </c>
      <c r="AB1612">
        <v>0.52900000000000003</v>
      </c>
      <c r="AC1612">
        <v>4.8499999999999996</v>
      </c>
      <c r="AE1612">
        <v>1</v>
      </c>
      <c r="AF1612" t="s">
        <v>5073</v>
      </c>
      <c r="AG1612">
        <v>14</v>
      </c>
      <c r="AK1612" t="s">
        <v>99</v>
      </c>
      <c r="AM1612" t="s">
        <v>98</v>
      </c>
      <c r="AN1612" t="s">
        <v>99</v>
      </c>
      <c r="AO1612" t="s">
        <v>98</v>
      </c>
      <c r="AP1612" t="s">
        <v>100</v>
      </c>
      <c r="AQ1612" t="s">
        <v>101</v>
      </c>
      <c r="AV1612" t="s">
        <v>98</v>
      </c>
      <c r="AX1612" t="s">
        <v>1918</v>
      </c>
      <c r="AZ1612" t="s">
        <v>392</v>
      </c>
      <c r="BB1612" t="s">
        <v>235</v>
      </c>
      <c r="BC1612" t="s">
        <v>460</v>
      </c>
      <c r="BD1612" t="s">
        <v>7528</v>
      </c>
      <c r="BF1612" t="s">
        <v>5081</v>
      </c>
      <c r="BG1612" t="s">
        <v>98</v>
      </c>
      <c r="BH1612" t="s">
        <v>98</v>
      </c>
      <c r="BI1612" t="s">
        <v>98</v>
      </c>
      <c r="BJ1612" t="s">
        <v>99</v>
      </c>
      <c r="BK1612" t="s">
        <v>453</v>
      </c>
      <c r="BL1612" t="s">
        <v>7528</v>
      </c>
      <c r="BM1612">
        <v>7</v>
      </c>
      <c r="BN1612">
        <v>9.5</v>
      </c>
      <c r="CA1612">
        <v>9801</v>
      </c>
      <c r="CB1612" t="s">
        <v>1918</v>
      </c>
      <c r="CG1612">
        <v>2700</v>
      </c>
      <c r="CH1612">
        <v>81</v>
      </c>
      <c r="CI1612">
        <v>1200</v>
      </c>
      <c r="CJ1612">
        <v>332.89</v>
      </c>
      <c r="CK1612">
        <v>30000</v>
      </c>
      <c r="CL1612" t="s">
        <v>99</v>
      </c>
      <c r="CM1612" t="s">
        <v>98</v>
      </c>
      <c r="CN1612" t="s">
        <v>5082</v>
      </c>
      <c r="CO1612" s="1">
        <v>41598</v>
      </c>
      <c r="CP1612" s="1">
        <v>43633</v>
      </c>
    </row>
    <row r="1613" spans="1:94" x14ac:dyDescent="0.25">
      <c r="A1613" t="s">
        <v>5083</v>
      </c>
      <c r="B1613" t="str">
        <f xml:space="preserve"> "" &amp; 747396061696</f>
        <v>747396061696</v>
      </c>
      <c r="C1613" t="s">
        <v>3349</v>
      </c>
      <c r="D1613" t="s">
        <v>6991</v>
      </c>
      <c r="E1613" t="s">
        <v>5069</v>
      </c>
      <c r="F1613" t="s">
        <v>449</v>
      </c>
      <c r="G1613">
        <v>1</v>
      </c>
      <c r="H1613">
        <v>1</v>
      </c>
      <c r="I1613" t="s">
        <v>97</v>
      </c>
      <c r="J1613" s="10">
        <v>74</v>
      </c>
      <c r="K1613" s="10">
        <v>222</v>
      </c>
      <c r="L1613" s="10">
        <v>0</v>
      </c>
      <c r="N1613" s="10">
        <v>0</v>
      </c>
      <c r="O1613" t="s">
        <v>99</v>
      </c>
      <c r="P1613" s="10">
        <v>144.94999999999999</v>
      </c>
      <c r="S1613">
        <v>9.5</v>
      </c>
      <c r="U1613">
        <v>7</v>
      </c>
      <c r="V1613">
        <v>4</v>
      </c>
      <c r="W1613">
        <v>3.68</v>
      </c>
      <c r="X1613">
        <v>1</v>
      </c>
      <c r="Y1613">
        <v>7.75</v>
      </c>
      <c r="Z1613">
        <v>11.5</v>
      </c>
      <c r="AA1613">
        <v>8.6300000000000008</v>
      </c>
      <c r="AB1613">
        <v>0.44500000000000001</v>
      </c>
      <c r="AC1613">
        <v>4.6100000000000003</v>
      </c>
      <c r="AE1613">
        <v>1</v>
      </c>
      <c r="AF1613" t="s">
        <v>2784</v>
      </c>
      <c r="AG1613">
        <v>13</v>
      </c>
      <c r="AH1613">
        <v>0</v>
      </c>
      <c r="AJ1613">
        <v>0</v>
      </c>
      <c r="AK1613" t="s">
        <v>99</v>
      </c>
      <c r="AM1613" t="s">
        <v>98</v>
      </c>
      <c r="AN1613" t="s">
        <v>99</v>
      </c>
      <c r="AO1613" t="s">
        <v>98</v>
      </c>
      <c r="AP1613" t="s">
        <v>100</v>
      </c>
      <c r="AQ1613" t="s">
        <v>101</v>
      </c>
      <c r="AV1613" t="s">
        <v>98</v>
      </c>
      <c r="AX1613" t="s">
        <v>1918</v>
      </c>
      <c r="AZ1613" t="s">
        <v>392</v>
      </c>
      <c r="BB1613" t="s">
        <v>235</v>
      </c>
      <c r="BC1613" t="s">
        <v>460</v>
      </c>
      <c r="BD1613" t="s">
        <v>7528</v>
      </c>
      <c r="BF1613" t="s">
        <v>5084</v>
      </c>
      <c r="BG1613" t="s">
        <v>98</v>
      </c>
      <c r="BH1613" t="s">
        <v>99</v>
      </c>
      <c r="BI1613" t="s">
        <v>98</v>
      </c>
      <c r="BJ1613" t="s">
        <v>99</v>
      </c>
      <c r="BK1613" t="s">
        <v>453</v>
      </c>
      <c r="BL1613" t="s">
        <v>645</v>
      </c>
      <c r="BM1613">
        <v>7</v>
      </c>
      <c r="BN1613">
        <v>9.5</v>
      </c>
      <c r="CA1613" t="s">
        <v>5077</v>
      </c>
      <c r="CB1613" t="s">
        <v>1918</v>
      </c>
      <c r="CG1613">
        <v>2700</v>
      </c>
      <c r="CL1613" t="s">
        <v>98</v>
      </c>
      <c r="CM1613" t="s">
        <v>98</v>
      </c>
      <c r="CN1613" t="s">
        <v>3411</v>
      </c>
      <c r="CO1613" s="1">
        <v>39113</v>
      </c>
      <c r="CP1613" s="1">
        <v>43633</v>
      </c>
    </row>
    <row r="1614" spans="1:94" x14ac:dyDescent="0.25">
      <c r="A1614" t="s">
        <v>5085</v>
      </c>
      <c r="B1614" t="str">
        <f xml:space="preserve"> "" &amp; 747396041414</f>
        <v>747396041414</v>
      </c>
      <c r="C1614" t="s">
        <v>3354</v>
      </c>
      <c r="D1614" t="s">
        <v>6994</v>
      </c>
      <c r="E1614" t="s">
        <v>5069</v>
      </c>
      <c r="F1614" t="s">
        <v>2823</v>
      </c>
      <c r="G1614">
        <v>1</v>
      </c>
      <c r="H1614">
        <v>1</v>
      </c>
      <c r="I1614" t="s">
        <v>97</v>
      </c>
      <c r="J1614" s="10">
        <v>89</v>
      </c>
      <c r="K1614" s="10">
        <v>267</v>
      </c>
      <c r="L1614" s="10">
        <v>0</v>
      </c>
      <c r="N1614" s="10">
        <v>0</v>
      </c>
      <c r="O1614" t="s">
        <v>99</v>
      </c>
      <c r="P1614" s="10">
        <v>179.95</v>
      </c>
      <c r="S1614">
        <v>12</v>
      </c>
      <c r="U1614">
        <v>7.75</v>
      </c>
      <c r="V1614">
        <v>4.5</v>
      </c>
      <c r="W1614">
        <v>4.41</v>
      </c>
      <c r="X1614">
        <v>1</v>
      </c>
      <c r="Y1614">
        <v>9.75</v>
      </c>
      <c r="Z1614">
        <v>14.13</v>
      </c>
      <c r="AA1614">
        <v>9.5</v>
      </c>
      <c r="AB1614">
        <v>0.75700000000000001</v>
      </c>
      <c r="AC1614">
        <v>5.29</v>
      </c>
      <c r="AE1614">
        <v>2</v>
      </c>
      <c r="AF1614" t="s">
        <v>233</v>
      </c>
      <c r="AG1614">
        <v>60</v>
      </c>
      <c r="AH1614">
        <v>0</v>
      </c>
      <c r="AJ1614">
        <v>0</v>
      </c>
      <c r="AK1614" t="s">
        <v>98</v>
      </c>
      <c r="AM1614" t="s">
        <v>98</v>
      </c>
      <c r="AN1614" t="s">
        <v>99</v>
      </c>
      <c r="AO1614" t="s">
        <v>98</v>
      </c>
      <c r="AP1614" t="s">
        <v>100</v>
      </c>
      <c r="AQ1614" t="s">
        <v>101</v>
      </c>
      <c r="AV1614" t="s">
        <v>98</v>
      </c>
      <c r="AX1614" t="s">
        <v>3264</v>
      </c>
      <c r="AZ1614" t="s">
        <v>392</v>
      </c>
      <c r="BB1614" t="s">
        <v>235</v>
      </c>
      <c r="BC1614" t="s">
        <v>1501</v>
      </c>
      <c r="BD1614" t="s">
        <v>7528</v>
      </c>
      <c r="BF1614" t="s">
        <v>5086</v>
      </c>
      <c r="BG1614" t="s">
        <v>98</v>
      </c>
      <c r="BH1614" t="s">
        <v>98</v>
      </c>
      <c r="BI1614" t="s">
        <v>98</v>
      </c>
      <c r="BJ1614" t="s">
        <v>99</v>
      </c>
      <c r="BK1614" t="s">
        <v>453</v>
      </c>
      <c r="BL1614" t="s">
        <v>645</v>
      </c>
      <c r="BR1614">
        <v>12.25</v>
      </c>
      <c r="BT1614">
        <v>8</v>
      </c>
      <c r="CA1614">
        <v>9802</v>
      </c>
      <c r="CB1614" t="s">
        <v>3264</v>
      </c>
      <c r="CG1614">
        <v>0</v>
      </c>
      <c r="CL1614" t="s">
        <v>99</v>
      </c>
      <c r="CM1614" t="s">
        <v>98</v>
      </c>
      <c r="CN1614" t="s">
        <v>3411</v>
      </c>
      <c r="CO1614" s="1">
        <v>37911</v>
      </c>
      <c r="CP1614" s="1">
        <v>43633</v>
      </c>
    </row>
    <row r="1615" spans="1:94" x14ac:dyDescent="0.25">
      <c r="A1615" t="s">
        <v>5087</v>
      </c>
      <c r="B1615" t="str">
        <f xml:space="preserve"> "" &amp; 747396091013</f>
        <v>747396091013</v>
      </c>
      <c r="C1615" t="s">
        <v>5072</v>
      </c>
      <c r="D1615" t="s">
        <v>6992</v>
      </c>
      <c r="E1615" t="s">
        <v>5069</v>
      </c>
      <c r="F1615" t="s">
        <v>3188</v>
      </c>
      <c r="G1615">
        <v>1</v>
      </c>
      <c r="H1615">
        <v>1</v>
      </c>
      <c r="I1615" t="s">
        <v>97</v>
      </c>
      <c r="J1615" s="10">
        <v>144</v>
      </c>
      <c r="K1615" s="10">
        <v>432</v>
      </c>
      <c r="L1615" s="10">
        <v>0</v>
      </c>
      <c r="N1615" s="10">
        <v>0</v>
      </c>
      <c r="O1615" t="s">
        <v>99</v>
      </c>
      <c r="P1615" s="10">
        <v>289.95</v>
      </c>
      <c r="S1615">
        <v>12</v>
      </c>
      <c r="U1615">
        <v>7.75</v>
      </c>
      <c r="V1615">
        <v>4.5</v>
      </c>
      <c r="W1615">
        <v>4.8499999999999996</v>
      </c>
      <c r="Y1615">
        <v>10.5</v>
      </c>
      <c r="Z1615">
        <v>14.25</v>
      </c>
      <c r="AA1615">
        <v>10</v>
      </c>
      <c r="AB1615">
        <v>0.86599999999999999</v>
      </c>
      <c r="AC1615">
        <v>6.06</v>
      </c>
      <c r="AE1615">
        <v>1</v>
      </c>
      <c r="AF1615" t="s">
        <v>5088</v>
      </c>
      <c r="AG1615">
        <v>19</v>
      </c>
      <c r="AK1615" t="s">
        <v>99</v>
      </c>
      <c r="AM1615" t="s">
        <v>98</v>
      </c>
      <c r="AN1615" t="s">
        <v>99</v>
      </c>
      <c r="AO1615" t="s">
        <v>98</v>
      </c>
      <c r="AP1615" t="s">
        <v>100</v>
      </c>
      <c r="AQ1615" t="s">
        <v>101</v>
      </c>
      <c r="AV1615" t="s">
        <v>98</v>
      </c>
      <c r="AX1615" t="s">
        <v>3264</v>
      </c>
      <c r="AZ1615" t="s">
        <v>392</v>
      </c>
      <c r="BB1615" t="s">
        <v>235</v>
      </c>
      <c r="BC1615" t="s">
        <v>460</v>
      </c>
      <c r="BD1615" t="s">
        <v>7528</v>
      </c>
      <c r="BF1615" t="s">
        <v>5089</v>
      </c>
      <c r="BG1615" t="s">
        <v>98</v>
      </c>
      <c r="BH1615" t="s">
        <v>98</v>
      </c>
      <c r="BI1615" t="s">
        <v>98</v>
      </c>
      <c r="BJ1615" t="s">
        <v>99</v>
      </c>
      <c r="BK1615" t="s">
        <v>453</v>
      </c>
      <c r="BL1615" t="s">
        <v>7528</v>
      </c>
      <c r="BM1615">
        <v>7.88</v>
      </c>
      <c r="BN1615">
        <v>12.13</v>
      </c>
      <c r="CA1615">
        <v>9802</v>
      </c>
      <c r="CB1615" t="s">
        <v>3264</v>
      </c>
      <c r="CG1615">
        <v>2700</v>
      </c>
      <c r="CH1615">
        <v>82</v>
      </c>
      <c r="CI1615">
        <v>1700</v>
      </c>
      <c r="CJ1615">
        <v>722.81</v>
      </c>
      <c r="CK1615">
        <v>30000</v>
      </c>
      <c r="CL1615" t="s">
        <v>99</v>
      </c>
      <c r="CM1615" t="s">
        <v>98</v>
      </c>
      <c r="CN1615" t="s">
        <v>5090</v>
      </c>
      <c r="CO1615" s="1">
        <v>41682</v>
      </c>
      <c r="CP1615" s="1">
        <v>43633</v>
      </c>
    </row>
    <row r="1616" spans="1:94" x14ac:dyDescent="0.25">
      <c r="A1616" t="s">
        <v>5091</v>
      </c>
      <c r="B1616" t="str">
        <f xml:space="preserve"> "" &amp; 747396051413</f>
        <v>747396051413</v>
      </c>
      <c r="C1616" t="s">
        <v>3349</v>
      </c>
      <c r="D1616" t="s">
        <v>6991</v>
      </c>
      <c r="E1616" t="s">
        <v>5069</v>
      </c>
      <c r="F1616" t="s">
        <v>449</v>
      </c>
      <c r="G1616">
        <v>1</v>
      </c>
      <c r="H1616">
        <v>1</v>
      </c>
      <c r="I1616" t="s">
        <v>97</v>
      </c>
      <c r="J1616" s="10">
        <v>100</v>
      </c>
      <c r="K1616" s="10">
        <v>300</v>
      </c>
      <c r="L1616" s="10">
        <v>0</v>
      </c>
      <c r="N1616" s="10">
        <v>0</v>
      </c>
      <c r="O1616" t="s">
        <v>99</v>
      </c>
      <c r="P1616" s="10">
        <v>199.95</v>
      </c>
      <c r="S1616">
        <v>12</v>
      </c>
      <c r="U1616">
        <v>7.75</v>
      </c>
      <c r="V1616">
        <v>4.38</v>
      </c>
      <c r="W1616">
        <v>4.41</v>
      </c>
      <c r="X1616">
        <v>1</v>
      </c>
      <c r="Y1616">
        <v>9.75</v>
      </c>
      <c r="Z1616">
        <v>14.13</v>
      </c>
      <c r="AA1616">
        <v>9.5</v>
      </c>
      <c r="AB1616">
        <v>0.75700000000000001</v>
      </c>
      <c r="AC1616">
        <v>5.29</v>
      </c>
      <c r="AE1616">
        <v>1</v>
      </c>
      <c r="AF1616" t="s">
        <v>3363</v>
      </c>
      <c r="AG1616">
        <v>26</v>
      </c>
      <c r="AH1616">
        <v>0</v>
      </c>
      <c r="AJ1616">
        <v>0</v>
      </c>
      <c r="AK1616" t="s">
        <v>99</v>
      </c>
      <c r="AM1616" t="s">
        <v>98</v>
      </c>
      <c r="AN1616" t="s">
        <v>99</v>
      </c>
      <c r="AO1616" t="s">
        <v>98</v>
      </c>
      <c r="AP1616" t="s">
        <v>100</v>
      </c>
      <c r="AQ1616" t="s">
        <v>101</v>
      </c>
      <c r="AV1616" t="s">
        <v>98</v>
      </c>
      <c r="AX1616" t="s">
        <v>3264</v>
      </c>
      <c r="AZ1616" t="s">
        <v>392</v>
      </c>
      <c r="BB1616" t="s">
        <v>7528</v>
      </c>
      <c r="BC1616" t="s">
        <v>7528</v>
      </c>
      <c r="BD1616" t="s">
        <v>7528</v>
      </c>
      <c r="BF1616" t="s">
        <v>5092</v>
      </c>
      <c r="BG1616" t="s">
        <v>98</v>
      </c>
      <c r="BH1616" t="s">
        <v>98</v>
      </c>
      <c r="BI1616" t="s">
        <v>98</v>
      </c>
      <c r="BJ1616" t="s">
        <v>99</v>
      </c>
      <c r="BK1616" t="s">
        <v>453</v>
      </c>
      <c r="BL1616" t="s">
        <v>645</v>
      </c>
      <c r="BM1616">
        <v>8</v>
      </c>
      <c r="BN1616">
        <v>12.25</v>
      </c>
      <c r="CA1616" t="s">
        <v>5093</v>
      </c>
      <c r="CB1616" t="s">
        <v>3264</v>
      </c>
      <c r="CG1616">
        <v>2700</v>
      </c>
      <c r="CL1616" t="s">
        <v>98</v>
      </c>
      <c r="CM1616" t="s">
        <v>98</v>
      </c>
      <c r="CN1616" t="s">
        <v>3411</v>
      </c>
      <c r="CO1616" s="1">
        <v>38582</v>
      </c>
      <c r="CP1616" s="1">
        <v>43633</v>
      </c>
    </row>
    <row r="1617" spans="1:94" x14ac:dyDescent="0.25">
      <c r="A1617" t="s">
        <v>5094</v>
      </c>
      <c r="B1617" t="str">
        <f xml:space="preserve"> "" &amp; 747396042817</f>
        <v>747396042817</v>
      </c>
      <c r="C1617" t="s">
        <v>3424</v>
      </c>
      <c r="D1617" t="s">
        <v>6994</v>
      </c>
      <c r="E1617" t="s">
        <v>5069</v>
      </c>
      <c r="F1617" t="s">
        <v>2823</v>
      </c>
      <c r="G1617">
        <v>1</v>
      </c>
      <c r="H1617">
        <v>1</v>
      </c>
      <c r="I1617" t="s">
        <v>97</v>
      </c>
      <c r="J1617" s="10">
        <v>89</v>
      </c>
      <c r="K1617" s="10">
        <v>267</v>
      </c>
      <c r="L1617" s="10">
        <v>0</v>
      </c>
      <c r="N1617" s="10">
        <v>0</v>
      </c>
      <c r="O1617" t="s">
        <v>99</v>
      </c>
      <c r="P1617" s="10">
        <v>179.95</v>
      </c>
      <c r="S1617">
        <v>12.18</v>
      </c>
      <c r="U1617">
        <v>7.75</v>
      </c>
      <c r="V1617">
        <v>4.38</v>
      </c>
      <c r="W1617">
        <v>4.41</v>
      </c>
      <c r="X1617">
        <v>1</v>
      </c>
      <c r="Y1617">
        <v>9.75</v>
      </c>
      <c r="Z1617">
        <v>14.13</v>
      </c>
      <c r="AA1617">
        <v>9.5</v>
      </c>
      <c r="AB1617">
        <v>0.75700000000000001</v>
      </c>
      <c r="AC1617">
        <v>5.29</v>
      </c>
      <c r="AE1617">
        <v>2</v>
      </c>
      <c r="AF1617" t="s">
        <v>233</v>
      </c>
      <c r="AG1617">
        <v>60</v>
      </c>
      <c r="AH1617">
        <v>0</v>
      </c>
      <c r="AJ1617">
        <v>0</v>
      </c>
      <c r="AK1617" t="s">
        <v>98</v>
      </c>
      <c r="AM1617" t="s">
        <v>98</v>
      </c>
      <c r="AN1617" t="s">
        <v>99</v>
      </c>
      <c r="AO1617" t="s">
        <v>98</v>
      </c>
      <c r="AP1617" t="s">
        <v>100</v>
      </c>
      <c r="AQ1617" t="s">
        <v>101</v>
      </c>
      <c r="AV1617" t="s">
        <v>98</v>
      </c>
      <c r="AX1617" t="s">
        <v>1918</v>
      </c>
      <c r="AZ1617" t="s">
        <v>392</v>
      </c>
      <c r="BB1617" t="s">
        <v>235</v>
      </c>
      <c r="BC1617" t="s">
        <v>460</v>
      </c>
      <c r="BD1617" t="s">
        <v>7528</v>
      </c>
      <c r="BF1617" t="s">
        <v>5095</v>
      </c>
      <c r="BG1617" t="s">
        <v>98</v>
      </c>
      <c r="BH1617" t="s">
        <v>98</v>
      </c>
      <c r="BI1617" t="s">
        <v>98</v>
      </c>
      <c r="BJ1617" t="s">
        <v>99</v>
      </c>
      <c r="BK1617" t="s">
        <v>453</v>
      </c>
      <c r="BL1617" t="s">
        <v>645</v>
      </c>
      <c r="BR1617">
        <v>12.25</v>
      </c>
      <c r="BT1617">
        <v>8</v>
      </c>
      <c r="CA1617">
        <v>9802</v>
      </c>
      <c r="CB1617" t="s">
        <v>1918</v>
      </c>
      <c r="CG1617">
        <v>0</v>
      </c>
      <c r="CL1617" t="s">
        <v>99</v>
      </c>
      <c r="CM1617" t="s">
        <v>98</v>
      </c>
      <c r="CN1617" t="s">
        <v>5096</v>
      </c>
      <c r="CO1617" s="1">
        <v>37911</v>
      </c>
      <c r="CP1617" s="1">
        <v>43633</v>
      </c>
    </row>
    <row r="1618" spans="1:94" x14ac:dyDescent="0.25">
      <c r="A1618" t="s">
        <v>5097</v>
      </c>
      <c r="B1618" t="str">
        <f xml:space="preserve"> "" &amp; 747396091020</f>
        <v>747396091020</v>
      </c>
      <c r="C1618" t="s">
        <v>5072</v>
      </c>
      <c r="D1618" t="s">
        <v>6995</v>
      </c>
      <c r="E1618" t="s">
        <v>5069</v>
      </c>
      <c r="F1618" t="s">
        <v>3188</v>
      </c>
      <c r="G1618">
        <v>1</v>
      </c>
      <c r="H1618">
        <v>1</v>
      </c>
      <c r="I1618" t="s">
        <v>97</v>
      </c>
      <c r="J1618" s="10">
        <v>144</v>
      </c>
      <c r="K1618" s="10">
        <v>432</v>
      </c>
      <c r="L1618" s="10">
        <v>0</v>
      </c>
      <c r="N1618" s="10">
        <v>0</v>
      </c>
      <c r="O1618" t="s">
        <v>99</v>
      </c>
      <c r="P1618" s="10">
        <v>289.95</v>
      </c>
      <c r="S1618">
        <v>12.25</v>
      </c>
      <c r="U1618">
        <v>7.75</v>
      </c>
      <c r="V1618">
        <v>4.38</v>
      </c>
      <c r="W1618">
        <v>4.8499999999999996</v>
      </c>
      <c r="Y1618">
        <v>10.5</v>
      </c>
      <c r="Z1618">
        <v>14.25</v>
      </c>
      <c r="AA1618">
        <v>10</v>
      </c>
      <c r="AB1618">
        <v>0.86599999999999999</v>
      </c>
      <c r="AC1618">
        <v>6.06</v>
      </c>
      <c r="AE1618">
        <v>1</v>
      </c>
      <c r="AF1618" t="s">
        <v>5088</v>
      </c>
      <c r="AG1618">
        <v>19</v>
      </c>
      <c r="AK1618" t="s">
        <v>99</v>
      </c>
      <c r="AM1618" t="s">
        <v>98</v>
      </c>
      <c r="AN1618" t="s">
        <v>99</v>
      </c>
      <c r="AO1618" t="s">
        <v>98</v>
      </c>
      <c r="AP1618" t="s">
        <v>100</v>
      </c>
      <c r="AQ1618" t="s">
        <v>101</v>
      </c>
      <c r="AV1618" t="s">
        <v>98</v>
      </c>
      <c r="AX1618" t="s">
        <v>1918</v>
      </c>
      <c r="AZ1618" t="s">
        <v>392</v>
      </c>
      <c r="BB1618" t="s">
        <v>235</v>
      </c>
      <c r="BC1618" t="s">
        <v>460</v>
      </c>
      <c r="BD1618" t="s">
        <v>7528</v>
      </c>
      <c r="BF1618" t="s">
        <v>5098</v>
      </c>
      <c r="BG1618" t="s">
        <v>98</v>
      </c>
      <c r="BH1618" t="s">
        <v>98</v>
      </c>
      <c r="BI1618" t="s">
        <v>98</v>
      </c>
      <c r="BJ1618" t="s">
        <v>99</v>
      </c>
      <c r="BK1618" t="s">
        <v>453</v>
      </c>
      <c r="BL1618" t="s">
        <v>7528</v>
      </c>
      <c r="BM1618">
        <v>7.88</v>
      </c>
      <c r="BN1618">
        <v>12.13</v>
      </c>
      <c r="CA1618">
        <v>9802</v>
      </c>
      <c r="CB1618" t="s">
        <v>1918</v>
      </c>
      <c r="CG1618">
        <v>2700</v>
      </c>
      <c r="CH1618">
        <v>82</v>
      </c>
      <c r="CI1618">
        <v>722.81</v>
      </c>
      <c r="CJ1618">
        <v>1700</v>
      </c>
      <c r="CK1618">
        <v>30000</v>
      </c>
      <c r="CL1618" t="s">
        <v>99</v>
      </c>
      <c r="CM1618" t="s">
        <v>98</v>
      </c>
      <c r="CN1618" t="s">
        <v>5099</v>
      </c>
      <c r="CO1618" s="1">
        <v>41598</v>
      </c>
      <c r="CP1618" s="1">
        <v>43633</v>
      </c>
    </row>
    <row r="1619" spans="1:94" x14ac:dyDescent="0.25">
      <c r="A1619" t="s">
        <v>5100</v>
      </c>
      <c r="B1619" t="str">
        <f xml:space="preserve"> "" &amp; 747396061702</f>
        <v>747396061702</v>
      </c>
      <c r="C1619" t="s">
        <v>3349</v>
      </c>
      <c r="D1619" t="s">
        <v>6991</v>
      </c>
      <c r="E1619" t="s">
        <v>5069</v>
      </c>
      <c r="F1619" t="s">
        <v>449</v>
      </c>
      <c r="G1619">
        <v>1</v>
      </c>
      <c r="H1619">
        <v>1</v>
      </c>
      <c r="I1619" t="s">
        <v>97</v>
      </c>
      <c r="J1619" s="10">
        <v>100</v>
      </c>
      <c r="K1619" s="10">
        <v>300</v>
      </c>
      <c r="L1619" s="10">
        <v>0</v>
      </c>
      <c r="N1619" s="10">
        <v>0</v>
      </c>
      <c r="O1619" t="s">
        <v>99</v>
      </c>
      <c r="P1619" s="10">
        <v>199.95</v>
      </c>
      <c r="S1619">
        <v>12</v>
      </c>
      <c r="U1619">
        <v>7.75</v>
      </c>
      <c r="V1619">
        <v>4.5</v>
      </c>
      <c r="W1619">
        <v>4.41</v>
      </c>
      <c r="X1619">
        <v>1</v>
      </c>
      <c r="Y1619">
        <v>9.75</v>
      </c>
      <c r="Z1619">
        <v>14.13</v>
      </c>
      <c r="AA1619">
        <v>9.5</v>
      </c>
      <c r="AB1619">
        <v>0.75700000000000001</v>
      </c>
      <c r="AC1619">
        <v>5.29</v>
      </c>
      <c r="AE1619">
        <v>1</v>
      </c>
      <c r="AF1619" t="s">
        <v>3363</v>
      </c>
      <c r="AG1619">
        <v>26</v>
      </c>
      <c r="AH1619">
        <v>0</v>
      </c>
      <c r="AJ1619">
        <v>0</v>
      </c>
      <c r="AK1619" t="s">
        <v>99</v>
      </c>
      <c r="AM1619" t="s">
        <v>98</v>
      </c>
      <c r="AN1619" t="s">
        <v>99</v>
      </c>
      <c r="AO1619" t="s">
        <v>98</v>
      </c>
      <c r="AP1619" t="s">
        <v>100</v>
      </c>
      <c r="AQ1619" t="s">
        <v>101</v>
      </c>
      <c r="AV1619" t="s">
        <v>98</v>
      </c>
      <c r="AX1619" t="s">
        <v>1918</v>
      </c>
      <c r="AZ1619" t="s">
        <v>392</v>
      </c>
      <c r="BB1619" t="s">
        <v>235</v>
      </c>
      <c r="BC1619" t="s">
        <v>460</v>
      </c>
      <c r="BD1619" t="s">
        <v>7528</v>
      </c>
      <c r="BF1619" t="s">
        <v>5101</v>
      </c>
      <c r="BG1619" t="s">
        <v>98</v>
      </c>
      <c r="BH1619" t="s">
        <v>98</v>
      </c>
      <c r="BI1619" t="s">
        <v>98</v>
      </c>
      <c r="BJ1619" t="s">
        <v>99</v>
      </c>
      <c r="BK1619" t="s">
        <v>453</v>
      </c>
      <c r="BL1619" t="s">
        <v>645</v>
      </c>
      <c r="BM1619">
        <v>8</v>
      </c>
      <c r="BN1619">
        <v>1.25</v>
      </c>
      <c r="CA1619" t="s">
        <v>5093</v>
      </c>
      <c r="CB1619" t="s">
        <v>1918</v>
      </c>
      <c r="CG1619">
        <v>2700</v>
      </c>
      <c r="CL1619" t="s">
        <v>98</v>
      </c>
      <c r="CM1619" t="s">
        <v>98</v>
      </c>
      <c r="CN1619" t="s">
        <v>3411</v>
      </c>
      <c r="CO1619" s="1">
        <v>39113</v>
      </c>
      <c r="CP1619" s="1">
        <v>43633</v>
      </c>
    </row>
    <row r="1620" spans="1:94" x14ac:dyDescent="0.25">
      <c r="A1620" t="s">
        <v>5102</v>
      </c>
      <c r="B1620" t="str">
        <f xml:space="preserve"> "" &amp; 747396083964</f>
        <v>747396083964</v>
      </c>
      <c r="C1620" t="s">
        <v>3354</v>
      </c>
      <c r="D1620" t="s">
        <v>6994</v>
      </c>
      <c r="E1620" t="s">
        <v>5069</v>
      </c>
      <c r="F1620" t="s">
        <v>2823</v>
      </c>
      <c r="G1620">
        <v>1</v>
      </c>
      <c r="H1620">
        <v>1</v>
      </c>
      <c r="I1620" t="s">
        <v>97</v>
      </c>
      <c r="J1620" s="10">
        <v>161</v>
      </c>
      <c r="K1620" s="10">
        <v>483</v>
      </c>
      <c r="L1620" s="10">
        <v>0</v>
      </c>
      <c r="N1620" s="10">
        <v>0</v>
      </c>
      <c r="O1620" t="s">
        <v>99</v>
      </c>
      <c r="P1620" s="10">
        <v>319.95</v>
      </c>
      <c r="S1620">
        <v>20</v>
      </c>
      <c r="U1620">
        <v>8</v>
      </c>
      <c r="V1620">
        <v>4.5</v>
      </c>
      <c r="W1620">
        <v>6.17</v>
      </c>
      <c r="Y1620">
        <v>24</v>
      </c>
      <c r="Z1620">
        <v>9.75</v>
      </c>
      <c r="AA1620">
        <v>9.5</v>
      </c>
      <c r="AB1620">
        <v>1.286</v>
      </c>
      <c r="AC1620">
        <v>7.89</v>
      </c>
      <c r="AE1620">
        <v>2</v>
      </c>
      <c r="AF1620" t="s">
        <v>282</v>
      </c>
      <c r="AG1620">
        <v>60</v>
      </c>
      <c r="AK1620" t="s">
        <v>98</v>
      </c>
      <c r="AM1620" t="s">
        <v>98</v>
      </c>
      <c r="AN1620" t="s">
        <v>99</v>
      </c>
      <c r="AO1620" t="s">
        <v>98</v>
      </c>
      <c r="AP1620" t="s">
        <v>100</v>
      </c>
      <c r="AQ1620" t="s">
        <v>101</v>
      </c>
      <c r="AV1620" t="s">
        <v>98</v>
      </c>
      <c r="AX1620" t="s">
        <v>3264</v>
      </c>
      <c r="AZ1620" t="s">
        <v>392</v>
      </c>
      <c r="BB1620" t="s">
        <v>235</v>
      </c>
      <c r="BC1620" t="s">
        <v>460</v>
      </c>
      <c r="BD1620" t="s">
        <v>7528</v>
      </c>
      <c r="BF1620" t="s">
        <v>5103</v>
      </c>
      <c r="BG1620" t="s">
        <v>98</v>
      </c>
      <c r="BH1620" t="s">
        <v>98</v>
      </c>
      <c r="BI1620" t="s">
        <v>98</v>
      </c>
      <c r="BJ1620" t="s">
        <v>99</v>
      </c>
      <c r="BK1620" t="s">
        <v>453</v>
      </c>
      <c r="BL1620" t="s">
        <v>645</v>
      </c>
      <c r="BR1620">
        <v>20</v>
      </c>
      <c r="BT1620">
        <v>8</v>
      </c>
      <c r="CA1620">
        <v>9803</v>
      </c>
      <c r="CB1620" t="s">
        <v>3264</v>
      </c>
      <c r="CL1620" t="s">
        <v>99</v>
      </c>
      <c r="CM1620" t="s">
        <v>98</v>
      </c>
      <c r="CN1620" t="s">
        <v>5109</v>
      </c>
      <c r="CO1620" s="1">
        <v>40898</v>
      </c>
      <c r="CP1620" s="1">
        <v>43633</v>
      </c>
    </row>
    <row r="1621" spans="1:94" x14ac:dyDescent="0.25">
      <c r="A1621" t="s">
        <v>5104</v>
      </c>
      <c r="B1621" t="str">
        <f xml:space="preserve"> "" &amp; 747396083971</f>
        <v>747396083971</v>
      </c>
      <c r="C1621" t="s">
        <v>3354</v>
      </c>
      <c r="D1621" t="s">
        <v>6994</v>
      </c>
      <c r="E1621" t="s">
        <v>5069</v>
      </c>
      <c r="F1621" t="s">
        <v>449</v>
      </c>
      <c r="G1621">
        <v>1</v>
      </c>
      <c r="H1621">
        <v>1</v>
      </c>
      <c r="I1621" t="s">
        <v>97</v>
      </c>
      <c r="J1621" s="10">
        <v>159</v>
      </c>
      <c r="K1621" s="10">
        <v>477</v>
      </c>
      <c r="L1621" s="10">
        <v>0</v>
      </c>
      <c r="N1621" s="10">
        <v>0</v>
      </c>
      <c r="O1621" t="s">
        <v>99</v>
      </c>
      <c r="P1621" s="10">
        <v>319.89999999999998</v>
      </c>
      <c r="S1621">
        <v>20.5</v>
      </c>
      <c r="U1621">
        <v>8</v>
      </c>
      <c r="V1621">
        <v>4.5</v>
      </c>
      <c r="W1621">
        <v>5.73</v>
      </c>
      <c r="Y1621">
        <v>24</v>
      </c>
      <c r="Z1621">
        <v>9.75</v>
      </c>
      <c r="AA1621">
        <v>9.5</v>
      </c>
      <c r="AB1621">
        <v>1.286</v>
      </c>
      <c r="AC1621">
        <v>7.61</v>
      </c>
      <c r="AE1621">
        <v>2</v>
      </c>
      <c r="AF1621" t="s">
        <v>3223</v>
      </c>
      <c r="AG1621">
        <v>13</v>
      </c>
      <c r="AK1621" t="s">
        <v>99</v>
      </c>
      <c r="AM1621" t="s">
        <v>98</v>
      </c>
      <c r="AN1621" t="s">
        <v>99</v>
      </c>
      <c r="AO1621" t="s">
        <v>98</v>
      </c>
      <c r="AP1621" t="s">
        <v>100</v>
      </c>
      <c r="AQ1621" t="s">
        <v>101</v>
      </c>
      <c r="AV1621" t="s">
        <v>98</v>
      </c>
      <c r="AX1621" t="s">
        <v>3264</v>
      </c>
      <c r="AZ1621" t="s">
        <v>392</v>
      </c>
      <c r="BB1621" t="s">
        <v>235</v>
      </c>
      <c r="BC1621" t="s">
        <v>460</v>
      </c>
      <c r="BD1621" t="s">
        <v>7528</v>
      </c>
      <c r="BF1621" t="s">
        <v>5105</v>
      </c>
      <c r="BG1621" t="s">
        <v>98</v>
      </c>
      <c r="BH1621" t="s">
        <v>98</v>
      </c>
      <c r="BI1621" t="s">
        <v>98</v>
      </c>
      <c r="BJ1621" t="s">
        <v>99</v>
      </c>
      <c r="BK1621" t="s">
        <v>453</v>
      </c>
      <c r="BL1621" t="s">
        <v>645</v>
      </c>
      <c r="BR1621">
        <v>20.13</v>
      </c>
      <c r="BT1621">
        <v>8</v>
      </c>
      <c r="CA1621" t="s">
        <v>5106</v>
      </c>
      <c r="CB1621" t="s">
        <v>3264</v>
      </c>
      <c r="CL1621" t="s">
        <v>98</v>
      </c>
      <c r="CM1621" t="s">
        <v>98</v>
      </c>
      <c r="CN1621" t="s">
        <v>7528</v>
      </c>
      <c r="CO1621" s="1">
        <v>40898</v>
      </c>
      <c r="CP1621" s="1">
        <v>43633</v>
      </c>
    </row>
    <row r="1622" spans="1:94" x14ac:dyDescent="0.25">
      <c r="A1622" t="s">
        <v>5107</v>
      </c>
      <c r="B1622" t="str">
        <f xml:space="preserve"> "" &amp; 747396083988</f>
        <v>747396083988</v>
      </c>
      <c r="C1622" t="s">
        <v>3354</v>
      </c>
      <c r="D1622" t="s">
        <v>6994</v>
      </c>
      <c r="E1622" t="s">
        <v>5069</v>
      </c>
      <c r="F1622" t="s">
        <v>2823</v>
      </c>
      <c r="G1622">
        <v>1</v>
      </c>
      <c r="H1622">
        <v>1</v>
      </c>
      <c r="I1622" t="s">
        <v>97</v>
      </c>
      <c r="J1622" s="10">
        <v>161</v>
      </c>
      <c r="K1622" s="10">
        <v>483</v>
      </c>
      <c r="L1622" s="10">
        <v>0</v>
      </c>
      <c r="N1622" s="10">
        <v>0</v>
      </c>
      <c r="O1622" t="s">
        <v>99</v>
      </c>
      <c r="P1622" s="10">
        <v>319.95</v>
      </c>
      <c r="S1622">
        <v>20</v>
      </c>
      <c r="U1622">
        <v>8</v>
      </c>
      <c r="V1622">
        <v>4.5</v>
      </c>
      <c r="W1622">
        <v>6.17</v>
      </c>
      <c r="Y1622">
        <v>24</v>
      </c>
      <c r="Z1622">
        <v>9.75</v>
      </c>
      <c r="AA1622">
        <v>9.5</v>
      </c>
      <c r="AB1622">
        <v>1.286</v>
      </c>
      <c r="AC1622">
        <v>7.89</v>
      </c>
      <c r="AE1622">
        <v>2</v>
      </c>
      <c r="AF1622" t="s">
        <v>282</v>
      </c>
      <c r="AG1622">
        <v>60</v>
      </c>
      <c r="AK1622" t="s">
        <v>98</v>
      </c>
      <c r="AM1622" t="s">
        <v>98</v>
      </c>
      <c r="AN1622" t="s">
        <v>99</v>
      </c>
      <c r="AO1622" t="s">
        <v>98</v>
      </c>
      <c r="AP1622" t="s">
        <v>100</v>
      </c>
      <c r="AQ1622" t="s">
        <v>101</v>
      </c>
      <c r="AV1622" t="s">
        <v>98</v>
      </c>
      <c r="AX1622" t="s">
        <v>1918</v>
      </c>
      <c r="AZ1622" t="s">
        <v>392</v>
      </c>
      <c r="BB1622" t="s">
        <v>235</v>
      </c>
      <c r="BC1622" t="s">
        <v>460</v>
      </c>
      <c r="BD1622" t="s">
        <v>7528</v>
      </c>
      <c r="BF1622" t="s">
        <v>5108</v>
      </c>
      <c r="BG1622" t="s">
        <v>98</v>
      </c>
      <c r="BH1622" t="s">
        <v>98</v>
      </c>
      <c r="BI1622" t="s">
        <v>98</v>
      </c>
      <c r="BJ1622" t="s">
        <v>99</v>
      </c>
      <c r="BK1622" t="s">
        <v>453</v>
      </c>
      <c r="BL1622" t="s">
        <v>645</v>
      </c>
      <c r="BM1622">
        <v>8</v>
      </c>
      <c r="BN1622">
        <v>20</v>
      </c>
      <c r="CA1622">
        <v>9803</v>
      </c>
      <c r="CB1622" t="s">
        <v>1918</v>
      </c>
      <c r="CL1622" t="s">
        <v>99</v>
      </c>
      <c r="CM1622" t="s">
        <v>98</v>
      </c>
      <c r="CN1622" t="s">
        <v>5109</v>
      </c>
      <c r="CO1622" s="1">
        <v>40898</v>
      </c>
      <c r="CP1622" s="1">
        <v>43633</v>
      </c>
    </row>
    <row r="1623" spans="1:94" x14ac:dyDescent="0.25">
      <c r="A1623" t="s">
        <v>5110</v>
      </c>
      <c r="B1623" t="str">
        <f xml:space="preserve"> "" &amp; 747396083995</f>
        <v>747396083995</v>
      </c>
      <c r="C1623" t="s">
        <v>3354</v>
      </c>
      <c r="D1623" t="s">
        <v>6994</v>
      </c>
      <c r="E1623" t="s">
        <v>5069</v>
      </c>
      <c r="F1623" t="s">
        <v>449</v>
      </c>
      <c r="G1623">
        <v>1</v>
      </c>
      <c r="H1623">
        <v>1</v>
      </c>
      <c r="I1623" t="s">
        <v>97</v>
      </c>
      <c r="J1623" s="10">
        <v>159</v>
      </c>
      <c r="K1623" s="10">
        <v>477</v>
      </c>
      <c r="L1623" s="10">
        <v>0</v>
      </c>
      <c r="N1623" s="10">
        <v>0</v>
      </c>
      <c r="O1623" t="s">
        <v>99</v>
      </c>
      <c r="P1623" s="10">
        <v>319.89999999999998</v>
      </c>
      <c r="S1623">
        <v>20</v>
      </c>
      <c r="U1623">
        <v>8</v>
      </c>
      <c r="V1623">
        <v>4.5</v>
      </c>
      <c r="W1623">
        <v>5.73</v>
      </c>
      <c r="Y1623">
        <v>24</v>
      </c>
      <c r="Z1623">
        <v>9.75</v>
      </c>
      <c r="AA1623">
        <v>9.5</v>
      </c>
      <c r="AB1623">
        <v>1.286</v>
      </c>
      <c r="AC1623">
        <v>7.61</v>
      </c>
      <c r="AE1623">
        <v>2</v>
      </c>
      <c r="AF1623" t="s">
        <v>5111</v>
      </c>
      <c r="AG1623">
        <v>13</v>
      </c>
      <c r="AK1623" t="s">
        <v>99</v>
      </c>
      <c r="AM1623" t="s">
        <v>98</v>
      </c>
      <c r="AN1623" t="s">
        <v>99</v>
      </c>
      <c r="AO1623" t="s">
        <v>98</v>
      </c>
      <c r="AP1623" t="s">
        <v>100</v>
      </c>
      <c r="AQ1623" t="s">
        <v>101</v>
      </c>
      <c r="AV1623" t="s">
        <v>98</v>
      </c>
      <c r="AX1623" t="s">
        <v>1918</v>
      </c>
      <c r="AZ1623" t="s">
        <v>392</v>
      </c>
      <c r="BB1623" t="s">
        <v>235</v>
      </c>
      <c r="BC1623" t="s">
        <v>1501</v>
      </c>
      <c r="BD1623" t="s">
        <v>7528</v>
      </c>
      <c r="BF1623" t="s">
        <v>5112</v>
      </c>
      <c r="BG1623" t="s">
        <v>98</v>
      </c>
      <c r="BH1623" t="s">
        <v>98</v>
      </c>
      <c r="BI1623" t="s">
        <v>98</v>
      </c>
      <c r="BJ1623" t="s">
        <v>99</v>
      </c>
      <c r="BK1623" t="s">
        <v>453</v>
      </c>
      <c r="BL1623" t="s">
        <v>645</v>
      </c>
      <c r="BM1623">
        <v>8</v>
      </c>
      <c r="BN1623">
        <v>20</v>
      </c>
      <c r="BR1623">
        <v>20.13</v>
      </c>
      <c r="BT1623">
        <v>8</v>
      </c>
      <c r="CA1623" t="s">
        <v>5106</v>
      </c>
      <c r="CB1623" t="s">
        <v>1918</v>
      </c>
      <c r="CL1623" t="s">
        <v>98</v>
      </c>
      <c r="CM1623" t="s">
        <v>98</v>
      </c>
      <c r="CN1623" t="s">
        <v>5109</v>
      </c>
      <c r="CO1623" s="1">
        <v>40898</v>
      </c>
      <c r="CP1623" s="1">
        <v>43633</v>
      </c>
    </row>
    <row r="1624" spans="1:94" x14ac:dyDescent="0.25">
      <c r="A1624" t="s">
        <v>5113</v>
      </c>
      <c r="B1624" t="str">
        <f xml:space="preserve"> "" &amp; 747396041438</f>
        <v>747396041438</v>
      </c>
      <c r="C1624" t="s">
        <v>447</v>
      </c>
      <c r="D1624" t="s">
        <v>6996</v>
      </c>
      <c r="E1624" t="s">
        <v>5069</v>
      </c>
      <c r="F1624" t="s">
        <v>2823</v>
      </c>
      <c r="G1624">
        <v>1</v>
      </c>
      <c r="H1624">
        <v>1</v>
      </c>
      <c r="I1624" t="s">
        <v>97</v>
      </c>
      <c r="J1624" s="10">
        <v>134</v>
      </c>
      <c r="K1624" s="10">
        <v>402</v>
      </c>
      <c r="L1624" s="10">
        <v>0</v>
      </c>
      <c r="N1624" s="10">
        <v>0</v>
      </c>
      <c r="O1624" t="s">
        <v>99</v>
      </c>
      <c r="P1624" s="10">
        <v>269.95</v>
      </c>
      <c r="S1624">
        <v>12.5</v>
      </c>
      <c r="T1624">
        <v>8</v>
      </c>
      <c r="U1624">
        <v>8</v>
      </c>
      <c r="W1624">
        <v>5.42</v>
      </c>
      <c r="X1624">
        <v>1</v>
      </c>
      <c r="Y1624">
        <v>10.75</v>
      </c>
      <c r="Z1624">
        <v>23</v>
      </c>
      <c r="AA1624">
        <v>10</v>
      </c>
      <c r="AB1624">
        <v>1.431</v>
      </c>
      <c r="AC1624">
        <v>7.17</v>
      </c>
      <c r="AE1624">
        <v>1</v>
      </c>
      <c r="AF1624" t="s">
        <v>233</v>
      </c>
      <c r="AG1624">
        <v>100</v>
      </c>
      <c r="AH1624">
        <v>0</v>
      </c>
      <c r="AJ1624">
        <v>0</v>
      </c>
      <c r="AK1624" t="s">
        <v>98</v>
      </c>
      <c r="AM1624" t="s">
        <v>98</v>
      </c>
      <c r="AN1624" t="s">
        <v>99</v>
      </c>
      <c r="AO1624" t="s">
        <v>98</v>
      </c>
      <c r="AP1624" t="s">
        <v>100</v>
      </c>
      <c r="AQ1624" t="s">
        <v>101</v>
      </c>
      <c r="AV1624" t="s">
        <v>98</v>
      </c>
      <c r="AX1624" t="s">
        <v>3264</v>
      </c>
      <c r="AZ1624" t="s">
        <v>392</v>
      </c>
      <c r="BB1624" t="s">
        <v>7528</v>
      </c>
      <c r="BC1624" t="s">
        <v>7528</v>
      </c>
      <c r="BD1624" t="s">
        <v>7528</v>
      </c>
      <c r="BF1624" t="s">
        <v>5114</v>
      </c>
      <c r="BG1624" t="s">
        <v>98</v>
      </c>
      <c r="BH1624" t="s">
        <v>98</v>
      </c>
      <c r="BI1624" t="s">
        <v>98</v>
      </c>
      <c r="BJ1624" t="s">
        <v>99</v>
      </c>
      <c r="BK1624" t="s">
        <v>453</v>
      </c>
      <c r="BL1624" t="s">
        <v>7528</v>
      </c>
      <c r="BR1624">
        <v>0</v>
      </c>
      <c r="BT1624">
        <v>0</v>
      </c>
      <c r="CA1624">
        <v>9806</v>
      </c>
      <c r="CB1624" t="s">
        <v>3264</v>
      </c>
      <c r="CG1624">
        <v>0</v>
      </c>
      <c r="CL1624" t="s">
        <v>99</v>
      </c>
      <c r="CM1624" t="s">
        <v>98</v>
      </c>
      <c r="CN1624" t="s">
        <v>3411</v>
      </c>
      <c r="CO1624" s="1">
        <v>37911</v>
      </c>
      <c r="CP1624" s="1">
        <v>43633</v>
      </c>
    </row>
    <row r="1625" spans="1:94" x14ac:dyDescent="0.25">
      <c r="A1625" t="s">
        <v>5115</v>
      </c>
      <c r="B1625" t="str">
        <f xml:space="preserve"> "" &amp; 747396042800</f>
        <v>747396042800</v>
      </c>
      <c r="C1625" t="s">
        <v>447</v>
      </c>
      <c r="D1625" t="s">
        <v>6996</v>
      </c>
      <c r="E1625" t="s">
        <v>5069</v>
      </c>
      <c r="F1625" t="s">
        <v>2823</v>
      </c>
      <c r="G1625">
        <v>1</v>
      </c>
      <c r="H1625">
        <v>1</v>
      </c>
      <c r="I1625" t="s">
        <v>97</v>
      </c>
      <c r="J1625" s="10">
        <v>134</v>
      </c>
      <c r="K1625" s="10">
        <v>402</v>
      </c>
      <c r="L1625" s="10">
        <v>0</v>
      </c>
      <c r="N1625" s="10">
        <v>0</v>
      </c>
      <c r="O1625" t="s">
        <v>99</v>
      </c>
      <c r="P1625" s="10">
        <v>269.95</v>
      </c>
      <c r="S1625">
        <v>12.25</v>
      </c>
      <c r="T1625">
        <v>8</v>
      </c>
      <c r="U1625">
        <v>8</v>
      </c>
      <c r="W1625">
        <v>5.42</v>
      </c>
      <c r="X1625">
        <v>1</v>
      </c>
      <c r="Y1625">
        <v>10.75</v>
      </c>
      <c r="Z1625">
        <v>23</v>
      </c>
      <c r="AA1625">
        <v>10</v>
      </c>
      <c r="AB1625">
        <v>1.431</v>
      </c>
      <c r="AC1625">
        <v>7.17</v>
      </c>
      <c r="AE1625">
        <v>1</v>
      </c>
      <c r="AF1625" t="s">
        <v>233</v>
      </c>
      <c r="AG1625">
        <v>100</v>
      </c>
      <c r="AK1625" t="s">
        <v>98</v>
      </c>
      <c r="AM1625" t="s">
        <v>98</v>
      </c>
      <c r="AN1625" t="s">
        <v>99</v>
      </c>
      <c r="AO1625" t="s">
        <v>98</v>
      </c>
      <c r="AP1625" t="s">
        <v>100</v>
      </c>
      <c r="AQ1625" t="s">
        <v>101</v>
      </c>
      <c r="AV1625" t="s">
        <v>98</v>
      </c>
      <c r="AX1625" t="s">
        <v>1918</v>
      </c>
      <c r="AZ1625" t="s">
        <v>102</v>
      </c>
      <c r="BB1625" t="s">
        <v>235</v>
      </c>
      <c r="BC1625" t="s">
        <v>460</v>
      </c>
      <c r="BD1625" t="s">
        <v>7528</v>
      </c>
      <c r="BF1625" t="s">
        <v>5116</v>
      </c>
      <c r="BG1625" t="s">
        <v>98</v>
      </c>
      <c r="BH1625" t="s">
        <v>98</v>
      </c>
      <c r="BI1625" t="s">
        <v>98</v>
      </c>
      <c r="BJ1625" t="s">
        <v>99</v>
      </c>
      <c r="BK1625" t="s">
        <v>453</v>
      </c>
      <c r="BL1625" t="s">
        <v>7528</v>
      </c>
      <c r="CA1625">
        <v>9806</v>
      </c>
      <c r="CB1625" t="s">
        <v>1918</v>
      </c>
      <c r="CL1625" t="s">
        <v>99</v>
      </c>
      <c r="CM1625" t="s">
        <v>98</v>
      </c>
      <c r="CN1625" t="s">
        <v>3411</v>
      </c>
      <c r="CO1625" s="1">
        <v>37911</v>
      </c>
      <c r="CP1625" s="1">
        <v>43633</v>
      </c>
    </row>
    <row r="1626" spans="1:94" x14ac:dyDescent="0.25">
      <c r="A1626" t="s">
        <v>5117</v>
      </c>
      <c r="B1626" t="str">
        <f xml:space="preserve"> "" &amp; 747396079004</f>
        <v>747396079004</v>
      </c>
      <c r="C1626" t="s">
        <v>3349</v>
      </c>
      <c r="D1626" t="s">
        <v>5118</v>
      </c>
      <c r="E1626" t="s">
        <v>5119</v>
      </c>
      <c r="F1626" t="s">
        <v>2823</v>
      </c>
      <c r="G1626">
        <v>1</v>
      </c>
      <c r="H1626">
        <v>1</v>
      </c>
      <c r="I1626" t="s">
        <v>97</v>
      </c>
      <c r="J1626" s="10">
        <v>24.95</v>
      </c>
      <c r="K1626" s="10">
        <v>74.849999999999994</v>
      </c>
      <c r="L1626" s="10">
        <v>0</v>
      </c>
      <c r="N1626" s="10">
        <v>0</v>
      </c>
      <c r="O1626" t="s">
        <v>99</v>
      </c>
      <c r="P1626" s="10">
        <v>49.9</v>
      </c>
      <c r="S1626">
        <v>8.25</v>
      </c>
      <c r="U1626">
        <v>5.5</v>
      </c>
      <c r="V1626">
        <v>4</v>
      </c>
      <c r="W1626">
        <v>1.65</v>
      </c>
      <c r="Y1626">
        <v>9.5</v>
      </c>
      <c r="Z1626">
        <v>7.125</v>
      </c>
      <c r="AA1626">
        <v>5.875</v>
      </c>
      <c r="AB1626">
        <v>0.23</v>
      </c>
      <c r="AC1626">
        <v>2.09</v>
      </c>
      <c r="AE1626">
        <v>1</v>
      </c>
      <c r="AF1626" t="s">
        <v>233</v>
      </c>
      <c r="AG1626">
        <v>60</v>
      </c>
      <c r="AK1626" t="s">
        <v>98</v>
      </c>
      <c r="AM1626" t="s">
        <v>98</v>
      </c>
      <c r="AN1626" t="s">
        <v>98</v>
      </c>
      <c r="AO1626" t="s">
        <v>98</v>
      </c>
      <c r="AP1626" t="s">
        <v>100</v>
      </c>
      <c r="AQ1626" t="s">
        <v>101</v>
      </c>
      <c r="AV1626" t="s">
        <v>98</v>
      </c>
      <c r="AX1626" t="s">
        <v>4221</v>
      </c>
      <c r="AZ1626" t="s">
        <v>124</v>
      </c>
      <c r="BB1626" t="s">
        <v>235</v>
      </c>
      <c r="BC1626" t="s">
        <v>285</v>
      </c>
      <c r="BD1626" t="s">
        <v>7528</v>
      </c>
      <c r="BF1626" t="s">
        <v>5120</v>
      </c>
      <c r="BG1626" t="s">
        <v>98</v>
      </c>
      <c r="BH1626" t="s">
        <v>98</v>
      </c>
      <c r="BI1626" t="s">
        <v>98</v>
      </c>
      <c r="BJ1626" t="s">
        <v>99</v>
      </c>
      <c r="BK1626" t="s">
        <v>453</v>
      </c>
      <c r="BL1626" t="s">
        <v>645</v>
      </c>
      <c r="BR1626">
        <v>7.75</v>
      </c>
      <c r="BT1626">
        <v>5.38</v>
      </c>
      <c r="CA1626">
        <v>9811</v>
      </c>
      <c r="CB1626" t="s">
        <v>4221</v>
      </c>
      <c r="CG1626">
        <v>0</v>
      </c>
      <c r="CL1626" t="s">
        <v>99</v>
      </c>
      <c r="CM1626" t="s">
        <v>98</v>
      </c>
      <c r="CN1626" t="s">
        <v>3227</v>
      </c>
      <c r="CO1626" s="1">
        <v>40420</v>
      </c>
      <c r="CP1626" s="1">
        <v>43633</v>
      </c>
    </row>
    <row r="1627" spans="1:94" x14ac:dyDescent="0.25">
      <c r="A1627" t="s">
        <v>5121</v>
      </c>
      <c r="B1627" t="str">
        <f xml:space="preserve"> "" &amp; 747396079011</f>
        <v>747396079011</v>
      </c>
      <c r="C1627" t="s">
        <v>3349</v>
      </c>
      <c r="D1627" t="s">
        <v>5118</v>
      </c>
      <c r="E1627" t="s">
        <v>5119</v>
      </c>
      <c r="F1627" t="s">
        <v>2823</v>
      </c>
      <c r="G1627">
        <v>1</v>
      </c>
      <c r="H1627">
        <v>1</v>
      </c>
      <c r="I1627" t="s">
        <v>97</v>
      </c>
      <c r="J1627" s="10">
        <v>34.950000000000003</v>
      </c>
      <c r="K1627" s="10">
        <v>104.85</v>
      </c>
      <c r="L1627" s="10">
        <v>0</v>
      </c>
      <c r="N1627" s="10">
        <v>0</v>
      </c>
      <c r="O1627" t="s">
        <v>99</v>
      </c>
      <c r="P1627" s="10">
        <v>69.900000000000006</v>
      </c>
      <c r="S1627">
        <v>12</v>
      </c>
      <c r="U1627">
        <v>6.5</v>
      </c>
      <c r="V1627">
        <v>4</v>
      </c>
      <c r="W1627">
        <v>2.54</v>
      </c>
      <c r="Y1627">
        <v>13.875</v>
      </c>
      <c r="Z1627">
        <v>8.625</v>
      </c>
      <c r="AA1627">
        <v>6.25</v>
      </c>
      <c r="AB1627">
        <v>0.433</v>
      </c>
      <c r="AC1627">
        <v>3.2</v>
      </c>
      <c r="AE1627">
        <v>1</v>
      </c>
      <c r="AF1627" t="s">
        <v>233</v>
      </c>
      <c r="AG1627">
        <v>60</v>
      </c>
      <c r="AK1627" t="s">
        <v>98</v>
      </c>
      <c r="AM1627" t="s">
        <v>98</v>
      </c>
      <c r="AN1627" t="s">
        <v>98</v>
      </c>
      <c r="AO1627" t="s">
        <v>98</v>
      </c>
      <c r="AP1627" t="s">
        <v>100</v>
      </c>
      <c r="AQ1627" t="s">
        <v>101</v>
      </c>
      <c r="AV1627" t="s">
        <v>98</v>
      </c>
      <c r="AX1627" t="s">
        <v>4221</v>
      </c>
      <c r="AZ1627" t="s">
        <v>124</v>
      </c>
      <c r="BB1627" t="s">
        <v>235</v>
      </c>
      <c r="BC1627" t="s">
        <v>285</v>
      </c>
      <c r="BD1627" t="s">
        <v>7528</v>
      </c>
      <c r="BF1627" t="s">
        <v>5122</v>
      </c>
      <c r="BG1627" t="s">
        <v>98</v>
      </c>
      <c r="BH1627" t="s">
        <v>98</v>
      </c>
      <c r="BI1627" t="s">
        <v>98</v>
      </c>
      <c r="BJ1627" t="s">
        <v>99</v>
      </c>
      <c r="BK1627" t="s">
        <v>453</v>
      </c>
      <c r="BL1627" t="s">
        <v>645</v>
      </c>
      <c r="BR1627">
        <v>11.5</v>
      </c>
      <c r="BT1627">
        <v>6</v>
      </c>
      <c r="CA1627">
        <v>9812</v>
      </c>
      <c r="CB1627" t="s">
        <v>4221</v>
      </c>
      <c r="CG1627">
        <v>0</v>
      </c>
      <c r="CL1627" t="s">
        <v>99</v>
      </c>
      <c r="CM1627" t="s">
        <v>98</v>
      </c>
      <c r="CN1627" t="s">
        <v>3227</v>
      </c>
      <c r="CO1627" s="1">
        <v>40420</v>
      </c>
      <c r="CP1627" s="1">
        <v>43633</v>
      </c>
    </row>
    <row r="1628" spans="1:94" x14ac:dyDescent="0.25">
      <c r="A1628" t="s">
        <v>5126</v>
      </c>
      <c r="B1628" t="str">
        <f xml:space="preserve"> "" &amp; 747396105833</f>
        <v>747396105833</v>
      </c>
      <c r="C1628" t="s">
        <v>5127</v>
      </c>
      <c r="D1628" t="s">
        <v>5128</v>
      </c>
      <c r="E1628" t="s">
        <v>5129</v>
      </c>
      <c r="F1628" t="s">
        <v>3188</v>
      </c>
      <c r="G1628">
        <v>1</v>
      </c>
      <c r="H1628">
        <v>1</v>
      </c>
      <c r="I1628" t="s">
        <v>97</v>
      </c>
      <c r="J1628" s="10">
        <v>65</v>
      </c>
      <c r="K1628" s="10">
        <v>195</v>
      </c>
      <c r="L1628" s="10">
        <v>0</v>
      </c>
      <c r="N1628" s="10">
        <v>0</v>
      </c>
      <c r="O1628" t="s">
        <v>99</v>
      </c>
      <c r="P1628" s="10">
        <v>139.94999999999999</v>
      </c>
      <c r="S1628">
        <v>11</v>
      </c>
      <c r="U1628">
        <v>6.75</v>
      </c>
      <c r="V1628">
        <v>2.75</v>
      </c>
      <c r="W1628">
        <v>1.87</v>
      </c>
      <c r="X1628">
        <v>1</v>
      </c>
      <c r="Y1628">
        <v>13.13</v>
      </c>
      <c r="Z1628">
        <v>8.6300000000000008</v>
      </c>
      <c r="AA1628">
        <v>4.75</v>
      </c>
      <c r="AB1628">
        <v>0.311</v>
      </c>
      <c r="AC1628">
        <v>2.58</v>
      </c>
      <c r="AE1628">
        <v>1</v>
      </c>
      <c r="AF1628" t="s">
        <v>559</v>
      </c>
      <c r="AG1628">
        <v>10</v>
      </c>
      <c r="AK1628" t="s">
        <v>99</v>
      </c>
      <c r="AM1628" t="s">
        <v>98</v>
      </c>
      <c r="AN1628" t="s">
        <v>99</v>
      </c>
      <c r="AO1628" t="s">
        <v>98</v>
      </c>
      <c r="AP1628" t="s">
        <v>100</v>
      </c>
      <c r="AQ1628" t="s">
        <v>101</v>
      </c>
      <c r="AV1628" t="s">
        <v>98</v>
      </c>
      <c r="AX1628" t="s">
        <v>4356</v>
      </c>
      <c r="AZ1628" t="s">
        <v>102</v>
      </c>
      <c r="BB1628" t="s">
        <v>235</v>
      </c>
      <c r="BC1628" t="s">
        <v>5130</v>
      </c>
      <c r="BD1628" t="s">
        <v>7528</v>
      </c>
      <c r="BF1628" t="s">
        <v>5131</v>
      </c>
      <c r="BG1628" t="s">
        <v>98</v>
      </c>
      <c r="BH1628" t="s">
        <v>99</v>
      </c>
      <c r="BI1628" t="s">
        <v>98</v>
      </c>
      <c r="BJ1628" t="s">
        <v>99</v>
      </c>
      <c r="BK1628" t="s">
        <v>453</v>
      </c>
      <c r="BL1628" t="s">
        <v>7528</v>
      </c>
      <c r="BM1628">
        <v>6.38</v>
      </c>
      <c r="BN1628">
        <v>10.75</v>
      </c>
      <c r="CA1628">
        <v>9851</v>
      </c>
      <c r="CB1628" t="s">
        <v>4356</v>
      </c>
      <c r="CG1628">
        <v>3000</v>
      </c>
      <c r="CH1628">
        <v>92</v>
      </c>
      <c r="CI1628">
        <v>526</v>
      </c>
      <c r="CJ1628">
        <v>157</v>
      </c>
      <c r="CK1628">
        <v>30000</v>
      </c>
      <c r="CL1628" t="s">
        <v>99</v>
      </c>
      <c r="CM1628" t="s">
        <v>98</v>
      </c>
      <c r="CN1628" t="s">
        <v>3227</v>
      </c>
      <c r="CO1628" s="1">
        <v>43047</v>
      </c>
      <c r="CP1628" s="1">
        <v>43633</v>
      </c>
    </row>
    <row r="1629" spans="1:94" x14ac:dyDescent="0.25">
      <c r="A1629" t="s">
        <v>5132</v>
      </c>
      <c r="B1629" t="str">
        <f xml:space="preserve"> "" &amp; 747396105826</f>
        <v>747396105826</v>
      </c>
      <c r="C1629" t="s">
        <v>3424</v>
      </c>
      <c r="D1629" t="s">
        <v>5128</v>
      </c>
      <c r="E1629" t="s">
        <v>5129</v>
      </c>
      <c r="F1629" t="s">
        <v>3188</v>
      </c>
      <c r="G1629">
        <v>1</v>
      </c>
      <c r="H1629">
        <v>1</v>
      </c>
      <c r="I1629" t="s">
        <v>97</v>
      </c>
      <c r="J1629" s="10">
        <v>75</v>
      </c>
      <c r="K1629" s="10">
        <v>225</v>
      </c>
      <c r="L1629" s="10">
        <v>0</v>
      </c>
      <c r="N1629" s="10">
        <v>0</v>
      </c>
      <c r="O1629" t="s">
        <v>99</v>
      </c>
      <c r="P1629" s="10">
        <v>159.94999999999999</v>
      </c>
      <c r="S1629">
        <v>14</v>
      </c>
      <c r="U1629">
        <v>6.75</v>
      </c>
      <c r="V1629">
        <v>2.75</v>
      </c>
      <c r="W1629">
        <v>2.12</v>
      </c>
      <c r="X1629">
        <v>1</v>
      </c>
      <c r="Y1629">
        <v>16.38</v>
      </c>
      <c r="Z1629">
        <v>8.6300000000000008</v>
      </c>
      <c r="AA1629">
        <v>4.75</v>
      </c>
      <c r="AB1629">
        <v>0.38900000000000001</v>
      </c>
      <c r="AC1629">
        <v>2.98</v>
      </c>
      <c r="AE1629">
        <v>1</v>
      </c>
      <c r="AF1629" t="s">
        <v>559</v>
      </c>
      <c r="AG1629">
        <v>14</v>
      </c>
      <c r="AI1629">
        <v>1</v>
      </c>
      <c r="AK1629" t="s">
        <v>99</v>
      </c>
      <c r="AM1629" t="s">
        <v>98</v>
      </c>
      <c r="AN1629" t="s">
        <v>99</v>
      </c>
      <c r="AO1629" t="s">
        <v>98</v>
      </c>
      <c r="AP1629" t="s">
        <v>100</v>
      </c>
      <c r="AQ1629" t="s">
        <v>101</v>
      </c>
      <c r="AV1629" t="s">
        <v>98</v>
      </c>
      <c r="AX1629" t="s">
        <v>4356</v>
      </c>
      <c r="AZ1629" t="s">
        <v>102</v>
      </c>
      <c r="BB1629" t="s">
        <v>235</v>
      </c>
      <c r="BC1629" t="s">
        <v>5130</v>
      </c>
      <c r="BD1629" t="s">
        <v>7528</v>
      </c>
      <c r="BF1629" t="s">
        <v>5133</v>
      </c>
      <c r="BG1629" t="s">
        <v>98</v>
      </c>
      <c r="BH1629" t="s">
        <v>98</v>
      </c>
      <c r="BI1629" t="s">
        <v>98</v>
      </c>
      <c r="BJ1629" t="s">
        <v>99</v>
      </c>
      <c r="BK1629" t="s">
        <v>453</v>
      </c>
      <c r="BL1629" t="s">
        <v>7528</v>
      </c>
      <c r="BM1629">
        <v>6.38</v>
      </c>
      <c r="BN1629">
        <v>13.75</v>
      </c>
      <c r="CA1629">
        <v>9852</v>
      </c>
      <c r="CB1629" t="s">
        <v>4356</v>
      </c>
      <c r="CG1629">
        <v>3000</v>
      </c>
      <c r="CH1629">
        <v>92</v>
      </c>
      <c r="CI1629">
        <v>673</v>
      </c>
      <c r="CJ1629">
        <v>192</v>
      </c>
      <c r="CK1629">
        <v>30000</v>
      </c>
      <c r="CL1629" t="s">
        <v>99</v>
      </c>
      <c r="CM1629" t="s">
        <v>98</v>
      </c>
      <c r="CN1629" t="s">
        <v>3227</v>
      </c>
      <c r="CO1629" s="1">
        <v>43047</v>
      </c>
      <c r="CP1629" s="1">
        <v>43633</v>
      </c>
    </row>
    <row r="1630" spans="1:94" x14ac:dyDescent="0.25">
      <c r="A1630" t="s">
        <v>5134</v>
      </c>
      <c r="B1630" t="str">
        <f xml:space="preserve"> "" &amp; 747396084022</f>
        <v>747396084022</v>
      </c>
      <c r="C1630" t="s">
        <v>476</v>
      </c>
      <c r="D1630" t="s">
        <v>6997</v>
      </c>
      <c r="E1630" t="s">
        <v>4892</v>
      </c>
      <c r="F1630" t="s">
        <v>2823</v>
      </c>
      <c r="G1630">
        <v>1</v>
      </c>
      <c r="H1630">
        <v>1</v>
      </c>
      <c r="I1630" t="s">
        <v>97</v>
      </c>
      <c r="J1630" s="10">
        <v>67</v>
      </c>
      <c r="K1630" s="10">
        <v>201</v>
      </c>
      <c r="L1630" s="10">
        <v>0</v>
      </c>
      <c r="N1630" s="10">
        <v>0</v>
      </c>
      <c r="O1630" t="s">
        <v>99</v>
      </c>
      <c r="P1630" s="10">
        <v>134.94999999999999</v>
      </c>
      <c r="S1630">
        <v>8.5</v>
      </c>
      <c r="U1630">
        <v>11.75</v>
      </c>
      <c r="W1630">
        <v>3.4</v>
      </c>
      <c r="Y1630">
        <v>12</v>
      </c>
      <c r="Z1630">
        <v>13.75</v>
      </c>
      <c r="AA1630">
        <v>13.75</v>
      </c>
      <c r="AB1630">
        <v>1.3129999999999999</v>
      </c>
      <c r="AC1630">
        <v>5.56</v>
      </c>
      <c r="AE1630">
        <v>2</v>
      </c>
      <c r="AF1630" t="s">
        <v>5135</v>
      </c>
      <c r="AG1630">
        <v>40</v>
      </c>
      <c r="AK1630" t="s">
        <v>98</v>
      </c>
      <c r="AM1630" t="s">
        <v>98</v>
      </c>
      <c r="AN1630" t="s">
        <v>99</v>
      </c>
      <c r="AO1630" t="s">
        <v>98</v>
      </c>
      <c r="AP1630" t="s">
        <v>100</v>
      </c>
      <c r="AQ1630" t="s">
        <v>101</v>
      </c>
      <c r="AV1630" t="s">
        <v>98</v>
      </c>
      <c r="AX1630" t="s">
        <v>164</v>
      </c>
      <c r="AZ1630" t="s">
        <v>124</v>
      </c>
      <c r="BB1630" t="s">
        <v>235</v>
      </c>
      <c r="BC1630" t="s">
        <v>4731</v>
      </c>
      <c r="BD1630" t="s">
        <v>7528</v>
      </c>
      <c r="BF1630" t="s">
        <v>5136</v>
      </c>
      <c r="BG1630" t="s">
        <v>98</v>
      </c>
      <c r="BH1630" t="s">
        <v>98</v>
      </c>
      <c r="BI1630" t="s">
        <v>98</v>
      </c>
      <c r="BK1630" t="s">
        <v>127</v>
      </c>
      <c r="BL1630" t="s">
        <v>7528</v>
      </c>
      <c r="CA1630" t="s">
        <v>5137</v>
      </c>
      <c r="CB1630" t="s">
        <v>164</v>
      </c>
      <c r="CL1630" t="s">
        <v>99</v>
      </c>
      <c r="CM1630" t="s">
        <v>98</v>
      </c>
      <c r="CN1630" t="s">
        <v>3588</v>
      </c>
      <c r="CO1630" s="1">
        <v>40806</v>
      </c>
      <c r="CP1630" s="1">
        <v>43633</v>
      </c>
    </row>
    <row r="1631" spans="1:94" x14ac:dyDescent="0.25">
      <c r="A1631" t="s">
        <v>5138</v>
      </c>
      <c r="B1631" t="str">
        <f xml:space="preserve"> "" &amp; 840253023018</f>
        <v>840253023018</v>
      </c>
      <c r="C1631" t="s">
        <v>5139</v>
      </c>
      <c r="D1631" t="s">
        <v>6998</v>
      </c>
      <c r="E1631" t="s">
        <v>7528</v>
      </c>
      <c r="F1631" t="s">
        <v>627</v>
      </c>
      <c r="G1631">
        <v>1</v>
      </c>
      <c r="H1631">
        <v>1</v>
      </c>
      <c r="I1631" t="s">
        <v>97</v>
      </c>
      <c r="J1631" s="10">
        <v>20</v>
      </c>
      <c r="K1631" s="10">
        <v>60</v>
      </c>
      <c r="L1631" s="10">
        <v>0</v>
      </c>
      <c r="N1631" s="10">
        <v>0</v>
      </c>
      <c r="W1631">
        <v>1.21</v>
      </c>
      <c r="X1631">
        <v>1</v>
      </c>
      <c r="Y1631">
        <v>14</v>
      </c>
      <c r="Z1631">
        <v>19.75</v>
      </c>
      <c r="AA1631">
        <v>19.75</v>
      </c>
      <c r="AB1631">
        <v>3.16</v>
      </c>
      <c r="AC1631">
        <v>2.71</v>
      </c>
      <c r="AF1631" t="s">
        <v>7528</v>
      </c>
      <c r="AK1631" t="s">
        <v>98</v>
      </c>
      <c r="AM1631" t="s">
        <v>98</v>
      </c>
      <c r="AN1631" t="s">
        <v>98</v>
      </c>
      <c r="AO1631" t="s">
        <v>98</v>
      </c>
      <c r="AP1631" t="s">
        <v>100</v>
      </c>
      <c r="AQ1631" t="s">
        <v>101</v>
      </c>
      <c r="AV1631" t="s">
        <v>98</v>
      </c>
      <c r="AX1631" t="s">
        <v>7528</v>
      </c>
      <c r="AZ1631" t="s">
        <v>7528</v>
      </c>
      <c r="BB1631" t="s">
        <v>197</v>
      </c>
      <c r="BC1631" t="s">
        <v>7528</v>
      </c>
      <c r="BD1631" t="s">
        <v>7528</v>
      </c>
      <c r="BF1631" t="s">
        <v>5140</v>
      </c>
      <c r="BG1631" t="s">
        <v>98</v>
      </c>
      <c r="BH1631" t="s">
        <v>98</v>
      </c>
      <c r="BI1631" t="s">
        <v>98</v>
      </c>
      <c r="BK1631" t="s">
        <v>7528</v>
      </c>
      <c r="BL1631" t="s">
        <v>7528</v>
      </c>
      <c r="CA1631" t="s">
        <v>5138</v>
      </c>
      <c r="CB1631" t="s">
        <v>7528</v>
      </c>
      <c r="CL1631" t="s">
        <v>98</v>
      </c>
      <c r="CM1631" t="s">
        <v>98</v>
      </c>
      <c r="CN1631" t="s">
        <v>197</v>
      </c>
      <c r="CO1631" s="1">
        <v>40414</v>
      </c>
      <c r="CP1631" s="1">
        <v>43633</v>
      </c>
    </row>
    <row r="1632" spans="1:94" x14ac:dyDescent="0.25">
      <c r="A1632" t="s">
        <v>5141</v>
      </c>
      <c r="B1632" t="str">
        <f xml:space="preserve"> "" &amp; 747396069494</f>
        <v>747396069494</v>
      </c>
      <c r="C1632" t="s">
        <v>521</v>
      </c>
      <c r="D1632" t="s">
        <v>6999</v>
      </c>
      <c r="E1632" t="s">
        <v>333</v>
      </c>
      <c r="F1632" t="s">
        <v>358</v>
      </c>
      <c r="G1632">
        <v>1</v>
      </c>
      <c r="H1632">
        <v>1</v>
      </c>
      <c r="I1632" t="s">
        <v>97</v>
      </c>
      <c r="J1632" s="10">
        <v>69.95</v>
      </c>
      <c r="K1632" s="10">
        <v>209.85</v>
      </c>
      <c r="L1632" s="10">
        <v>0</v>
      </c>
      <c r="N1632" s="10">
        <v>0</v>
      </c>
      <c r="O1632" t="s">
        <v>99</v>
      </c>
      <c r="P1632" s="10">
        <v>139.9</v>
      </c>
      <c r="S1632">
        <v>1.85</v>
      </c>
      <c r="T1632">
        <v>22.4</v>
      </c>
      <c r="U1632">
        <v>22.25</v>
      </c>
      <c r="W1632">
        <v>5.58</v>
      </c>
      <c r="Y1632">
        <v>1.85</v>
      </c>
      <c r="Z1632">
        <v>22.4</v>
      </c>
      <c r="AA1632">
        <v>22.4</v>
      </c>
      <c r="AB1632">
        <v>0.53700000000000003</v>
      </c>
      <c r="AC1632">
        <v>6.55</v>
      </c>
      <c r="AF1632" t="s">
        <v>7528</v>
      </c>
      <c r="AK1632" t="s">
        <v>98</v>
      </c>
      <c r="AM1632" t="s">
        <v>98</v>
      </c>
      <c r="AN1632" t="s">
        <v>98</v>
      </c>
      <c r="AO1632" t="s">
        <v>98</v>
      </c>
      <c r="AP1632" t="s">
        <v>100</v>
      </c>
      <c r="AQ1632" t="s">
        <v>101</v>
      </c>
      <c r="AV1632" t="s">
        <v>98</v>
      </c>
      <c r="AX1632" t="s">
        <v>334</v>
      </c>
      <c r="AZ1632" t="s">
        <v>7528</v>
      </c>
      <c r="BB1632" t="s">
        <v>235</v>
      </c>
      <c r="BC1632" t="s">
        <v>5142</v>
      </c>
      <c r="BD1632" t="s">
        <v>7528</v>
      </c>
      <c r="BF1632" t="s">
        <v>5143</v>
      </c>
      <c r="BG1632" t="s">
        <v>98</v>
      </c>
      <c r="BH1632" t="s">
        <v>98</v>
      </c>
      <c r="BI1632" t="s">
        <v>98</v>
      </c>
      <c r="BK1632" t="s">
        <v>110</v>
      </c>
      <c r="BL1632" t="s">
        <v>7528</v>
      </c>
      <c r="CA1632" t="s">
        <v>5144</v>
      </c>
      <c r="CB1632" t="s">
        <v>334</v>
      </c>
      <c r="CL1632" t="s">
        <v>98</v>
      </c>
      <c r="CM1632" t="s">
        <v>98</v>
      </c>
      <c r="CN1632" t="s">
        <v>394</v>
      </c>
      <c r="CO1632" s="1">
        <v>38896</v>
      </c>
      <c r="CP1632" s="1">
        <v>43633</v>
      </c>
    </row>
    <row r="1633" spans="1:94" x14ac:dyDescent="0.25">
      <c r="A1633" t="s">
        <v>5145</v>
      </c>
      <c r="B1633" t="str">
        <f xml:space="preserve"> "" &amp; 747396028965</f>
        <v>747396028965</v>
      </c>
      <c r="C1633" t="s">
        <v>5146</v>
      </c>
      <c r="D1633" t="s">
        <v>7000</v>
      </c>
      <c r="E1633" t="s">
        <v>7528</v>
      </c>
      <c r="F1633" t="s">
        <v>627</v>
      </c>
      <c r="G1633">
        <v>1</v>
      </c>
      <c r="H1633">
        <v>1</v>
      </c>
      <c r="I1633" t="s">
        <v>97</v>
      </c>
      <c r="J1633" s="10">
        <v>19.5</v>
      </c>
      <c r="K1633" s="10">
        <v>58.5</v>
      </c>
      <c r="L1633" s="10">
        <v>0</v>
      </c>
      <c r="N1633" s="10">
        <v>0</v>
      </c>
      <c r="S1633">
        <v>5.75</v>
      </c>
      <c r="T1633">
        <v>12.99</v>
      </c>
      <c r="U1633">
        <v>12</v>
      </c>
      <c r="W1633">
        <v>1.76</v>
      </c>
      <c r="X1633">
        <v>1</v>
      </c>
      <c r="Y1633">
        <v>7.48</v>
      </c>
      <c r="Z1633">
        <v>12.99</v>
      </c>
      <c r="AA1633">
        <v>7.09</v>
      </c>
      <c r="AB1633">
        <v>0.39900000000000002</v>
      </c>
      <c r="AC1633">
        <v>2.44</v>
      </c>
      <c r="AF1633" t="s">
        <v>7528</v>
      </c>
      <c r="AK1633" t="s">
        <v>98</v>
      </c>
      <c r="AM1633" t="s">
        <v>98</v>
      </c>
      <c r="AN1633" t="s">
        <v>98</v>
      </c>
      <c r="AO1633" t="s">
        <v>98</v>
      </c>
      <c r="AP1633" t="s">
        <v>100</v>
      </c>
      <c r="AQ1633" t="s">
        <v>101</v>
      </c>
      <c r="AV1633" t="s">
        <v>98</v>
      </c>
      <c r="AX1633" t="s">
        <v>7528</v>
      </c>
      <c r="AZ1633" t="s">
        <v>7528</v>
      </c>
      <c r="BB1633" t="s">
        <v>7528</v>
      </c>
      <c r="BC1633" t="s">
        <v>7528</v>
      </c>
      <c r="BD1633" t="s">
        <v>7528</v>
      </c>
      <c r="BF1633" t="s">
        <v>5147</v>
      </c>
      <c r="BG1633" t="s">
        <v>98</v>
      </c>
      <c r="BH1633" t="s">
        <v>98</v>
      </c>
      <c r="BI1633" t="s">
        <v>98</v>
      </c>
      <c r="BK1633" t="s">
        <v>7528</v>
      </c>
      <c r="BL1633" t="s">
        <v>7528</v>
      </c>
      <c r="CA1633" t="s">
        <v>5145</v>
      </c>
      <c r="CB1633" t="s">
        <v>7528</v>
      </c>
      <c r="CL1633" t="s">
        <v>98</v>
      </c>
      <c r="CM1633" t="s">
        <v>98</v>
      </c>
      <c r="CN1633" t="s">
        <v>7528</v>
      </c>
      <c r="CO1633" s="1">
        <v>39821</v>
      </c>
      <c r="CP1633" s="1">
        <v>43633</v>
      </c>
    </row>
    <row r="1634" spans="1:94" x14ac:dyDescent="0.25">
      <c r="A1634" t="s">
        <v>5148</v>
      </c>
      <c r="B1634" t="str">
        <f xml:space="preserve"> "" &amp; 747396029207</f>
        <v>747396029207</v>
      </c>
      <c r="C1634" t="s">
        <v>3378</v>
      </c>
      <c r="D1634" t="s">
        <v>7001</v>
      </c>
      <c r="E1634" t="s">
        <v>7528</v>
      </c>
      <c r="F1634" t="s">
        <v>627</v>
      </c>
      <c r="G1634">
        <v>1</v>
      </c>
      <c r="H1634">
        <v>1</v>
      </c>
      <c r="I1634" t="s">
        <v>97</v>
      </c>
      <c r="J1634" s="10">
        <v>14.5</v>
      </c>
      <c r="K1634" s="10">
        <v>43.5</v>
      </c>
      <c r="L1634" s="10">
        <v>0</v>
      </c>
      <c r="N1634" s="10">
        <v>0</v>
      </c>
      <c r="S1634">
        <v>5.38</v>
      </c>
      <c r="T1634">
        <v>13</v>
      </c>
      <c r="U1634">
        <v>12.5</v>
      </c>
      <c r="V1634">
        <v>6.16</v>
      </c>
      <c r="W1634">
        <v>1.25</v>
      </c>
      <c r="X1634">
        <v>1</v>
      </c>
      <c r="Y1634">
        <v>6.5</v>
      </c>
      <c r="Z1634">
        <v>13</v>
      </c>
      <c r="AA1634">
        <v>5.75</v>
      </c>
      <c r="AB1634">
        <v>0.28100000000000003</v>
      </c>
      <c r="AC1634">
        <v>2.41</v>
      </c>
      <c r="AF1634" t="s">
        <v>7528</v>
      </c>
      <c r="AK1634" t="s">
        <v>98</v>
      </c>
      <c r="AM1634" t="s">
        <v>98</v>
      </c>
      <c r="AN1634" t="s">
        <v>98</v>
      </c>
      <c r="AO1634" t="s">
        <v>98</v>
      </c>
      <c r="AP1634" t="s">
        <v>100</v>
      </c>
      <c r="AQ1634" t="s">
        <v>101</v>
      </c>
      <c r="AV1634" t="s">
        <v>98</v>
      </c>
      <c r="AX1634" t="s">
        <v>7528</v>
      </c>
      <c r="AZ1634" t="s">
        <v>7528</v>
      </c>
      <c r="BB1634" t="s">
        <v>7528</v>
      </c>
      <c r="BC1634" t="s">
        <v>7528</v>
      </c>
      <c r="BD1634" t="s">
        <v>7528</v>
      </c>
      <c r="BF1634" t="s">
        <v>5149</v>
      </c>
      <c r="BG1634" t="s">
        <v>98</v>
      </c>
      <c r="BH1634" t="s">
        <v>98</v>
      </c>
      <c r="BI1634" t="s">
        <v>98</v>
      </c>
      <c r="BK1634" t="s">
        <v>7528</v>
      </c>
      <c r="BL1634" t="s">
        <v>7528</v>
      </c>
      <c r="CA1634" t="s">
        <v>5148</v>
      </c>
      <c r="CB1634" t="s">
        <v>7528</v>
      </c>
      <c r="CL1634" t="s">
        <v>98</v>
      </c>
      <c r="CM1634" t="s">
        <v>98</v>
      </c>
      <c r="CN1634" t="s">
        <v>7528</v>
      </c>
      <c r="CO1634" s="1">
        <v>40248</v>
      </c>
      <c r="CP1634" s="1">
        <v>43633</v>
      </c>
    </row>
    <row r="1635" spans="1:94" x14ac:dyDescent="0.25">
      <c r="A1635" t="s">
        <v>5150</v>
      </c>
      <c r="B1635" t="str">
        <f xml:space="preserve"> "" &amp; 747396064123</f>
        <v>747396064123</v>
      </c>
      <c r="C1635" t="s">
        <v>5151</v>
      </c>
      <c r="D1635" t="s">
        <v>7002</v>
      </c>
      <c r="E1635" t="s">
        <v>7528</v>
      </c>
      <c r="F1635" t="s">
        <v>627</v>
      </c>
      <c r="G1635">
        <v>1</v>
      </c>
      <c r="H1635">
        <v>1</v>
      </c>
      <c r="I1635" t="s">
        <v>97</v>
      </c>
      <c r="J1635" s="10">
        <v>14.5</v>
      </c>
      <c r="K1635" s="10">
        <v>43.5</v>
      </c>
      <c r="L1635" s="10">
        <v>0</v>
      </c>
      <c r="N1635" s="10">
        <v>0</v>
      </c>
      <c r="S1635">
        <v>5.25</v>
      </c>
      <c r="T1635">
        <v>13</v>
      </c>
      <c r="U1635">
        <v>12.38</v>
      </c>
      <c r="V1635">
        <v>6</v>
      </c>
      <c r="W1635">
        <v>1.25</v>
      </c>
      <c r="X1635">
        <v>1</v>
      </c>
      <c r="Y1635">
        <v>6.5</v>
      </c>
      <c r="Z1635">
        <v>13</v>
      </c>
      <c r="AA1635">
        <v>5.75</v>
      </c>
      <c r="AB1635">
        <v>0.28100000000000003</v>
      </c>
      <c r="AC1635">
        <v>2.41</v>
      </c>
      <c r="AF1635" t="s">
        <v>7528</v>
      </c>
      <c r="AK1635" t="s">
        <v>98</v>
      </c>
      <c r="AM1635" t="s">
        <v>98</v>
      </c>
      <c r="AN1635" t="s">
        <v>98</v>
      </c>
      <c r="AO1635" t="s">
        <v>98</v>
      </c>
      <c r="AP1635" t="s">
        <v>100</v>
      </c>
      <c r="AQ1635" t="s">
        <v>101</v>
      </c>
      <c r="AV1635" t="s">
        <v>98</v>
      </c>
      <c r="AX1635" t="s">
        <v>7528</v>
      </c>
      <c r="AZ1635" t="s">
        <v>7528</v>
      </c>
      <c r="BB1635" t="s">
        <v>7528</v>
      </c>
      <c r="BC1635" t="s">
        <v>7528</v>
      </c>
      <c r="BD1635" t="s">
        <v>7528</v>
      </c>
      <c r="BF1635" t="s">
        <v>5152</v>
      </c>
      <c r="BG1635" t="s">
        <v>98</v>
      </c>
      <c r="BH1635" t="s">
        <v>98</v>
      </c>
      <c r="BI1635" t="s">
        <v>98</v>
      </c>
      <c r="BK1635" t="s">
        <v>7528</v>
      </c>
      <c r="BL1635" t="s">
        <v>7528</v>
      </c>
      <c r="CA1635" t="s">
        <v>5150</v>
      </c>
      <c r="CB1635" t="s">
        <v>7528</v>
      </c>
      <c r="CL1635" t="s">
        <v>98</v>
      </c>
      <c r="CM1635" t="s">
        <v>98</v>
      </c>
      <c r="CN1635" t="s">
        <v>7528</v>
      </c>
      <c r="CO1635" s="1">
        <v>40309</v>
      </c>
      <c r="CP1635" s="1">
        <v>43633</v>
      </c>
    </row>
    <row r="1636" spans="1:94" x14ac:dyDescent="0.25">
      <c r="A1636" t="s">
        <v>5153</v>
      </c>
      <c r="B1636" t="str">
        <f xml:space="preserve"> "" &amp; 747396029214</f>
        <v>747396029214</v>
      </c>
      <c r="C1636" t="s">
        <v>5154</v>
      </c>
      <c r="D1636" t="s">
        <v>7003</v>
      </c>
      <c r="E1636" t="s">
        <v>231</v>
      </c>
      <c r="F1636" t="s">
        <v>627</v>
      </c>
      <c r="G1636">
        <v>1</v>
      </c>
      <c r="H1636">
        <v>1</v>
      </c>
      <c r="I1636" t="s">
        <v>97</v>
      </c>
      <c r="J1636" s="10">
        <v>85</v>
      </c>
      <c r="K1636" s="10">
        <v>255</v>
      </c>
      <c r="L1636" s="10">
        <v>0</v>
      </c>
      <c r="N1636" s="10">
        <v>0</v>
      </c>
      <c r="S1636">
        <v>6</v>
      </c>
      <c r="U1636">
        <v>9.5</v>
      </c>
      <c r="W1636">
        <v>7.48</v>
      </c>
      <c r="X1636">
        <v>1</v>
      </c>
      <c r="Y1636">
        <v>10</v>
      </c>
      <c r="Z1636">
        <v>23.375</v>
      </c>
      <c r="AA1636">
        <v>23.375</v>
      </c>
      <c r="AB1636">
        <v>3.1619999999999999</v>
      </c>
      <c r="AC1636">
        <v>13.64</v>
      </c>
      <c r="AF1636" t="s">
        <v>7528</v>
      </c>
      <c r="AK1636" t="s">
        <v>98</v>
      </c>
      <c r="AM1636" t="s">
        <v>98</v>
      </c>
      <c r="AN1636" t="s">
        <v>98</v>
      </c>
      <c r="AO1636" t="s">
        <v>98</v>
      </c>
      <c r="AP1636" t="s">
        <v>100</v>
      </c>
      <c r="AQ1636" t="s">
        <v>101</v>
      </c>
      <c r="AV1636" t="s">
        <v>98</v>
      </c>
      <c r="AX1636" t="s">
        <v>7528</v>
      </c>
      <c r="AZ1636" t="s">
        <v>7528</v>
      </c>
      <c r="BB1636" t="s">
        <v>7528</v>
      </c>
      <c r="BC1636" t="s">
        <v>7528</v>
      </c>
      <c r="BD1636" t="s">
        <v>7528</v>
      </c>
      <c r="BF1636" t="s">
        <v>5155</v>
      </c>
      <c r="BG1636" t="s">
        <v>98</v>
      </c>
      <c r="BH1636" t="s">
        <v>98</v>
      </c>
      <c r="BI1636" t="s">
        <v>98</v>
      </c>
      <c r="BK1636" t="s">
        <v>7528</v>
      </c>
      <c r="BL1636" t="s">
        <v>7528</v>
      </c>
      <c r="CA1636" t="s">
        <v>5153</v>
      </c>
      <c r="CB1636" t="s">
        <v>7528</v>
      </c>
      <c r="CL1636" t="s">
        <v>98</v>
      </c>
      <c r="CM1636" t="s">
        <v>98</v>
      </c>
      <c r="CN1636" t="s">
        <v>7528</v>
      </c>
      <c r="CO1636" s="1">
        <v>40248</v>
      </c>
      <c r="CP1636" s="1">
        <v>43633</v>
      </c>
    </row>
    <row r="1637" spans="1:94" x14ac:dyDescent="0.25">
      <c r="A1637" t="s">
        <v>5156</v>
      </c>
      <c r="B1637" t="str">
        <f xml:space="preserve"> "" &amp; 747396029221</f>
        <v>747396029221</v>
      </c>
      <c r="C1637" t="s">
        <v>5151</v>
      </c>
      <c r="D1637" t="s">
        <v>7004</v>
      </c>
      <c r="E1637" t="s">
        <v>7528</v>
      </c>
      <c r="F1637" t="s">
        <v>316</v>
      </c>
      <c r="G1637">
        <v>1</v>
      </c>
      <c r="H1637">
        <v>1</v>
      </c>
      <c r="I1637" t="s">
        <v>97</v>
      </c>
      <c r="J1637" s="10">
        <v>175</v>
      </c>
      <c r="K1637" s="10">
        <v>525</v>
      </c>
      <c r="L1637" s="10">
        <v>0</v>
      </c>
      <c r="N1637" s="10">
        <v>0</v>
      </c>
      <c r="S1637">
        <v>7</v>
      </c>
      <c r="U1637">
        <v>27.16</v>
      </c>
      <c r="W1637">
        <v>15.62</v>
      </c>
      <c r="X1637">
        <v>1</v>
      </c>
      <c r="AC1637">
        <v>23.1</v>
      </c>
      <c r="AF1637" t="s">
        <v>7528</v>
      </c>
      <c r="AK1637" t="s">
        <v>98</v>
      </c>
      <c r="AM1637" t="s">
        <v>98</v>
      </c>
      <c r="AN1637" t="s">
        <v>98</v>
      </c>
      <c r="AO1637" t="s">
        <v>98</v>
      </c>
      <c r="AP1637" t="s">
        <v>259</v>
      </c>
      <c r="AQ1637" t="s">
        <v>101</v>
      </c>
      <c r="AV1637" t="s">
        <v>98</v>
      </c>
      <c r="AX1637" t="s">
        <v>7528</v>
      </c>
      <c r="AZ1637" t="s">
        <v>7528</v>
      </c>
      <c r="BB1637" t="s">
        <v>7528</v>
      </c>
      <c r="BC1637" t="s">
        <v>7528</v>
      </c>
      <c r="BD1637" t="s">
        <v>7528</v>
      </c>
      <c r="BF1637" t="s">
        <v>5157</v>
      </c>
      <c r="BG1637" t="s">
        <v>98</v>
      </c>
      <c r="BH1637" t="s">
        <v>98</v>
      </c>
      <c r="BI1637" t="s">
        <v>98</v>
      </c>
      <c r="BK1637" t="s">
        <v>7528</v>
      </c>
      <c r="BL1637" t="s">
        <v>7528</v>
      </c>
      <c r="CA1637" t="s">
        <v>5156</v>
      </c>
      <c r="CB1637" t="s">
        <v>7528</v>
      </c>
      <c r="CL1637" t="s">
        <v>98</v>
      </c>
      <c r="CM1637" t="s">
        <v>98</v>
      </c>
      <c r="CN1637" t="s">
        <v>7528</v>
      </c>
      <c r="CO1637" s="1">
        <v>40246</v>
      </c>
      <c r="CP1637" s="1">
        <v>43633</v>
      </c>
    </row>
    <row r="1638" spans="1:94" x14ac:dyDescent="0.25">
      <c r="A1638" t="s">
        <v>5158</v>
      </c>
      <c r="B1638" t="str">
        <f xml:space="preserve"> "" &amp; 747396059747</f>
        <v>747396059747</v>
      </c>
      <c r="C1638" t="s">
        <v>5159</v>
      </c>
      <c r="D1638" t="s">
        <v>7005</v>
      </c>
      <c r="E1638" t="s">
        <v>7528</v>
      </c>
      <c r="F1638" t="s">
        <v>627</v>
      </c>
      <c r="G1638">
        <v>1</v>
      </c>
      <c r="H1638">
        <v>1</v>
      </c>
      <c r="I1638" t="s">
        <v>97</v>
      </c>
      <c r="J1638" s="10">
        <v>44.5</v>
      </c>
      <c r="K1638" s="10">
        <v>133.5</v>
      </c>
      <c r="L1638" s="10">
        <v>0</v>
      </c>
      <c r="N1638" s="10">
        <v>0</v>
      </c>
      <c r="U1638">
        <v>4.68</v>
      </c>
      <c r="W1638">
        <v>4.62</v>
      </c>
      <c r="X1638">
        <v>1</v>
      </c>
      <c r="Y1638">
        <v>8</v>
      </c>
      <c r="Z1638">
        <v>21</v>
      </c>
      <c r="AA1638">
        <v>21</v>
      </c>
      <c r="AB1638">
        <v>2.0419999999999998</v>
      </c>
      <c r="AC1638">
        <v>9.9</v>
      </c>
      <c r="AF1638" t="s">
        <v>7528</v>
      </c>
      <c r="AK1638" t="s">
        <v>98</v>
      </c>
      <c r="AM1638" t="s">
        <v>98</v>
      </c>
      <c r="AN1638" t="s">
        <v>98</v>
      </c>
      <c r="AO1638" t="s">
        <v>98</v>
      </c>
      <c r="AP1638" t="s">
        <v>100</v>
      </c>
      <c r="AQ1638" t="s">
        <v>101</v>
      </c>
      <c r="AV1638" t="s">
        <v>98</v>
      </c>
      <c r="AX1638" t="s">
        <v>7528</v>
      </c>
      <c r="AZ1638" t="s">
        <v>7528</v>
      </c>
      <c r="BB1638" t="s">
        <v>7528</v>
      </c>
      <c r="BC1638" t="s">
        <v>7528</v>
      </c>
      <c r="BD1638" t="s">
        <v>7528</v>
      </c>
      <c r="BF1638" t="s">
        <v>5160</v>
      </c>
      <c r="BG1638" t="s">
        <v>98</v>
      </c>
      <c r="BH1638" t="s">
        <v>98</v>
      </c>
      <c r="BI1638" t="s">
        <v>98</v>
      </c>
      <c r="BK1638" t="s">
        <v>7528</v>
      </c>
      <c r="BL1638" t="s">
        <v>7528</v>
      </c>
      <c r="CA1638" t="s">
        <v>5158</v>
      </c>
      <c r="CB1638" t="s">
        <v>7528</v>
      </c>
      <c r="CL1638" t="s">
        <v>98</v>
      </c>
      <c r="CM1638" t="s">
        <v>98</v>
      </c>
      <c r="CN1638" t="s">
        <v>7528</v>
      </c>
      <c r="CO1638" s="1">
        <v>40248</v>
      </c>
      <c r="CP1638" s="1">
        <v>43595</v>
      </c>
    </row>
    <row r="1639" spans="1:94" x14ac:dyDescent="0.25">
      <c r="A1639" t="s">
        <v>5161</v>
      </c>
      <c r="B1639" t="str">
        <f xml:space="preserve"> "" &amp; 840253049261</f>
        <v>840253049261</v>
      </c>
      <c r="C1639" t="s">
        <v>5162</v>
      </c>
      <c r="D1639" t="s">
        <v>7006</v>
      </c>
      <c r="E1639" t="s">
        <v>7528</v>
      </c>
      <c r="F1639" t="s">
        <v>627</v>
      </c>
      <c r="G1639">
        <v>1</v>
      </c>
      <c r="H1639">
        <v>1</v>
      </c>
      <c r="I1639" t="s">
        <v>97</v>
      </c>
      <c r="J1639" s="10">
        <v>14</v>
      </c>
      <c r="K1639" s="10">
        <v>42</v>
      </c>
      <c r="L1639" s="10">
        <v>0</v>
      </c>
      <c r="N1639" s="10">
        <v>0</v>
      </c>
      <c r="S1639">
        <v>8</v>
      </c>
      <c r="U1639">
        <v>5</v>
      </c>
      <c r="W1639">
        <v>3.19</v>
      </c>
      <c r="Y1639">
        <v>19.75</v>
      </c>
      <c r="Z1639">
        <v>13.75</v>
      </c>
      <c r="AA1639">
        <v>13.75</v>
      </c>
      <c r="AB1639">
        <v>2.161</v>
      </c>
      <c r="AC1639">
        <v>3.91</v>
      </c>
      <c r="AF1639" t="s">
        <v>7528</v>
      </c>
      <c r="AK1639" t="s">
        <v>98</v>
      </c>
      <c r="AM1639" t="s">
        <v>98</v>
      </c>
      <c r="AN1639" t="s">
        <v>98</v>
      </c>
      <c r="AO1639" t="s">
        <v>98</v>
      </c>
      <c r="AP1639" t="s">
        <v>100</v>
      </c>
      <c r="AQ1639" t="s">
        <v>101</v>
      </c>
      <c r="AV1639" t="s">
        <v>98</v>
      </c>
      <c r="AX1639" t="s">
        <v>7528</v>
      </c>
      <c r="AZ1639" t="s">
        <v>7528</v>
      </c>
      <c r="BB1639" t="s">
        <v>235</v>
      </c>
      <c r="BC1639" t="s">
        <v>7528</v>
      </c>
      <c r="BD1639" t="s">
        <v>7528</v>
      </c>
      <c r="BF1639" t="s">
        <v>5163</v>
      </c>
      <c r="BG1639" t="s">
        <v>98</v>
      </c>
      <c r="BH1639" t="s">
        <v>98</v>
      </c>
      <c r="BI1639" t="s">
        <v>98</v>
      </c>
      <c r="BK1639" t="s">
        <v>7528</v>
      </c>
      <c r="BL1639" t="s">
        <v>7528</v>
      </c>
      <c r="CA1639" t="s">
        <v>5161</v>
      </c>
      <c r="CB1639" t="s">
        <v>7528</v>
      </c>
      <c r="CL1639" t="s">
        <v>98</v>
      </c>
      <c r="CM1639" t="s">
        <v>98</v>
      </c>
      <c r="CN1639" t="s">
        <v>235</v>
      </c>
      <c r="CO1639" s="1">
        <v>40477</v>
      </c>
      <c r="CP1639" s="1">
        <v>43633</v>
      </c>
    </row>
    <row r="1640" spans="1:94" x14ac:dyDescent="0.25">
      <c r="A1640" t="s">
        <v>5164</v>
      </c>
      <c r="B1640" t="str">
        <f xml:space="preserve"> "" &amp; 747396047003</f>
        <v>747396047003</v>
      </c>
      <c r="C1640" t="s">
        <v>5151</v>
      </c>
      <c r="D1640" t="s">
        <v>7007</v>
      </c>
      <c r="E1640" t="s">
        <v>7528</v>
      </c>
      <c r="F1640" t="s">
        <v>627</v>
      </c>
      <c r="G1640">
        <v>1</v>
      </c>
      <c r="H1640">
        <v>1</v>
      </c>
      <c r="I1640" t="s">
        <v>97</v>
      </c>
      <c r="J1640" s="10">
        <v>9.5</v>
      </c>
      <c r="K1640" s="10">
        <v>28.5</v>
      </c>
      <c r="L1640" s="10">
        <v>0</v>
      </c>
      <c r="N1640" s="10">
        <v>0</v>
      </c>
      <c r="S1640">
        <v>4.5</v>
      </c>
      <c r="T1640">
        <v>4.75</v>
      </c>
      <c r="U1640">
        <v>4.75</v>
      </c>
      <c r="W1640">
        <v>1.51</v>
      </c>
      <c r="X1640">
        <v>1</v>
      </c>
      <c r="Y1640">
        <v>19.5</v>
      </c>
      <c r="Z1640">
        <v>24.68</v>
      </c>
      <c r="AA1640">
        <v>13.63</v>
      </c>
      <c r="AB1640">
        <v>3.7959999999999998</v>
      </c>
      <c r="AC1640">
        <v>1.83</v>
      </c>
      <c r="AF1640" t="s">
        <v>7528</v>
      </c>
      <c r="AK1640" t="s">
        <v>98</v>
      </c>
      <c r="AM1640" t="s">
        <v>98</v>
      </c>
      <c r="AN1640" t="s">
        <v>98</v>
      </c>
      <c r="AO1640" t="s">
        <v>98</v>
      </c>
      <c r="AP1640" t="s">
        <v>100</v>
      </c>
      <c r="AQ1640" t="s">
        <v>101</v>
      </c>
      <c r="AV1640" t="s">
        <v>98</v>
      </c>
      <c r="AX1640" t="s">
        <v>7528</v>
      </c>
      <c r="AZ1640" t="s">
        <v>7528</v>
      </c>
      <c r="BB1640" t="s">
        <v>7528</v>
      </c>
      <c r="BC1640" t="s">
        <v>7528</v>
      </c>
      <c r="BD1640" t="s">
        <v>7528</v>
      </c>
      <c r="BF1640" t="s">
        <v>5165</v>
      </c>
      <c r="BG1640" t="s">
        <v>98</v>
      </c>
      <c r="BH1640" t="s">
        <v>98</v>
      </c>
      <c r="BI1640" t="s">
        <v>98</v>
      </c>
      <c r="BK1640" t="s">
        <v>7528</v>
      </c>
      <c r="BL1640" t="s">
        <v>7528</v>
      </c>
      <c r="CA1640" t="s">
        <v>5164</v>
      </c>
      <c r="CB1640" t="s">
        <v>7528</v>
      </c>
      <c r="CL1640" t="s">
        <v>98</v>
      </c>
      <c r="CM1640" t="s">
        <v>98</v>
      </c>
      <c r="CN1640" t="s">
        <v>7528</v>
      </c>
      <c r="CO1640" s="1">
        <v>40248</v>
      </c>
      <c r="CP1640" s="1">
        <v>43595</v>
      </c>
    </row>
    <row r="1641" spans="1:94" x14ac:dyDescent="0.25">
      <c r="A1641" t="s">
        <v>5166</v>
      </c>
      <c r="B1641" t="str">
        <f xml:space="preserve"> "" &amp; 747396047010</f>
        <v>747396047010</v>
      </c>
      <c r="C1641" t="s">
        <v>5151</v>
      </c>
      <c r="D1641" t="s">
        <v>7008</v>
      </c>
      <c r="E1641" t="s">
        <v>7528</v>
      </c>
      <c r="F1641" t="s">
        <v>627</v>
      </c>
      <c r="G1641">
        <v>1</v>
      </c>
      <c r="H1641">
        <v>1</v>
      </c>
      <c r="I1641" t="s">
        <v>97</v>
      </c>
      <c r="J1641" s="10">
        <v>69.5</v>
      </c>
      <c r="K1641" s="10">
        <v>208.5</v>
      </c>
      <c r="L1641" s="10">
        <v>0</v>
      </c>
      <c r="N1641" s="10">
        <v>0</v>
      </c>
      <c r="S1641">
        <v>5.75</v>
      </c>
      <c r="W1641">
        <v>5.5</v>
      </c>
      <c r="X1641">
        <v>1</v>
      </c>
      <c r="Y1641">
        <v>9.75</v>
      </c>
      <c r="Z1641">
        <v>17</v>
      </c>
      <c r="AA1641">
        <v>12</v>
      </c>
      <c r="AB1641">
        <v>1.151</v>
      </c>
      <c r="AC1641">
        <v>7.59</v>
      </c>
      <c r="AF1641" t="s">
        <v>7528</v>
      </c>
      <c r="AK1641" t="s">
        <v>98</v>
      </c>
      <c r="AM1641" t="s">
        <v>98</v>
      </c>
      <c r="AN1641" t="s">
        <v>98</v>
      </c>
      <c r="AO1641" t="s">
        <v>98</v>
      </c>
      <c r="AP1641" t="s">
        <v>100</v>
      </c>
      <c r="AQ1641" t="s">
        <v>101</v>
      </c>
      <c r="AV1641" t="s">
        <v>98</v>
      </c>
      <c r="AX1641" t="s">
        <v>7528</v>
      </c>
      <c r="AZ1641" t="s">
        <v>7528</v>
      </c>
      <c r="BB1641" t="s">
        <v>7528</v>
      </c>
      <c r="BC1641" t="s">
        <v>7528</v>
      </c>
      <c r="BD1641" t="s">
        <v>7528</v>
      </c>
      <c r="BF1641" t="s">
        <v>5167</v>
      </c>
      <c r="BG1641" t="s">
        <v>98</v>
      </c>
      <c r="BH1641" t="s">
        <v>98</v>
      </c>
      <c r="BI1641" t="s">
        <v>98</v>
      </c>
      <c r="BK1641" t="s">
        <v>7528</v>
      </c>
      <c r="BL1641" t="s">
        <v>7528</v>
      </c>
      <c r="CA1641" t="s">
        <v>5166</v>
      </c>
      <c r="CB1641" t="s">
        <v>7528</v>
      </c>
      <c r="CL1641" t="s">
        <v>98</v>
      </c>
      <c r="CM1641" t="s">
        <v>98</v>
      </c>
      <c r="CN1641" t="s">
        <v>7528</v>
      </c>
      <c r="CO1641" s="1">
        <v>40248</v>
      </c>
      <c r="CP1641" s="1">
        <v>43595</v>
      </c>
    </row>
    <row r="1642" spans="1:94" x14ac:dyDescent="0.25">
      <c r="A1642" t="s">
        <v>5168</v>
      </c>
      <c r="B1642" t="str">
        <f xml:space="preserve"> "" &amp; 747396029412</f>
        <v>747396029412</v>
      </c>
      <c r="C1642" t="s">
        <v>5151</v>
      </c>
      <c r="D1642" t="s">
        <v>7009</v>
      </c>
      <c r="E1642" t="s">
        <v>7528</v>
      </c>
      <c r="F1642" t="s">
        <v>627</v>
      </c>
      <c r="G1642">
        <v>1</v>
      </c>
      <c r="H1642">
        <v>1</v>
      </c>
      <c r="I1642" t="s">
        <v>97</v>
      </c>
      <c r="J1642" s="10">
        <v>12.5</v>
      </c>
      <c r="K1642" s="10">
        <v>37.5</v>
      </c>
      <c r="L1642" s="10">
        <v>0</v>
      </c>
      <c r="N1642" s="10">
        <v>0</v>
      </c>
      <c r="S1642">
        <v>5</v>
      </c>
      <c r="U1642">
        <v>6.5</v>
      </c>
      <c r="V1642">
        <v>3.88</v>
      </c>
      <c r="W1642">
        <v>1.32</v>
      </c>
      <c r="X1642">
        <v>1</v>
      </c>
      <c r="Y1642">
        <v>12.25</v>
      </c>
      <c r="Z1642">
        <v>17.5</v>
      </c>
      <c r="AA1642">
        <v>13.5</v>
      </c>
      <c r="AB1642">
        <v>1.675</v>
      </c>
      <c r="AC1642">
        <v>2.1800000000000002</v>
      </c>
      <c r="AF1642" t="s">
        <v>7528</v>
      </c>
      <c r="AK1642" t="s">
        <v>98</v>
      </c>
      <c r="AM1642" t="s">
        <v>98</v>
      </c>
      <c r="AN1642" t="s">
        <v>98</v>
      </c>
      <c r="AO1642" t="s">
        <v>98</v>
      </c>
      <c r="AP1642" t="s">
        <v>100</v>
      </c>
      <c r="AQ1642" t="s">
        <v>101</v>
      </c>
      <c r="AV1642" t="s">
        <v>98</v>
      </c>
      <c r="AX1642" t="s">
        <v>7528</v>
      </c>
      <c r="AZ1642" t="s">
        <v>7528</v>
      </c>
      <c r="BB1642" t="s">
        <v>7528</v>
      </c>
      <c r="BC1642" t="s">
        <v>7528</v>
      </c>
      <c r="BD1642" t="s">
        <v>7528</v>
      </c>
      <c r="BF1642" t="s">
        <v>5169</v>
      </c>
      <c r="BG1642" t="s">
        <v>98</v>
      </c>
      <c r="BH1642" t="s">
        <v>98</v>
      </c>
      <c r="BI1642" t="s">
        <v>98</v>
      </c>
      <c r="BK1642" t="s">
        <v>7528</v>
      </c>
      <c r="BL1642" t="s">
        <v>7528</v>
      </c>
      <c r="CA1642" t="s">
        <v>5168</v>
      </c>
      <c r="CB1642" t="s">
        <v>7528</v>
      </c>
      <c r="CL1642" t="s">
        <v>98</v>
      </c>
      <c r="CM1642" t="s">
        <v>98</v>
      </c>
      <c r="CN1642" t="s">
        <v>7528</v>
      </c>
      <c r="CO1642" s="1">
        <v>40248</v>
      </c>
      <c r="CP1642" s="1">
        <v>43633</v>
      </c>
    </row>
    <row r="1643" spans="1:94" x14ac:dyDescent="0.25">
      <c r="A1643" t="s">
        <v>5170</v>
      </c>
      <c r="B1643" t="str">
        <f xml:space="preserve"> "" &amp; 747396029429</f>
        <v>747396029429</v>
      </c>
      <c r="C1643" t="s">
        <v>5151</v>
      </c>
      <c r="D1643" t="s">
        <v>7010</v>
      </c>
      <c r="E1643" t="s">
        <v>7528</v>
      </c>
      <c r="F1643" t="s">
        <v>627</v>
      </c>
      <c r="G1643">
        <v>1</v>
      </c>
      <c r="H1643">
        <v>1</v>
      </c>
      <c r="I1643" t="s">
        <v>97</v>
      </c>
      <c r="J1643" s="10">
        <v>19.5</v>
      </c>
      <c r="K1643" s="10">
        <v>58.5</v>
      </c>
      <c r="L1643" s="10">
        <v>0</v>
      </c>
      <c r="N1643" s="10">
        <v>0</v>
      </c>
      <c r="S1643">
        <v>5</v>
      </c>
      <c r="T1643">
        <v>8</v>
      </c>
      <c r="U1643">
        <v>6.5</v>
      </c>
      <c r="W1643">
        <v>2.29</v>
      </c>
      <c r="X1643">
        <v>1</v>
      </c>
      <c r="Y1643">
        <v>5.5</v>
      </c>
      <c r="Z1643">
        <v>8.5</v>
      </c>
      <c r="AA1643">
        <v>7</v>
      </c>
      <c r="AB1643">
        <v>0.189</v>
      </c>
      <c r="AC1643">
        <v>3.04</v>
      </c>
      <c r="AF1643" t="s">
        <v>7528</v>
      </c>
      <c r="AK1643" t="s">
        <v>98</v>
      </c>
      <c r="AM1643" t="s">
        <v>98</v>
      </c>
      <c r="AN1643" t="s">
        <v>98</v>
      </c>
      <c r="AO1643" t="s">
        <v>98</v>
      </c>
      <c r="AP1643" t="s">
        <v>100</v>
      </c>
      <c r="AQ1643" t="s">
        <v>101</v>
      </c>
      <c r="AV1643" t="s">
        <v>98</v>
      </c>
      <c r="AX1643" t="s">
        <v>7528</v>
      </c>
      <c r="AZ1643" t="s">
        <v>7528</v>
      </c>
      <c r="BB1643" t="s">
        <v>7528</v>
      </c>
      <c r="BC1643" t="s">
        <v>7528</v>
      </c>
      <c r="BD1643" t="s">
        <v>7528</v>
      </c>
      <c r="BF1643" t="s">
        <v>5171</v>
      </c>
      <c r="BG1643" t="s">
        <v>98</v>
      </c>
      <c r="BH1643" t="s">
        <v>98</v>
      </c>
      <c r="BI1643" t="s">
        <v>98</v>
      </c>
      <c r="BK1643" t="s">
        <v>7528</v>
      </c>
      <c r="BL1643" t="s">
        <v>7528</v>
      </c>
      <c r="CA1643" t="s">
        <v>5170</v>
      </c>
      <c r="CB1643" t="s">
        <v>7528</v>
      </c>
      <c r="CL1643" t="s">
        <v>98</v>
      </c>
      <c r="CM1643" t="s">
        <v>98</v>
      </c>
      <c r="CN1643" t="s">
        <v>7528</v>
      </c>
      <c r="CO1643" s="1">
        <v>40248</v>
      </c>
      <c r="CP1643" s="1">
        <v>43633</v>
      </c>
    </row>
    <row r="1644" spans="1:94" x14ac:dyDescent="0.25">
      <c r="A1644" t="s">
        <v>5172</v>
      </c>
      <c r="B1644" t="str">
        <f xml:space="preserve"> "" &amp; 747396029436</f>
        <v>747396029436</v>
      </c>
      <c r="C1644" t="s">
        <v>5154</v>
      </c>
      <c r="D1644" t="s">
        <v>7011</v>
      </c>
      <c r="E1644" t="s">
        <v>307</v>
      </c>
      <c r="F1644" t="s">
        <v>627</v>
      </c>
      <c r="G1644">
        <v>1</v>
      </c>
      <c r="H1644">
        <v>1</v>
      </c>
      <c r="I1644" t="s">
        <v>97</v>
      </c>
      <c r="J1644" s="10">
        <v>75</v>
      </c>
      <c r="K1644" s="10">
        <v>225</v>
      </c>
      <c r="L1644" s="10">
        <v>0</v>
      </c>
      <c r="N1644" s="10">
        <v>0</v>
      </c>
      <c r="S1644">
        <v>5.38</v>
      </c>
      <c r="T1644">
        <v>13.25</v>
      </c>
      <c r="U1644">
        <v>13.25</v>
      </c>
      <c r="W1644">
        <v>5.08</v>
      </c>
      <c r="X1644">
        <v>1</v>
      </c>
      <c r="Y1644">
        <v>5.38</v>
      </c>
      <c r="Z1644">
        <v>13.25</v>
      </c>
      <c r="AA1644">
        <v>13.25</v>
      </c>
      <c r="AB1644">
        <v>0.54700000000000004</v>
      </c>
      <c r="AC1644">
        <v>7.19</v>
      </c>
      <c r="AF1644" t="s">
        <v>7528</v>
      </c>
      <c r="AK1644" t="s">
        <v>98</v>
      </c>
      <c r="AM1644" t="s">
        <v>98</v>
      </c>
      <c r="AN1644" t="s">
        <v>98</v>
      </c>
      <c r="AO1644" t="s">
        <v>98</v>
      </c>
      <c r="AP1644" t="s">
        <v>100</v>
      </c>
      <c r="AV1644" t="s">
        <v>98</v>
      </c>
      <c r="AX1644" t="s">
        <v>7528</v>
      </c>
      <c r="AZ1644" t="s">
        <v>7528</v>
      </c>
      <c r="BB1644" t="s">
        <v>7528</v>
      </c>
      <c r="BC1644" t="s">
        <v>7528</v>
      </c>
      <c r="BD1644" t="s">
        <v>7528</v>
      </c>
      <c r="BF1644" t="s">
        <v>5173</v>
      </c>
      <c r="BG1644" t="s">
        <v>98</v>
      </c>
      <c r="BH1644" t="s">
        <v>98</v>
      </c>
      <c r="BI1644" t="s">
        <v>98</v>
      </c>
      <c r="BK1644" t="s">
        <v>7528</v>
      </c>
      <c r="BL1644" t="s">
        <v>7528</v>
      </c>
      <c r="CB1644" t="s">
        <v>7528</v>
      </c>
      <c r="CL1644" t="s">
        <v>98</v>
      </c>
      <c r="CM1644" t="s">
        <v>98</v>
      </c>
      <c r="CN1644" t="s">
        <v>7528</v>
      </c>
      <c r="CP1644" s="1">
        <v>43633</v>
      </c>
    </row>
    <row r="1645" spans="1:94" x14ac:dyDescent="0.25">
      <c r="A1645" t="s">
        <v>5174</v>
      </c>
      <c r="B1645" t="str">
        <f xml:space="preserve"> "" &amp; 747396032900</f>
        <v>747396032900</v>
      </c>
      <c r="C1645" t="s">
        <v>5154</v>
      </c>
      <c r="D1645" t="s">
        <v>7012</v>
      </c>
      <c r="E1645" t="s">
        <v>307</v>
      </c>
      <c r="F1645" t="s">
        <v>627</v>
      </c>
      <c r="G1645">
        <v>1</v>
      </c>
      <c r="H1645">
        <v>1</v>
      </c>
      <c r="I1645" t="s">
        <v>97</v>
      </c>
      <c r="J1645" s="10">
        <v>36.5</v>
      </c>
      <c r="K1645" s="10">
        <v>109.5</v>
      </c>
      <c r="L1645" s="10">
        <v>0</v>
      </c>
      <c r="N1645" s="10">
        <v>0</v>
      </c>
      <c r="W1645">
        <v>3.08</v>
      </c>
      <c r="X1645">
        <v>1</v>
      </c>
      <c r="Y1645">
        <v>14.25</v>
      </c>
      <c r="Z1645">
        <v>23.63</v>
      </c>
      <c r="AA1645">
        <v>15.75</v>
      </c>
      <c r="AB1645">
        <v>3.069</v>
      </c>
      <c r="AC1645">
        <v>5.46</v>
      </c>
      <c r="AF1645" t="s">
        <v>7528</v>
      </c>
      <c r="AK1645" t="s">
        <v>98</v>
      </c>
      <c r="AM1645" t="s">
        <v>98</v>
      </c>
      <c r="AN1645" t="s">
        <v>98</v>
      </c>
      <c r="AO1645" t="s">
        <v>98</v>
      </c>
      <c r="AP1645" t="s">
        <v>100</v>
      </c>
      <c r="AV1645" t="s">
        <v>98</v>
      </c>
      <c r="AX1645" t="s">
        <v>7528</v>
      </c>
      <c r="AZ1645" t="s">
        <v>7528</v>
      </c>
      <c r="BB1645" t="s">
        <v>7528</v>
      </c>
      <c r="BC1645" t="s">
        <v>7528</v>
      </c>
      <c r="BD1645" t="s">
        <v>7528</v>
      </c>
      <c r="BF1645" t="s">
        <v>5175</v>
      </c>
      <c r="BG1645" t="s">
        <v>98</v>
      </c>
      <c r="BH1645" t="s">
        <v>98</v>
      </c>
      <c r="BI1645" t="s">
        <v>98</v>
      </c>
      <c r="BK1645" t="s">
        <v>7528</v>
      </c>
      <c r="BL1645" t="s">
        <v>7528</v>
      </c>
      <c r="CB1645" t="s">
        <v>7528</v>
      </c>
      <c r="CL1645" t="s">
        <v>98</v>
      </c>
      <c r="CM1645" t="s">
        <v>98</v>
      </c>
      <c r="CN1645" t="s">
        <v>7528</v>
      </c>
      <c r="CP1645" s="1">
        <v>43633</v>
      </c>
    </row>
    <row r="1646" spans="1:94" x14ac:dyDescent="0.25">
      <c r="A1646" t="s">
        <v>5176</v>
      </c>
      <c r="B1646" t="str">
        <f xml:space="preserve"> "" &amp; 747396047096</f>
        <v>747396047096</v>
      </c>
      <c r="C1646" t="s">
        <v>5177</v>
      </c>
      <c r="D1646" t="s">
        <v>7013</v>
      </c>
      <c r="E1646" t="s">
        <v>7528</v>
      </c>
      <c r="F1646" t="s">
        <v>627</v>
      </c>
      <c r="G1646">
        <v>1</v>
      </c>
      <c r="H1646">
        <v>1</v>
      </c>
      <c r="I1646" t="s">
        <v>97</v>
      </c>
      <c r="J1646" s="10">
        <v>15.5</v>
      </c>
      <c r="K1646" s="10">
        <v>46.5</v>
      </c>
      <c r="L1646" s="10">
        <v>0</v>
      </c>
      <c r="N1646" s="10">
        <v>0</v>
      </c>
      <c r="W1646">
        <v>1.19</v>
      </c>
      <c r="X1646">
        <v>1</v>
      </c>
      <c r="Y1646">
        <v>8.25</v>
      </c>
      <c r="Z1646">
        <v>14.5</v>
      </c>
      <c r="AA1646">
        <v>8.5</v>
      </c>
      <c r="AB1646">
        <v>0.58799999999999997</v>
      </c>
      <c r="AC1646">
        <v>2.6</v>
      </c>
      <c r="AF1646" t="s">
        <v>7528</v>
      </c>
      <c r="AK1646" t="s">
        <v>98</v>
      </c>
      <c r="AM1646" t="s">
        <v>98</v>
      </c>
      <c r="AN1646" t="s">
        <v>98</v>
      </c>
      <c r="AO1646" t="s">
        <v>98</v>
      </c>
      <c r="AP1646" t="s">
        <v>100</v>
      </c>
      <c r="AQ1646" t="s">
        <v>101</v>
      </c>
      <c r="AV1646" t="s">
        <v>98</v>
      </c>
      <c r="AX1646" t="s">
        <v>7528</v>
      </c>
      <c r="AZ1646" t="s">
        <v>7528</v>
      </c>
      <c r="BB1646" t="s">
        <v>7528</v>
      </c>
      <c r="BC1646" t="s">
        <v>7528</v>
      </c>
      <c r="BD1646" t="s">
        <v>7528</v>
      </c>
      <c r="BF1646" t="s">
        <v>5178</v>
      </c>
      <c r="BG1646" t="s">
        <v>98</v>
      </c>
      <c r="BH1646" t="s">
        <v>98</v>
      </c>
      <c r="BI1646" t="s">
        <v>98</v>
      </c>
      <c r="BK1646" t="s">
        <v>7528</v>
      </c>
      <c r="BL1646" t="s">
        <v>7528</v>
      </c>
      <c r="CA1646" t="s">
        <v>5176</v>
      </c>
      <c r="CB1646" t="s">
        <v>7528</v>
      </c>
      <c r="CL1646" t="s">
        <v>98</v>
      </c>
      <c r="CM1646" t="s">
        <v>98</v>
      </c>
      <c r="CN1646" t="s">
        <v>7528</v>
      </c>
      <c r="CO1646" s="1">
        <v>40248</v>
      </c>
      <c r="CP1646" s="1">
        <v>43595</v>
      </c>
    </row>
    <row r="1647" spans="1:94" x14ac:dyDescent="0.25">
      <c r="A1647" t="s">
        <v>5179</v>
      </c>
      <c r="B1647" t="str">
        <f xml:space="preserve"> "" &amp; 747396047102</f>
        <v>747396047102</v>
      </c>
      <c r="C1647" t="s">
        <v>5177</v>
      </c>
      <c r="D1647" t="s">
        <v>7014</v>
      </c>
      <c r="E1647" t="s">
        <v>7528</v>
      </c>
      <c r="F1647" t="s">
        <v>627</v>
      </c>
      <c r="G1647">
        <v>1</v>
      </c>
      <c r="H1647">
        <v>1</v>
      </c>
      <c r="I1647" t="s">
        <v>97</v>
      </c>
      <c r="J1647" s="10">
        <v>75</v>
      </c>
      <c r="K1647" s="10">
        <v>225</v>
      </c>
      <c r="L1647" s="10">
        <v>0</v>
      </c>
      <c r="N1647" s="10">
        <v>0</v>
      </c>
      <c r="S1647">
        <v>6.75</v>
      </c>
      <c r="U1647">
        <v>22</v>
      </c>
      <c r="W1647">
        <v>8.5399999999999991</v>
      </c>
      <c r="X1647">
        <v>1</v>
      </c>
      <c r="Y1647">
        <v>9</v>
      </c>
      <c r="Z1647">
        <v>24.75</v>
      </c>
      <c r="AA1647">
        <v>24.75</v>
      </c>
      <c r="AB1647">
        <v>3.19</v>
      </c>
      <c r="AC1647">
        <v>12.76</v>
      </c>
      <c r="AF1647" t="s">
        <v>7528</v>
      </c>
      <c r="AK1647" t="s">
        <v>98</v>
      </c>
      <c r="AM1647" t="s">
        <v>98</v>
      </c>
      <c r="AN1647" t="s">
        <v>98</v>
      </c>
      <c r="AO1647" t="s">
        <v>98</v>
      </c>
      <c r="AP1647" t="s">
        <v>100</v>
      </c>
      <c r="AQ1647" t="s">
        <v>101</v>
      </c>
      <c r="AV1647" t="s">
        <v>98</v>
      </c>
      <c r="AX1647" t="s">
        <v>7528</v>
      </c>
      <c r="AZ1647" t="s">
        <v>7528</v>
      </c>
      <c r="BB1647" t="s">
        <v>7528</v>
      </c>
      <c r="BC1647" t="s">
        <v>7528</v>
      </c>
      <c r="BD1647" t="s">
        <v>7528</v>
      </c>
      <c r="BF1647" t="s">
        <v>5180</v>
      </c>
      <c r="BG1647" t="s">
        <v>98</v>
      </c>
      <c r="BH1647" t="s">
        <v>98</v>
      </c>
      <c r="BI1647" t="s">
        <v>98</v>
      </c>
      <c r="BK1647" t="s">
        <v>7528</v>
      </c>
      <c r="BL1647" t="s">
        <v>7528</v>
      </c>
      <c r="CA1647" t="s">
        <v>5179</v>
      </c>
      <c r="CB1647" t="s">
        <v>7528</v>
      </c>
      <c r="CL1647" t="s">
        <v>98</v>
      </c>
      <c r="CM1647" t="s">
        <v>98</v>
      </c>
      <c r="CN1647" t="s">
        <v>7528</v>
      </c>
      <c r="CO1647" s="1">
        <v>40248</v>
      </c>
      <c r="CP1647" s="1">
        <v>43595</v>
      </c>
    </row>
    <row r="1648" spans="1:94" x14ac:dyDescent="0.25">
      <c r="A1648" t="s">
        <v>5181</v>
      </c>
      <c r="B1648" t="str">
        <f xml:space="preserve"> "" &amp; 747396047119</f>
        <v>747396047119</v>
      </c>
      <c r="C1648" t="s">
        <v>5177</v>
      </c>
      <c r="D1648" t="s">
        <v>7015</v>
      </c>
      <c r="E1648" t="s">
        <v>7528</v>
      </c>
      <c r="F1648" t="s">
        <v>627</v>
      </c>
      <c r="G1648">
        <v>1</v>
      </c>
      <c r="H1648">
        <v>1</v>
      </c>
      <c r="I1648" t="s">
        <v>97</v>
      </c>
      <c r="J1648" s="10">
        <v>27.5</v>
      </c>
      <c r="K1648" s="10">
        <v>82.5</v>
      </c>
      <c r="L1648" s="10">
        <v>0</v>
      </c>
      <c r="N1648" s="10">
        <v>0</v>
      </c>
      <c r="S1648">
        <v>6</v>
      </c>
      <c r="U1648">
        <v>14.38</v>
      </c>
      <c r="W1648">
        <v>4.62</v>
      </c>
      <c r="X1648">
        <v>1</v>
      </c>
      <c r="Y1648">
        <v>8</v>
      </c>
      <c r="Z1648">
        <v>17.5</v>
      </c>
      <c r="AA1648">
        <v>17.5</v>
      </c>
      <c r="AB1648">
        <v>1.4179999999999999</v>
      </c>
      <c r="AC1648">
        <v>6.31</v>
      </c>
      <c r="AF1648" t="s">
        <v>7528</v>
      </c>
      <c r="AK1648" t="s">
        <v>98</v>
      </c>
      <c r="AM1648" t="s">
        <v>98</v>
      </c>
      <c r="AN1648" t="s">
        <v>98</v>
      </c>
      <c r="AO1648" t="s">
        <v>98</v>
      </c>
      <c r="AP1648" t="s">
        <v>100</v>
      </c>
      <c r="AQ1648" t="s">
        <v>101</v>
      </c>
      <c r="AV1648" t="s">
        <v>98</v>
      </c>
      <c r="AX1648" t="s">
        <v>7528</v>
      </c>
      <c r="AZ1648" t="s">
        <v>7528</v>
      </c>
      <c r="BB1648" t="s">
        <v>7528</v>
      </c>
      <c r="BC1648" t="s">
        <v>7528</v>
      </c>
      <c r="BD1648" t="s">
        <v>7528</v>
      </c>
      <c r="BF1648" t="s">
        <v>5182</v>
      </c>
      <c r="BG1648" t="s">
        <v>98</v>
      </c>
      <c r="BH1648" t="s">
        <v>98</v>
      </c>
      <c r="BI1648" t="s">
        <v>98</v>
      </c>
      <c r="BK1648" t="s">
        <v>7528</v>
      </c>
      <c r="BL1648" t="s">
        <v>7528</v>
      </c>
      <c r="CA1648" t="s">
        <v>5181</v>
      </c>
      <c r="CB1648" t="s">
        <v>7528</v>
      </c>
      <c r="CL1648" t="s">
        <v>98</v>
      </c>
      <c r="CM1648" t="s">
        <v>98</v>
      </c>
      <c r="CN1648" t="s">
        <v>7528</v>
      </c>
      <c r="CO1648" s="1">
        <v>40249</v>
      </c>
      <c r="CP1648" s="1">
        <v>43595</v>
      </c>
    </row>
    <row r="1649" spans="1:94" x14ac:dyDescent="0.25">
      <c r="A1649" t="s">
        <v>5183</v>
      </c>
      <c r="B1649" t="str">
        <f xml:space="preserve"> "" &amp; 747396047126</f>
        <v>747396047126</v>
      </c>
      <c r="C1649" t="s">
        <v>5177</v>
      </c>
      <c r="D1649" t="s">
        <v>7016</v>
      </c>
      <c r="E1649" t="s">
        <v>7528</v>
      </c>
      <c r="F1649" t="s">
        <v>627</v>
      </c>
      <c r="G1649">
        <v>1</v>
      </c>
      <c r="H1649">
        <v>1</v>
      </c>
      <c r="I1649" t="s">
        <v>97</v>
      </c>
      <c r="J1649" s="10">
        <v>27.5</v>
      </c>
      <c r="K1649" s="10">
        <v>82.5</v>
      </c>
      <c r="L1649" s="10">
        <v>0</v>
      </c>
      <c r="N1649" s="10">
        <v>0</v>
      </c>
      <c r="S1649">
        <v>5.5</v>
      </c>
      <c r="U1649">
        <v>15.75</v>
      </c>
      <c r="W1649">
        <v>3.89</v>
      </c>
      <c r="X1649">
        <v>1</v>
      </c>
      <c r="Y1649">
        <v>7.5</v>
      </c>
      <c r="Z1649">
        <v>18.5</v>
      </c>
      <c r="AA1649">
        <v>18.5</v>
      </c>
      <c r="AB1649">
        <v>1.4850000000000001</v>
      </c>
      <c r="AC1649">
        <v>5.9</v>
      </c>
      <c r="AF1649" t="s">
        <v>7528</v>
      </c>
      <c r="AK1649" t="s">
        <v>98</v>
      </c>
      <c r="AM1649" t="s">
        <v>98</v>
      </c>
      <c r="AN1649" t="s">
        <v>98</v>
      </c>
      <c r="AO1649" t="s">
        <v>98</v>
      </c>
      <c r="AP1649" t="s">
        <v>100</v>
      </c>
      <c r="AQ1649" t="s">
        <v>101</v>
      </c>
      <c r="AV1649" t="s">
        <v>98</v>
      </c>
      <c r="AX1649" t="s">
        <v>7528</v>
      </c>
      <c r="AZ1649" t="s">
        <v>7528</v>
      </c>
      <c r="BB1649" t="s">
        <v>7528</v>
      </c>
      <c r="BC1649" t="s">
        <v>7528</v>
      </c>
      <c r="BD1649" t="s">
        <v>7528</v>
      </c>
      <c r="BF1649" t="s">
        <v>5184</v>
      </c>
      <c r="BG1649" t="s">
        <v>98</v>
      </c>
      <c r="BH1649" t="s">
        <v>98</v>
      </c>
      <c r="BI1649" t="s">
        <v>98</v>
      </c>
      <c r="BK1649" t="s">
        <v>7528</v>
      </c>
      <c r="BL1649" t="s">
        <v>7528</v>
      </c>
      <c r="CA1649" t="s">
        <v>5183</v>
      </c>
      <c r="CB1649" t="s">
        <v>7528</v>
      </c>
      <c r="CL1649" t="s">
        <v>98</v>
      </c>
      <c r="CM1649" t="s">
        <v>98</v>
      </c>
      <c r="CN1649" t="s">
        <v>7528</v>
      </c>
      <c r="CO1649" s="1">
        <v>40252</v>
      </c>
      <c r="CP1649" s="1">
        <v>43595</v>
      </c>
    </row>
    <row r="1650" spans="1:94" x14ac:dyDescent="0.25">
      <c r="A1650" t="s">
        <v>5185</v>
      </c>
      <c r="B1650" t="str">
        <f xml:space="preserve"> "" &amp; 747396069869</f>
        <v>747396069869</v>
      </c>
      <c r="C1650" t="s">
        <v>5186</v>
      </c>
      <c r="D1650" t="s">
        <v>7017</v>
      </c>
      <c r="E1650" t="s">
        <v>7528</v>
      </c>
      <c r="F1650" t="s">
        <v>627</v>
      </c>
      <c r="G1650">
        <v>1</v>
      </c>
      <c r="H1650">
        <v>1</v>
      </c>
      <c r="I1650" t="s">
        <v>97</v>
      </c>
      <c r="J1650" s="10">
        <v>28.5</v>
      </c>
      <c r="K1650" s="10">
        <v>85.5</v>
      </c>
      <c r="L1650" s="10">
        <v>0</v>
      </c>
      <c r="N1650" s="10">
        <v>0</v>
      </c>
      <c r="S1650">
        <v>9.25</v>
      </c>
      <c r="U1650">
        <v>7.75</v>
      </c>
      <c r="V1650">
        <v>3.25</v>
      </c>
      <c r="W1650">
        <v>0.9</v>
      </c>
      <c r="Y1650">
        <v>10.130000000000001</v>
      </c>
      <c r="Z1650">
        <v>11.75</v>
      </c>
      <c r="AA1650">
        <v>6.38</v>
      </c>
      <c r="AB1650">
        <v>0.439</v>
      </c>
      <c r="AC1650">
        <v>1.45</v>
      </c>
      <c r="AF1650" t="s">
        <v>7528</v>
      </c>
      <c r="AK1650" t="s">
        <v>98</v>
      </c>
      <c r="AM1650" t="s">
        <v>98</v>
      </c>
      <c r="AN1650" t="s">
        <v>98</v>
      </c>
      <c r="AO1650" t="s">
        <v>98</v>
      </c>
      <c r="AP1650" t="s">
        <v>100</v>
      </c>
      <c r="AQ1650" t="s">
        <v>101</v>
      </c>
      <c r="AV1650" t="s">
        <v>98</v>
      </c>
      <c r="AX1650" t="s">
        <v>7528</v>
      </c>
      <c r="AZ1650" t="s">
        <v>7528</v>
      </c>
      <c r="BB1650" t="s">
        <v>7528</v>
      </c>
      <c r="BC1650" t="s">
        <v>7528</v>
      </c>
      <c r="BD1650" t="s">
        <v>7528</v>
      </c>
      <c r="BF1650" t="s">
        <v>5187</v>
      </c>
      <c r="BG1650" t="s">
        <v>98</v>
      </c>
      <c r="BH1650" t="s">
        <v>98</v>
      </c>
      <c r="BI1650" t="s">
        <v>98</v>
      </c>
      <c r="BK1650" t="s">
        <v>7528</v>
      </c>
      <c r="BL1650" t="s">
        <v>7528</v>
      </c>
      <c r="CA1650" t="s">
        <v>5185</v>
      </c>
      <c r="CB1650" t="s">
        <v>7528</v>
      </c>
      <c r="CL1650" t="s">
        <v>98</v>
      </c>
      <c r="CM1650" t="s">
        <v>98</v>
      </c>
      <c r="CN1650" t="s">
        <v>7528</v>
      </c>
      <c r="CO1650" s="1">
        <v>40213</v>
      </c>
      <c r="CP1650" s="1">
        <v>43633</v>
      </c>
    </row>
    <row r="1651" spans="1:94" x14ac:dyDescent="0.25">
      <c r="A1651" t="s">
        <v>5188</v>
      </c>
      <c r="B1651" t="str">
        <f xml:space="preserve"> "" &amp; 747396069852</f>
        <v>747396069852</v>
      </c>
      <c r="C1651" t="s">
        <v>5186</v>
      </c>
      <c r="D1651" t="s">
        <v>7018</v>
      </c>
      <c r="E1651" t="s">
        <v>7528</v>
      </c>
      <c r="F1651" t="s">
        <v>627</v>
      </c>
      <c r="G1651">
        <v>1</v>
      </c>
      <c r="H1651">
        <v>1</v>
      </c>
      <c r="I1651" t="s">
        <v>97</v>
      </c>
      <c r="J1651" s="10">
        <v>48</v>
      </c>
      <c r="K1651" s="10">
        <v>144</v>
      </c>
      <c r="L1651" s="10">
        <v>0</v>
      </c>
      <c r="N1651" s="10">
        <v>0</v>
      </c>
      <c r="S1651">
        <v>18</v>
      </c>
      <c r="U1651">
        <v>0.75</v>
      </c>
      <c r="V1651">
        <v>0.17</v>
      </c>
      <c r="W1651">
        <v>2.2400000000000002</v>
      </c>
      <c r="Y1651">
        <v>10.25</v>
      </c>
      <c r="Z1651">
        <v>20.5</v>
      </c>
      <c r="AA1651">
        <v>5.75</v>
      </c>
      <c r="AB1651">
        <v>0.69899999999999995</v>
      </c>
      <c r="AC1651">
        <v>3.12</v>
      </c>
      <c r="AF1651" t="s">
        <v>7528</v>
      </c>
      <c r="AK1651" t="s">
        <v>98</v>
      </c>
      <c r="AM1651" t="s">
        <v>98</v>
      </c>
      <c r="AN1651" t="s">
        <v>98</v>
      </c>
      <c r="AO1651" t="s">
        <v>98</v>
      </c>
      <c r="AP1651" t="s">
        <v>100</v>
      </c>
      <c r="AQ1651" t="s">
        <v>101</v>
      </c>
      <c r="AV1651" t="s">
        <v>98</v>
      </c>
      <c r="AX1651" t="s">
        <v>7528</v>
      </c>
      <c r="AZ1651" t="s">
        <v>7528</v>
      </c>
      <c r="BB1651" t="s">
        <v>7528</v>
      </c>
      <c r="BC1651" t="s">
        <v>7528</v>
      </c>
      <c r="BD1651" t="s">
        <v>7528</v>
      </c>
      <c r="BF1651" t="s">
        <v>5189</v>
      </c>
      <c r="BG1651" t="s">
        <v>98</v>
      </c>
      <c r="BH1651" t="s">
        <v>98</v>
      </c>
      <c r="BI1651" t="s">
        <v>98</v>
      </c>
      <c r="BK1651" t="s">
        <v>7528</v>
      </c>
      <c r="BL1651" t="s">
        <v>7528</v>
      </c>
      <c r="CA1651" t="s">
        <v>5188</v>
      </c>
      <c r="CB1651" t="s">
        <v>7528</v>
      </c>
      <c r="CL1651" t="s">
        <v>98</v>
      </c>
      <c r="CM1651" t="s">
        <v>98</v>
      </c>
      <c r="CN1651" t="s">
        <v>7528</v>
      </c>
      <c r="CO1651" s="1">
        <v>40213</v>
      </c>
      <c r="CP1651" s="1">
        <v>43633</v>
      </c>
    </row>
    <row r="1652" spans="1:94" x14ac:dyDescent="0.25">
      <c r="A1652" t="s">
        <v>5190</v>
      </c>
      <c r="B1652" t="str">
        <f xml:space="preserve"> "" &amp; 747396069883</f>
        <v>747396069883</v>
      </c>
      <c r="C1652" t="s">
        <v>5186</v>
      </c>
      <c r="D1652" t="s">
        <v>7019</v>
      </c>
      <c r="E1652" t="s">
        <v>7528</v>
      </c>
      <c r="F1652" t="s">
        <v>627</v>
      </c>
      <c r="G1652">
        <v>1</v>
      </c>
      <c r="H1652">
        <v>1</v>
      </c>
      <c r="I1652" t="s">
        <v>97</v>
      </c>
      <c r="J1652" s="10">
        <v>15</v>
      </c>
      <c r="K1652" s="10">
        <v>45</v>
      </c>
      <c r="L1652" s="10">
        <v>0</v>
      </c>
      <c r="N1652" s="10">
        <v>0</v>
      </c>
      <c r="S1652">
        <v>6.75</v>
      </c>
      <c r="U1652">
        <v>13.5</v>
      </c>
      <c r="V1652">
        <v>3.88</v>
      </c>
      <c r="W1652">
        <v>1.45</v>
      </c>
      <c r="Y1652">
        <v>9.25</v>
      </c>
      <c r="Z1652">
        <v>16</v>
      </c>
      <c r="AA1652">
        <v>7.13</v>
      </c>
      <c r="AB1652">
        <v>0.61099999999999999</v>
      </c>
      <c r="AC1652">
        <v>2.0099999999999998</v>
      </c>
      <c r="AF1652" t="s">
        <v>7528</v>
      </c>
      <c r="AK1652" t="s">
        <v>98</v>
      </c>
      <c r="AM1652" t="s">
        <v>98</v>
      </c>
      <c r="AN1652" t="s">
        <v>98</v>
      </c>
      <c r="AO1652" t="s">
        <v>98</v>
      </c>
      <c r="AP1652" t="s">
        <v>100</v>
      </c>
      <c r="AQ1652" t="s">
        <v>101</v>
      </c>
      <c r="AV1652" t="s">
        <v>98</v>
      </c>
      <c r="AX1652" t="s">
        <v>7528</v>
      </c>
      <c r="AZ1652" t="s">
        <v>7528</v>
      </c>
      <c r="BB1652" t="s">
        <v>7528</v>
      </c>
      <c r="BC1652" t="s">
        <v>7528</v>
      </c>
      <c r="BD1652" t="s">
        <v>7528</v>
      </c>
      <c r="BF1652" t="s">
        <v>5191</v>
      </c>
      <c r="BG1652" t="s">
        <v>98</v>
      </c>
      <c r="BH1652" t="s">
        <v>98</v>
      </c>
      <c r="BI1652" t="s">
        <v>98</v>
      </c>
      <c r="BK1652" t="s">
        <v>7528</v>
      </c>
      <c r="BL1652" t="s">
        <v>7528</v>
      </c>
      <c r="CA1652" t="s">
        <v>5190</v>
      </c>
      <c r="CB1652" t="s">
        <v>7528</v>
      </c>
      <c r="CL1652" t="s">
        <v>98</v>
      </c>
      <c r="CM1652" t="s">
        <v>98</v>
      </c>
      <c r="CN1652" t="s">
        <v>7528</v>
      </c>
      <c r="CO1652" s="1">
        <v>40252</v>
      </c>
      <c r="CP1652" s="1">
        <v>43633</v>
      </c>
    </row>
    <row r="1653" spans="1:94" x14ac:dyDescent="0.25">
      <c r="A1653" t="s">
        <v>5192</v>
      </c>
      <c r="B1653" t="str">
        <f xml:space="preserve"> "" &amp; 747396069906</f>
        <v>747396069906</v>
      </c>
      <c r="C1653" t="s">
        <v>5186</v>
      </c>
      <c r="D1653" t="s">
        <v>7020</v>
      </c>
      <c r="E1653" t="s">
        <v>7528</v>
      </c>
      <c r="F1653" t="s">
        <v>627</v>
      </c>
      <c r="G1653">
        <v>1</v>
      </c>
      <c r="H1653">
        <v>1</v>
      </c>
      <c r="I1653" t="s">
        <v>97</v>
      </c>
      <c r="J1653" s="10">
        <v>12</v>
      </c>
      <c r="K1653" s="10">
        <v>36</v>
      </c>
      <c r="L1653" s="10">
        <v>0</v>
      </c>
      <c r="N1653" s="10">
        <v>0</v>
      </c>
      <c r="S1653">
        <v>6.75</v>
      </c>
      <c r="U1653">
        <v>13.75</v>
      </c>
      <c r="V1653">
        <v>2.88</v>
      </c>
      <c r="W1653">
        <v>1.36</v>
      </c>
      <c r="Y1653">
        <v>9.25</v>
      </c>
      <c r="Z1653">
        <v>16.25</v>
      </c>
      <c r="AA1653">
        <v>7.38</v>
      </c>
      <c r="AB1653">
        <v>0.64200000000000002</v>
      </c>
      <c r="AC1653">
        <v>1.79</v>
      </c>
      <c r="AF1653" t="s">
        <v>7528</v>
      </c>
      <c r="AK1653" t="s">
        <v>98</v>
      </c>
      <c r="AM1653" t="s">
        <v>98</v>
      </c>
      <c r="AN1653" t="s">
        <v>98</v>
      </c>
      <c r="AO1653" t="s">
        <v>98</v>
      </c>
      <c r="AP1653" t="s">
        <v>100</v>
      </c>
      <c r="AQ1653" t="s">
        <v>101</v>
      </c>
      <c r="AV1653" t="s">
        <v>98</v>
      </c>
      <c r="AX1653" t="s">
        <v>7528</v>
      </c>
      <c r="AZ1653" t="s">
        <v>7528</v>
      </c>
      <c r="BB1653" t="s">
        <v>7528</v>
      </c>
      <c r="BC1653" t="s">
        <v>7528</v>
      </c>
      <c r="BD1653" t="s">
        <v>7528</v>
      </c>
      <c r="BF1653" t="s">
        <v>5193</v>
      </c>
      <c r="BG1653" t="s">
        <v>98</v>
      </c>
      <c r="BH1653" t="s">
        <v>98</v>
      </c>
      <c r="BI1653" t="s">
        <v>98</v>
      </c>
      <c r="BK1653" t="s">
        <v>7528</v>
      </c>
      <c r="BL1653" t="s">
        <v>7528</v>
      </c>
      <c r="CA1653" t="s">
        <v>5192</v>
      </c>
      <c r="CB1653" t="s">
        <v>7528</v>
      </c>
      <c r="CL1653" t="s">
        <v>98</v>
      </c>
      <c r="CM1653" t="s">
        <v>98</v>
      </c>
      <c r="CN1653" t="s">
        <v>7528</v>
      </c>
      <c r="CO1653" s="1">
        <v>40284</v>
      </c>
      <c r="CP1653" s="1">
        <v>43633</v>
      </c>
    </row>
    <row r="1654" spans="1:94" x14ac:dyDescent="0.25">
      <c r="A1654" t="s">
        <v>5194</v>
      </c>
      <c r="B1654" t="str">
        <f xml:space="preserve"> "" &amp; 747396070865</f>
        <v>747396070865</v>
      </c>
      <c r="C1654" t="s">
        <v>5186</v>
      </c>
      <c r="D1654" t="s">
        <v>7021</v>
      </c>
      <c r="E1654" t="s">
        <v>7528</v>
      </c>
      <c r="F1654" t="s">
        <v>627</v>
      </c>
      <c r="G1654">
        <v>1</v>
      </c>
      <c r="H1654">
        <v>1</v>
      </c>
      <c r="I1654" t="s">
        <v>97</v>
      </c>
      <c r="J1654" s="10">
        <v>12.5</v>
      </c>
      <c r="K1654" s="10">
        <v>37.5</v>
      </c>
      <c r="L1654" s="10">
        <v>0</v>
      </c>
      <c r="N1654" s="10">
        <v>0</v>
      </c>
      <c r="S1654">
        <v>13.2</v>
      </c>
      <c r="U1654">
        <v>6.5</v>
      </c>
      <c r="V1654">
        <v>1.4</v>
      </c>
      <c r="W1654">
        <v>0.94</v>
      </c>
      <c r="Y1654">
        <v>15.75</v>
      </c>
      <c r="Z1654">
        <v>9</v>
      </c>
      <c r="AA1654">
        <v>5.75</v>
      </c>
      <c r="AB1654">
        <v>0.47199999999999998</v>
      </c>
      <c r="AC1654">
        <v>1.17</v>
      </c>
      <c r="AF1654" t="s">
        <v>7528</v>
      </c>
      <c r="AK1654" t="s">
        <v>98</v>
      </c>
      <c r="AM1654" t="s">
        <v>98</v>
      </c>
      <c r="AN1654" t="s">
        <v>98</v>
      </c>
      <c r="AO1654" t="s">
        <v>98</v>
      </c>
      <c r="AP1654" t="s">
        <v>100</v>
      </c>
      <c r="AQ1654" t="s">
        <v>101</v>
      </c>
      <c r="AV1654" t="s">
        <v>98</v>
      </c>
      <c r="AX1654" t="s">
        <v>7528</v>
      </c>
      <c r="AZ1654" t="s">
        <v>7528</v>
      </c>
      <c r="BB1654" t="s">
        <v>7528</v>
      </c>
      <c r="BC1654" t="s">
        <v>7528</v>
      </c>
      <c r="BD1654" t="s">
        <v>7528</v>
      </c>
      <c r="BF1654" t="s">
        <v>5195</v>
      </c>
      <c r="BG1654" t="s">
        <v>98</v>
      </c>
      <c r="BH1654" t="s">
        <v>98</v>
      </c>
      <c r="BI1654" t="s">
        <v>98</v>
      </c>
      <c r="BK1654" t="s">
        <v>7528</v>
      </c>
      <c r="BL1654" t="s">
        <v>7528</v>
      </c>
      <c r="CA1654" t="s">
        <v>5194</v>
      </c>
      <c r="CB1654" t="s">
        <v>7528</v>
      </c>
      <c r="CL1654" t="s">
        <v>98</v>
      </c>
      <c r="CM1654" t="s">
        <v>98</v>
      </c>
      <c r="CN1654" t="s">
        <v>7528</v>
      </c>
      <c r="CO1654" s="1">
        <v>40478</v>
      </c>
      <c r="CP1654" s="1">
        <v>43595</v>
      </c>
    </row>
    <row r="1655" spans="1:94" x14ac:dyDescent="0.25">
      <c r="A1655" t="s">
        <v>5196</v>
      </c>
      <c r="B1655" t="str">
        <f xml:space="preserve"> "" &amp; 747396070360</f>
        <v>747396070360</v>
      </c>
      <c r="C1655" t="s">
        <v>5186</v>
      </c>
      <c r="D1655" t="s">
        <v>7022</v>
      </c>
      <c r="E1655" t="s">
        <v>7528</v>
      </c>
      <c r="F1655" t="s">
        <v>627</v>
      </c>
      <c r="G1655">
        <v>1</v>
      </c>
      <c r="H1655">
        <v>1</v>
      </c>
      <c r="I1655" t="s">
        <v>97</v>
      </c>
      <c r="J1655" s="10">
        <v>13.5</v>
      </c>
      <c r="K1655" s="10">
        <v>40.5</v>
      </c>
      <c r="L1655" s="10">
        <v>0</v>
      </c>
      <c r="N1655" s="10">
        <v>0</v>
      </c>
      <c r="S1655">
        <v>5.5</v>
      </c>
      <c r="U1655">
        <v>11.75</v>
      </c>
      <c r="V1655">
        <v>3.38</v>
      </c>
      <c r="W1655">
        <v>1.19</v>
      </c>
      <c r="Y1655">
        <v>8.1300000000000008</v>
      </c>
      <c r="Z1655">
        <v>14.25</v>
      </c>
      <c r="AA1655">
        <v>6.5</v>
      </c>
      <c r="AB1655">
        <v>0.436</v>
      </c>
      <c r="AC1655">
        <v>1.6</v>
      </c>
      <c r="AF1655" t="s">
        <v>7528</v>
      </c>
      <c r="AK1655" t="s">
        <v>98</v>
      </c>
      <c r="AM1655" t="s">
        <v>98</v>
      </c>
      <c r="AN1655" t="s">
        <v>98</v>
      </c>
      <c r="AO1655" t="s">
        <v>98</v>
      </c>
      <c r="AP1655" t="s">
        <v>100</v>
      </c>
      <c r="AQ1655" t="s">
        <v>101</v>
      </c>
      <c r="AV1655" t="s">
        <v>98</v>
      </c>
      <c r="AX1655" t="s">
        <v>7528</v>
      </c>
      <c r="AZ1655" t="s">
        <v>7528</v>
      </c>
      <c r="BB1655" t="s">
        <v>7528</v>
      </c>
      <c r="BC1655" t="s">
        <v>7528</v>
      </c>
      <c r="BD1655" t="s">
        <v>7528</v>
      </c>
      <c r="BF1655" t="s">
        <v>5197</v>
      </c>
      <c r="BG1655" t="s">
        <v>98</v>
      </c>
      <c r="BH1655" t="s">
        <v>98</v>
      </c>
      <c r="BI1655" t="s">
        <v>98</v>
      </c>
      <c r="BK1655" t="s">
        <v>7528</v>
      </c>
      <c r="BL1655" t="s">
        <v>7528</v>
      </c>
      <c r="CA1655" t="s">
        <v>5196</v>
      </c>
      <c r="CB1655" t="s">
        <v>7528</v>
      </c>
      <c r="CL1655" t="s">
        <v>98</v>
      </c>
      <c r="CM1655" t="s">
        <v>98</v>
      </c>
      <c r="CN1655" t="s">
        <v>7528</v>
      </c>
      <c r="CO1655" s="1">
        <v>40284</v>
      </c>
      <c r="CP1655" s="1">
        <v>43595</v>
      </c>
    </row>
    <row r="1656" spans="1:94" x14ac:dyDescent="0.25">
      <c r="A1656" t="s">
        <v>5198</v>
      </c>
      <c r="B1656" t="str">
        <f xml:space="preserve"> "" &amp; 747396050027</f>
        <v>747396050027</v>
      </c>
      <c r="C1656" t="s">
        <v>5199</v>
      </c>
      <c r="D1656" t="s">
        <v>7023</v>
      </c>
      <c r="E1656" t="s">
        <v>7528</v>
      </c>
      <c r="F1656" t="s">
        <v>627</v>
      </c>
      <c r="G1656">
        <v>1</v>
      </c>
      <c r="H1656">
        <v>1</v>
      </c>
      <c r="I1656" t="s">
        <v>97</v>
      </c>
      <c r="J1656" s="10">
        <v>38.5</v>
      </c>
      <c r="K1656" s="10">
        <v>115.5</v>
      </c>
      <c r="L1656" s="10">
        <v>0</v>
      </c>
      <c r="N1656" s="10">
        <v>0</v>
      </c>
      <c r="S1656">
        <v>5.5</v>
      </c>
      <c r="U1656">
        <v>16</v>
      </c>
      <c r="W1656">
        <v>6.6</v>
      </c>
      <c r="X1656">
        <v>1</v>
      </c>
      <c r="AC1656">
        <v>9.6999999999999993</v>
      </c>
      <c r="AF1656" t="s">
        <v>7528</v>
      </c>
      <c r="AK1656" t="s">
        <v>98</v>
      </c>
      <c r="AM1656" t="s">
        <v>98</v>
      </c>
      <c r="AN1656" t="s">
        <v>98</v>
      </c>
      <c r="AO1656" t="s">
        <v>98</v>
      </c>
      <c r="AP1656" t="s">
        <v>100</v>
      </c>
      <c r="AQ1656" t="s">
        <v>101</v>
      </c>
      <c r="AV1656" t="s">
        <v>98</v>
      </c>
      <c r="AX1656" t="s">
        <v>7528</v>
      </c>
      <c r="AZ1656" t="s">
        <v>7528</v>
      </c>
      <c r="BB1656" t="s">
        <v>7528</v>
      </c>
      <c r="BC1656" t="s">
        <v>7528</v>
      </c>
      <c r="BD1656" t="s">
        <v>7528</v>
      </c>
      <c r="BF1656" t="s">
        <v>5200</v>
      </c>
      <c r="BG1656" t="s">
        <v>98</v>
      </c>
      <c r="BH1656" t="s">
        <v>98</v>
      </c>
      <c r="BI1656" t="s">
        <v>98</v>
      </c>
      <c r="BK1656" t="s">
        <v>7528</v>
      </c>
      <c r="BL1656" t="s">
        <v>7528</v>
      </c>
      <c r="CA1656" t="s">
        <v>5198</v>
      </c>
      <c r="CB1656" t="s">
        <v>7528</v>
      </c>
      <c r="CL1656" t="s">
        <v>98</v>
      </c>
      <c r="CM1656" t="s">
        <v>98</v>
      </c>
      <c r="CN1656" t="s">
        <v>7528</v>
      </c>
      <c r="CO1656" s="1">
        <v>40253</v>
      </c>
      <c r="CP1656" s="1">
        <v>43595</v>
      </c>
    </row>
    <row r="1657" spans="1:94" x14ac:dyDescent="0.25">
      <c r="A1657" t="s">
        <v>5201</v>
      </c>
      <c r="B1657" t="str">
        <f xml:space="preserve"> "" &amp; 747396047140</f>
        <v>747396047140</v>
      </c>
      <c r="C1657" t="s">
        <v>5202</v>
      </c>
      <c r="D1657" t="s">
        <v>7024</v>
      </c>
      <c r="E1657" t="s">
        <v>7528</v>
      </c>
      <c r="F1657" t="s">
        <v>627</v>
      </c>
      <c r="G1657">
        <v>1</v>
      </c>
      <c r="H1657">
        <v>1</v>
      </c>
      <c r="I1657" t="s">
        <v>97</v>
      </c>
      <c r="J1657" s="10">
        <v>32.5</v>
      </c>
      <c r="K1657" s="10">
        <v>97.5</v>
      </c>
      <c r="L1657" s="10">
        <v>0</v>
      </c>
      <c r="N1657" s="10">
        <v>0</v>
      </c>
      <c r="S1657">
        <v>5.25</v>
      </c>
      <c r="U1657">
        <v>12.5</v>
      </c>
      <c r="W1657">
        <v>7.63</v>
      </c>
      <c r="X1657">
        <v>1</v>
      </c>
      <c r="Y1657">
        <v>20.75</v>
      </c>
      <c r="Z1657">
        <v>28.5</v>
      </c>
      <c r="AA1657">
        <v>15</v>
      </c>
      <c r="AB1657">
        <v>5.133</v>
      </c>
      <c r="AC1657">
        <v>11.07</v>
      </c>
      <c r="AF1657" t="s">
        <v>7528</v>
      </c>
      <c r="AK1657" t="s">
        <v>98</v>
      </c>
      <c r="AM1657" t="s">
        <v>98</v>
      </c>
      <c r="AN1657" t="s">
        <v>98</v>
      </c>
      <c r="AO1657" t="s">
        <v>98</v>
      </c>
      <c r="AP1657" t="s">
        <v>100</v>
      </c>
      <c r="AQ1657" t="s">
        <v>101</v>
      </c>
      <c r="AV1657" t="s">
        <v>98</v>
      </c>
      <c r="AX1657" t="s">
        <v>7528</v>
      </c>
      <c r="AZ1657" t="s">
        <v>7528</v>
      </c>
      <c r="BB1657" t="s">
        <v>7528</v>
      </c>
      <c r="BC1657" t="s">
        <v>7528</v>
      </c>
      <c r="BD1657" t="s">
        <v>7528</v>
      </c>
      <c r="BF1657" t="s">
        <v>5203</v>
      </c>
      <c r="BG1657" t="s">
        <v>98</v>
      </c>
      <c r="BH1657" t="s">
        <v>98</v>
      </c>
      <c r="BI1657" t="s">
        <v>98</v>
      </c>
      <c r="BK1657" t="s">
        <v>7528</v>
      </c>
      <c r="BL1657" t="s">
        <v>7528</v>
      </c>
      <c r="CA1657" t="s">
        <v>5201</v>
      </c>
      <c r="CB1657" t="s">
        <v>7528</v>
      </c>
      <c r="CL1657" t="s">
        <v>98</v>
      </c>
      <c r="CM1657" t="s">
        <v>98</v>
      </c>
      <c r="CN1657" t="s">
        <v>7528</v>
      </c>
      <c r="CO1657" s="1">
        <v>40253</v>
      </c>
      <c r="CP1657" s="1">
        <v>43595</v>
      </c>
    </row>
    <row r="1658" spans="1:94" x14ac:dyDescent="0.25">
      <c r="A1658" t="s">
        <v>5204</v>
      </c>
      <c r="B1658" t="str">
        <f xml:space="preserve"> "" &amp; 747396047317</f>
        <v>747396047317</v>
      </c>
      <c r="C1658" t="s">
        <v>5205</v>
      </c>
      <c r="D1658" t="s">
        <v>7025</v>
      </c>
      <c r="E1658" t="s">
        <v>7528</v>
      </c>
      <c r="F1658" t="s">
        <v>627</v>
      </c>
      <c r="G1658">
        <v>1</v>
      </c>
      <c r="H1658">
        <v>1</v>
      </c>
      <c r="I1658" t="s">
        <v>97</v>
      </c>
      <c r="J1658" s="10">
        <v>22.95</v>
      </c>
      <c r="K1658" s="10">
        <v>68.849999999999994</v>
      </c>
      <c r="L1658" s="10">
        <v>0</v>
      </c>
      <c r="N1658" s="10">
        <v>0</v>
      </c>
      <c r="S1658">
        <v>5</v>
      </c>
      <c r="U1658">
        <v>9.75</v>
      </c>
      <c r="W1658">
        <v>0.63</v>
      </c>
      <c r="X1658">
        <v>1</v>
      </c>
      <c r="Y1658">
        <v>7.87</v>
      </c>
      <c r="Z1658">
        <v>25.25</v>
      </c>
      <c r="AA1658">
        <v>18.12</v>
      </c>
      <c r="AB1658">
        <v>2.0840000000000001</v>
      </c>
      <c r="AC1658">
        <v>1.1599999999999999</v>
      </c>
      <c r="AF1658" t="s">
        <v>7528</v>
      </c>
      <c r="AK1658" t="s">
        <v>98</v>
      </c>
      <c r="AM1658" t="s">
        <v>98</v>
      </c>
      <c r="AN1658" t="s">
        <v>98</v>
      </c>
      <c r="AO1658" t="s">
        <v>98</v>
      </c>
      <c r="AP1658" t="s">
        <v>100</v>
      </c>
      <c r="AQ1658" t="s">
        <v>101</v>
      </c>
      <c r="AV1658" t="s">
        <v>98</v>
      </c>
      <c r="AX1658" t="s">
        <v>7528</v>
      </c>
      <c r="AZ1658" t="s">
        <v>7528</v>
      </c>
      <c r="BB1658" t="s">
        <v>7528</v>
      </c>
      <c r="BC1658" t="s">
        <v>7528</v>
      </c>
      <c r="BD1658" t="s">
        <v>7528</v>
      </c>
      <c r="BF1658" t="s">
        <v>5206</v>
      </c>
      <c r="BG1658" t="s">
        <v>98</v>
      </c>
      <c r="BH1658" t="s">
        <v>98</v>
      </c>
      <c r="BI1658" t="s">
        <v>98</v>
      </c>
      <c r="BK1658" t="s">
        <v>7528</v>
      </c>
      <c r="BL1658" t="s">
        <v>7528</v>
      </c>
      <c r="CA1658" t="s">
        <v>5204</v>
      </c>
      <c r="CB1658" t="s">
        <v>7528</v>
      </c>
      <c r="CL1658" t="s">
        <v>98</v>
      </c>
      <c r="CM1658" t="s">
        <v>98</v>
      </c>
      <c r="CN1658" t="s">
        <v>7528</v>
      </c>
      <c r="CO1658" s="1">
        <v>40253</v>
      </c>
      <c r="CP1658" s="1">
        <v>43595</v>
      </c>
    </row>
    <row r="1659" spans="1:94" x14ac:dyDescent="0.25">
      <c r="A1659" t="s">
        <v>5207</v>
      </c>
      <c r="B1659" t="str">
        <f xml:space="preserve"> "" &amp; 747396059938</f>
        <v>747396059938</v>
      </c>
      <c r="C1659" t="s">
        <v>5205</v>
      </c>
      <c r="D1659" t="s">
        <v>7026</v>
      </c>
      <c r="E1659" t="s">
        <v>7528</v>
      </c>
      <c r="F1659" t="s">
        <v>627</v>
      </c>
      <c r="G1659">
        <v>1</v>
      </c>
      <c r="H1659">
        <v>1</v>
      </c>
      <c r="I1659" t="s">
        <v>97</v>
      </c>
      <c r="J1659" s="10">
        <v>24</v>
      </c>
      <c r="K1659" s="10">
        <v>72</v>
      </c>
      <c r="L1659" s="10">
        <v>0</v>
      </c>
      <c r="N1659" s="10">
        <v>0</v>
      </c>
      <c r="S1659">
        <v>6.25</v>
      </c>
      <c r="U1659">
        <v>17</v>
      </c>
      <c r="W1659">
        <v>2.86</v>
      </c>
      <c r="X1659">
        <v>1</v>
      </c>
      <c r="Y1659">
        <v>11.63</v>
      </c>
      <c r="Z1659">
        <v>19.75</v>
      </c>
      <c r="AA1659">
        <v>10.5</v>
      </c>
      <c r="AB1659">
        <v>1.3959999999999999</v>
      </c>
      <c r="AC1659">
        <v>3.71</v>
      </c>
      <c r="AF1659" t="s">
        <v>7528</v>
      </c>
      <c r="AK1659" t="s">
        <v>98</v>
      </c>
      <c r="AM1659" t="s">
        <v>98</v>
      </c>
      <c r="AN1659" t="s">
        <v>98</v>
      </c>
      <c r="AO1659" t="s">
        <v>98</v>
      </c>
      <c r="AP1659" t="s">
        <v>100</v>
      </c>
      <c r="AQ1659" t="s">
        <v>101</v>
      </c>
      <c r="AV1659" t="s">
        <v>98</v>
      </c>
      <c r="AX1659" t="s">
        <v>7528</v>
      </c>
      <c r="AZ1659" t="s">
        <v>7528</v>
      </c>
      <c r="BB1659" t="s">
        <v>7528</v>
      </c>
      <c r="BC1659" t="s">
        <v>7528</v>
      </c>
      <c r="BD1659" t="s">
        <v>7528</v>
      </c>
      <c r="BF1659" t="s">
        <v>5208</v>
      </c>
      <c r="BG1659" t="s">
        <v>98</v>
      </c>
      <c r="BH1659" t="s">
        <v>98</v>
      </c>
      <c r="BI1659" t="s">
        <v>98</v>
      </c>
      <c r="BK1659" t="s">
        <v>7528</v>
      </c>
      <c r="BL1659" t="s">
        <v>7528</v>
      </c>
      <c r="CA1659" t="s">
        <v>5207</v>
      </c>
      <c r="CB1659" t="s">
        <v>7528</v>
      </c>
      <c r="CL1659" t="s">
        <v>98</v>
      </c>
      <c r="CM1659" t="s">
        <v>98</v>
      </c>
      <c r="CN1659" t="s">
        <v>7528</v>
      </c>
      <c r="CO1659" s="1">
        <v>40253</v>
      </c>
      <c r="CP1659" s="1">
        <v>43595</v>
      </c>
    </row>
    <row r="1660" spans="1:94" x14ac:dyDescent="0.25">
      <c r="A1660" t="s">
        <v>5209</v>
      </c>
      <c r="B1660" t="str">
        <f xml:space="preserve"> "" &amp; 747396029740</f>
        <v>747396029740</v>
      </c>
      <c r="C1660" t="s">
        <v>5154</v>
      </c>
      <c r="D1660" t="s">
        <v>7027</v>
      </c>
      <c r="E1660" t="s">
        <v>472</v>
      </c>
      <c r="F1660" t="s">
        <v>627</v>
      </c>
      <c r="G1660">
        <v>1</v>
      </c>
      <c r="H1660">
        <v>1</v>
      </c>
      <c r="I1660" t="s">
        <v>97</v>
      </c>
      <c r="J1660" s="10">
        <v>22.5</v>
      </c>
      <c r="K1660" s="10">
        <v>67.5</v>
      </c>
      <c r="L1660" s="10">
        <v>0</v>
      </c>
      <c r="N1660" s="10">
        <v>0</v>
      </c>
      <c r="W1660">
        <v>1.98</v>
      </c>
      <c r="X1660">
        <v>1</v>
      </c>
      <c r="Y1660">
        <v>29</v>
      </c>
      <c r="Z1660">
        <v>15</v>
      </c>
      <c r="AA1660">
        <v>15</v>
      </c>
      <c r="AB1660">
        <v>3.7759999999999998</v>
      </c>
      <c r="AC1660">
        <v>2.42</v>
      </c>
      <c r="AF1660" t="s">
        <v>7528</v>
      </c>
      <c r="AK1660" t="s">
        <v>98</v>
      </c>
      <c r="AM1660" t="s">
        <v>98</v>
      </c>
      <c r="AN1660" t="s">
        <v>98</v>
      </c>
      <c r="AO1660" t="s">
        <v>98</v>
      </c>
      <c r="AP1660" t="s">
        <v>100</v>
      </c>
      <c r="AV1660" t="s">
        <v>98</v>
      </c>
      <c r="AX1660" t="s">
        <v>7528</v>
      </c>
      <c r="AZ1660" t="s">
        <v>7528</v>
      </c>
      <c r="BB1660" t="s">
        <v>7528</v>
      </c>
      <c r="BC1660" t="s">
        <v>7528</v>
      </c>
      <c r="BD1660" t="s">
        <v>7528</v>
      </c>
      <c r="BF1660" t="s">
        <v>5210</v>
      </c>
      <c r="BG1660" t="s">
        <v>98</v>
      </c>
      <c r="BH1660" t="s">
        <v>98</v>
      </c>
      <c r="BI1660" t="s">
        <v>98</v>
      </c>
      <c r="BK1660" t="s">
        <v>7528</v>
      </c>
      <c r="BL1660" t="s">
        <v>7528</v>
      </c>
      <c r="CB1660" t="s">
        <v>7528</v>
      </c>
      <c r="CL1660" t="s">
        <v>98</v>
      </c>
      <c r="CM1660" t="s">
        <v>98</v>
      </c>
      <c r="CN1660" t="s">
        <v>7528</v>
      </c>
      <c r="CP1660" s="1">
        <v>43633</v>
      </c>
    </row>
    <row r="1661" spans="1:94" x14ac:dyDescent="0.25">
      <c r="A1661" t="s">
        <v>5211</v>
      </c>
      <c r="B1661" t="str">
        <f xml:space="preserve"> "" &amp; 747396029757</f>
        <v>747396029757</v>
      </c>
      <c r="C1661" t="s">
        <v>5154</v>
      </c>
      <c r="D1661" t="s">
        <v>7028</v>
      </c>
      <c r="E1661" t="s">
        <v>472</v>
      </c>
      <c r="F1661" t="s">
        <v>627</v>
      </c>
      <c r="G1661">
        <v>1</v>
      </c>
      <c r="H1661">
        <v>1</v>
      </c>
      <c r="I1661" t="s">
        <v>97</v>
      </c>
      <c r="J1661" s="10">
        <v>94.5</v>
      </c>
      <c r="K1661" s="10">
        <v>283.5</v>
      </c>
      <c r="L1661" s="10">
        <v>0</v>
      </c>
      <c r="N1661" s="10">
        <v>0</v>
      </c>
      <c r="W1661">
        <v>7.59</v>
      </c>
      <c r="X1661">
        <v>1</v>
      </c>
      <c r="Y1661">
        <v>7.875</v>
      </c>
      <c r="Z1661">
        <v>22.75</v>
      </c>
      <c r="AA1661">
        <v>22.75</v>
      </c>
      <c r="AB1661">
        <v>2.359</v>
      </c>
      <c r="AC1661">
        <v>10.45</v>
      </c>
      <c r="AF1661" t="s">
        <v>7528</v>
      </c>
      <c r="AK1661" t="s">
        <v>98</v>
      </c>
      <c r="AM1661" t="s">
        <v>98</v>
      </c>
      <c r="AN1661" t="s">
        <v>98</v>
      </c>
      <c r="AO1661" t="s">
        <v>98</v>
      </c>
      <c r="AP1661" t="s">
        <v>100</v>
      </c>
      <c r="AV1661" t="s">
        <v>98</v>
      </c>
      <c r="AX1661" t="s">
        <v>7528</v>
      </c>
      <c r="AZ1661" t="s">
        <v>7528</v>
      </c>
      <c r="BB1661" t="s">
        <v>7528</v>
      </c>
      <c r="BC1661" t="s">
        <v>7528</v>
      </c>
      <c r="BD1661" t="s">
        <v>7528</v>
      </c>
      <c r="BF1661" t="s">
        <v>5212</v>
      </c>
      <c r="BG1661" t="s">
        <v>98</v>
      </c>
      <c r="BH1661" t="s">
        <v>98</v>
      </c>
      <c r="BI1661" t="s">
        <v>98</v>
      </c>
      <c r="BK1661" t="s">
        <v>7528</v>
      </c>
      <c r="BL1661" t="s">
        <v>7528</v>
      </c>
      <c r="CB1661" t="s">
        <v>7528</v>
      </c>
      <c r="CL1661" t="s">
        <v>98</v>
      </c>
      <c r="CM1661" t="s">
        <v>98</v>
      </c>
      <c r="CN1661" t="s">
        <v>7528</v>
      </c>
      <c r="CP1661" s="1">
        <v>43633</v>
      </c>
    </row>
    <row r="1662" spans="1:94" x14ac:dyDescent="0.25">
      <c r="A1662" t="s">
        <v>5213</v>
      </c>
      <c r="B1662" t="str">
        <f xml:space="preserve"> "" &amp; 747396054292</f>
        <v>747396054292</v>
      </c>
      <c r="C1662" t="s">
        <v>235</v>
      </c>
      <c r="D1662" t="s">
        <v>7029</v>
      </c>
      <c r="E1662" t="s">
        <v>7528</v>
      </c>
      <c r="F1662" t="s">
        <v>627</v>
      </c>
      <c r="G1662">
        <v>1</v>
      </c>
      <c r="H1662">
        <v>1</v>
      </c>
      <c r="I1662" t="s">
        <v>97</v>
      </c>
      <c r="J1662" s="10">
        <v>14.5</v>
      </c>
      <c r="K1662" s="10">
        <v>43.5</v>
      </c>
      <c r="L1662" s="10">
        <v>0</v>
      </c>
      <c r="N1662" s="10">
        <v>0</v>
      </c>
      <c r="S1662">
        <v>4.13</v>
      </c>
      <c r="T1662">
        <v>9.8800000000000008</v>
      </c>
      <c r="U1662">
        <v>9.8800000000000008</v>
      </c>
      <c r="W1662">
        <v>2.56</v>
      </c>
      <c r="X1662">
        <v>1</v>
      </c>
      <c r="AC1662">
        <v>2.9</v>
      </c>
      <c r="AF1662" t="s">
        <v>7528</v>
      </c>
      <c r="AK1662" t="s">
        <v>98</v>
      </c>
      <c r="AM1662" t="s">
        <v>98</v>
      </c>
      <c r="AN1662" t="s">
        <v>98</v>
      </c>
      <c r="AO1662" t="s">
        <v>98</v>
      </c>
      <c r="AP1662" t="s">
        <v>100</v>
      </c>
      <c r="AQ1662" t="s">
        <v>101</v>
      </c>
      <c r="AV1662" t="s">
        <v>98</v>
      </c>
      <c r="AX1662" t="s">
        <v>7528</v>
      </c>
      <c r="AZ1662" t="s">
        <v>124</v>
      </c>
      <c r="BB1662" t="s">
        <v>7528</v>
      </c>
      <c r="BC1662" t="s">
        <v>7528</v>
      </c>
      <c r="BD1662" t="s">
        <v>7528</v>
      </c>
      <c r="BF1662" t="s">
        <v>5214</v>
      </c>
      <c r="BG1662" t="s">
        <v>98</v>
      </c>
      <c r="BH1662" t="s">
        <v>98</v>
      </c>
      <c r="BI1662" t="s">
        <v>98</v>
      </c>
      <c r="BK1662" t="s">
        <v>127</v>
      </c>
      <c r="BL1662" t="s">
        <v>7528</v>
      </c>
      <c r="CA1662" t="s">
        <v>5213</v>
      </c>
      <c r="CB1662" t="s">
        <v>7528</v>
      </c>
      <c r="CL1662" t="s">
        <v>98</v>
      </c>
      <c r="CM1662" t="s">
        <v>98</v>
      </c>
      <c r="CN1662" t="s">
        <v>7528</v>
      </c>
      <c r="CO1662" s="1">
        <v>42706</v>
      </c>
      <c r="CP1662" s="1">
        <v>43595</v>
      </c>
    </row>
    <row r="1663" spans="1:94" x14ac:dyDescent="0.25">
      <c r="A1663" t="s">
        <v>5215</v>
      </c>
      <c r="B1663" t="str">
        <f xml:space="preserve"> "" &amp; 747396054308</f>
        <v>747396054308</v>
      </c>
      <c r="C1663" t="s">
        <v>481</v>
      </c>
      <c r="D1663" t="s">
        <v>7030</v>
      </c>
      <c r="E1663" t="s">
        <v>7528</v>
      </c>
      <c r="F1663" t="s">
        <v>627</v>
      </c>
      <c r="G1663">
        <v>1</v>
      </c>
      <c r="H1663">
        <v>1</v>
      </c>
      <c r="I1663" t="s">
        <v>97</v>
      </c>
      <c r="J1663" s="10">
        <v>12.5</v>
      </c>
      <c r="K1663" s="10">
        <v>37.5</v>
      </c>
      <c r="L1663" s="10">
        <v>0</v>
      </c>
      <c r="N1663" s="10">
        <v>0</v>
      </c>
      <c r="S1663">
        <v>4.5</v>
      </c>
      <c r="U1663">
        <v>5.75</v>
      </c>
      <c r="W1663">
        <v>1.98</v>
      </c>
      <c r="X1663">
        <v>1</v>
      </c>
      <c r="Y1663">
        <v>12</v>
      </c>
      <c r="Z1663">
        <v>13.5</v>
      </c>
      <c r="AA1663">
        <v>13.5</v>
      </c>
      <c r="AB1663">
        <v>1.266</v>
      </c>
      <c r="AC1663">
        <v>2.34</v>
      </c>
      <c r="AF1663" t="s">
        <v>7528</v>
      </c>
      <c r="AK1663" t="s">
        <v>98</v>
      </c>
      <c r="AM1663" t="s">
        <v>98</v>
      </c>
      <c r="AN1663" t="s">
        <v>98</v>
      </c>
      <c r="AO1663" t="s">
        <v>98</v>
      </c>
      <c r="AP1663" t="s">
        <v>100</v>
      </c>
      <c r="AQ1663" t="s">
        <v>101</v>
      </c>
      <c r="AV1663" t="s">
        <v>98</v>
      </c>
      <c r="AX1663" t="s">
        <v>7528</v>
      </c>
      <c r="AZ1663" t="s">
        <v>7528</v>
      </c>
      <c r="BB1663" t="s">
        <v>7528</v>
      </c>
      <c r="BC1663" t="s">
        <v>7528</v>
      </c>
      <c r="BD1663" t="s">
        <v>7528</v>
      </c>
      <c r="BF1663" t="s">
        <v>5216</v>
      </c>
      <c r="BG1663" t="s">
        <v>98</v>
      </c>
      <c r="BH1663" t="s">
        <v>98</v>
      </c>
      <c r="BI1663" t="s">
        <v>98</v>
      </c>
      <c r="BK1663" t="s">
        <v>7528</v>
      </c>
      <c r="BL1663" t="s">
        <v>7528</v>
      </c>
      <c r="CA1663" t="s">
        <v>5215</v>
      </c>
      <c r="CB1663" t="s">
        <v>7528</v>
      </c>
      <c r="CL1663" t="s">
        <v>98</v>
      </c>
      <c r="CM1663" t="s">
        <v>98</v>
      </c>
      <c r="CN1663" t="s">
        <v>7528</v>
      </c>
      <c r="CO1663" s="1">
        <v>40352</v>
      </c>
      <c r="CP1663" s="1">
        <v>43595</v>
      </c>
    </row>
    <row r="1664" spans="1:94" x14ac:dyDescent="0.25">
      <c r="A1664" t="s">
        <v>5217</v>
      </c>
      <c r="B1664" t="str">
        <f xml:space="preserve"> "" &amp; 747396060170</f>
        <v>747396060170</v>
      </c>
      <c r="C1664" t="s">
        <v>3099</v>
      </c>
      <c r="D1664" t="s">
        <v>7031</v>
      </c>
      <c r="E1664" t="s">
        <v>7528</v>
      </c>
      <c r="F1664" t="s">
        <v>627</v>
      </c>
      <c r="G1664">
        <v>1</v>
      </c>
      <c r="H1664">
        <v>1</v>
      </c>
      <c r="I1664" t="s">
        <v>97</v>
      </c>
      <c r="J1664" s="10">
        <v>32.5</v>
      </c>
      <c r="K1664" s="10">
        <v>97.5</v>
      </c>
      <c r="L1664" s="10">
        <v>0</v>
      </c>
      <c r="N1664" s="10">
        <v>0</v>
      </c>
      <c r="S1664">
        <v>4.5</v>
      </c>
      <c r="T1664">
        <v>7.75</v>
      </c>
      <c r="U1664">
        <v>5</v>
      </c>
      <c r="W1664">
        <v>3.74</v>
      </c>
      <c r="Y1664">
        <v>8</v>
      </c>
      <c r="Z1664">
        <v>18.25</v>
      </c>
      <c r="AA1664">
        <v>10.25</v>
      </c>
      <c r="AB1664">
        <v>0.86599999999999999</v>
      </c>
      <c r="AC1664">
        <v>5.28</v>
      </c>
      <c r="AF1664" t="s">
        <v>7528</v>
      </c>
      <c r="AK1664" t="s">
        <v>98</v>
      </c>
      <c r="AM1664" t="s">
        <v>98</v>
      </c>
      <c r="AN1664" t="s">
        <v>98</v>
      </c>
      <c r="AO1664" t="s">
        <v>98</v>
      </c>
      <c r="AP1664" t="s">
        <v>100</v>
      </c>
      <c r="AQ1664" t="s">
        <v>101</v>
      </c>
      <c r="AV1664" t="s">
        <v>98</v>
      </c>
      <c r="AX1664" t="s">
        <v>7528</v>
      </c>
      <c r="AZ1664" t="s">
        <v>7528</v>
      </c>
      <c r="BB1664" t="s">
        <v>7528</v>
      </c>
      <c r="BC1664" t="s">
        <v>7528</v>
      </c>
      <c r="BD1664" t="s">
        <v>7528</v>
      </c>
      <c r="BF1664" t="s">
        <v>5218</v>
      </c>
      <c r="BG1664" t="s">
        <v>98</v>
      </c>
      <c r="BH1664" t="s">
        <v>98</v>
      </c>
      <c r="BI1664" t="s">
        <v>98</v>
      </c>
      <c r="BK1664" t="s">
        <v>7528</v>
      </c>
      <c r="BL1664" t="s">
        <v>7528</v>
      </c>
      <c r="CA1664" t="s">
        <v>5217</v>
      </c>
      <c r="CB1664" t="s">
        <v>7528</v>
      </c>
      <c r="CL1664" t="s">
        <v>98</v>
      </c>
      <c r="CM1664" t="s">
        <v>98</v>
      </c>
      <c r="CN1664" t="s">
        <v>7528</v>
      </c>
      <c r="CO1664" s="1">
        <v>39821</v>
      </c>
      <c r="CP1664" s="1">
        <v>43595</v>
      </c>
    </row>
    <row r="1665" spans="1:94" x14ac:dyDescent="0.25">
      <c r="A1665" t="s">
        <v>5219</v>
      </c>
      <c r="B1665" t="str">
        <f xml:space="preserve"> "" &amp; 747396060187</f>
        <v>747396060187</v>
      </c>
      <c r="C1665" t="s">
        <v>5220</v>
      </c>
      <c r="D1665" t="s">
        <v>7032</v>
      </c>
      <c r="E1665" t="s">
        <v>7528</v>
      </c>
      <c r="F1665" t="s">
        <v>627</v>
      </c>
      <c r="G1665">
        <v>1</v>
      </c>
      <c r="H1665">
        <v>1</v>
      </c>
      <c r="I1665" t="s">
        <v>97</v>
      </c>
      <c r="J1665" s="10">
        <v>49.95</v>
      </c>
      <c r="K1665" s="10">
        <v>149.85</v>
      </c>
      <c r="L1665" s="10">
        <v>0</v>
      </c>
      <c r="N1665" s="10">
        <v>0</v>
      </c>
      <c r="S1665">
        <v>5.5</v>
      </c>
      <c r="U1665">
        <v>15.16</v>
      </c>
      <c r="W1665">
        <v>8.56</v>
      </c>
      <c r="X1665">
        <v>1</v>
      </c>
      <c r="Y1665">
        <v>8.25</v>
      </c>
      <c r="Z1665">
        <v>18.5</v>
      </c>
      <c r="AA1665">
        <v>18.5</v>
      </c>
      <c r="AB1665">
        <v>1.6339999999999999</v>
      </c>
      <c r="AC1665">
        <v>9.61</v>
      </c>
      <c r="AF1665" t="s">
        <v>7528</v>
      </c>
      <c r="AK1665" t="s">
        <v>98</v>
      </c>
      <c r="AM1665" t="s">
        <v>98</v>
      </c>
      <c r="AN1665" t="s">
        <v>98</v>
      </c>
      <c r="AO1665" t="s">
        <v>98</v>
      </c>
      <c r="AP1665" t="s">
        <v>100</v>
      </c>
      <c r="AQ1665" t="s">
        <v>101</v>
      </c>
      <c r="AV1665" t="s">
        <v>98</v>
      </c>
      <c r="AX1665" t="s">
        <v>7528</v>
      </c>
      <c r="AZ1665" t="s">
        <v>7528</v>
      </c>
      <c r="BB1665" t="s">
        <v>7528</v>
      </c>
      <c r="BC1665" t="s">
        <v>7528</v>
      </c>
      <c r="BD1665" t="s">
        <v>7528</v>
      </c>
      <c r="BF1665" t="s">
        <v>5221</v>
      </c>
      <c r="BG1665" t="s">
        <v>98</v>
      </c>
      <c r="BH1665" t="s">
        <v>98</v>
      </c>
      <c r="BI1665" t="s">
        <v>98</v>
      </c>
      <c r="BK1665" t="s">
        <v>7528</v>
      </c>
      <c r="BL1665" t="s">
        <v>7528</v>
      </c>
      <c r="CA1665" t="s">
        <v>5219</v>
      </c>
      <c r="CB1665" t="s">
        <v>7528</v>
      </c>
      <c r="CL1665" t="s">
        <v>98</v>
      </c>
      <c r="CM1665" t="s">
        <v>98</v>
      </c>
      <c r="CN1665" t="s">
        <v>7528</v>
      </c>
      <c r="CO1665" s="1">
        <v>40254</v>
      </c>
      <c r="CP1665" s="1">
        <v>43633</v>
      </c>
    </row>
    <row r="1666" spans="1:94" x14ac:dyDescent="0.25">
      <c r="A1666" t="s">
        <v>5222</v>
      </c>
      <c r="B1666" t="str">
        <f xml:space="preserve"> "" &amp; 747396060194</f>
        <v>747396060194</v>
      </c>
      <c r="C1666" t="s">
        <v>5220</v>
      </c>
      <c r="D1666" t="s">
        <v>7033</v>
      </c>
      <c r="E1666" t="s">
        <v>7528</v>
      </c>
      <c r="F1666" t="s">
        <v>627</v>
      </c>
      <c r="G1666">
        <v>1</v>
      </c>
      <c r="H1666">
        <v>1</v>
      </c>
      <c r="I1666" t="s">
        <v>97</v>
      </c>
      <c r="J1666" s="10">
        <v>82.5</v>
      </c>
      <c r="K1666" s="10">
        <v>247.5</v>
      </c>
      <c r="L1666" s="10">
        <v>0</v>
      </c>
      <c r="N1666" s="10">
        <v>0</v>
      </c>
      <c r="S1666">
        <v>7.25</v>
      </c>
      <c r="T1666">
        <v>18</v>
      </c>
      <c r="U1666">
        <v>18</v>
      </c>
      <c r="W1666">
        <v>14.17</v>
      </c>
      <c r="X1666">
        <v>1</v>
      </c>
      <c r="Y1666">
        <v>10</v>
      </c>
      <c r="Z1666">
        <v>21</v>
      </c>
      <c r="AA1666">
        <v>21</v>
      </c>
      <c r="AB1666">
        <v>2.552</v>
      </c>
      <c r="AC1666">
        <v>19.25</v>
      </c>
      <c r="AF1666" t="s">
        <v>7528</v>
      </c>
      <c r="AK1666" t="s">
        <v>98</v>
      </c>
      <c r="AM1666" t="s">
        <v>98</v>
      </c>
      <c r="AN1666" t="s">
        <v>98</v>
      </c>
      <c r="AO1666" t="s">
        <v>98</v>
      </c>
      <c r="AP1666" t="s">
        <v>100</v>
      </c>
      <c r="AQ1666" t="s">
        <v>101</v>
      </c>
      <c r="AV1666" t="s">
        <v>98</v>
      </c>
      <c r="AX1666" t="s">
        <v>7528</v>
      </c>
      <c r="AZ1666" t="s">
        <v>7528</v>
      </c>
      <c r="BB1666" t="s">
        <v>7528</v>
      </c>
      <c r="BC1666" t="s">
        <v>7528</v>
      </c>
      <c r="BD1666" t="s">
        <v>7528</v>
      </c>
      <c r="BF1666" t="s">
        <v>5223</v>
      </c>
      <c r="BG1666" t="s">
        <v>98</v>
      </c>
      <c r="BH1666" t="s">
        <v>98</v>
      </c>
      <c r="BI1666" t="s">
        <v>98</v>
      </c>
      <c r="BK1666" t="s">
        <v>7528</v>
      </c>
      <c r="BL1666" t="s">
        <v>7528</v>
      </c>
      <c r="CA1666" t="s">
        <v>5222</v>
      </c>
      <c r="CB1666" t="s">
        <v>7528</v>
      </c>
      <c r="CL1666" t="s">
        <v>98</v>
      </c>
      <c r="CM1666" t="s">
        <v>98</v>
      </c>
      <c r="CN1666" t="s">
        <v>7528</v>
      </c>
      <c r="CO1666" s="1">
        <v>40254</v>
      </c>
      <c r="CP1666" s="1">
        <v>43633</v>
      </c>
    </row>
    <row r="1667" spans="1:94" x14ac:dyDescent="0.25">
      <c r="A1667" t="s">
        <v>5224</v>
      </c>
      <c r="B1667" t="str">
        <f xml:space="preserve"> "" &amp; 747396074993</f>
        <v>747396074993</v>
      </c>
      <c r="C1667" t="s">
        <v>808</v>
      </c>
      <c r="D1667" t="s">
        <v>7034</v>
      </c>
      <c r="E1667" t="s">
        <v>7528</v>
      </c>
      <c r="F1667" t="s">
        <v>627</v>
      </c>
      <c r="G1667">
        <v>1</v>
      </c>
      <c r="H1667">
        <v>1</v>
      </c>
      <c r="I1667" t="s">
        <v>97</v>
      </c>
      <c r="J1667" s="10">
        <v>13.5</v>
      </c>
      <c r="K1667" s="10">
        <v>40.5</v>
      </c>
      <c r="L1667" s="10">
        <v>0</v>
      </c>
      <c r="N1667" s="10">
        <v>0</v>
      </c>
      <c r="S1667">
        <v>3</v>
      </c>
      <c r="U1667">
        <v>8.6300000000000008</v>
      </c>
      <c r="W1667">
        <v>1</v>
      </c>
      <c r="AB1667">
        <v>0.47920000000000001</v>
      </c>
      <c r="AC1667">
        <v>2.2400000000000002</v>
      </c>
      <c r="AF1667" t="s">
        <v>7528</v>
      </c>
      <c r="AK1667" t="s">
        <v>98</v>
      </c>
      <c r="AM1667" t="s">
        <v>98</v>
      </c>
      <c r="AN1667" t="s">
        <v>98</v>
      </c>
      <c r="AO1667" t="s">
        <v>98</v>
      </c>
      <c r="AP1667" t="s">
        <v>100</v>
      </c>
      <c r="AQ1667" t="s">
        <v>101</v>
      </c>
      <c r="AV1667" t="s">
        <v>98</v>
      </c>
      <c r="AX1667" t="s">
        <v>7528</v>
      </c>
      <c r="AZ1667" t="s">
        <v>7528</v>
      </c>
      <c r="BB1667" t="s">
        <v>7528</v>
      </c>
      <c r="BC1667" t="s">
        <v>7528</v>
      </c>
      <c r="BD1667" t="s">
        <v>7528</v>
      </c>
      <c r="BF1667" t="s">
        <v>5225</v>
      </c>
      <c r="BG1667" t="s">
        <v>98</v>
      </c>
      <c r="BH1667" t="s">
        <v>98</v>
      </c>
      <c r="BI1667" t="s">
        <v>98</v>
      </c>
      <c r="BK1667" t="s">
        <v>7528</v>
      </c>
      <c r="BL1667" t="s">
        <v>7528</v>
      </c>
      <c r="CA1667" t="s">
        <v>5224</v>
      </c>
      <c r="CB1667" t="s">
        <v>7528</v>
      </c>
      <c r="CL1667" t="s">
        <v>98</v>
      </c>
      <c r="CM1667" t="s">
        <v>98</v>
      </c>
      <c r="CN1667" t="s">
        <v>7528</v>
      </c>
      <c r="CO1667" s="1">
        <v>40284</v>
      </c>
      <c r="CP1667" s="1">
        <v>43595</v>
      </c>
    </row>
    <row r="1668" spans="1:94" x14ac:dyDescent="0.25">
      <c r="A1668" t="s">
        <v>5226</v>
      </c>
      <c r="B1668" t="str">
        <f xml:space="preserve"> "" &amp; 747396060347</f>
        <v>747396060347</v>
      </c>
      <c r="C1668" t="s">
        <v>808</v>
      </c>
      <c r="D1668" t="s">
        <v>7035</v>
      </c>
      <c r="E1668" t="s">
        <v>7528</v>
      </c>
      <c r="F1668" t="s">
        <v>627</v>
      </c>
      <c r="G1668">
        <v>1</v>
      </c>
      <c r="H1668">
        <v>1</v>
      </c>
      <c r="I1668" t="s">
        <v>97</v>
      </c>
      <c r="J1668" s="10">
        <v>10</v>
      </c>
      <c r="K1668" s="10">
        <v>30</v>
      </c>
      <c r="L1668" s="10">
        <v>0</v>
      </c>
      <c r="N1668" s="10">
        <v>0</v>
      </c>
      <c r="S1668">
        <v>4.74</v>
      </c>
      <c r="T1668">
        <v>11.81</v>
      </c>
      <c r="U1668">
        <v>9.75</v>
      </c>
      <c r="W1668">
        <v>1.76</v>
      </c>
      <c r="X1668">
        <v>1</v>
      </c>
      <c r="Y1668">
        <v>7.28</v>
      </c>
      <c r="Z1668">
        <v>11.81</v>
      </c>
      <c r="AA1668">
        <v>11.81</v>
      </c>
      <c r="AB1668">
        <v>0.58799999999999997</v>
      </c>
      <c r="AC1668">
        <v>2.09</v>
      </c>
      <c r="AF1668" t="s">
        <v>7528</v>
      </c>
      <c r="AK1668" t="s">
        <v>98</v>
      </c>
      <c r="AM1668" t="s">
        <v>98</v>
      </c>
      <c r="AN1668" t="s">
        <v>98</v>
      </c>
      <c r="AO1668" t="s">
        <v>98</v>
      </c>
      <c r="AP1668" t="s">
        <v>100</v>
      </c>
      <c r="AQ1668" t="s">
        <v>101</v>
      </c>
      <c r="AV1668" t="s">
        <v>98</v>
      </c>
      <c r="AX1668" t="s">
        <v>7528</v>
      </c>
      <c r="AZ1668" t="s">
        <v>7528</v>
      </c>
      <c r="BB1668" t="s">
        <v>7528</v>
      </c>
      <c r="BC1668" t="s">
        <v>7528</v>
      </c>
      <c r="BD1668" t="s">
        <v>7528</v>
      </c>
      <c r="BF1668" t="s">
        <v>5227</v>
      </c>
      <c r="BG1668" t="s">
        <v>98</v>
      </c>
      <c r="BH1668" t="s">
        <v>98</v>
      </c>
      <c r="BI1668" t="s">
        <v>98</v>
      </c>
      <c r="BK1668" t="s">
        <v>7528</v>
      </c>
      <c r="BL1668" t="s">
        <v>7528</v>
      </c>
      <c r="CA1668" t="s">
        <v>5226</v>
      </c>
      <c r="CB1668" t="s">
        <v>7528</v>
      </c>
      <c r="CL1668" t="s">
        <v>98</v>
      </c>
      <c r="CM1668" t="s">
        <v>98</v>
      </c>
      <c r="CN1668" t="s">
        <v>7528</v>
      </c>
      <c r="CO1668" s="1">
        <v>40254</v>
      </c>
      <c r="CP1668" s="1">
        <v>43595</v>
      </c>
    </row>
    <row r="1669" spans="1:94" x14ac:dyDescent="0.25">
      <c r="A1669" t="s">
        <v>5228</v>
      </c>
      <c r="B1669" t="str">
        <f xml:space="preserve"> "" &amp; 747396060378</f>
        <v>747396060378</v>
      </c>
      <c r="C1669" t="s">
        <v>808</v>
      </c>
      <c r="D1669" t="s">
        <v>7036</v>
      </c>
      <c r="E1669" t="s">
        <v>7528</v>
      </c>
      <c r="F1669" t="s">
        <v>627</v>
      </c>
      <c r="G1669">
        <v>1</v>
      </c>
      <c r="H1669">
        <v>1</v>
      </c>
      <c r="I1669" t="s">
        <v>97</v>
      </c>
      <c r="J1669" s="10">
        <v>3.95</v>
      </c>
      <c r="K1669" s="10">
        <v>11.85</v>
      </c>
      <c r="L1669" s="10">
        <v>0</v>
      </c>
      <c r="N1669" s="10">
        <v>0</v>
      </c>
      <c r="S1669">
        <v>4.75</v>
      </c>
      <c r="U1669">
        <v>7.16</v>
      </c>
      <c r="W1669">
        <v>0.66</v>
      </c>
      <c r="X1669">
        <v>1</v>
      </c>
      <c r="Y1669">
        <v>20.5</v>
      </c>
      <c r="Z1669">
        <v>24</v>
      </c>
      <c r="AA1669">
        <v>16</v>
      </c>
      <c r="AB1669">
        <v>4.556</v>
      </c>
      <c r="AC1669">
        <v>0.86</v>
      </c>
      <c r="AF1669" t="s">
        <v>7528</v>
      </c>
      <c r="AK1669" t="s">
        <v>98</v>
      </c>
      <c r="AM1669" t="s">
        <v>98</v>
      </c>
      <c r="AN1669" t="s">
        <v>98</v>
      </c>
      <c r="AO1669" t="s">
        <v>98</v>
      </c>
      <c r="AP1669" t="s">
        <v>100</v>
      </c>
      <c r="AQ1669" t="s">
        <v>101</v>
      </c>
      <c r="AV1669" t="s">
        <v>98</v>
      </c>
      <c r="AX1669" t="s">
        <v>7528</v>
      </c>
      <c r="AZ1669" t="s">
        <v>7528</v>
      </c>
      <c r="BB1669" t="s">
        <v>7528</v>
      </c>
      <c r="BC1669" t="s">
        <v>7528</v>
      </c>
      <c r="BD1669" t="s">
        <v>7528</v>
      </c>
      <c r="BF1669" t="s">
        <v>5229</v>
      </c>
      <c r="BG1669" t="s">
        <v>98</v>
      </c>
      <c r="BH1669" t="s">
        <v>98</v>
      </c>
      <c r="BI1669" t="s">
        <v>98</v>
      </c>
      <c r="BK1669" t="s">
        <v>7528</v>
      </c>
      <c r="BL1669" t="s">
        <v>7528</v>
      </c>
      <c r="CA1669" t="s">
        <v>5228</v>
      </c>
      <c r="CB1669" t="s">
        <v>7528</v>
      </c>
      <c r="CL1669" t="s">
        <v>98</v>
      </c>
      <c r="CM1669" t="s">
        <v>98</v>
      </c>
      <c r="CN1669" t="s">
        <v>7528</v>
      </c>
      <c r="CO1669" s="1">
        <v>40254</v>
      </c>
      <c r="CP1669" s="1">
        <v>43595</v>
      </c>
    </row>
    <row r="1670" spans="1:94" x14ac:dyDescent="0.25">
      <c r="A1670" t="s">
        <v>5230</v>
      </c>
      <c r="B1670" t="str">
        <f xml:space="preserve"> "" &amp; 747396060385</f>
        <v>747396060385</v>
      </c>
      <c r="C1670" t="s">
        <v>808</v>
      </c>
      <c r="D1670" t="s">
        <v>7037</v>
      </c>
      <c r="E1670" t="s">
        <v>7528</v>
      </c>
      <c r="F1670" t="s">
        <v>627</v>
      </c>
      <c r="G1670">
        <v>1</v>
      </c>
      <c r="H1670">
        <v>1</v>
      </c>
      <c r="I1670" t="s">
        <v>97</v>
      </c>
      <c r="J1670" s="10">
        <v>13.5</v>
      </c>
      <c r="K1670" s="10">
        <v>40.5</v>
      </c>
      <c r="L1670" s="10">
        <v>0</v>
      </c>
      <c r="N1670" s="10">
        <v>0</v>
      </c>
      <c r="S1670">
        <v>6.25</v>
      </c>
      <c r="U1670">
        <v>13</v>
      </c>
      <c r="W1670">
        <v>1.87</v>
      </c>
      <c r="X1670">
        <v>1</v>
      </c>
      <c r="AC1670">
        <v>2.44</v>
      </c>
      <c r="AF1670" t="s">
        <v>7528</v>
      </c>
      <c r="AK1670" t="s">
        <v>98</v>
      </c>
      <c r="AM1670" t="s">
        <v>98</v>
      </c>
      <c r="AN1670" t="s">
        <v>98</v>
      </c>
      <c r="AO1670" t="s">
        <v>98</v>
      </c>
      <c r="AP1670" t="s">
        <v>100</v>
      </c>
      <c r="AQ1670" t="s">
        <v>101</v>
      </c>
      <c r="AV1670" t="s">
        <v>98</v>
      </c>
      <c r="AX1670" t="s">
        <v>7528</v>
      </c>
      <c r="AZ1670" t="s">
        <v>7528</v>
      </c>
      <c r="BB1670" t="s">
        <v>7528</v>
      </c>
      <c r="BC1670" t="s">
        <v>7528</v>
      </c>
      <c r="BD1670" t="s">
        <v>7528</v>
      </c>
      <c r="BF1670" t="s">
        <v>5231</v>
      </c>
      <c r="BG1670" t="s">
        <v>98</v>
      </c>
      <c r="BH1670" t="s">
        <v>98</v>
      </c>
      <c r="BI1670" t="s">
        <v>98</v>
      </c>
      <c r="BK1670" t="s">
        <v>7528</v>
      </c>
      <c r="BL1670" t="s">
        <v>7528</v>
      </c>
      <c r="CA1670" t="s">
        <v>5230</v>
      </c>
      <c r="CB1670" t="s">
        <v>7528</v>
      </c>
      <c r="CL1670" t="s">
        <v>98</v>
      </c>
      <c r="CM1670" t="s">
        <v>98</v>
      </c>
      <c r="CN1670" t="s">
        <v>7528</v>
      </c>
      <c r="CO1670" s="1">
        <v>40254</v>
      </c>
      <c r="CP1670" s="1">
        <v>43595</v>
      </c>
    </row>
    <row r="1671" spans="1:94" x14ac:dyDescent="0.25">
      <c r="A1671" t="s">
        <v>5232</v>
      </c>
      <c r="B1671" t="str">
        <f xml:space="preserve"> "" &amp; 747396060392</f>
        <v>747396060392</v>
      </c>
      <c r="C1671" t="s">
        <v>808</v>
      </c>
      <c r="D1671" t="s">
        <v>7038</v>
      </c>
      <c r="E1671" t="s">
        <v>7528</v>
      </c>
      <c r="F1671" t="s">
        <v>627</v>
      </c>
      <c r="G1671">
        <v>1</v>
      </c>
      <c r="H1671">
        <v>1</v>
      </c>
      <c r="I1671" t="s">
        <v>97</v>
      </c>
      <c r="J1671" s="10">
        <v>29.95</v>
      </c>
      <c r="K1671" s="10">
        <v>89.85</v>
      </c>
      <c r="L1671" s="10">
        <v>0</v>
      </c>
      <c r="N1671" s="10">
        <v>0</v>
      </c>
      <c r="S1671">
        <v>4.13</v>
      </c>
      <c r="U1671">
        <v>12.5</v>
      </c>
      <c r="W1671">
        <v>2.5299999999999998</v>
      </c>
      <c r="X1671">
        <v>1</v>
      </c>
      <c r="Y1671">
        <v>6.25</v>
      </c>
      <c r="Z1671">
        <v>14.38</v>
      </c>
      <c r="AA1671">
        <v>14.38</v>
      </c>
      <c r="AB1671">
        <v>0.748</v>
      </c>
      <c r="AC1671">
        <v>3.3</v>
      </c>
      <c r="AF1671" t="s">
        <v>7528</v>
      </c>
      <c r="AK1671" t="s">
        <v>98</v>
      </c>
      <c r="AM1671" t="s">
        <v>98</v>
      </c>
      <c r="AN1671" t="s">
        <v>98</v>
      </c>
      <c r="AO1671" t="s">
        <v>98</v>
      </c>
      <c r="AP1671" t="s">
        <v>100</v>
      </c>
      <c r="AQ1671" t="s">
        <v>101</v>
      </c>
      <c r="AV1671" t="s">
        <v>98</v>
      </c>
      <c r="AX1671" t="s">
        <v>7528</v>
      </c>
      <c r="AZ1671" t="s">
        <v>7528</v>
      </c>
      <c r="BB1671" t="s">
        <v>7528</v>
      </c>
      <c r="BC1671" t="s">
        <v>7528</v>
      </c>
      <c r="BD1671" t="s">
        <v>7528</v>
      </c>
      <c r="BF1671" t="s">
        <v>5233</v>
      </c>
      <c r="BG1671" t="s">
        <v>98</v>
      </c>
      <c r="BH1671" t="s">
        <v>98</v>
      </c>
      <c r="BI1671" t="s">
        <v>98</v>
      </c>
      <c r="BK1671" t="s">
        <v>7528</v>
      </c>
      <c r="BL1671" t="s">
        <v>7528</v>
      </c>
      <c r="CA1671" t="s">
        <v>5232</v>
      </c>
      <c r="CB1671" t="s">
        <v>7528</v>
      </c>
      <c r="CL1671" t="s">
        <v>98</v>
      </c>
      <c r="CM1671" t="s">
        <v>98</v>
      </c>
      <c r="CN1671" t="s">
        <v>7528</v>
      </c>
      <c r="CO1671" s="1">
        <v>40254</v>
      </c>
      <c r="CP1671" s="1">
        <v>43595</v>
      </c>
    </row>
    <row r="1672" spans="1:94" x14ac:dyDescent="0.25">
      <c r="A1672" t="s">
        <v>5234</v>
      </c>
      <c r="B1672" t="str">
        <f xml:space="preserve"> "" &amp; 747396093727</f>
        <v>747396093727</v>
      </c>
      <c r="C1672" t="s">
        <v>5154</v>
      </c>
      <c r="D1672" t="s">
        <v>7039</v>
      </c>
      <c r="E1672" t="s">
        <v>7528</v>
      </c>
      <c r="F1672" t="s">
        <v>627</v>
      </c>
      <c r="G1672">
        <v>1</v>
      </c>
      <c r="H1672">
        <v>1</v>
      </c>
      <c r="I1672" t="s">
        <v>97</v>
      </c>
      <c r="J1672" s="10">
        <v>58.5</v>
      </c>
      <c r="K1672" s="10">
        <v>175.5</v>
      </c>
      <c r="L1672" s="10">
        <v>0</v>
      </c>
      <c r="N1672" s="10">
        <v>0</v>
      </c>
      <c r="W1672">
        <v>2.33</v>
      </c>
      <c r="Y1672">
        <v>14.5</v>
      </c>
      <c r="Z1672">
        <v>14.25</v>
      </c>
      <c r="AA1672">
        <v>11</v>
      </c>
      <c r="AB1672">
        <v>1.3149999999999999</v>
      </c>
      <c r="AC1672">
        <v>4.62</v>
      </c>
      <c r="AF1672" t="s">
        <v>7528</v>
      </c>
      <c r="AK1672" t="s">
        <v>98</v>
      </c>
      <c r="AM1672" t="s">
        <v>98</v>
      </c>
      <c r="AN1672" t="s">
        <v>98</v>
      </c>
      <c r="AO1672" t="s">
        <v>98</v>
      </c>
      <c r="AP1672" t="s">
        <v>100</v>
      </c>
      <c r="AV1672" t="s">
        <v>98</v>
      </c>
      <c r="AX1672" t="s">
        <v>7528</v>
      </c>
      <c r="AZ1672" t="s">
        <v>7528</v>
      </c>
      <c r="BB1672" t="s">
        <v>7528</v>
      </c>
      <c r="BC1672" t="s">
        <v>7528</v>
      </c>
      <c r="BD1672" t="s">
        <v>7528</v>
      </c>
      <c r="BF1672" t="s">
        <v>5235</v>
      </c>
      <c r="BG1672" t="s">
        <v>98</v>
      </c>
      <c r="BH1672" t="s">
        <v>98</v>
      </c>
      <c r="BI1672" t="s">
        <v>98</v>
      </c>
      <c r="BK1672" t="s">
        <v>7528</v>
      </c>
      <c r="BL1672" t="s">
        <v>7528</v>
      </c>
      <c r="CB1672" t="s">
        <v>7528</v>
      </c>
      <c r="CL1672" t="s">
        <v>98</v>
      </c>
      <c r="CM1672" t="s">
        <v>98</v>
      </c>
      <c r="CN1672" t="s">
        <v>7528</v>
      </c>
      <c r="CP1672" s="1">
        <v>43595</v>
      </c>
    </row>
    <row r="1673" spans="1:94" x14ac:dyDescent="0.25">
      <c r="A1673" t="s">
        <v>5236</v>
      </c>
      <c r="B1673" t="str">
        <f xml:space="preserve"> "" &amp; 747396093741</f>
        <v>747396093741</v>
      </c>
      <c r="C1673" t="s">
        <v>5154</v>
      </c>
      <c r="D1673" t="s">
        <v>7040</v>
      </c>
      <c r="E1673" t="s">
        <v>7528</v>
      </c>
      <c r="F1673" t="s">
        <v>627</v>
      </c>
      <c r="G1673">
        <v>1</v>
      </c>
      <c r="H1673">
        <v>1</v>
      </c>
      <c r="I1673" t="s">
        <v>97</v>
      </c>
      <c r="J1673" s="10">
        <v>55</v>
      </c>
      <c r="K1673" s="10">
        <v>165</v>
      </c>
      <c r="L1673" s="10">
        <v>0</v>
      </c>
      <c r="N1673" s="10">
        <v>0</v>
      </c>
      <c r="W1673">
        <v>2.31</v>
      </c>
      <c r="Y1673">
        <v>15.5</v>
      </c>
      <c r="Z1673">
        <v>15.25</v>
      </c>
      <c r="AA1673">
        <v>9.8800000000000008</v>
      </c>
      <c r="AB1673">
        <v>1.351</v>
      </c>
      <c r="AC1673">
        <v>5.0599999999999996</v>
      </c>
      <c r="AF1673" t="s">
        <v>7528</v>
      </c>
      <c r="AK1673" t="s">
        <v>98</v>
      </c>
      <c r="AM1673" t="s">
        <v>98</v>
      </c>
      <c r="AN1673" t="s">
        <v>98</v>
      </c>
      <c r="AO1673" t="s">
        <v>98</v>
      </c>
      <c r="AP1673" t="s">
        <v>100</v>
      </c>
      <c r="AV1673" t="s">
        <v>98</v>
      </c>
      <c r="AX1673" t="s">
        <v>7528</v>
      </c>
      <c r="AZ1673" t="s">
        <v>7528</v>
      </c>
      <c r="BB1673" t="s">
        <v>7528</v>
      </c>
      <c r="BC1673" t="s">
        <v>7528</v>
      </c>
      <c r="BD1673" t="s">
        <v>7528</v>
      </c>
      <c r="BF1673" t="s">
        <v>5237</v>
      </c>
      <c r="BG1673" t="s">
        <v>98</v>
      </c>
      <c r="BH1673" t="s">
        <v>98</v>
      </c>
      <c r="BI1673" t="s">
        <v>98</v>
      </c>
      <c r="BK1673" t="s">
        <v>7528</v>
      </c>
      <c r="BL1673" t="s">
        <v>7528</v>
      </c>
      <c r="CB1673" t="s">
        <v>7528</v>
      </c>
      <c r="CL1673" t="s">
        <v>98</v>
      </c>
      <c r="CM1673" t="s">
        <v>98</v>
      </c>
      <c r="CN1673" t="s">
        <v>7528</v>
      </c>
      <c r="CP1673" s="1">
        <v>43595</v>
      </c>
    </row>
    <row r="1674" spans="1:94" x14ac:dyDescent="0.25">
      <c r="A1674" t="s">
        <v>5238</v>
      </c>
      <c r="B1674" t="str">
        <f xml:space="preserve"> "" &amp; 747396102085</f>
        <v>747396102085</v>
      </c>
      <c r="C1674" t="s">
        <v>5154</v>
      </c>
      <c r="D1674" t="s">
        <v>7041</v>
      </c>
      <c r="E1674" t="s">
        <v>771</v>
      </c>
      <c r="F1674" t="s">
        <v>627</v>
      </c>
      <c r="G1674">
        <v>1</v>
      </c>
      <c r="H1674">
        <v>1</v>
      </c>
      <c r="I1674" t="s">
        <v>97</v>
      </c>
      <c r="J1674" s="10">
        <v>51</v>
      </c>
      <c r="K1674" s="10">
        <v>153</v>
      </c>
      <c r="L1674" s="10">
        <v>0</v>
      </c>
      <c r="N1674" s="10">
        <v>0</v>
      </c>
      <c r="S1674">
        <v>9.5</v>
      </c>
      <c r="U1674">
        <v>8.3800000000000008</v>
      </c>
      <c r="W1674">
        <v>1.65</v>
      </c>
      <c r="X1674">
        <v>1</v>
      </c>
      <c r="Y1674">
        <v>11.13</v>
      </c>
      <c r="Z1674">
        <v>12</v>
      </c>
      <c r="AA1674">
        <v>10.88</v>
      </c>
      <c r="AB1674">
        <v>0.84099999999999997</v>
      </c>
      <c r="AC1674">
        <v>2.86</v>
      </c>
      <c r="AF1674" t="s">
        <v>7528</v>
      </c>
      <c r="AK1674" t="s">
        <v>98</v>
      </c>
      <c r="AM1674" t="s">
        <v>98</v>
      </c>
      <c r="AN1674" t="s">
        <v>98</v>
      </c>
      <c r="AO1674" t="s">
        <v>98</v>
      </c>
      <c r="AP1674" t="s">
        <v>100</v>
      </c>
      <c r="AQ1674" t="s">
        <v>101</v>
      </c>
      <c r="AV1674" t="s">
        <v>98</v>
      </c>
      <c r="AX1674" t="s">
        <v>746</v>
      </c>
      <c r="AZ1674" t="s">
        <v>102</v>
      </c>
      <c r="BB1674" t="s">
        <v>7528</v>
      </c>
      <c r="BC1674" t="s">
        <v>7528</v>
      </c>
      <c r="BD1674" t="s">
        <v>7528</v>
      </c>
      <c r="BF1674" t="s">
        <v>5239</v>
      </c>
      <c r="BG1674" t="s">
        <v>98</v>
      </c>
      <c r="BH1674" t="s">
        <v>98</v>
      </c>
      <c r="BI1674" t="s">
        <v>98</v>
      </c>
      <c r="BK1674" t="s">
        <v>110</v>
      </c>
      <c r="BL1674" t="s">
        <v>7528</v>
      </c>
      <c r="CA1674" t="s">
        <v>5238</v>
      </c>
      <c r="CB1674" t="s">
        <v>746</v>
      </c>
      <c r="CL1674" t="s">
        <v>98</v>
      </c>
      <c r="CM1674" t="s">
        <v>98</v>
      </c>
      <c r="CN1674" t="s">
        <v>235</v>
      </c>
      <c r="CO1674" s="1">
        <v>42856</v>
      </c>
      <c r="CP1674" s="1">
        <v>43633</v>
      </c>
    </row>
    <row r="1675" spans="1:94" x14ac:dyDescent="0.25">
      <c r="A1675" t="s">
        <v>5240</v>
      </c>
      <c r="B1675" t="str">
        <f xml:space="preserve"> "" &amp; 747396030029</f>
        <v>747396030029</v>
      </c>
      <c r="C1675" t="s">
        <v>1417</v>
      </c>
      <c r="D1675" t="s">
        <v>7042</v>
      </c>
      <c r="E1675" t="s">
        <v>7528</v>
      </c>
      <c r="F1675" t="s">
        <v>627</v>
      </c>
      <c r="G1675">
        <v>1</v>
      </c>
      <c r="H1675">
        <v>1</v>
      </c>
      <c r="I1675" t="s">
        <v>97</v>
      </c>
      <c r="J1675" s="10">
        <v>14.95</v>
      </c>
      <c r="K1675" s="10">
        <v>44.85</v>
      </c>
      <c r="L1675" s="10">
        <v>0</v>
      </c>
      <c r="N1675" s="10">
        <v>0</v>
      </c>
      <c r="S1675">
        <v>4.75</v>
      </c>
      <c r="U1675">
        <v>11.25</v>
      </c>
      <c r="V1675">
        <v>5.88</v>
      </c>
      <c r="W1675">
        <v>1.47</v>
      </c>
      <c r="X1675">
        <v>1</v>
      </c>
      <c r="Y1675">
        <v>18.5</v>
      </c>
      <c r="Z1675">
        <v>27</v>
      </c>
      <c r="AA1675">
        <v>15.25</v>
      </c>
      <c r="AB1675">
        <v>4.4080000000000004</v>
      </c>
      <c r="AC1675">
        <v>2.0499999999999998</v>
      </c>
      <c r="AF1675" t="s">
        <v>7528</v>
      </c>
      <c r="AK1675" t="s">
        <v>98</v>
      </c>
      <c r="AM1675" t="s">
        <v>98</v>
      </c>
      <c r="AN1675" t="s">
        <v>98</v>
      </c>
      <c r="AO1675" t="s">
        <v>98</v>
      </c>
      <c r="AP1675" t="s">
        <v>100</v>
      </c>
      <c r="AQ1675" t="s">
        <v>101</v>
      </c>
      <c r="AV1675" t="s">
        <v>98</v>
      </c>
      <c r="AX1675" t="s">
        <v>7528</v>
      </c>
      <c r="AZ1675" t="s">
        <v>7528</v>
      </c>
      <c r="BB1675" t="s">
        <v>200</v>
      </c>
      <c r="BC1675" t="s">
        <v>7528</v>
      </c>
      <c r="BD1675" t="s">
        <v>7528</v>
      </c>
      <c r="BF1675" t="s">
        <v>5241</v>
      </c>
      <c r="BG1675" t="s">
        <v>98</v>
      </c>
      <c r="BH1675" t="s">
        <v>98</v>
      </c>
      <c r="BI1675" t="s">
        <v>98</v>
      </c>
      <c r="BK1675" t="s">
        <v>7528</v>
      </c>
      <c r="BL1675" t="s">
        <v>7528</v>
      </c>
      <c r="CA1675" t="s">
        <v>5240</v>
      </c>
      <c r="CB1675" t="s">
        <v>7528</v>
      </c>
      <c r="CL1675" t="s">
        <v>98</v>
      </c>
      <c r="CM1675" t="s">
        <v>98</v>
      </c>
      <c r="CN1675" t="s">
        <v>200</v>
      </c>
      <c r="CO1675" s="1">
        <v>40283</v>
      </c>
      <c r="CP1675" s="1">
        <v>43633</v>
      </c>
    </row>
    <row r="1676" spans="1:94" x14ac:dyDescent="0.25">
      <c r="A1676" t="s">
        <v>5242</v>
      </c>
      <c r="B1676" t="str">
        <f xml:space="preserve"> "" &amp; 747396070445</f>
        <v>747396070445</v>
      </c>
      <c r="C1676" t="s">
        <v>5243</v>
      </c>
      <c r="D1676" t="s">
        <v>7043</v>
      </c>
      <c r="E1676" t="s">
        <v>7528</v>
      </c>
      <c r="F1676" t="s">
        <v>627</v>
      </c>
      <c r="G1676">
        <v>1</v>
      </c>
      <c r="H1676">
        <v>1</v>
      </c>
      <c r="I1676" t="s">
        <v>97</v>
      </c>
      <c r="J1676" s="10">
        <v>5.95</v>
      </c>
      <c r="K1676" s="10">
        <v>17.850000000000001</v>
      </c>
      <c r="L1676" s="10">
        <v>0</v>
      </c>
      <c r="N1676" s="10">
        <v>0</v>
      </c>
      <c r="U1676">
        <v>6.38</v>
      </c>
      <c r="V1676">
        <v>0.88</v>
      </c>
      <c r="W1676">
        <v>0.33</v>
      </c>
      <c r="Y1676">
        <v>8.8800000000000008</v>
      </c>
      <c r="Z1676">
        <v>14.5</v>
      </c>
      <c r="AA1676">
        <v>8.8800000000000008</v>
      </c>
      <c r="AB1676">
        <v>0.66200000000000003</v>
      </c>
      <c r="AC1676">
        <v>0.39</v>
      </c>
      <c r="AF1676" t="s">
        <v>7528</v>
      </c>
      <c r="AK1676" t="s">
        <v>98</v>
      </c>
      <c r="AM1676" t="s">
        <v>98</v>
      </c>
      <c r="AN1676" t="s">
        <v>98</v>
      </c>
      <c r="AO1676" t="s">
        <v>98</v>
      </c>
      <c r="AP1676" t="s">
        <v>100</v>
      </c>
      <c r="AQ1676" t="s">
        <v>101</v>
      </c>
      <c r="AV1676" t="s">
        <v>98</v>
      </c>
      <c r="AX1676" t="s">
        <v>7528</v>
      </c>
      <c r="AZ1676" t="s">
        <v>7528</v>
      </c>
      <c r="BB1676" t="s">
        <v>7528</v>
      </c>
      <c r="BC1676" t="s">
        <v>7528</v>
      </c>
      <c r="BD1676" t="s">
        <v>7528</v>
      </c>
      <c r="BF1676" t="s">
        <v>5244</v>
      </c>
      <c r="BG1676" t="s">
        <v>98</v>
      </c>
      <c r="BH1676" t="s">
        <v>98</v>
      </c>
      <c r="BI1676" t="s">
        <v>98</v>
      </c>
      <c r="BK1676" t="s">
        <v>7528</v>
      </c>
      <c r="BL1676" t="s">
        <v>7528</v>
      </c>
      <c r="CA1676" t="s">
        <v>5242</v>
      </c>
      <c r="CB1676" t="s">
        <v>7528</v>
      </c>
      <c r="CL1676" t="s">
        <v>98</v>
      </c>
      <c r="CM1676" t="s">
        <v>98</v>
      </c>
      <c r="CN1676" t="s">
        <v>7528</v>
      </c>
      <c r="CO1676" s="1">
        <v>40254</v>
      </c>
      <c r="CP1676" s="1">
        <v>43595</v>
      </c>
    </row>
    <row r="1677" spans="1:94" x14ac:dyDescent="0.25">
      <c r="A1677" t="s">
        <v>5245</v>
      </c>
      <c r="B1677" t="str">
        <f xml:space="preserve"> "" &amp; 747396070513</f>
        <v>747396070513</v>
      </c>
      <c r="C1677" t="s">
        <v>5246</v>
      </c>
      <c r="D1677" t="s">
        <v>7044</v>
      </c>
      <c r="E1677" t="s">
        <v>7528</v>
      </c>
      <c r="F1677" t="s">
        <v>627</v>
      </c>
      <c r="G1677">
        <v>1</v>
      </c>
      <c r="H1677">
        <v>1</v>
      </c>
      <c r="I1677" t="s">
        <v>97</v>
      </c>
      <c r="J1677" s="10">
        <v>6.95</v>
      </c>
      <c r="K1677" s="10">
        <v>20.85</v>
      </c>
      <c r="L1677" s="10">
        <v>0</v>
      </c>
      <c r="N1677" s="10">
        <v>0</v>
      </c>
      <c r="S1677">
        <v>0.88</v>
      </c>
      <c r="U1677">
        <v>6.25</v>
      </c>
      <c r="W1677">
        <v>1</v>
      </c>
      <c r="AB1677">
        <v>0.10580000000000001</v>
      </c>
      <c r="AC1677">
        <v>0.73</v>
      </c>
      <c r="AF1677" t="s">
        <v>7528</v>
      </c>
      <c r="AK1677" t="s">
        <v>98</v>
      </c>
      <c r="AM1677" t="s">
        <v>98</v>
      </c>
      <c r="AN1677" t="s">
        <v>98</v>
      </c>
      <c r="AO1677" t="s">
        <v>98</v>
      </c>
      <c r="AP1677" t="s">
        <v>100</v>
      </c>
      <c r="AQ1677" t="s">
        <v>101</v>
      </c>
      <c r="AV1677" t="s">
        <v>98</v>
      </c>
      <c r="AX1677" t="s">
        <v>7528</v>
      </c>
      <c r="AZ1677" t="s">
        <v>7528</v>
      </c>
      <c r="BB1677" t="s">
        <v>7528</v>
      </c>
      <c r="BC1677" t="s">
        <v>7528</v>
      </c>
      <c r="BD1677" t="s">
        <v>7528</v>
      </c>
      <c r="BF1677" t="s">
        <v>5247</v>
      </c>
      <c r="BG1677" t="s">
        <v>98</v>
      </c>
      <c r="BH1677" t="s">
        <v>98</v>
      </c>
      <c r="BI1677" t="s">
        <v>98</v>
      </c>
      <c r="BK1677" t="s">
        <v>7528</v>
      </c>
      <c r="BL1677" t="s">
        <v>7528</v>
      </c>
      <c r="CA1677" t="s">
        <v>5245</v>
      </c>
      <c r="CB1677" t="s">
        <v>7528</v>
      </c>
      <c r="CL1677" t="s">
        <v>98</v>
      </c>
      <c r="CM1677" t="s">
        <v>98</v>
      </c>
      <c r="CN1677" t="s">
        <v>7528</v>
      </c>
      <c r="CO1677" s="1">
        <v>40255</v>
      </c>
      <c r="CP1677" s="1">
        <v>43595</v>
      </c>
    </row>
    <row r="1678" spans="1:94" x14ac:dyDescent="0.25">
      <c r="A1678" t="s">
        <v>5248</v>
      </c>
      <c r="B1678" t="str">
        <f xml:space="preserve"> "" &amp; 747396070537</f>
        <v>747396070537</v>
      </c>
      <c r="C1678" t="s">
        <v>5177</v>
      </c>
      <c r="D1678" t="s">
        <v>7045</v>
      </c>
      <c r="E1678" t="s">
        <v>7528</v>
      </c>
      <c r="F1678" t="s">
        <v>627</v>
      </c>
      <c r="G1678">
        <v>1</v>
      </c>
      <c r="H1678">
        <v>1</v>
      </c>
      <c r="I1678" t="s">
        <v>97</v>
      </c>
      <c r="J1678" s="10">
        <v>5.95</v>
      </c>
      <c r="K1678" s="10">
        <v>17.850000000000001</v>
      </c>
      <c r="L1678" s="10">
        <v>0</v>
      </c>
      <c r="N1678" s="10">
        <v>0</v>
      </c>
      <c r="S1678">
        <v>0.75</v>
      </c>
      <c r="U1678">
        <v>6</v>
      </c>
      <c r="W1678">
        <v>0.35</v>
      </c>
      <c r="Y1678">
        <v>9</v>
      </c>
      <c r="Z1678">
        <v>10.25</v>
      </c>
      <c r="AA1678">
        <v>9</v>
      </c>
      <c r="AB1678">
        <v>0.48</v>
      </c>
      <c r="AC1678">
        <v>0.43</v>
      </c>
      <c r="AF1678" t="s">
        <v>7528</v>
      </c>
      <c r="AK1678" t="s">
        <v>98</v>
      </c>
      <c r="AM1678" t="s">
        <v>98</v>
      </c>
      <c r="AN1678" t="s">
        <v>98</v>
      </c>
      <c r="AO1678" t="s">
        <v>98</v>
      </c>
      <c r="AP1678" t="s">
        <v>100</v>
      </c>
      <c r="AQ1678" t="s">
        <v>101</v>
      </c>
      <c r="AV1678" t="s">
        <v>98</v>
      </c>
      <c r="AX1678" t="s">
        <v>7528</v>
      </c>
      <c r="AZ1678" t="s">
        <v>7528</v>
      </c>
      <c r="BB1678" t="s">
        <v>7528</v>
      </c>
      <c r="BC1678" t="s">
        <v>7528</v>
      </c>
      <c r="BD1678" t="s">
        <v>7528</v>
      </c>
      <c r="BF1678" t="s">
        <v>5249</v>
      </c>
      <c r="BG1678" t="s">
        <v>98</v>
      </c>
      <c r="BH1678" t="s">
        <v>98</v>
      </c>
      <c r="BI1678" t="s">
        <v>98</v>
      </c>
      <c r="BK1678" t="s">
        <v>7528</v>
      </c>
      <c r="BL1678" t="s">
        <v>7528</v>
      </c>
      <c r="CA1678" t="s">
        <v>5248</v>
      </c>
      <c r="CB1678" t="s">
        <v>7528</v>
      </c>
      <c r="CL1678" t="s">
        <v>98</v>
      </c>
      <c r="CM1678" t="s">
        <v>98</v>
      </c>
      <c r="CN1678" t="s">
        <v>7528</v>
      </c>
      <c r="CO1678" s="1">
        <v>40255</v>
      </c>
      <c r="CP1678" s="1">
        <v>43595</v>
      </c>
    </row>
    <row r="1679" spans="1:94" x14ac:dyDescent="0.25">
      <c r="A1679" t="s">
        <v>5250</v>
      </c>
      <c r="B1679" t="str">
        <f xml:space="preserve"> "" &amp; 747396070476</f>
        <v>747396070476</v>
      </c>
      <c r="C1679" t="s">
        <v>5251</v>
      </c>
      <c r="D1679" t="s">
        <v>7046</v>
      </c>
      <c r="E1679" t="s">
        <v>7528</v>
      </c>
      <c r="F1679" t="s">
        <v>627</v>
      </c>
      <c r="G1679">
        <v>1</v>
      </c>
      <c r="H1679">
        <v>1</v>
      </c>
      <c r="I1679" t="s">
        <v>97</v>
      </c>
      <c r="J1679" s="10">
        <v>6.95</v>
      </c>
      <c r="K1679" s="10">
        <v>20.85</v>
      </c>
      <c r="L1679" s="10">
        <v>0</v>
      </c>
      <c r="N1679" s="10">
        <v>0</v>
      </c>
      <c r="S1679">
        <v>0.88</v>
      </c>
      <c r="U1679">
        <v>6</v>
      </c>
      <c r="W1679">
        <v>0.37</v>
      </c>
      <c r="Y1679">
        <v>8.5</v>
      </c>
      <c r="Z1679">
        <v>23</v>
      </c>
      <c r="AA1679">
        <v>8.5</v>
      </c>
      <c r="AB1679">
        <v>0.96199999999999997</v>
      </c>
      <c r="AC1679">
        <v>0.46</v>
      </c>
      <c r="AF1679" t="s">
        <v>7528</v>
      </c>
      <c r="AK1679" t="s">
        <v>98</v>
      </c>
      <c r="AM1679" t="s">
        <v>98</v>
      </c>
      <c r="AN1679" t="s">
        <v>98</v>
      </c>
      <c r="AO1679" t="s">
        <v>98</v>
      </c>
      <c r="AP1679" t="s">
        <v>100</v>
      </c>
      <c r="AQ1679" t="s">
        <v>101</v>
      </c>
      <c r="AV1679" t="s">
        <v>98</v>
      </c>
      <c r="AX1679" t="s">
        <v>7528</v>
      </c>
      <c r="AZ1679" t="s">
        <v>7528</v>
      </c>
      <c r="BB1679" t="s">
        <v>7528</v>
      </c>
      <c r="BC1679" t="s">
        <v>7528</v>
      </c>
      <c r="BD1679" t="s">
        <v>7528</v>
      </c>
      <c r="BF1679" t="s">
        <v>5252</v>
      </c>
      <c r="BG1679" t="s">
        <v>98</v>
      </c>
      <c r="BH1679" t="s">
        <v>98</v>
      </c>
      <c r="BI1679" t="s">
        <v>98</v>
      </c>
      <c r="BK1679" t="s">
        <v>7528</v>
      </c>
      <c r="BL1679" t="s">
        <v>7528</v>
      </c>
      <c r="CA1679" t="s">
        <v>5250</v>
      </c>
      <c r="CB1679" t="s">
        <v>7528</v>
      </c>
      <c r="CL1679" t="s">
        <v>98</v>
      </c>
      <c r="CM1679" t="s">
        <v>98</v>
      </c>
      <c r="CN1679" t="s">
        <v>7528</v>
      </c>
      <c r="CO1679" s="1">
        <v>40255</v>
      </c>
      <c r="CP1679" s="1">
        <v>43595</v>
      </c>
    </row>
    <row r="1680" spans="1:94" x14ac:dyDescent="0.25">
      <c r="A1680" t="s">
        <v>5253</v>
      </c>
      <c r="B1680" t="str">
        <f xml:space="preserve"> "" &amp; 747396070520</f>
        <v>747396070520</v>
      </c>
      <c r="C1680" t="s">
        <v>5052</v>
      </c>
      <c r="D1680" t="s">
        <v>7047</v>
      </c>
      <c r="E1680" t="s">
        <v>7528</v>
      </c>
      <c r="F1680" t="s">
        <v>627</v>
      </c>
      <c r="G1680">
        <v>1</v>
      </c>
      <c r="H1680">
        <v>1</v>
      </c>
      <c r="I1680" t="s">
        <v>97</v>
      </c>
      <c r="J1680" s="10">
        <v>6.95</v>
      </c>
      <c r="K1680" s="10">
        <v>20.85</v>
      </c>
      <c r="L1680" s="10">
        <v>0</v>
      </c>
      <c r="N1680" s="10">
        <v>0</v>
      </c>
      <c r="S1680">
        <v>0.88</v>
      </c>
      <c r="U1680">
        <v>6</v>
      </c>
      <c r="W1680">
        <v>0.38</v>
      </c>
      <c r="X1680">
        <v>1</v>
      </c>
      <c r="Y1680">
        <v>12.5</v>
      </c>
      <c r="Z1680">
        <v>8.5</v>
      </c>
      <c r="AA1680">
        <v>8.5</v>
      </c>
      <c r="AB1680">
        <v>0.52300000000000002</v>
      </c>
      <c r="AC1680">
        <v>0.5</v>
      </c>
      <c r="AF1680" t="s">
        <v>7528</v>
      </c>
      <c r="AK1680" t="s">
        <v>98</v>
      </c>
      <c r="AM1680" t="s">
        <v>98</v>
      </c>
      <c r="AN1680" t="s">
        <v>98</v>
      </c>
      <c r="AO1680" t="s">
        <v>98</v>
      </c>
      <c r="AP1680" t="s">
        <v>100</v>
      </c>
      <c r="AQ1680" t="s">
        <v>101</v>
      </c>
      <c r="AV1680" t="s">
        <v>98</v>
      </c>
      <c r="AX1680" t="s">
        <v>7528</v>
      </c>
      <c r="AZ1680" t="s">
        <v>7528</v>
      </c>
      <c r="BB1680" t="s">
        <v>7528</v>
      </c>
      <c r="BC1680" t="s">
        <v>7528</v>
      </c>
      <c r="BD1680" t="s">
        <v>7528</v>
      </c>
      <c r="BF1680" t="s">
        <v>5254</v>
      </c>
      <c r="BG1680" t="s">
        <v>98</v>
      </c>
      <c r="BH1680" t="s">
        <v>98</v>
      </c>
      <c r="BI1680" t="s">
        <v>98</v>
      </c>
      <c r="BK1680" t="s">
        <v>7528</v>
      </c>
      <c r="BL1680" t="s">
        <v>7528</v>
      </c>
      <c r="CA1680" t="s">
        <v>5253</v>
      </c>
      <c r="CB1680" t="s">
        <v>7528</v>
      </c>
      <c r="CL1680" t="s">
        <v>98</v>
      </c>
      <c r="CM1680" t="s">
        <v>98</v>
      </c>
      <c r="CN1680" t="s">
        <v>7528</v>
      </c>
      <c r="CO1680" s="1">
        <v>40255</v>
      </c>
      <c r="CP1680" s="1">
        <v>43595</v>
      </c>
    </row>
    <row r="1681" spans="1:94" x14ac:dyDescent="0.25">
      <c r="A1681" t="s">
        <v>5255</v>
      </c>
      <c r="B1681" t="str">
        <f xml:space="preserve"> "" &amp; 747396070551</f>
        <v>747396070551</v>
      </c>
      <c r="C1681" t="s">
        <v>5256</v>
      </c>
      <c r="D1681" t="s">
        <v>7048</v>
      </c>
      <c r="E1681" t="s">
        <v>7528</v>
      </c>
      <c r="F1681" t="s">
        <v>627</v>
      </c>
      <c r="G1681">
        <v>1</v>
      </c>
      <c r="H1681">
        <v>1</v>
      </c>
      <c r="I1681" t="s">
        <v>97</v>
      </c>
      <c r="J1681" s="10">
        <v>8</v>
      </c>
      <c r="K1681" s="10">
        <v>24</v>
      </c>
      <c r="L1681" s="10">
        <v>0</v>
      </c>
      <c r="N1681" s="10">
        <v>0</v>
      </c>
      <c r="S1681">
        <v>0.75</v>
      </c>
      <c r="U1681">
        <v>6</v>
      </c>
      <c r="W1681">
        <v>0.28999999999999998</v>
      </c>
      <c r="Y1681">
        <v>9</v>
      </c>
      <c r="Z1681">
        <v>12.5</v>
      </c>
      <c r="AA1681">
        <v>9</v>
      </c>
      <c r="AB1681">
        <v>0.58599999999999997</v>
      </c>
      <c r="AC1681">
        <v>0.37</v>
      </c>
      <c r="AF1681" t="s">
        <v>7528</v>
      </c>
      <c r="AK1681" t="s">
        <v>98</v>
      </c>
      <c r="AM1681" t="s">
        <v>98</v>
      </c>
      <c r="AN1681" t="s">
        <v>98</v>
      </c>
      <c r="AO1681" t="s">
        <v>98</v>
      </c>
      <c r="AP1681" t="s">
        <v>100</v>
      </c>
      <c r="AQ1681" t="s">
        <v>101</v>
      </c>
      <c r="AV1681" t="s">
        <v>98</v>
      </c>
      <c r="AX1681" t="s">
        <v>7528</v>
      </c>
      <c r="AZ1681" t="s">
        <v>7528</v>
      </c>
      <c r="BB1681" t="s">
        <v>7528</v>
      </c>
      <c r="BC1681" t="s">
        <v>7528</v>
      </c>
      <c r="BD1681" t="s">
        <v>7528</v>
      </c>
      <c r="BF1681" t="s">
        <v>5257</v>
      </c>
      <c r="BG1681" t="s">
        <v>98</v>
      </c>
      <c r="BH1681" t="s">
        <v>98</v>
      </c>
      <c r="BI1681" t="s">
        <v>98</v>
      </c>
      <c r="BK1681" t="s">
        <v>7528</v>
      </c>
      <c r="BL1681" t="s">
        <v>7528</v>
      </c>
      <c r="CA1681" t="s">
        <v>5255</v>
      </c>
      <c r="CB1681" t="s">
        <v>7528</v>
      </c>
      <c r="CL1681" t="s">
        <v>98</v>
      </c>
      <c r="CM1681" t="s">
        <v>98</v>
      </c>
      <c r="CN1681" t="s">
        <v>7528</v>
      </c>
      <c r="CO1681" s="1">
        <v>40256</v>
      </c>
      <c r="CP1681" s="1">
        <v>43595</v>
      </c>
    </row>
    <row r="1682" spans="1:94" x14ac:dyDescent="0.25">
      <c r="A1682" t="s">
        <v>5258</v>
      </c>
      <c r="B1682" t="str">
        <f xml:space="preserve"> "" &amp; 747396093574</f>
        <v>747396093574</v>
      </c>
      <c r="C1682" t="s">
        <v>5154</v>
      </c>
      <c r="D1682" t="s">
        <v>7049</v>
      </c>
      <c r="E1682" t="s">
        <v>976</v>
      </c>
      <c r="F1682" t="s">
        <v>627</v>
      </c>
      <c r="G1682">
        <v>1</v>
      </c>
      <c r="H1682">
        <v>1</v>
      </c>
      <c r="I1682" t="s">
        <v>97</v>
      </c>
      <c r="J1682" s="10">
        <v>17.5</v>
      </c>
      <c r="K1682" s="10">
        <v>52.5</v>
      </c>
      <c r="L1682" s="10">
        <v>0</v>
      </c>
      <c r="N1682" s="10">
        <v>0</v>
      </c>
      <c r="W1682">
        <v>1.38</v>
      </c>
      <c r="Y1682">
        <v>9.75</v>
      </c>
      <c r="Z1682">
        <v>10.25</v>
      </c>
      <c r="AA1682">
        <v>7.5</v>
      </c>
      <c r="AB1682">
        <v>0.434</v>
      </c>
      <c r="AC1682">
        <v>1.49</v>
      </c>
      <c r="AF1682" t="s">
        <v>7528</v>
      </c>
      <c r="AK1682" t="s">
        <v>98</v>
      </c>
      <c r="AM1682" t="s">
        <v>98</v>
      </c>
      <c r="AN1682" t="s">
        <v>98</v>
      </c>
      <c r="AO1682" t="s">
        <v>98</v>
      </c>
      <c r="AP1682" t="s">
        <v>100</v>
      </c>
      <c r="AV1682" t="s">
        <v>98</v>
      </c>
      <c r="AX1682" t="s">
        <v>7528</v>
      </c>
      <c r="AZ1682" t="s">
        <v>7528</v>
      </c>
      <c r="BB1682" t="s">
        <v>7528</v>
      </c>
      <c r="BC1682" t="s">
        <v>7528</v>
      </c>
      <c r="BD1682" t="s">
        <v>7528</v>
      </c>
      <c r="BF1682" t="s">
        <v>5259</v>
      </c>
      <c r="BG1682" t="s">
        <v>98</v>
      </c>
      <c r="BH1682" t="s">
        <v>98</v>
      </c>
      <c r="BI1682" t="s">
        <v>98</v>
      </c>
      <c r="BK1682" t="s">
        <v>7528</v>
      </c>
      <c r="BL1682" t="s">
        <v>7528</v>
      </c>
      <c r="CB1682" t="s">
        <v>7528</v>
      </c>
      <c r="CL1682" t="s">
        <v>98</v>
      </c>
      <c r="CM1682" t="s">
        <v>98</v>
      </c>
      <c r="CN1682" t="s">
        <v>7528</v>
      </c>
      <c r="CP1682" s="1">
        <v>43633</v>
      </c>
    </row>
    <row r="1683" spans="1:94" x14ac:dyDescent="0.25">
      <c r="A1683" t="s">
        <v>5260</v>
      </c>
      <c r="B1683" t="str">
        <f xml:space="preserve"> "" &amp; 747396093581</f>
        <v>747396093581</v>
      </c>
      <c r="C1683" t="s">
        <v>5154</v>
      </c>
      <c r="D1683" t="s">
        <v>7050</v>
      </c>
      <c r="E1683" t="s">
        <v>5261</v>
      </c>
      <c r="F1683" t="s">
        <v>627</v>
      </c>
      <c r="G1683">
        <v>1</v>
      </c>
      <c r="H1683">
        <v>1</v>
      </c>
      <c r="I1683" t="s">
        <v>97</v>
      </c>
      <c r="J1683" s="10">
        <v>25</v>
      </c>
      <c r="K1683" s="10">
        <v>75</v>
      </c>
      <c r="L1683" s="10">
        <v>0</v>
      </c>
      <c r="N1683" s="10">
        <v>0</v>
      </c>
      <c r="W1683">
        <v>0.94</v>
      </c>
      <c r="Y1683">
        <v>7.25</v>
      </c>
      <c r="Z1683">
        <v>10.25</v>
      </c>
      <c r="AA1683">
        <v>8.75</v>
      </c>
      <c r="AB1683">
        <v>0.376</v>
      </c>
      <c r="AC1683">
        <v>1.05</v>
      </c>
      <c r="AF1683" t="s">
        <v>7528</v>
      </c>
      <c r="AK1683" t="s">
        <v>98</v>
      </c>
      <c r="AM1683" t="s">
        <v>98</v>
      </c>
      <c r="AN1683" t="s">
        <v>98</v>
      </c>
      <c r="AO1683" t="s">
        <v>98</v>
      </c>
      <c r="AP1683" t="s">
        <v>100</v>
      </c>
      <c r="AV1683" t="s">
        <v>98</v>
      </c>
      <c r="AX1683" t="s">
        <v>7528</v>
      </c>
      <c r="AZ1683" t="s">
        <v>7528</v>
      </c>
      <c r="BB1683" t="s">
        <v>7528</v>
      </c>
      <c r="BC1683" t="s">
        <v>7528</v>
      </c>
      <c r="BD1683" t="s">
        <v>7528</v>
      </c>
      <c r="BF1683" t="s">
        <v>5262</v>
      </c>
      <c r="BG1683" t="s">
        <v>98</v>
      </c>
      <c r="BH1683" t="s">
        <v>98</v>
      </c>
      <c r="BI1683" t="s">
        <v>98</v>
      </c>
      <c r="BK1683" t="s">
        <v>7528</v>
      </c>
      <c r="BL1683" t="s">
        <v>7528</v>
      </c>
      <c r="CB1683" t="s">
        <v>7528</v>
      </c>
      <c r="CL1683" t="s">
        <v>98</v>
      </c>
      <c r="CM1683" t="s">
        <v>98</v>
      </c>
      <c r="CN1683" t="s">
        <v>7528</v>
      </c>
      <c r="CP1683" s="1">
        <v>43633</v>
      </c>
    </row>
    <row r="1684" spans="1:94" x14ac:dyDescent="0.25">
      <c r="A1684" t="s">
        <v>5263</v>
      </c>
      <c r="B1684" t="str">
        <f xml:space="preserve"> "" &amp; 747396093598</f>
        <v>747396093598</v>
      </c>
      <c r="C1684" t="s">
        <v>5154</v>
      </c>
      <c r="D1684" t="s">
        <v>7051</v>
      </c>
      <c r="E1684" t="s">
        <v>987</v>
      </c>
      <c r="F1684" t="s">
        <v>627</v>
      </c>
      <c r="G1684">
        <v>1</v>
      </c>
      <c r="H1684">
        <v>1</v>
      </c>
      <c r="I1684" t="s">
        <v>97</v>
      </c>
      <c r="J1684" s="10">
        <v>40</v>
      </c>
      <c r="K1684" s="10">
        <v>120</v>
      </c>
      <c r="L1684" s="10">
        <v>0</v>
      </c>
      <c r="N1684" s="10">
        <v>0</v>
      </c>
      <c r="W1684">
        <v>1.32</v>
      </c>
      <c r="Y1684">
        <v>7.25</v>
      </c>
      <c r="Z1684">
        <v>10.25</v>
      </c>
      <c r="AA1684">
        <v>7</v>
      </c>
      <c r="AB1684">
        <v>0.30099999999999999</v>
      </c>
      <c r="AC1684">
        <v>1.54</v>
      </c>
      <c r="AF1684" t="s">
        <v>7528</v>
      </c>
      <c r="AK1684" t="s">
        <v>98</v>
      </c>
      <c r="AM1684" t="s">
        <v>98</v>
      </c>
      <c r="AN1684" t="s">
        <v>98</v>
      </c>
      <c r="AO1684" t="s">
        <v>98</v>
      </c>
      <c r="AP1684" t="s">
        <v>100</v>
      </c>
      <c r="AV1684" t="s">
        <v>98</v>
      </c>
      <c r="AX1684" t="s">
        <v>7528</v>
      </c>
      <c r="AZ1684" t="s">
        <v>7528</v>
      </c>
      <c r="BB1684" t="s">
        <v>7528</v>
      </c>
      <c r="BC1684" t="s">
        <v>7528</v>
      </c>
      <c r="BD1684" t="s">
        <v>7528</v>
      </c>
      <c r="BF1684" t="s">
        <v>5264</v>
      </c>
      <c r="BG1684" t="s">
        <v>98</v>
      </c>
      <c r="BH1684" t="s">
        <v>98</v>
      </c>
      <c r="BI1684" t="s">
        <v>98</v>
      </c>
      <c r="BK1684" t="s">
        <v>7528</v>
      </c>
      <c r="BL1684" t="s">
        <v>7528</v>
      </c>
      <c r="CB1684" t="s">
        <v>7528</v>
      </c>
      <c r="CL1684" t="s">
        <v>98</v>
      </c>
      <c r="CM1684" t="s">
        <v>98</v>
      </c>
      <c r="CN1684" t="s">
        <v>7528</v>
      </c>
      <c r="CP1684" s="1">
        <v>43633</v>
      </c>
    </row>
    <row r="1685" spans="1:94" x14ac:dyDescent="0.25">
      <c r="A1685" t="s">
        <v>5265</v>
      </c>
      <c r="B1685" t="str">
        <f xml:space="preserve"> "" &amp; 747396093604</f>
        <v>747396093604</v>
      </c>
      <c r="C1685" t="s">
        <v>5154</v>
      </c>
      <c r="D1685" t="s">
        <v>7052</v>
      </c>
      <c r="E1685" t="s">
        <v>987</v>
      </c>
      <c r="F1685" t="s">
        <v>627</v>
      </c>
      <c r="G1685">
        <v>1</v>
      </c>
      <c r="H1685">
        <v>1</v>
      </c>
      <c r="I1685" t="s">
        <v>97</v>
      </c>
      <c r="J1685" s="10">
        <v>3.5</v>
      </c>
      <c r="K1685" s="10">
        <v>10.5</v>
      </c>
      <c r="L1685" s="10">
        <v>0</v>
      </c>
      <c r="N1685" s="10">
        <v>0</v>
      </c>
      <c r="W1685">
        <v>0.22</v>
      </c>
      <c r="Y1685">
        <v>5.5</v>
      </c>
      <c r="Z1685">
        <v>10.25</v>
      </c>
      <c r="AA1685">
        <v>5.25</v>
      </c>
      <c r="AB1685">
        <v>0.17100000000000001</v>
      </c>
      <c r="AC1685">
        <v>0.33</v>
      </c>
      <c r="AF1685" t="s">
        <v>7528</v>
      </c>
      <c r="AK1685" t="s">
        <v>98</v>
      </c>
      <c r="AM1685" t="s">
        <v>98</v>
      </c>
      <c r="AN1685" t="s">
        <v>98</v>
      </c>
      <c r="AO1685" t="s">
        <v>98</v>
      </c>
      <c r="AP1685" t="s">
        <v>100</v>
      </c>
      <c r="AV1685" t="s">
        <v>98</v>
      </c>
      <c r="AX1685" t="s">
        <v>7528</v>
      </c>
      <c r="AZ1685" t="s">
        <v>7528</v>
      </c>
      <c r="BB1685" t="s">
        <v>7528</v>
      </c>
      <c r="BC1685" t="s">
        <v>7528</v>
      </c>
      <c r="BD1685" t="s">
        <v>7528</v>
      </c>
      <c r="BF1685" t="s">
        <v>5266</v>
      </c>
      <c r="BG1685" t="s">
        <v>98</v>
      </c>
      <c r="BH1685" t="s">
        <v>98</v>
      </c>
      <c r="BI1685" t="s">
        <v>98</v>
      </c>
      <c r="BK1685" t="s">
        <v>7528</v>
      </c>
      <c r="BL1685" t="s">
        <v>7528</v>
      </c>
      <c r="CB1685" t="s">
        <v>7528</v>
      </c>
      <c r="CL1685" t="s">
        <v>98</v>
      </c>
      <c r="CM1685" t="s">
        <v>98</v>
      </c>
      <c r="CN1685" t="s">
        <v>7528</v>
      </c>
      <c r="CP1685" s="1">
        <v>43633</v>
      </c>
    </row>
    <row r="1686" spans="1:94" x14ac:dyDescent="0.25">
      <c r="A1686" t="s">
        <v>5267</v>
      </c>
      <c r="B1686" t="str">
        <f xml:space="preserve"> "" &amp; 747396093628</f>
        <v>747396093628</v>
      </c>
      <c r="C1686" t="s">
        <v>5154</v>
      </c>
      <c r="D1686" t="s">
        <v>7053</v>
      </c>
      <c r="E1686" t="s">
        <v>987</v>
      </c>
      <c r="F1686" t="s">
        <v>627</v>
      </c>
      <c r="G1686">
        <v>1</v>
      </c>
      <c r="H1686">
        <v>1</v>
      </c>
      <c r="I1686" t="s">
        <v>97</v>
      </c>
      <c r="J1686" s="10">
        <v>70</v>
      </c>
      <c r="K1686" s="10">
        <v>210</v>
      </c>
      <c r="L1686" s="10">
        <v>0</v>
      </c>
      <c r="N1686" s="10">
        <v>0</v>
      </c>
      <c r="S1686">
        <v>5.38</v>
      </c>
      <c r="T1686">
        <v>24.5</v>
      </c>
      <c r="U1686">
        <v>2.63</v>
      </c>
      <c r="W1686">
        <v>2.95</v>
      </c>
      <c r="Y1686">
        <v>5.38</v>
      </c>
      <c r="Z1686">
        <v>24.5</v>
      </c>
      <c r="AA1686">
        <v>2.63</v>
      </c>
      <c r="AB1686">
        <v>0.20100000000000001</v>
      </c>
      <c r="AC1686">
        <v>3.33</v>
      </c>
      <c r="AF1686" t="s">
        <v>7528</v>
      </c>
      <c r="AK1686" t="s">
        <v>98</v>
      </c>
      <c r="AM1686" t="s">
        <v>98</v>
      </c>
      <c r="AN1686" t="s">
        <v>98</v>
      </c>
      <c r="AO1686" t="s">
        <v>98</v>
      </c>
      <c r="AP1686" t="s">
        <v>100</v>
      </c>
      <c r="AV1686" t="s">
        <v>98</v>
      </c>
      <c r="AX1686" t="s">
        <v>7528</v>
      </c>
      <c r="AZ1686" t="s">
        <v>7528</v>
      </c>
      <c r="BB1686" t="s">
        <v>7528</v>
      </c>
      <c r="BC1686" t="s">
        <v>7528</v>
      </c>
      <c r="BD1686" t="s">
        <v>7528</v>
      </c>
      <c r="BF1686" t="s">
        <v>5268</v>
      </c>
      <c r="BG1686" t="s">
        <v>98</v>
      </c>
      <c r="BH1686" t="s">
        <v>98</v>
      </c>
      <c r="BI1686" t="s">
        <v>98</v>
      </c>
      <c r="BK1686" t="s">
        <v>7528</v>
      </c>
      <c r="BL1686" t="s">
        <v>7528</v>
      </c>
      <c r="CB1686" t="s">
        <v>7528</v>
      </c>
      <c r="CL1686" t="s">
        <v>98</v>
      </c>
      <c r="CM1686" t="s">
        <v>98</v>
      </c>
      <c r="CN1686" t="s">
        <v>7528</v>
      </c>
      <c r="CP1686" s="1">
        <v>43633</v>
      </c>
    </row>
    <row r="1687" spans="1:94" x14ac:dyDescent="0.25">
      <c r="A1687" t="s">
        <v>5269</v>
      </c>
      <c r="B1687" t="str">
        <f xml:space="preserve"> "" &amp; 747396093611</f>
        <v>747396093611</v>
      </c>
      <c r="C1687" t="s">
        <v>5154</v>
      </c>
      <c r="D1687" t="s">
        <v>7054</v>
      </c>
      <c r="E1687" t="s">
        <v>987</v>
      </c>
      <c r="F1687" t="s">
        <v>627</v>
      </c>
      <c r="G1687">
        <v>1</v>
      </c>
      <c r="H1687">
        <v>1</v>
      </c>
      <c r="I1687" t="s">
        <v>97</v>
      </c>
      <c r="J1687" s="10">
        <v>6</v>
      </c>
      <c r="K1687" s="10">
        <v>18</v>
      </c>
      <c r="L1687" s="10">
        <v>0</v>
      </c>
      <c r="N1687" s="10">
        <v>0</v>
      </c>
      <c r="W1687">
        <v>0.83</v>
      </c>
      <c r="Y1687">
        <v>5.25</v>
      </c>
      <c r="Z1687">
        <v>26</v>
      </c>
      <c r="AA1687">
        <v>5</v>
      </c>
      <c r="AB1687">
        <v>0.39500000000000002</v>
      </c>
      <c r="AC1687">
        <v>0.94</v>
      </c>
      <c r="AF1687" t="s">
        <v>7528</v>
      </c>
      <c r="AK1687" t="s">
        <v>98</v>
      </c>
      <c r="AM1687" t="s">
        <v>98</v>
      </c>
      <c r="AN1687" t="s">
        <v>98</v>
      </c>
      <c r="AO1687" t="s">
        <v>98</v>
      </c>
      <c r="AP1687" t="s">
        <v>100</v>
      </c>
      <c r="AV1687" t="s">
        <v>98</v>
      </c>
      <c r="AX1687" t="s">
        <v>7528</v>
      </c>
      <c r="AZ1687" t="s">
        <v>7528</v>
      </c>
      <c r="BB1687" t="s">
        <v>7528</v>
      </c>
      <c r="BC1687" t="s">
        <v>7528</v>
      </c>
      <c r="BD1687" t="s">
        <v>7528</v>
      </c>
      <c r="BF1687" t="s">
        <v>5270</v>
      </c>
      <c r="BG1687" t="s">
        <v>98</v>
      </c>
      <c r="BH1687" t="s">
        <v>98</v>
      </c>
      <c r="BI1687" t="s">
        <v>98</v>
      </c>
      <c r="BK1687" t="s">
        <v>7528</v>
      </c>
      <c r="BL1687" t="s">
        <v>7528</v>
      </c>
      <c r="CB1687" t="s">
        <v>7528</v>
      </c>
      <c r="CL1687" t="s">
        <v>98</v>
      </c>
      <c r="CM1687" t="s">
        <v>98</v>
      </c>
      <c r="CN1687" t="s">
        <v>7528</v>
      </c>
      <c r="CP1687" s="1">
        <v>43633</v>
      </c>
    </row>
    <row r="1688" spans="1:94" x14ac:dyDescent="0.25">
      <c r="A1688" t="s">
        <v>5271</v>
      </c>
      <c r="B1688" t="str">
        <f xml:space="preserve"> "" &amp; 747396093635</f>
        <v>747396093635</v>
      </c>
      <c r="C1688" t="s">
        <v>5154</v>
      </c>
      <c r="D1688" t="s">
        <v>7055</v>
      </c>
      <c r="E1688" t="s">
        <v>987</v>
      </c>
      <c r="F1688" t="s">
        <v>627</v>
      </c>
      <c r="G1688">
        <v>1</v>
      </c>
      <c r="H1688">
        <v>1</v>
      </c>
      <c r="I1688" t="s">
        <v>97</v>
      </c>
      <c r="J1688" s="10">
        <v>95</v>
      </c>
      <c r="K1688" s="10">
        <v>285</v>
      </c>
      <c r="L1688" s="10">
        <v>0</v>
      </c>
      <c r="N1688" s="10">
        <v>0</v>
      </c>
      <c r="W1688">
        <v>4.29</v>
      </c>
      <c r="Y1688">
        <v>4.5</v>
      </c>
      <c r="Z1688">
        <v>32.5</v>
      </c>
      <c r="AA1688">
        <v>7</v>
      </c>
      <c r="AB1688">
        <v>0.59199999999999997</v>
      </c>
      <c r="AC1688">
        <v>5.5</v>
      </c>
      <c r="AF1688" t="s">
        <v>7528</v>
      </c>
      <c r="AK1688" t="s">
        <v>98</v>
      </c>
      <c r="AM1688" t="s">
        <v>98</v>
      </c>
      <c r="AN1688" t="s">
        <v>98</v>
      </c>
      <c r="AO1688" t="s">
        <v>98</v>
      </c>
      <c r="AP1688" t="s">
        <v>100</v>
      </c>
      <c r="AV1688" t="s">
        <v>98</v>
      </c>
      <c r="AX1688" t="s">
        <v>7528</v>
      </c>
      <c r="AZ1688" t="s">
        <v>7528</v>
      </c>
      <c r="BB1688" t="s">
        <v>7528</v>
      </c>
      <c r="BC1688" t="s">
        <v>7528</v>
      </c>
      <c r="BD1688" t="s">
        <v>7528</v>
      </c>
      <c r="BF1688" t="s">
        <v>5272</v>
      </c>
      <c r="BG1688" t="s">
        <v>98</v>
      </c>
      <c r="BH1688" t="s">
        <v>98</v>
      </c>
      <c r="BI1688" t="s">
        <v>98</v>
      </c>
      <c r="BK1688" t="s">
        <v>7528</v>
      </c>
      <c r="BL1688" t="s">
        <v>7528</v>
      </c>
      <c r="CB1688" t="s">
        <v>7528</v>
      </c>
      <c r="CL1688" t="s">
        <v>98</v>
      </c>
      <c r="CM1688" t="s">
        <v>98</v>
      </c>
      <c r="CN1688" t="s">
        <v>7528</v>
      </c>
      <c r="CP1688" s="1">
        <v>43633</v>
      </c>
    </row>
    <row r="1689" spans="1:94" x14ac:dyDescent="0.25">
      <c r="A1689" t="s">
        <v>5273</v>
      </c>
      <c r="B1689" t="str">
        <f xml:space="preserve"> "" &amp; 747396093642</f>
        <v>747396093642</v>
      </c>
      <c r="C1689" t="s">
        <v>5154</v>
      </c>
      <c r="D1689" t="s">
        <v>7056</v>
      </c>
      <c r="E1689" t="s">
        <v>987</v>
      </c>
      <c r="F1689" t="s">
        <v>627</v>
      </c>
      <c r="G1689">
        <v>1</v>
      </c>
      <c r="H1689">
        <v>1</v>
      </c>
      <c r="I1689" t="s">
        <v>97</v>
      </c>
      <c r="J1689" s="10">
        <v>8</v>
      </c>
      <c r="K1689" s="10">
        <v>24</v>
      </c>
      <c r="L1689" s="10">
        <v>0</v>
      </c>
      <c r="N1689" s="10">
        <v>0</v>
      </c>
      <c r="W1689">
        <v>1.05</v>
      </c>
      <c r="Y1689">
        <v>5.25</v>
      </c>
      <c r="Z1689">
        <v>32.5</v>
      </c>
      <c r="AA1689">
        <v>5</v>
      </c>
      <c r="AB1689">
        <v>0.49399999999999999</v>
      </c>
      <c r="AC1689">
        <v>1.1599999999999999</v>
      </c>
      <c r="AF1689" t="s">
        <v>7528</v>
      </c>
      <c r="AK1689" t="s">
        <v>98</v>
      </c>
      <c r="AM1689" t="s">
        <v>98</v>
      </c>
      <c r="AN1689" t="s">
        <v>98</v>
      </c>
      <c r="AO1689" t="s">
        <v>98</v>
      </c>
      <c r="AP1689" t="s">
        <v>100</v>
      </c>
      <c r="AV1689" t="s">
        <v>98</v>
      </c>
      <c r="AX1689" t="s">
        <v>7528</v>
      </c>
      <c r="AZ1689" t="s">
        <v>7528</v>
      </c>
      <c r="BB1689" t="s">
        <v>7528</v>
      </c>
      <c r="BC1689" t="s">
        <v>7528</v>
      </c>
      <c r="BD1689" t="s">
        <v>7528</v>
      </c>
      <c r="BF1689" t="s">
        <v>5274</v>
      </c>
      <c r="BG1689" t="s">
        <v>98</v>
      </c>
      <c r="BH1689" t="s">
        <v>98</v>
      </c>
      <c r="BI1689" t="s">
        <v>98</v>
      </c>
      <c r="BK1689" t="s">
        <v>7528</v>
      </c>
      <c r="BL1689" t="s">
        <v>7528</v>
      </c>
      <c r="CB1689" t="s">
        <v>7528</v>
      </c>
      <c r="CL1689" t="s">
        <v>98</v>
      </c>
      <c r="CM1689" t="s">
        <v>98</v>
      </c>
      <c r="CN1689" t="s">
        <v>7528</v>
      </c>
      <c r="CP1689" s="1">
        <v>43633</v>
      </c>
    </row>
    <row r="1690" spans="1:94" x14ac:dyDescent="0.25">
      <c r="A1690" t="s">
        <v>5275</v>
      </c>
      <c r="B1690" t="str">
        <f xml:space="preserve"> "" &amp; 747396093659</f>
        <v>747396093659</v>
      </c>
      <c r="C1690" t="s">
        <v>5154</v>
      </c>
      <c r="D1690" t="s">
        <v>7057</v>
      </c>
      <c r="E1690" t="s">
        <v>5276</v>
      </c>
      <c r="F1690" t="s">
        <v>627</v>
      </c>
      <c r="G1690">
        <v>1</v>
      </c>
      <c r="H1690">
        <v>1</v>
      </c>
      <c r="I1690" t="s">
        <v>97</v>
      </c>
      <c r="J1690" s="10">
        <v>10</v>
      </c>
      <c r="K1690" s="10">
        <v>30</v>
      </c>
      <c r="L1690" s="10">
        <v>0</v>
      </c>
      <c r="N1690" s="10">
        <v>0</v>
      </c>
      <c r="W1690">
        <v>0.5</v>
      </c>
      <c r="Y1690">
        <v>7.5</v>
      </c>
      <c r="Z1690">
        <v>10.25</v>
      </c>
      <c r="AA1690">
        <v>5.25</v>
      </c>
      <c r="AB1690">
        <v>0.23400000000000001</v>
      </c>
      <c r="AC1690">
        <v>0.61</v>
      </c>
      <c r="AF1690" t="s">
        <v>7528</v>
      </c>
      <c r="AK1690" t="s">
        <v>98</v>
      </c>
      <c r="AM1690" t="s">
        <v>98</v>
      </c>
      <c r="AN1690" t="s">
        <v>98</v>
      </c>
      <c r="AO1690" t="s">
        <v>98</v>
      </c>
      <c r="AP1690" t="s">
        <v>100</v>
      </c>
      <c r="AV1690" t="s">
        <v>98</v>
      </c>
      <c r="AX1690" t="s">
        <v>7528</v>
      </c>
      <c r="AZ1690" t="s">
        <v>7528</v>
      </c>
      <c r="BB1690" t="s">
        <v>7528</v>
      </c>
      <c r="BC1690" t="s">
        <v>7528</v>
      </c>
      <c r="BD1690" t="s">
        <v>7528</v>
      </c>
      <c r="BF1690" t="s">
        <v>5277</v>
      </c>
      <c r="BG1690" t="s">
        <v>98</v>
      </c>
      <c r="BH1690" t="s">
        <v>98</v>
      </c>
      <c r="BI1690" t="s">
        <v>98</v>
      </c>
      <c r="BK1690" t="s">
        <v>7528</v>
      </c>
      <c r="BL1690" t="s">
        <v>7528</v>
      </c>
      <c r="CB1690" t="s">
        <v>7528</v>
      </c>
      <c r="CL1690" t="s">
        <v>98</v>
      </c>
      <c r="CM1690" t="s">
        <v>98</v>
      </c>
      <c r="CN1690" t="s">
        <v>7528</v>
      </c>
      <c r="CP1690" s="1">
        <v>43633</v>
      </c>
    </row>
    <row r="1691" spans="1:94" x14ac:dyDescent="0.25">
      <c r="A1691" t="s">
        <v>5278</v>
      </c>
      <c r="B1691" t="str">
        <f xml:space="preserve"> "" &amp; 747396093666</f>
        <v>747396093666</v>
      </c>
      <c r="C1691" t="s">
        <v>5154</v>
      </c>
      <c r="D1691" t="s">
        <v>7058</v>
      </c>
      <c r="E1691" t="s">
        <v>5276</v>
      </c>
      <c r="F1691" t="s">
        <v>627</v>
      </c>
      <c r="G1691">
        <v>1</v>
      </c>
      <c r="H1691">
        <v>1</v>
      </c>
      <c r="I1691" t="s">
        <v>97</v>
      </c>
      <c r="J1691" s="10">
        <v>6</v>
      </c>
      <c r="K1691" s="10">
        <v>18</v>
      </c>
      <c r="L1691" s="10">
        <v>0</v>
      </c>
      <c r="N1691" s="10">
        <v>0</v>
      </c>
      <c r="W1691">
        <v>0.99</v>
      </c>
      <c r="Y1691">
        <v>7.5</v>
      </c>
      <c r="Z1691">
        <v>17.5</v>
      </c>
      <c r="AA1691">
        <v>3.25</v>
      </c>
      <c r="AB1691">
        <v>0.247</v>
      </c>
      <c r="AC1691">
        <v>1.1000000000000001</v>
      </c>
      <c r="AF1691" t="s">
        <v>7528</v>
      </c>
      <c r="AK1691" t="s">
        <v>98</v>
      </c>
      <c r="AM1691" t="s">
        <v>98</v>
      </c>
      <c r="AN1691" t="s">
        <v>98</v>
      </c>
      <c r="AO1691" t="s">
        <v>98</v>
      </c>
      <c r="AP1691" t="s">
        <v>100</v>
      </c>
      <c r="AV1691" t="s">
        <v>98</v>
      </c>
      <c r="AX1691" t="s">
        <v>7528</v>
      </c>
      <c r="AZ1691" t="s">
        <v>7528</v>
      </c>
      <c r="BB1691" t="s">
        <v>7528</v>
      </c>
      <c r="BC1691" t="s">
        <v>7528</v>
      </c>
      <c r="BD1691" t="s">
        <v>7528</v>
      </c>
      <c r="BF1691" t="s">
        <v>5279</v>
      </c>
      <c r="BG1691" t="s">
        <v>98</v>
      </c>
      <c r="BH1691" t="s">
        <v>98</v>
      </c>
      <c r="BI1691" t="s">
        <v>98</v>
      </c>
      <c r="BK1691" t="s">
        <v>7528</v>
      </c>
      <c r="BL1691" t="s">
        <v>7528</v>
      </c>
      <c r="CB1691" t="s">
        <v>7528</v>
      </c>
      <c r="CL1691" t="s">
        <v>98</v>
      </c>
      <c r="CM1691" t="s">
        <v>98</v>
      </c>
      <c r="CN1691" t="s">
        <v>7528</v>
      </c>
      <c r="CP1691" s="1">
        <v>43633</v>
      </c>
    </row>
    <row r="1692" spans="1:94" x14ac:dyDescent="0.25">
      <c r="A1692" t="s">
        <v>5280</v>
      </c>
      <c r="B1692" t="str">
        <f xml:space="preserve"> "" &amp; 747396093673</f>
        <v>747396093673</v>
      </c>
      <c r="C1692" t="s">
        <v>5154</v>
      </c>
      <c r="D1692" t="s">
        <v>7059</v>
      </c>
      <c r="E1692" t="s">
        <v>5276</v>
      </c>
      <c r="F1692" t="s">
        <v>627</v>
      </c>
      <c r="G1692">
        <v>1</v>
      </c>
      <c r="H1692">
        <v>1</v>
      </c>
      <c r="I1692" t="s">
        <v>97</v>
      </c>
      <c r="J1692" s="10">
        <v>18</v>
      </c>
      <c r="K1692" s="10">
        <v>54</v>
      </c>
      <c r="L1692" s="10">
        <v>0</v>
      </c>
      <c r="N1692" s="10">
        <v>0</v>
      </c>
      <c r="W1692">
        <v>1.43</v>
      </c>
      <c r="Y1692">
        <v>7.5</v>
      </c>
      <c r="Z1692">
        <v>25.25</v>
      </c>
      <c r="AA1692">
        <v>3.25</v>
      </c>
      <c r="AB1692">
        <v>0.35599999999999998</v>
      </c>
      <c r="AC1692">
        <v>1.65</v>
      </c>
      <c r="AF1692" t="s">
        <v>7528</v>
      </c>
      <c r="AK1692" t="s">
        <v>98</v>
      </c>
      <c r="AM1692" t="s">
        <v>98</v>
      </c>
      <c r="AN1692" t="s">
        <v>98</v>
      </c>
      <c r="AO1692" t="s">
        <v>98</v>
      </c>
      <c r="AP1692" t="s">
        <v>100</v>
      </c>
      <c r="AV1692" t="s">
        <v>98</v>
      </c>
      <c r="AX1692" t="s">
        <v>7528</v>
      </c>
      <c r="AZ1692" t="s">
        <v>7528</v>
      </c>
      <c r="BB1692" t="s">
        <v>7528</v>
      </c>
      <c r="BC1692" t="s">
        <v>7528</v>
      </c>
      <c r="BD1692" t="s">
        <v>7528</v>
      </c>
      <c r="BF1692" t="s">
        <v>5281</v>
      </c>
      <c r="BG1692" t="s">
        <v>98</v>
      </c>
      <c r="BH1692" t="s">
        <v>98</v>
      </c>
      <c r="BI1692" t="s">
        <v>98</v>
      </c>
      <c r="BK1692" t="s">
        <v>7528</v>
      </c>
      <c r="BL1692" t="s">
        <v>7528</v>
      </c>
      <c r="CB1692" t="s">
        <v>7528</v>
      </c>
      <c r="CL1692" t="s">
        <v>98</v>
      </c>
      <c r="CM1692" t="s">
        <v>98</v>
      </c>
      <c r="CN1692" t="s">
        <v>7528</v>
      </c>
      <c r="CP1692" s="1">
        <v>43633</v>
      </c>
    </row>
    <row r="1693" spans="1:94" x14ac:dyDescent="0.25">
      <c r="A1693" t="s">
        <v>5282</v>
      </c>
      <c r="B1693" t="str">
        <f xml:space="preserve"> "" &amp; 747396093697</f>
        <v>747396093697</v>
      </c>
      <c r="C1693" t="s">
        <v>5154</v>
      </c>
      <c r="D1693" t="s">
        <v>7060</v>
      </c>
      <c r="E1693" t="s">
        <v>5283</v>
      </c>
      <c r="F1693" t="s">
        <v>627</v>
      </c>
      <c r="G1693">
        <v>1</v>
      </c>
      <c r="H1693">
        <v>1</v>
      </c>
      <c r="I1693" t="s">
        <v>97</v>
      </c>
      <c r="J1693" s="10">
        <v>85</v>
      </c>
      <c r="K1693" s="10">
        <v>255</v>
      </c>
      <c r="L1693" s="10">
        <v>0</v>
      </c>
      <c r="N1693" s="10">
        <v>0</v>
      </c>
      <c r="W1693">
        <v>3.08</v>
      </c>
      <c r="Y1693">
        <v>5</v>
      </c>
      <c r="Z1693">
        <v>18.5</v>
      </c>
      <c r="AA1693">
        <v>7</v>
      </c>
      <c r="AB1693">
        <v>0.375</v>
      </c>
      <c r="AC1693">
        <v>3.52</v>
      </c>
      <c r="AF1693" t="s">
        <v>7528</v>
      </c>
      <c r="AK1693" t="s">
        <v>98</v>
      </c>
      <c r="AM1693" t="s">
        <v>98</v>
      </c>
      <c r="AN1693" t="s">
        <v>98</v>
      </c>
      <c r="AO1693" t="s">
        <v>98</v>
      </c>
      <c r="AP1693" t="s">
        <v>100</v>
      </c>
      <c r="AV1693" t="s">
        <v>98</v>
      </c>
      <c r="AX1693" t="s">
        <v>7528</v>
      </c>
      <c r="AZ1693" t="s">
        <v>7528</v>
      </c>
      <c r="BB1693" t="s">
        <v>7528</v>
      </c>
      <c r="BC1693" t="s">
        <v>7528</v>
      </c>
      <c r="BD1693" t="s">
        <v>7528</v>
      </c>
      <c r="BF1693" t="s">
        <v>5284</v>
      </c>
      <c r="BG1693" t="s">
        <v>98</v>
      </c>
      <c r="BH1693" t="s">
        <v>98</v>
      </c>
      <c r="BI1693" t="s">
        <v>98</v>
      </c>
      <c r="BK1693" t="s">
        <v>7528</v>
      </c>
      <c r="BL1693" t="s">
        <v>7528</v>
      </c>
      <c r="CB1693" t="s">
        <v>7528</v>
      </c>
      <c r="CL1693" t="s">
        <v>98</v>
      </c>
      <c r="CM1693" t="s">
        <v>98</v>
      </c>
      <c r="CN1693" t="s">
        <v>7528</v>
      </c>
    </row>
    <row r="1694" spans="1:94" x14ac:dyDescent="0.25">
      <c r="A1694" t="s">
        <v>5285</v>
      </c>
      <c r="B1694" t="str">
        <f xml:space="preserve"> "" &amp; 747396093703</f>
        <v>747396093703</v>
      </c>
      <c r="C1694" t="s">
        <v>5154</v>
      </c>
      <c r="D1694" t="s">
        <v>7061</v>
      </c>
      <c r="E1694" t="s">
        <v>5283</v>
      </c>
      <c r="F1694" t="s">
        <v>627</v>
      </c>
      <c r="G1694">
        <v>1</v>
      </c>
      <c r="H1694">
        <v>1</v>
      </c>
      <c r="I1694" t="s">
        <v>97</v>
      </c>
      <c r="J1694" s="10">
        <v>115</v>
      </c>
      <c r="K1694" s="10">
        <v>345</v>
      </c>
      <c r="L1694" s="10">
        <v>0</v>
      </c>
      <c r="N1694" s="10">
        <v>0</v>
      </c>
      <c r="W1694">
        <v>4.84</v>
      </c>
      <c r="Y1694">
        <v>5</v>
      </c>
      <c r="Z1694">
        <v>27.5</v>
      </c>
      <c r="AA1694">
        <v>7</v>
      </c>
      <c r="AB1694">
        <v>0.55700000000000005</v>
      </c>
      <c r="AC1694">
        <v>5.28</v>
      </c>
      <c r="AF1694" t="s">
        <v>7528</v>
      </c>
      <c r="AK1694" t="s">
        <v>98</v>
      </c>
      <c r="AM1694" t="s">
        <v>98</v>
      </c>
      <c r="AN1694" t="s">
        <v>98</v>
      </c>
      <c r="AO1694" t="s">
        <v>98</v>
      </c>
      <c r="AP1694" t="s">
        <v>100</v>
      </c>
      <c r="AV1694" t="s">
        <v>98</v>
      </c>
      <c r="AX1694" t="s">
        <v>7528</v>
      </c>
      <c r="AZ1694" t="s">
        <v>7528</v>
      </c>
      <c r="BB1694" t="s">
        <v>7528</v>
      </c>
      <c r="BC1694" t="s">
        <v>7528</v>
      </c>
      <c r="BD1694" t="s">
        <v>7528</v>
      </c>
      <c r="BF1694" t="s">
        <v>5286</v>
      </c>
      <c r="BG1694" t="s">
        <v>98</v>
      </c>
      <c r="BH1694" t="s">
        <v>98</v>
      </c>
      <c r="BI1694" t="s">
        <v>98</v>
      </c>
      <c r="BK1694" t="s">
        <v>7528</v>
      </c>
      <c r="BL1694" t="s">
        <v>7528</v>
      </c>
      <c r="CB1694" t="s">
        <v>7528</v>
      </c>
      <c r="CL1694" t="s">
        <v>98</v>
      </c>
      <c r="CM1694" t="s">
        <v>98</v>
      </c>
      <c r="CN1694" t="s">
        <v>7528</v>
      </c>
    </row>
    <row r="1695" spans="1:94" x14ac:dyDescent="0.25">
      <c r="A1695" t="s">
        <v>5287</v>
      </c>
      <c r="B1695" t="str">
        <f xml:space="preserve"> "" &amp; 747396093710</f>
        <v>747396093710</v>
      </c>
      <c r="C1695" t="s">
        <v>5154</v>
      </c>
      <c r="D1695" t="s">
        <v>7062</v>
      </c>
      <c r="E1695" t="s">
        <v>5283</v>
      </c>
      <c r="F1695" t="s">
        <v>627</v>
      </c>
      <c r="G1695">
        <v>1</v>
      </c>
      <c r="H1695">
        <v>1</v>
      </c>
      <c r="I1695" t="s">
        <v>97</v>
      </c>
      <c r="J1695" s="10">
        <v>125</v>
      </c>
      <c r="K1695" s="10">
        <v>375</v>
      </c>
      <c r="L1695" s="10">
        <v>0</v>
      </c>
      <c r="N1695" s="10">
        <v>0</v>
      </c>
      <c r="W1695">
        <v>5.94</v>
      </c>
      <c r="Y1695">
        <v>5.25</v>
      </c>
      <c r="Z1695">
        <v>32.5</v>
      </c>
      <c r="AA1695">
        <v>7.25</v>
      </c>
      <c r="AB1695">
        <v>0.71599999999999997</v>
      </c>
      <c r="AC1695">
        <v>6.38</v>
      </c>
      <c r="AF1695" t="s">
        <v>7528</v>
      </c>
      <c r="AK1695" t="s">
        <v>98</v>
      </c>
      <c r="AM1695" t="s">
        <v>98</v>
      </c>
      <c r="AN1695" t="s">
        <v>98</v>
      </c>
      <c r="AO1695" t="s">
        <v>98</v>
      </c>
      <c r="AP1695" t="s">
        <v>100</v>
      </c>
      <c r="AV1695" t="s">
        <v>98</v>
      </c>
      <c r="AX1695" t="s">
        <v>7528</v>
      </c>
      <c r="AZ1695" t="s">
        <v>7528</v>
      </c>
      <c r="BB1695" t="s">
        <v>7528</v>
      </c>
      <c r="BC1695" t="s">
        <v>7528</v>
      </c>
      <c r="BD1695" t="s">
        <v>7528</v>
      </c>
      <c r="BF1695" t="s">
        <v>5288</v>
      </c>
      <c r="BG1695" t="s">
        <v>98</v>
      </c>
      <c r="BH1695" t="s">
        <v>98</v>
      </c>
      <c r="BI1695" t="s">
        <v>98</v>
      </c>
      <c r="BK1695" t="s">
        <v>7528</v>
      </c>
      <c r="BL1695" t="s">
        <v>7528</v>
      </c>
      <c r="CB1695" t="s">
        <v>7528</v>
      </c>
      <c r="CL1695" t="s">
        <v>98</v>
      </c>
      <c r="CM1695" t="s">
        <v>98</v>
      </c>
      <c r="CN1695" t="s">
        <v>7528</v>
      </c>
    </row>
    <row r="1696" spans="1:94" x14ac:dyDescent="0.25">
      <c r="A1696" t="s">
        <v>5289</v>
      </c>
      <c r="B1696" t="str">
        <f xml:space="preserve"> "" &amp; 840253038616</f>
        <v>840253038616</v>
      </c>
      <c r="C1696" t="s">
        <v>5290</v>
      </c>
      <c r="D1696" t="s">
        <v>7063</v>
      </c>
      <c r="E1696" t="s">
        <v>7528</v>
      </c>
      <c r="F1696" t="s">
        <v>627</v>
      </c>
      <c r="G1696">
        <v>1</v>
      </c>
      <c r="H1696">
        <v>1</v>
      </c>
      <c r="I1696" t="s">
        <v>97</v>
      </c>
      <c r="J1696" s="10">
        <v>22</v>
      </c>
      <c r="K1696" s="10">
        <v>66</v>
      </c>
      <c r="L1696" s="10">
        <v>0</v>
      </c>
      <c r="N1696" s="10">
        <v>0</v>
      </c>
      <c r="S1696">
        <v>4.38</v>
      </c>
      <c r="U1696">
        <v>15.63</v>
      </c>
      <c r="W1696">
        <v>2.42</v>
      </c>
      <c r="X1696">
        <v>1</v>
      </c>
      <c r="Y1696">
        <v>22</v>
      </c>
      <c r="Z1696">
        <v>18.75</v>
      </c>
      <c r="AA1696">
        <v>18.75</v>
      </c>
      <c r="AB1696">
        <v>4.476</v>
      </c>
      <c r="AC1696">
        <v>3.42</v>
      </c>
      <c r="AF1696" t="s">
        <v>7528</v>
      </c>
      <c r="AK1696" t="s">
        <v>98</v>
      </c>
      <c r="AM1696" t="s">
        <v>98</v>
      </c>
      <c r="AN1696" t="s">
        <v>98</v>
      </c>
      <c r="AO1696" t="s">
        <v>98</v>
      </c>
      <c r="AP1696" t="s">
        <v>100</v>
      </c>
      <c r="AQ1696" t="s">
        <v>101</v>
      </c>
      <c r="AV1696" t="s">
        <v>98</v>
      </c>
      <c r="AX1696" t="s">
        <v>7528</v>
      </c>
      <c r="AZ1696" t="s">
        <v>7528</v>
      </c>
      <c r="BB1696" t="s">
        <v>7528</v>
      </c>
      <c r="BC1696" t="s">
        <v>7528</v>
      </c>
      <c r="BD1696" t="s">
        <v>7528</v>
      </c>
      <c r="BF1696" t="s">
        <v>5291</v>
      </c>
      <c r="BG1696" t="s">
        <v>98</v>
      </c>
      <c r="BH1696" t="s">
        <v>98</v>
      </c>
      <c r="BI1696" t="s">
        <v>98</v>
      </c>
      <c r="BK1696" t="s">
        <v>7528</v>
      </c>
      <c r="BL1696" t="s">
        <v>7528</v>
      </c>
      <c r="CA1696" t="s">
        <v>5289</v>
      </c>
      <c r="CB1696" t="s">
        <v>7528</v>
      </c>
      <c r="CL1696" t="s">
        <v>98</v>
      </c>
      <c r="CM1696" t="s">
        <v>98</v>
      </c>
      <c r="CN1696" t="s">
        <v>7528</v>
      </c>
      <c r="CO1696" s="1">
        <v>40351</v>
      </c>
      <c r="CP1696" s="1">
        <v>43633</v>
      </c>
    </row>
    <row r="1697" spans="1:94" x14ac:dyDescent="0.25">
      <c r="A1697" t="s">
        <v>5292</v>
      </c>
      <c r="B1697" t="str">
        <f xml:space="preserve"> "" &amp; 747396067018</f>
        <v>747396067018</v>
      </c>
      <c r="C1697" t="s">
        <v>808</v>
      </c>
      <c r="D1697" t="s">
        <v>7064</v>
      </c>
      <c r="E1697" t="s">
        <v>7528</v>
      </c>
      <c r="F1697" t="s">
        <v>627</v>
      </c>
      <c r="G1697">
        <v>1</v>
      </c>
      <c r="H1697">
        <v>1</v>
      </c>
      <c r="I1697" t="s">
        <v>97</v>
      </c>
      <c r="J1697" s="10">
        <v>10</v>
      </c>
      <c r="K1697" s="10">
        <v>30</v>
      </c>
      <c r="L1697" s="10">
        <v>0</v>
      </c>
      <c r="N1697" s="10">
        <v>0</v>
      </c>
      <c r="S1697">
        <v>6</v>
      </c>
      <c r="U1697">
        <v>5.75</v>
      </c>
      <c r="W1697">
        <v>0.68</v>
      </c>
      <c r="X1697">
        <v>1</v>
      </c>
      <c r="Y1697">
        <v>23</v>
      </c>
      <c r="Z1697">
        <v>15.75</v>
      </c>
      <c r="AA1697">
        <v>15.75</v>
      </c>
      <c r="AB1697">
        <v>3.302</v>
      </c>
      <c r="AC1697">
        <v>1.43</v>
      </c>
      <c r="AF1697" t="s">
        <v>7528</v>
      </c>
      <c r="AK1697" t="s">
        <v>98</v>
      </c>
      <c r="AM1697" t="s">
        <v>98</v>
      </c>
      <c r="AN1697" t="s">
        <v>98</v>
      </c>
      <c r="AO1697" t="s">
        <v>98</v>
      </c>
      <c r="AP1697" t="s">
        <v>100</v>
      </c>
      <c r="AQ1697" t="s">
        <v>101</v>
      </c>
      <c r="AV1697" t="s">
        <v>98</v>
      </c>
      <c r="AX1697" t="s">
        <v>7528</v>
      </c>
      <c r="AZ1697" t="s">
        <v>7528</v>
      </c>
      <c r="BB1697" t="s">
        <v>7528</v>
      </c>
      <c r="BC1697" t="s">
        <v>7528</v>
      </c>
      <c r="BD1697" t="s">
        <v>7528</v>
      </c>
      <c r="BF1697" t="s">
        <v>5293</v>
      </c>
      <c r="BG1697" t="s">
        <v>98</v>
      </c>
      <c r="BH1697" t="s">
        <v>98</v>
      </c>
      <c r="BI1697" t="s">
        <v>98</v>
      </c>
      <c r="BK1697" t="s">
        <v>7528</v>
      </c>
      <c r="BL1697" t="s">
        <v>7528</v>
      </c>
      <c r="CA1697" t="s">
        <v>5292</v>
      </c>
      <c r="CB1697" t="s">
        <v>7528</v>
      </c>
      <c r="CL1697" t="s">
        <v>98</v>
      </c>
      <c r="CM1697" t="s">
        <v>98</v>
      </c>
      <c r="CN1697" t="s">
        <v>7528</v>
      </c>
      <c r="CO1697" s="1">
        <v>39821</v>
      </c>
      <c r="CP1697" s="1">
        <v>43595</v>
      </c>
    </row>
    <row r="1698" spans="1:94" x14ac:dyDescent="0.25">
      <c r="A1698" t="s">
        <v>5294</v>
      </c>
      <c r="B1698" t="str">
        <f xml:space="preserve"> "" &amp; 747396067025</f>
        <v>747396067025</v>
      </c>
      <c r="C1698" t="s">
        <v>5295</v>
      </c>
      <c r="D1698" t="s">
        <v>7065</v>
      </c>
      <c r="E1698" t="s">
        <v>7528</v>
      </c>
      <c r="F1698" t="s">
        <v>627</v>
      </c>
      <c r="G1698">
        <v>1</v>
      </c>
      <c r="H1698">
        <v>1</v>
      </c>
      <c r="I1698" t="s">
        <v>97</v>
      </c>
      <c r="J1698" s="10">
        <v>24.5</v>
      </c>
      <c r="K1698" s="10">
        <v>73.5</v>
      </c>
      <c r="L1698" s="10">
        <v>0</v>
      </c>
      <c r="N1698" s="10">
        <v>0</v>
      </c>
      <c r="S1698">
        <v>6</v>
      </c>
      <c r="U1698">
        <v>5.75</v>
      </c>
      <c r="W1698">
        <v>1.21</v>
      </c>
      <c r="X1698">
        <v>1</v>
      </c>
      <c r="Y1698">
        <v>23</v>
      </c>
      <c r="Z1698">
        <v>15.75</v>
      </c>
      <c r="AA1698">
        <v>15.75</v>
      </c>
      <c r="AB1698">
        <v>3.302</v>
      </c>
      <c r="AC1698">
        <v>1.97</v>
      </c>
      <c r="AF1698" t="s">
        <v>7528</v>
      </c>
      <c r="AK1698" t="s">
        <v>98</v>
      </c>
      <c r="AM1698" t="s">
        <v>98</v>
      </c>
      <c r="AN1698" t="s">
        <v>98</v>
      </c>
      <c r="AO1698" t="s">
        <v>98</v>
      </c>
      <c r="AP1698" t="s">
        <v>100</v>
      </c>
      <c r="AQ1698" t="s">
        <v>101</v>
      </c>
      <c r="AV1698" t="s">
        <v>98</v>
      </c>
      <c r="AX1698" t="s">
        <v>7528</v>
      </c>
      <c r="AZ1698" t="s">
        <v>7528</v>
      </c>
      <c r="BB1698" t="s">
        <v>7528</v>
      </c>
      <c r="BC1698" t="s">
        <v>7528</v>
      </c>
      <c r="BD1698" t="s">
        <v>7528</v>
      </c>
      <c r="BF1698" t="s">
        <v>5296</v>
      </c>
      <c r="BG1698" t="s">
        <v>98</v>
      </c>
      <c r="BH1698" t="s">
        <v>98</v>
      </c>
      <c r="BI1698" t="s">
        <v>98</v>
      </c>
      <c r="BK1698" t="s">
        <v>7528</v>
      </c>
      <c r="BL1698" t="s">
        <v>7528</v>
      </c>
      <c r="CA1698" t="s">
        <v>5294</v>
      </c>
      <c r="CB1698" t="s">
        <v>7528</v>
      </c>
      <c r="CL1698" t="s">
        <v>98</v>
      </c>
      <c r="CM1698" t="s">
        <v>98</v>
      </c>
      <c r="CN1698" t="s">
        <v>7528</v>
      </c>
      <c r="CO1698" s="1">
        <v>40282</v>
      </c>
      <c r="CP1698" s="1">
        <v>43595</v>
      </c>
    </row>
    <row r="1699" spans="1:94" x14ac:dyDescent="0.25">
      <c r="A1699" t="s">
        <v>5297</v>
      </c>
      <c r="B1699" t="str">
        <f xml:space="preserve"> "" &amp; 747396067032</f>
        <v>747396067032</v>
      </c>
      <c r="C1699" t="s">
        <v>460</v>
      </c>
      <c r="D1699" t="s">
        <v>7066</v>
      </c>
      <c r="E1699" t="s">
        <v>7528</v>
      </c>
      <c r="F1699" t="s">
        <v>627</v>
      </c>
      <c r="G1699">
        <v>1</v>
      </c>
      <c r="H1699">
        <v>1</v>
      </c>
      <c r="I1699" t="s">
        <v>97</v>
      </c>
      <c r="J1699" s="10">
        <v>19.5</v>
      </c>
      <c r="K1699" s="10">
        <v>58.5</v>
      </c>
      <c r="L1699" s="10">
        <v>0</v>
      </c>
      <c r="N1699" s="10">
        <v>0</v>
      </c>
      <c r="S1699">
        <v>6</v>
      </c>
      <c r="U1699">
        <v>3.5</v>
      </c>
      <c r="W1699">
        <v>1.65</v>
      </c>
      <c r="X1699">
        <v>1</v>
      </c>
      <c r="Y1699">
        <v>17</v>
      </c>
      <c r="Z1699">
        <v>18.25</v>
      </c>
      <c r="AA1699">
        <v>13.75</v>
      </c>
      <c r="AB1699">
        <v>2.4689999999999999</v>
      </c>
      <c r="AC1699">
        <v>2.14</v>
      </c>
      <c r="AF1699" t="s">
        <v>7528</v>
      </c>
      <c r="AK1699" t="s">
        <v>98</v>
      </c>
      <c r="AM1699" t="s">
        <v>98</v>
      </c>
      <c r="AN1699" t="s">
        <v>98</v>
      </c>
      <c r="AO1699" t="s">
        <v>98</v>
      </c>
      <c r="AP1699" t="s">
        <v>100</v>
      </c>
      <c r="AQ1699" t="s">
        <v>101</v>
      </c>
      <c r="AV1699" t="s">
        <v>98</v>
      </c>
      <c r="AX1699" t="s">
        <v>7528</v>
      </c>
      <c r="AZ1699" t="s">
        <v>7528</v>
      </c>
      <c r="BB1699" t="s">
        <v>7528</v>
      </c>
      <c r="BC1699" t="s">
        <v>7528</v>
      </c>
      <c r="BD1699" t="s">
        <v>7528</v>
      </c>
      <c r="BF1699" t="s">
        <v>5298</v>
      </c>
      <c r="BG1699" t="s">
        <v>98</v>
      </c>
      <c r="BH1699" t="s">
        <v>98</v>
      </c>
      <c r="BI1699" t="s">
        <v>98</v>
      </c>
      <c r="BK1699" t="s">
        <v>7528</v>
      </c>
      <c r="BL1699" t="s">
        <v>7528</v>
      </c>
      <c r="CA1699" t="s">
        <v>5297</v>
      </c>
      <c r="CB1699" t="s">
        <v>7528</v>
      </c>
      <c r="CL1699" t="s">
        <v>98</v>
      </c>
      <c r="CM1699" t="s">
        <v>98</v>
      </c>
      <c r="CN1699" t="s">
        <v>7528</v>
      </c>
      <c r="CO1699" s="1">
        <v>39821</v>
      </c>
      <c r="CP1699" s="1">
        <v>43595</v>
      </c>
    </row>
    <row r="1700" spans="1:94" x14ac:dyDescent="0.25">
      <c r="A1700" t="s">
        <v>5299</v>
      </c>
      <c r="B1700" t="str">
        <f xml:space="preserve"> "" &amp; 747396067049</f>
        <v>747396067049</v>
      </c>
      <c r="C1700" t="s">
        <v>460</v>
      </c>
      <c r="D1700" t="s">
        <v>7067</v>
      </c>
      <c r="E1700" t="s">
        <v>7528</v>
      </c>
      <c r="F1700" t="s">
        <v>627</v>
      </c>
      <c r="G1700">
        <v>1</v>
      </c>
      <c r="H1700">
        <v>1</v>
      </c>
      <c r="I1700" t="s">
        <v>97</v>
      </c>
      <c r="J1700" s="10">
        <v>10</v>
      </c>
      <c r="K1700" s="10">
        <v>30</v>
      </c>
      <c r="L1700" s="10">
        <v>0</v>
      </c>
      <c r="N1700" s="10">
        <v>0</v>
      </c>
      <c r="S1700">
        <v>6</v>
      </c>
      <c r="U1700">
        <v>3.5</v>
      </c>
      <c r="W1700">
        <v>0.56999999999999995</v>
      </c>
      <c r="X1700">
        <v>1</v>
      </c>
      <c r="Y1700">
        <v>17.125</v>
      </c>
      <c r="Z1700">
        <v>19.5</v>
      </c>
      <c r="AA1700">
        <v>15.125</v>
      </c>
      <c r="AB1700">
        <v>2.923</v>
      </c>
      <c r="AC1700">
        <v>0.75</v>
      </c>
      <c r="AF1700" t="s">
        <v>7528</v>
      </c>
      <c r="AK1700" t="s">
        <v>98</v>
      </c>
      <c r="AM1700" t="s">
        <v>98</v>
      </c>
      <c r="AN1700" t="s">
        <v>98</v>
      </c>
      <c r="AO1700" t="s">
        <v>98</v>
      </c>
      <c r="AP1700" t="s">
        <v>100</v>
      </c>
      <c r="AQ1700" t="s">
        <v>101</v>
      </c>
      <c r="AV1700" t="s">
        <v>98</v>
      </c>
      <c r="AX1700" t="s">
        <v>7528</v>
      </c>
      <c r="AZ1700" t="s">
        <v>7528</v>
      </c>
      <c r="BB1700" t="s">
        <v>7528</v>
      </c>
      <c r="BC1700" t="s">
        <v>7528</v>
      </c>
      <c r="BD1700" t="s">
        <v>7528</v>
      </c>
      <c r="BF1700" t="s">
        <v>5300</v>
      </c>
      <c r="BG1700" t="s">
        <v>98</v>
      </c>
      <c r="BH1700" t="s">
        <v>98</v>
      </c>
      <c r="BI1700" t="s">
        <v>98</v>
      </c>
      <c r="BK1700" t="s">
        <v>7528</v>
      </c>
      <c r="BL1700" t="s">
        <v>7528</v>
      </c>
      <c r="CA1700" t="s">
        <v>5299</v>
      </c>
      <c r="CB1700" t="s">
        <v>7528</v>
      </c>
      <c r="CL1700" t="s">
        <v>98</v>
      </c>
      <c r="CM1700" t="s">
        <v>98</v>
      </c>
      <c r="CN1700" t="s">
        <v>7528</v>
      </c>
      <c r="CO1700" s="1">
        <v>39821</v>
      </c>
      <c r="CP1700" s="1">
        <v>43595</v>
      </c>
    </row>
    <row r="1701" spans="1:94" x14ac:dyDescent="0.25">
      <c r="A1701" t="s">
        <v>5301</v>
      </c>
      <c r="B1701" t="str">
        <f xml:space="preserve"> "" &amp; 747396067056</f>
        <v>747396067056</v>
      </c>
      <c r="C1701" t="s">
        <v>5302</v>
      </c>
      <c r="D1701" t="s">
        <v>7068</v>
      </c>
      <c r="E1701" t="s">
        <v>7528</v>
      </c>
      <c r="F1701" t="s">
        <v>627</v>
      </c>
      <c r="G1701">
        <v>1</v>
      </c>
      <c r="H1701">
        <v>1</v>
      </c>
      <c r="I1701" t="s">
        <v>97</v>
      </c>
      <c r="J1701" s="10">
        <v>32</v>
      </c>
      <c r="K1701" s="10">
        <v>96</v>
      </c>
      <c r="L1701" s="10">
        <v>0</v>
      </c>
      <c r="N1701" s="10">
        <v>0</v>
      </c>
      <c r="S1701">
        <v>6.88</v>
      </c>
      <c r="U1701">
        <v>4.13</v>
      </c>
      <c r="W1701">
        <v>1</v>
      </c>
      <c r="AB1701">
        <v>0.14799999999999999</v>
      </c>
      <c r="AC1701">
        <v>1.43</v>
      </c>
      <c r="AF1701" t="s">
        <v>7528</v>
      </c>
      <c r="AK1701" t="s">
        <v>98</v>
      </c>
      <c r="AM1701" t="s">
        <v>98</v>
      </c>
      <c r="AN1701" t="s">
        <v>98</v>
      </c>
      <c r="AO1701" t="s">
        <v>98</v>
      </c>
      <c r="AP1701" t="s">
        <v>100</v>
      </c>
      <c r="AQ1701" t="s">
        <v>101</v>
      </c>
      <c r="AV1701" t="s">
        <v>98</v>
      </c>
      <c r="AX1701" t="s">
        <v>7528</v>
      </c>
      <c r="AZ1701" t="s">
        <v>7528</v>
      </c>
      <c r="BB1701" t="s">
        <v>7528</v>
      </c>
      <c r="BC1701" t="s">
        <v>7528</v>
      </c>
      <c r="BD1701" t="s">
        <v>7528</v>
      </c>
      <c r="BF1701" t="s">
        <v>5303</v>
      </c>
      <c r="BG1701" t="s">
        <v>98</v>
      </c>
      <c r="BH1701" t="s">
        <v>98</v>
      </c>
      <c r="BI1701" t="s">
        <v>98</v>
      </c>
      <c r="BK1701" t="s">
        <v>7528</v>
      </c>
      <c r="BL1701" t="s">
        <v>7528</v>
      </c>
      <c r="CA1701" t="s">
        <v>5301</v>
      </c>
      <c r="CB1701" t="s">
        <v>7528</v>
      </c>
      <c r="CL1701" t="s">
        <v>98</v>
      </c>
      <c r="CM1701" t="s">
        <v>98</v>
      </c>
      <c r="CN1701" t="s">
        <v>7528</v>
      </c>
      <c r="CO1701" s="1">
        <v>39821</v>
      </c>
      <c r="CP1701" s="1">
        <v>43595</v>
      </c>
    </row>
    <row r="1702" spans="1:94" x14ac:dyDescent="0.25">
      <c r="A1702" t="s">
        <v>5304</v>
      </c>
      <c r="B1702" t="str">
        <f xml:space="preserve"> "" &amp; 747396067063</f>
        <v>747396067063</v>
      </c>
      <c r="C1702" t="s">
        <v>808</v>
      </c>
      <c r="D1702" t="s">
        <v>7069</v>
      </c>
      <c r="E1702" t="s">
        <v>7528</v>
      </c>
      <c r="F1702" t="s">
        <v>627</v>
      </c>
      <c r="G1702">
        <v>1</v>
      </c>
      <c r="H1702">
        <v>1</v>
      </c>
      <c r="I1702" t="s">
        <v>97</v>
      </c>
      <c r="J1702" s="10">
        <v>20</v>
      </c>
      <c r="K1702" s="10">
        <v>60</v>
      </c>
      <c r="L1702" s="10">
        <v>0</v>
      </c>
      <c r="N1702" s="10">
        <v>0</v>
      </c>
      <c r="S1702">
        <v>5.25</v>
      </c>
      <c r="U1702">
        <v>13.63</v>
      </c>
      <c r="W1702">
        <v>3.19</v>
      </c>
      <c r="X1702">
        <v>1</v>
      </c>
      <c r="AC1702">
        <v>5.28</v>
      </c>
      <c r="AF1702" t="s">
        <v>7528</v>
      </c>
      <c r="AK1702" t="s">
        <v>98</v>
      </c>
      <c r="AM1702" t="s">
        <v>98</v>
      </c>
      <c r="AN1702" t="s">
        <v>98</v>
      </c>
      <c r="AO1702" t="s">
        <v>98</v>
      </c>
      <c r="AP1702" t="s">
        <v>100</v>
      </c>
      <c r="AQ1702" t="s">
        <v>101</v>
      </c>
      <c r="AV1702" t="s">
        <v>98</v>
      </c>
      <c r="AX1702" t="s">
        <v>7528</v>
      </c>
      <c r="AZ1702" t="s">
        <v>7528</v>
      </c>
      <c r="BB1702" t="s">
        <v>7528</v>
      </c>
      <c r="BC1702" t="s">
        <v>7528</v>
      </c>
      <c r="BD1702" t="s">
        <v>7528</v>
      </c>
      <c r="BF1702" t="s">
        <v>5305</v>
      </c>
      <c r="BG1702" t="s">
        <v>98</v>
      </c>
      <c r="BH1702" t="s">
        <v>98</v>
      </c>
      <c r="BI1702" t="s">
        <v>98</v>
      </c>
      <c r="BK1702" t="s">
        <v>7528</v>
      </c>
      <c r="BL1702" t="s">
        <v>7528</v>
      </c>
      <c r="CA1702" t="s">
        <v>5304</v>
      </c>
      <c r="CB1702" t="s">
        <v>7528</v>
      </c>
      <c r="CL1702" t="s">
        <v>98</v>
      </c>
      <c r="CM1702" t="s">
        <v>98</v>
      </c>
      <c r="CN1702" t="s">
        <v>7528</v>
      </c>
      <c r="CO1702" s="1">
        <v>40282</v>
      </c>
      <c r="CP1702" s="1">
        <v>43595</v>
      </c>
    </row>
    <row r="1703" spans="1:94" x14ac:dyDescent="0.25">
      <c r="A1703" t="s">
        <v>5306</v>
      </c>
      <c r="B1703" t="str">
        <f xml:space="preserve"> "" &amp; 747396067070</f>
        <v>747396067070</v>
      </c>
      <c r="C1703" t="s">
        <v>5307</v>
      </c>
      <c r="D1703" t="s">
        <v>7070</v>
      </c>
      <c r="E1703" t="s">
        <v>7528</v>
      </c>
      <c r="F1703" t="s">
        <v>627</v>
      </c>
      <c r="G1703">
        <v>1</v>
      </c>
      <c r="H1703">
        <v>1</v>
      </c>
      <c r="I1703" t="s">
        <v>97</v>
      </c>
      <c r="J1703" s="10">
        <v>10</v>
      </c>
      <c r="K1703" s="10">
        <v>30</v>
      </c>
      <c r="L1703" s="10">
        <v>0</v>
      </c>
      <c r="N1703" s="10">
        <v>0</v>
      </c>
      <c r="S1703">
        <v>5.25</v>
      </c>
      <c r="U1703">
        <v>6</v>
      </c>
      <c r="W1703">
        <v>0.7</v>
      </c>
      <c r="X1703">
        <v>1</v>
      </c>
      <c r="AC1703">
        <v>1</v>
      </c>
      <c r="AF1703" t="s">
        <v>7528</v>
      </c>
      <c r="AK1703" t="s">
        <v>98</v>
      </c>
      <c r="AM1703" t="s">
        <v>98</v>
      </c>
      <c r="AN1703" t="s">
        <v>98</v>
      </c>
      <c r="AO1703" t="s">
        <v>98</v>
      </c>
      <c r="AP1703" t="s">
        <v>100</v>
      </c>
      <c r="AQ1703" t="s">
        <v>101</v>
      </c>
      <c r="AV1703" t="s">
        <v>98</v>
      </c>
      <c r="AX1703" t="s">
        <v>7528</v>
      </c>
      <c r="AZ1703" t="s">
        <v>7528</v>
      </c>
      <c r="BB1703" t="s">
        <v>7528</v>
      </c>
      <c r="BC1703" t="s">
        <v>7528</v>
      </c>
      <c r="BD1703" t="s">
        <v>7528</v>
      </c>
      <c r="BF1703" t="s">
        <v>5308</v>
      </c>
      <c r="BG1703" t="s">
        <v>98</v>
      </c>
      <c r="BH1703" t="s">
        <v>98</v>
      </c>
      <c r="BI1703" t="s">
        <v>98</v>
      </c>
      <c r="BK1703" t="s">
        <v>7528</v>
      </c>
      <c r="BL1703" t="s">
        <v>7528</v>
      </c>
      <c r="CA1703" t="s">
        <v>5306</v>
      </c>
      <c r="CB1703" t="s">
        <v>7528</v>
      </c>
      <c r="CL1703" t="s">
        <v>98</v>
      </c>
      <c r="CM1703" t="s">
        <v>98</v>
      </c>
      <c r="CN1703" t="s">
        <v>7528</v>
      </c>
      <c r="CO1703" s="1">
        <v>39821</v>
      </c>
      <c r="CP1703" s="1">
        <v>43595</v>
      </c>
    </row>
    <row r="1704" spans="1:94" x14ac:dyDescent="0.25">
      <c r="A1704" t="s">
        <v>5309</v>
      </c>
      <c r="B1704" t="str">
        <f xml:space="preserve"> "" &amp; 747396030715</f>
        <v>747396030715</v>
      </c>
      <c r="C1704" t="s">
        <v>7520</v>
      </c>
      <c r="D1704" t="s">
        <v>7071</v>
      </c>
      <c r="E1704" t="s">
        <v>7528</v>
      </c>
      <c r="F1704" t="s">
        <v>473</v>
      </c>
      <c r="G1704">
        <v>1</v>
      </c>
      <c r="H1704">
        <v>1</v>
      </c>
      <c r="I1704" t="s">
        <v>97</v>
      </c>
      <c r="J1704" s="10">
        <v>20</v>
      </c>
      <c r="K1704" s="10">
        <v>60</v>
      </c>
      <c r="L1704" s="10">
        <v>0</v>
      </c>
      <c r="N1704" s="10">
        <v>0</v>
      </c>
      <c r="S1704">
        <v>10.75</v>
      </c>
      <c r="U1704">
        <v>9</v>
      </c>
      <c r="V1704">
        <v>5.25</v>
      </c>
      <c r="W1704">
        <v>3.03</v>
      </c>
      <c r="X1704">
        <v>1</v>
      </c>
      <c r="AC1704">
        <v>3.58</v>
      </c>
      <c r="AF1704" t="s">
        <v>7528</v>
      </c>
      <c r="AK1704" t="s">
        <v>98</v>
      </c>
      <c r="AM1704" t="s">
        <v>98</v>
      </c>
      <c r="AN1704" t="s">
        <v>98</v>
      </c>
      <c r="AO1704" t="s">
        <v>98</v>
      </c>
      <c r="AP1704" t="s">
        <v>100</v>
      </c>
      <c r="AQ1704" t="s">
        <v>101</v>
      </c>
      <c r="AV1704" t="s">
        <v>98</v>
      </c>
      <c r="AX1704" t="s">
        <v>7528</v>
      </c>
      <c r="AZ1704" t="s">
        <v>7528</v>
      </c>
      <c r="BB1704" t="s">
        <v>7528</v>
      </c>
      <c r="BC1704" t="s">
        <v>7528</v>
      </c>
      <c r="BD1704" t="s">
        <v>7528</v>
      </c>
      <c r="BF1704" t="s">
        <v>5310</v>
      </c>
      <c r="BG1704" t="s">
        <v>98</v>
      </c>
      <c r="BH1704" t="s">
        <v>98</v>
      </c>
      <c r="BI1704" t="s">
        <v>98</v>
      </c>
      <c r="BK1704" t="s">
        <v>7528</v>
      </c>
      <c r="BL1704" t="s">
        <v>7528</v>
      </c>
      <c r="CA1704" t="s">
        <v>5309</v>
      </c>
      <c r="CB1704" t="s">
        <v>7528</v>
      </c>
      <c r="CL1704" t="s">
        <v>98</v>
      </c>
      <c r="CM1704" t="s">
        <v>98</v>
      </c>
      <c r="CN1704" t="s">
        <v>7528</v>
      </c>
      <c r="CO1704" s="1">
        <v>40247</v>
      </c>
      <c r="CP1704" s="1">
        <v>43633</v>
      </c>
    </row>
    <row r="1705" spans="1:94" x14ac:dyDescent="0.25">
      <c r="A1705" t="s">
        <v>5311</v>
      </c>
      <c r="B1705" t="str">
        <f xml:space="preserve"> "" &amp; 747396067094</f>
        <v>747396067094</v>
      </c>
      <c r="C1705" t="s">
        <v>5307</v>
      </c>
      <c r="D1705" t="s">
        <v>7072</v>
      </c>
      <c r="E1705" t="s">
        <v>7528</v>
      </c>
      <c r="F1705" t="s">
        <v>627</v>
      </c>
      <c r="G1705">
        <v>1</v>
      </c>
      <c r="H1705">
        <v>1</v>
      </c>
      <c r="I1705" t="s">
        <v>97</v>
      </c>
      <c r="J1705" s="10">
        <v>12.5</v>
      </c>
      <c r="K1705" s="10">
        <v>37.5</v>
      </c>
      <c r="L1705" s="10">
        <v>0</v>
      </c>
      <c r="N1705" s="10">
        <v>0</v>
      </c>
      <c r="S1705">
        <v>5.5</v>
      </c>
      <c r="U1705">
        <v>5.5</v>
      </c>
      <c r="W1705">
        <v>1.25</v>
      </c>
      <c r="X1705">
        <v>1</v>
      </c>
      <c r="Y1705">
        <v>21</v>
      </c>
      <c r="Z1705">
        <v>14.75</v>
      </c>
      <c r="AA1705">
        <v>13.25</v>
      </c>
      <c r="AB1705">
        <v>2.375</v>
      </c>
      <c r="AC1705">
        <v>1.66</v>
      </c>
      <c r="AF1705" t="s">
        <v>7528</v>
      </c>
      <c r="AK1705" t="s">
        <v>98</v>
      </c>
      <c r="AM1705" t="s">
        <v>98</v>
      </c>
      <c r="AN1705" t="s">
        <v>98</v>
      </c>
      <c r="AO1705" t="s">
        <v>98</v>
      </c>
      <c r="AP1705" t="s">
        <v>100</v>
      </c>
      <c r="AQ1705" t="s">
        <v>101</v>
      </c>
      <c r="AV1705" t="s">
        <v>98</v>
      </c>
      <c r="AX1705" t="s">
        <v>7528</v>
      </c>
      <c r="AZ1705" t="s">
        <v>7528</v>
      </c>
      <c r="BB1705" t="s">
        <v>7528</v>
      </c>
      <c r="BC1705" t="s">
        <v>7528</v>
      </c>
      <c r="BD1705" t="s">
        <v>7528</v>
      </c>
      <c r="BF1705" t="s">
        <v>5312</v>
      </c>
      <c r="BG1705" t="s">
        <v>98</v>
      </c>
      <c r="BH1705" t="s">
        <v>98</v>
      </c>
      <c r="BI1705" t="s">
        <v>98</v>
      </c>
      <c r="BK1705" t="s">
        <v>7528</v>
      </c>
      <c r="BL1705" t="s">
        <v>7528</v>
      </c>
      <c r="CA1705" t="s">
        <v>5311</v>
      </c>
      <c r="CB1705" t="s">
        <v>7528</v>
      </c>
      <c r="CL1705" t="s">
        <v>98</v>
      </c>
      <c r="CM1705" t="s">
        <v>98</v>
      </c>
      <c r="CN1705" t="s">
        <v>7528</v>
      </c>
      <c r="CO1705" s="1">
        <v>39821</v>
      </c>
      <c r="CP1705" s="1">
        <v>43595</v>
      </c>
    </row>
    <row r="1706" spans="1:94" x14ac:dyDescent="0.25">
      <c r="A1706" t="s">
        <v>5313</v>
      </c>
      <c r="B1706" t="str">
        <f xml:space="preserve"> "" &amp; 747396030722</f>
        <v>747396030722</v>
      </c>
      <c r="C1706" t="s">
        <v>5154</v>
      </c>
      <c r="D1706" t="s">
        <v>7073</v>
      </c>
      <c r="E1706" t="s">
        <v>7528</v>
      </c>
      <c r="F1706" t="s">
        <v>627</v>
      </c>
      <c r="G1706">
        <v>1</v>
      </c>
      <c r="H1706">
        <v>1</v>
      </c>
      <c r="I1706" t="s">
        <v>97</v>
      </c>
      <c r="J1706" s="10">
        <v>17.5</v>
      </c>
      <c r="K1706" s="10">
        <v>52.5</v>
      </c>
      <c r="L1706" s="10">
        <v>0</v>
      </c>
      <c r="N1706" s="10">
        <v>0</v>
      </c>
      <c r="S1706">
        <v>4.75</v>
      </c>
      <c r="U1706">
        <v>9</v>
      </c>
      <c r="V1706">
        <v>4</v>
      </c>
      <c r="W1706">
        <v>1</v>
      </c>
      <c r="X1706">
        <v>1</v>
      </c>
      <c r="AC1706">
        <v>1.83</v>
      </c>
      <c r="AF1706" t="s">
        <v>7528</v>
      </c>
      <c r="AK1706" t="s">
        <v>98</v>
      </c>
      <c r="AM1706" t="s">
        <v>98</v>
      </c>
      <c r="AN1706" t="s">
        <v>98</v>
      </c>
      <c r="AO1706" t="s">
        <v>98</v>
      </c>
      <c r="AP1706" t="s">
        <v>100</v>
      </c>
      <c r="AQ1706" t="s">
        <v>101</v>
      </c>
      <c r="AV1706" t="s">
        <v>98</v>
      </c>
      <c r="AX1706" t="s">
        <v>7528</v>
      </c>
      <c r="AZ1706" t="s">
        <v>7528</v>
      </c>
      <c r="BB1706" t="s">
        <v>7528</v>
      </c>
      <c r="BC1706" t="s">
        <v>7528</v>
      </c>
      <c r="BD1706" t="s">
        <v>7528</v>
      </c>
      <c r="BF1706" t="s">
        <v>5314</v>
      </c>
      <c r="BG1706" t="s">
        <v>98</v>
      </c>
      <c r="BH1706" t="s">
        <v>98</v>
      </c>
      <c r="BI1706" t="s">
        <v>98</v>
      </c>
      <c r="BK1706" t="s">
        <v>7528</v>
      </c>
      <c r="BL1706" t="s">
        <v>7528</v>
      </c>
      <c r="CA1706" t="s">
        <v>5313</v>
      </c>
      <c r="CB1706" t="s">
        <v>7528</v>
      </c>
      <c r="CL1706" t="s">
        <v>98</v>
      </c>
      <c r="CM1706" t="s">
        <v>98</v>
      </c>
      <c r="CN1706" t="s">
        <v>7528</v>
      </c>
      <c r="CO1706" s="1">
        <v>40247</v>
      </c>
      <c r="CP1706" s="1">
        <v>43633</v>
      </c>
    </row>
    <row r="1707" spans="1:94" x14ac:dyDescent="0.25">
      <c r="A1707" t="s">
        <v>5315</v>
      </c>
      <c r="B1707" t="str">
        <f xml:space="preserve"> "" &amp; 747396030739</f>
        <v>747396030739</v>
      </c>
      <c r="C1707" t="s">
        <v>5154</v>
      </c>
      <c r="D1707" t="s">
        <v>7074</v>
      </c>
      <c r="E1707" t="s">
        <v>7528</v>
      </c>
      <c r="F1707" t="s">
        <v>627</v>
      </c>
      <c r="G1707">
        <v>1</v>
      </c>
      <c r="H1707">
        <v>1</v>
      </c>
      <c r="I1707" t="s">
        <v>97</v>
      </c>
      <c r="J1707" s="10">
        <v>20</v>
      </c>
      <c r="K1707" s="10">
        <v>60</v>
      </c>
      <c r="L1707" s="10">
        <v>0</v>
      </c>
      <c r="N1707" s="10">
        <v>0</v>
      </c>
      <c r="S1707">
        <v>12</v>
      </c>
      <c r="U1707">
        <v>9.16</v>
      </c>
      <c r="V1707">
        <v>4</v>
      </c>
      <c r="W1707">
        <v>1.98</v>
      </c>
      <c r="X1707">
        <v>1</v>
      </c>
      <c r="Y1707">
        <v>17.25</v>
      </c>
      <c r="Z1707">
        <v>22</v>
      </c>
      <c r="AA1707">
        <v>14.88</v>
      </c>
      <c r="AB1707">
        <v>3.2679999999999998</v>
      </c>
      <c r="AC1707">
        <v>3.12</v>
      </c>
      <c r="AF1707" t="s">
        <v>7528</v>
      </c>
      <c r="AK1707" t="s">
        <v>98</v>
      </c>
      <c r="AM1707" t="s">
        <v>98</v>
      </c>
      <c r="AN1707" t="s">
        <v>98</v>
      </c>
      <c r="AO1707" t="s">
        <v>98</v>
      </c>
      <c r="AP1707" t="s">
        <v>100</v>
      </c>
      <c r="AQ1707" t="s">
        <v>101</v>
      </c>
      <c r="AV1707" t="s">
        <v>98</v>
      </c>
      <c r="AX1707" t="s">
        <v>7528</v>
      </c>
      <c r="AZ1707" t="s">
        <v>7528</v>
      </c>
      <c r="BB1707" t="s">
        <v>7528</v>
      </c>
      <c r="BC1707" t="s">
        <v>7528</v>
      </c>
      <c r="BD1707" t="s">
        <v>7528</v>
      </c>
      <c r="BF1707" t="s">
        <v>5316</v>
      </c>
      <c r="BG1707" t="s">
        <v>98</v>
      </c>
      <c r="BH1707" t="s">
        <v>98</v>
      </c>
      <c r="BI1707" t="s">
        <v>98</v>
      </c>
      <c r="BK1707" t="s">
        <v>7528</v>
      </c>
      <c r="BL1707" t="s">
        <v>7528</v>
      </c>
      <c r="CA1707" t="s">
        <v>5315</v>
      </c>
      <c r="CB1707" t="s">
        <v>7528</v>
      </c>
      <c r="CL1707" t="s">
        <v>98</v>
      </c>
      <c r="CM1707" t="s">
        <v>98</v>
      </c>
      <c r="CN1707" t="s">
        <v>7528</v>
      </c>
      <c r="CO1707" s="1">
        <v>40247</v>
      </c>
      <c r="CP1707" s="1">
        <v>43633</v>
      </c>
    </row>
    <row r="1708" spans="1:94" x14ac:dyDescent="0.25">
      <c r="A1708" t="s">
        <v>5317</v>
      </c>
      <c r="B1708" t="str">
        <f xml:space="preserve"> "" &amp; 747396047393</f>
        <v>747396047393</v>
      </c>
      <c r="C1708" t="s">
        <v>5318</v>
      </c>
      <c r="D1708" t="s">
        <v>7075</v>
      </c>
      <c r="E1708" t="s">
        <v>7528</v>
      </c>
      <c r="F1708" t="s">
        <v>627</v>
      </c>
      <c r="G1708">
        <v>1</v>
      </c>
      <c r="H1708">
        <v>1</v>
      </c>
      <c r="I1708" t="s">
        <v>97</v>
      </c>
      <c r="J1708" s="10">
        <v>15</v>
      </c>
      <c r="K1708" s="10">
        <v>45</v>
      </c>
      <c r="L1708" s="10">
        <v>0</v>
      </c>
      <c r="N1708" s="10">
        <v>0</v>
      </c>
      <c r="S1708">
        <v>8</v>
      </c>
      <c r="U1708">
        <v>8</v>
      </c>
      <c r="V1708">
        <v>3.75</v>
      </c>
      <c r="W1708">
        <v>1.87</v>
      </c>
      <c r="X1708">
        <v>1</v>
      </c>
      <c r="Y1708">
        <v>20.25</v>
      </c>
      <c r="Z1708">
        <v>20.5</v>
      </c>
      <c r="AA1708">
        <v>16</v>
      </c>
      <c r="AB1708">
        <v>3.8439999999999999</v>
      </c>
      <c r="AC1708">
        <v>2.5499999999999998</v>
      </c>
      <c r="AF1708" t="s">
        <v>7528</v>
      </c>
      <c r="AK1708" t="s">
        <v>98</v>
      </c>
      <c r="AM1708" t="s">
        <v>98</v>
      </c>
      <c r="AN1708" t="s">
        <v>98</v>
      </c>
      <c r="AO1708" t="s">
        <v>98</v>
      </c>
      <c r="AP1708" t="s">
        <v>100</v>
      </c>
      <c r="AQ1708" t="s">
        <v>101</v>
      </c>
      <c r="AV1708" t="s">
        <v>98</v>
      </c>
      <c r="AX1708" t="s">
        <v>7528</v>
      </c>
      <c r="AZ1708" t="s">
        <v>7528</v>
      </c>
      <c r="BB1708" t="s">
        <v>7528</v>
      </c>
      <c r="BC1708" t="s">
        <v>7528</v>
      </c>
      <c r="BD1708" t="s">
        <v>7528</v>
      </c>
      <c r="BF1708" t="s">
        <v>5319</v>
      </c>
      <c r="BG1708" t="s">
        <v>98</v>
      </c>
      <c r="BH1708" t="s">
        <v>98</v>
      </c>
      <c r="BI1708" t="s">
        <v>98</v>
      </c>
      <c r="BK1708" t="s">
        <v>7528</v>
      </c>
      <c r="BL1708" t="s">
        <v>7528</v>
      </c>
      <c r="CA1708" t="s">
        <v>5317</v>
      </c>
      <c r="CB1708" t="s">
        <v>7528</v>
      </c>
      <c r="CL1708" t="s">
        <v>98</v>
      </c>
      <c r="CM1708" t="s">
        <v>98</v>
      </c>
      <c r="CN1708" t="s">
        <v>7528</v>
      </c>
      <c r="CO1708" s="1">
        <v>40247</v>
      </c>
      <c r="CP1708" s="1">
        <v>43595</v>
      </c>
    </row>
    <row r="1709" spans="1:94" x14ac:dyDescent="0.25">
      <c r="A1709" t="s">
        <v>5320</v>
      </c>
      <c r="B1709" t="str">
        <f xml:space="preserve"> "" &amp; 747396047409</f>
        <v>747396047409</v>
      </c>
      <c r="C1709" t="s">
        <v>5321</v>
      </c>
      <c r="D1709" t="s">
        <v>7076</v>
      </c>
      <c r="E1709" t="s">
        <v>7528</v>
      </c>
      <c r="F1709" t="s">
        <v>627</v>
      </c>
      <c r="G1709">
        <v>1</v>
      </c>
      <c r="H1709">
        <v>1</v>
      </c>
      <c r="I1709" t="s">
        <v>97</v>
      </c>
      <c r="J1709" s="10">
        <v>19</v>
      </c>
      <c r="K1709" s="10">
        <v>57</v>
      </c>
      <c r="L1709" s="10">
        <v>0</v>
      </c>
      <c r="N1709" s="10">
        <v>0</v>
      </c>
      <c r="S1709">
        <v>9</v>
      </c>
      <c r="U1709">
        <v>7.75</v>
      </c>
      <c r="V1709">
        <v>4</v>
      </c>
      <c r="W1709">
        <v>3.52</v>
      </c>
      <c r="X1709">
        <v>1</v>
      </c>
      <c r="Y1709">
        <v>20.25</v>
      </c>
      <c r="Z1709">
        <v>22</v>
      </c>
      <c r="AA1709">
        <v>16.75</v>
      </c>
      <c r="AB1709">
        <v>4.3179999999999996</v>
      </c>
      <c r="AC1709">
        <v>4.2699999999999996</v>
      </c>
      <c r="AF1709" t="s">
        <v>7528</v>
      </c>
      <c r="AK1709" t="s">
        <v>98</v>
      </c>
      <c r="AM1709" t="s">
        <v>98</v>
      </c>
      <c r="AN1709" t="s">
        <v>98</v>
      </c>
      <c r="AO1709" t="s">
        <v>98</v>
      </c>
      <c r="AP1709" t="s">
        <v>100</v>
      </c>
      <c r="AQ1709" t="s">
        <v>101</v>
      </c>
      <c r="AV1709" t="s">
        <v>98</v>
      </c>
      <c r="AX1709" t="s">
        <v>7528</v>
      </c>
      <c r="AZ1709" t="s">
        <v>7528</v>
      </c>
      <c r="BB1709" t="s">
        <v>7528</v>
      </c>
      <c r="BC1709" t="s">
        <v>7528</v>
      </c>
      <c r="BD1709" t="s">
        <v>7528</v>
      </c>
      <c r="BF1709" t="s">
        <v>5322</v>
      </c>
      <c r="BG1709" t="s">
        <v>98</v>
      </c>
      <c r="BH1709" t="s">
        <v>98</v>
      </c>
      <c r="BI1709" t="s">
        <v>98</v>
      </c>
      <c r="BK1709" t="s">
        <v>7528</v>
      </c>
      <c r="BL1709" t="s">
        <v>7528</v>
      </c>
      <c r="CA1709" t="s">
        <v>5320</v>
      </c>
      <c r="CB1709" t="s">
        <v>7528</v>
      </c>
      <c r="CL1709" t="s">
        <v>98</v>
      </c>
      <c r="CM1709" t="s">
        <v>98</v>
      </c>
      <c r="CN1709" t="s">
        <v>7528</v>
      </c>
      <c r="CO1709" s="1">
        <v>40247</v>
      </c>
      <c r="CP1709" s="1">
        <v>43595</v>
      </c>
    </row>
    <row r="1710" spans="1:94" x14ac:dyDescent="0.25">
      <c r="A1710" t="s">
        <v>5324</v>
      </c>
      <c r="B1710" t="str">
        <f xml:space="preserve"> "" &amp; 747396060569</f>
        <v>747396060569</v>
      </c>
      <c r="C1710" t="s">
        <v>5323</v>
      </c>
      <c r="D1710" t="s">
        <v>7077</v>
      </c>
      <c r="E1710" t="s">
        <v>7528</v>
      </c>
      <c r="F1710" t="s">
        <v>627</v>
      </c>
      <c r="G1710">
        <v>1</v>
      </c>
      <c r="H1710">
        <v>1</v>
      </c>
      <c r="I1710" t="s">
        <v>97</v>
      </c>
      <c r="J1710" s="10">
        <v>44.5</v>
      </c>
      <c r="K1710" s="10">
        <v>133.5</v>
      </c>
      <c r="L1710" s="10">
        <v>0</v>
      </c>
      <c r="N1710" s="10">
        <v>0</v>
      </c>
      <c r="S1710">
        <v>19</v>
      </c>
      <c r="U1710">
        <v>8</v>
      </c>
      <c r="V1710">
        <v>4</v>
      </c>
      <c r="W1710">
        <v>5.28</v>
      </c>
      <c r="X1710">
        <v>1</v>
      </c>
      <c r="Y1710">
        <v>6.5</v>
      </c>
      <c r="Z1710">
        <v>21.5</v>
      </c>
      <c r="AA1710">
        <v>10.25</v>
      </c>
      <c r="AB1710">
        <v>0.82899999999999996</v>
      </c>
      <c r="AC1710">
        <v>7.04</v>
      </c>
      <c r="AF1710" t="s">
        <v>7528</v>
      </c>
      <c r="AK1710" t="s">
        <v>98</v>
      </c>
      <c r="AM1710" t="s">
        <v>98</v>
      </c>
      <c r="AN1710" t="s">
        <v>98</v>
      </c>
      <c r="AO1710" t="s">
        <v>98</v>
      </c>
      <c r="AP1710" t="s">
        <v>100</v>
      </c>
      <c r="AQ1710" t="s">
        <v>101</v>
      </c>
      <c r="AV1710" t="s">
        <v>98</v>
      </c>
      <c r="AX1710" t="s">
        <v>7528</v>
      </c>
      <c r="AZ1710" t="s">
        <v>7528</v>
      </c>
      <c r="BB1710" t="s">
        <v>7528</v>
      </c>
      <c r="BC1710" t="s">
        <v>7528</v>
      </c>
      <c r="BD1710" t="s">
        <v>7528</v>
      </c>
      <c r="BF1710" t="s">
        <v>5325</v>
      </c>
      <c r="BG1710" t="s">
        <v>98</v>
      </c>
      <c r="BH1710" t="s">
        <v>98</v>
      </c>
      <c r="BI1710" t="s">
        <v>98</v>
      </c>
      <c r="BK1710" t="s">
        <v>7528</v>
      </c>
      <c r="BL1710" t="s">
        <v>7528</v>
      </c>
      <c r="CA1710" t="s">
        <v>5324</v>
      </c>
      <c r="CB1710" t="s">
        <v>7528</v>
      </c>
      <c r="CL1710" t="s">
        <v>98</v>
      </c>
      <c r="CM1710" t="s">
        <v>98</v>
      </c>
      <c r="CN1710" t="s">
        <v>7528</v>
      </c>
      <c r="CO1710" s="1">
        <v>40247</v>
      </c>
      <c r="CP1710" s="1">
        <v>43595</v>
      </c>
    </row>
    <row r="1711" spans="1:94" x14ac:dyDescent="0.25">
      <c r="A1711" t="s">
        <v>5326</v>
      </c>
      <c r="B1711" t="str">
        <f xml:space="preserve"> "" &amp; 747396030784</f>
        <v>747396030784</v>
      </c>
      <c r="C1711" t="s">
        <v>460</v>
      </c>
      <c r="D1711" t="s">
        <v>7078</v>
      </c>
      <c r="E1711" t="s">
        <v>7528</v>
      </c>
      <c r="F1711" t="s">
        <v>627</v>
      </c>
      <c r="G1711">
        <v>1</v>
      </c>
      <c r="H1711">
        <v>1</v>
      </c>
      <c r="I1711" t="s">
        <v>97</v>
      </c>
      <c r="J1711" s="10">
        <v>19.5</v>
      </c>
      <c r="K1711" s="10">
        <v>58.5</v>
      </c>
      <c r="L1711" s="10">
        <v>0</v>
      </c>
      <c r="N1711" s="10">
        <v>0</v>
      </c>
      <c r="S1711">
        <v>15.25</v>
      </c>
      <c r="T1711">
        <v>18</v>
      </c>
      <c r="U1711">
        <v>4.68</v>
      </c>
      <c r="V1711">
        <v>3</v>
      </c>
      <c r="W1711">
        <v>1.35</v>
      </c>
      <c r="X1711">
        <v>1</v>
      </c>
      <c r="Y1711">
        <v>5.25</v>
      </c>
      <c r="Z1711">
        <v>18</v>
      </c>
      <c r="AA1711">
        <v>6.25</v>
      </c>
      <c r="AB1711">
        <v>0.34200000000000003</v>
      </c>
      <c r="AC1711">
        <v>2.52</v>
      </c>
      <c r="AF1711" t="s">
        <v>7528</v>
      </c>
      <c r="AK1711" t="s">
        <v>98</v>
      </c>
      <c r="AM1711" t="s">
        <v>98</v>
      </c>
      <c r="AN1711" t="s">
        <v>98</v>
      </c>
      <c r="AO1711" t="s">
        <v>98</v>
      </c>
      <c r="AP1711" t="s">
        <v>100</v>
      </c>
      <c r="AQ1711" t="s">
        <v>101</v>
      </c>
      <c r="AV1711" t="s">
        <v>98</v>
      </c>
      <c r="AX1711" t="s">
        <v>7528</v>
      </c>
      <c r="AZ1711" t="s">
        <v>7528</v>
      </c>
      <c r="BB1711" t="s">
        <v>7528</v>
      </c>
      <c r="BC1711" t="s">
        <v>7528</v>
      </c>
      <c r="BD1711" t="s">
        <v>7528</v>
      </c>
      <c r="BF1711" t="s">
        <v>5327</v>
      </c>
      <c r="BG1711" t="s">
        <v>98</v>
      </c>
      <c r="BH1711" t="s">
        <v>98</v>
      </c>
      <c r="BI1711" t="s">
        <v>98</v>
      </c>
      <c r="BK1711" t="s">
        <v>7528</v>
      </c>
      <c r="BL1711" t="s">
        <v>7528</v>
      </c>
      <c r="CA1711" t="s">
        <v>5326</v>
      </c>
      <c r="CB1711" t="s">
        <v>7528</v>
      </c>
      <c r="CL1711" t="s">
        <v>98</v>
      </c>
      <c r="CM1711" t="s">
        <v>98</v>
      </c>
      <c r="CN1711" t="s">
        <v>7528</v>
      </c>
      <c r="CO1711" s="1">
        <v>40247</v>
      </c>
      <c r="CP1711" s="1">
        <v>43633</v>
      </c>
    </row>
    <row r="1712" spans="1:94" x14ac:dyDescent="0.25">
      <c r="A1712" t="s">
        <v>5328</v>
      </c>
      <c r="B1712" t="str">
        <f xml:space="preserve"> "" &amp; 747396030791</f>
        <v>747396030791</v>
      </c>
      <c r="C1712" t="s">
        <v>1501</v>
      </c>
      <c r="D1712" t="s">
        <v>7079</v>
      </c>
      <c r="E1712" t="s">
        <v>7528</v>
      </c>
      <c r="F1712" t="s">
        <v>627</v>
      </c>
      <c r="G1712">
        <v>1</v>
      </c>
      <c r="H1712">
        <v>1</v>
      </c>
      <c r="I1712" t="s">
        <v>97</v>
      </c>
      <c r="J1712" s="10">
        <v>9.5</v>
      </c>
      <c r="K1712" s="10">
        <v>28.5</v>
      </c>
      <c r="L1712" s="10">
        <v>0</v>
      </c>
      <c r="N1712" s="10">
        <v>0</v>
      </c>
      <c r="S1712">
        <v>8.16</v>
      </c>
      <c r="T1712">
        <v>8.75</v>
      </c>
      <c r="U1712">
        <v>4.75</v>
      </c>
      <c r="W1712">
        <v>0.75</v>
      </c>
      <c r="X1712">
        <v>1</v>
      </c>
      <c r="Y1712">
        <v>5.5</v>
      </c>
      <c r="Z1712">
        <v>8.75</v>
      </c>
      <c r="AA1712">
        <v>3.5</v>
      </c>
      <c r="AB1712">
        <v>9.7000000000000003E-2</v>
      </c>
      <c r="AC1712">
        <v>1.08</v>
      </c>
      <c r="AF1712" t="s">
        <v>7528</v>
      </c>
      <c r="AK1712" t="s">
        <v>98</v>
      </c>
      <c r="AM1712" t="s">
        <v>98</v>
      </c>
      <c r="AN1712" t="s">
        <v>98</v>
      </c>
      <c r="AO1712" t="s">
        <v>98</v>
      </c>
      <c r="AP1712" t="s">
        <v>100</v>
      </c>
      <c r="AQ1712" t="s">
        <v>101</v>
      </c>
      <c r="AV1712" t="s">
        <v>98</v>
      </c>
      <c r="AX1712" t="s">
        <v>7528</v>
      </c>
      <c r="AZ1712" t="s">
        <v>7528</v>
      </c>
      <c r="BB1712" t="s">
        <v>7528</v>
      </c>
      <c r="BC1712" t="s">
        <v>7528</v>
      </c>
      <c r="BD1712" t="s">
        <v>7528</v>
      </c>
      <c r="BF1712" t="s">
        <v>5329</v>
      </c>
      <c r="BG1712" t="s">
        <v>98</v>
      </c>
      <c r="BH1712" t="s">
        <v>98</v>
      </c>
      <c r="BI1712" t="s">
        <v>98</v>
      </c>
      <c r="BK1712" t="s">
        <v>7528</v>
      </c>
      <c r="BL1712" t="s">
        <v>7528</v>
      </c>
      <c r="CA1712" t="s">
        <v>5328</v>
      </c>
      <c r="CB1712" t="s">
        <v>7528</v>
      </c>
      <c r="CL1712" t="s">
        <v>98</v>
      </c>
      <c r="CM1712" t="s">
        <v>98</v>
      </c>
      <c r="CN1712" t="s">
        <v>7528</v>
      </c>
      <c r="CO1712" s="1">
        <v>40239</v>
      </c>
      <c r="CP1712" s="1">
        <v>43633</v>
      </c>
    </row>
    <row r="1713" spans="1:94" x14ac:dyDescent="0.25">
      <c r="A1713" t="s">
        <v>5330</v>
      </c>
      <c r="B1713" t="str">
        <f xml:space="preserve"> "" &amp; 747396030807</f>
        <v>747396030807</v>
      </c>
      <c r="C1713" t="s">
        <v>1501</v>
      </c>
      <c r="D1713" t="s">
        <v>7080</v>
      </c>
      <c r="E1713" t="s">
        <v>7528</v>
      </c>
      <c r="F1713" t="s">
        <v>627</v>
      </c>
      <c r="G1713">
        <v>1</v>
      </c>
      <c r="H1713">
        <v>1</v>
      </c>
      <c r="I1713" t="s">
        <v>97</v>
      </c>
      <c r="J1713" s="10">
        <v>14.5</v>
      </c>
      <c r="K1713" s="10">
        <v>43.5</v>
      </c>
      <c r="L1713" s="10">
        <v>0</v>
      </c>
      <c r="N1713" s="10">
        <v>0</v>
      </c>
      <c r="S1713">
        <v>12.24</v>
      </c>
      <c r="U1713">
        <v>7.5</v>
      </c>
      <c r="V1713">
        <v>3.6</v>
      </c>
      <c r="W1713">
        <v>1.49</v>
      </c>
      <c r="X1713">
        <v>1</v>
      </c>
      <c r="Y1713">
        <v>11.5</v>
      </c>
      <c r="Z1713">
        <v>18</v>
      </c>
      <c r="AA1713">
        <v>14.25</v>
      </c>
      <c r="AB1713">
        <v>1.7070000000000001</v>
      </c>
      <c r="AC1713">
        <v>2.2000000000000002</v>
      </c>
      <c r="AF1713" t="s">
        <v>7528</v>
      </c>
      <c r="AK1713" t="s">
        <v>98</v>
      </c>
      <c r="AM1713" t="s">
        <v>98</v>
      </c>
      <c r="AN1713" t="s">
        <v>98</v>
      </c>
      <c r="AO1713" t="s">
        <v>98</v>
      </c>
      <c r="AP1713" t="s">
        <v>100</v>
      </c>
      <c r="AQ1713" t="s">
        <v>101</v>
      </c>
      <c r="AV1713" t="s">
        <v>98</v>
      </c>
      <c r="AX1713" t="s">
        <v>7528</v>
      </c>
      <c r="AZ1713" t="s">
        <v>7528</v>
      </c>
      <c r="BB1713" t="s">
        <v>7528</v>
      </c>
      <c r="BC1713" t="s">
        <v>7528</v>
      </c>
      <c r="BD1713" t="s">
        <v>7528</v>
      </c>
      <c r="BF1713" t="s">
        <v>5331</v>
      </c>
      <c r="BG1713" t="s">
        <v>98</v>
      </c>
      <c r="BH1713" t="s">
        <v>98</v>
      </c>
      <c r="BI1713" t="s">
        <v>98</v>
      </c>
      <c r="BK1713" t="s">
        <v>7528</v>
      </c>
      <c r="BL1713" t="s">
        <v>7528</v>
      </c>
      <c r="CA1713" t="s">
        <v>5330</v>
      </c>
      <c r="CB1713" t="s">
        <v>7528</v>
      </c>
      <c r="CL1713" t="s">
        <v>98</v>
      </c>
      <c r="CM1713" t="s">
        <v>98</v>
      </c>
      <c r="CN1713" t="s">
        <v>7528</v>
      </c>
      <c r="CO1713" s="1">
        <v>40239</v>
      </c>
      <c r="CP1713" s="1">
        <v>43633</v>
      </c>
    </row>
    <row r="1714" spans="1:94" x14ac:dyDescent="0.25">
      <c r="A1714" t="s">
        <v>5332</v>
      </c>
      <c r="B1714" t="str">
        <f xml:space="preserve"> "" &amp; 747396030814</f>
        <v>747396030814</v>
      </c>
      <c r="C1714" t="s">
        <v>1501</v>
      </c>
      <c r="D1714" t="s">
        <v>7081</v>
      </c>
      <c r="E1714" t="s">
        <v>7528</v>
      </c>
      <c r="F1714" t="s">
        <v>627</v>
      </c>
      <c r="G1714">
        <v>1</v>
      </c>
      <c r="H1714">
        <v>1</v>
      </c>
      <c r="I1714" t="s">
        <v>97</v>
      </c>
      <c r="J1714" s="10">
        <v>22.5</v>
      </c>
      <c r="K1714" s="10">
        <v>67.5</v>
      </c>
      <c r="L1714" s="10">
        <v>0</v>
      </c>
      <c r="N1714" s="10">
        <v>0</v>
      </c>
      <c r="S1714">
        <v>13.16</v>
      </c>
      <c r="U1714">
        <v>6.87</v>
      </c>
      <c r="V1714">
        <v>3.16</v>
      </c>
      <c r="W1714">
        <v>2.27</v>
      </c>
      <c r="X1714">
        <v>1</v>
      </c>
      <c r="Y1714">
        <v>11.5</v>
      </c>
      <c r="Z1714">
        <v>25.13</v>
      </c>
      <c r="AA1714">
        <v>16.25</v>
      </c>
      <c r="AB1714">
        <v>2.718</v>
      </c>
      <c r="AC1714">
        <v>2.35</v>
      </c>
      <c r="AF1714" t="s">
        <v>7528</v>
      </c>
      <c r="AK1714" t="s">
        <v>98</v>
      </c>
      <c r="AM1714" t="s">
        <v>98</v>
      </c>
      <c r="AN1714" t="s">
        <v>98</v>
      </c>
      <c r="AO1714" t="s">
        <v>98</v>
      </c>
      <c r="AP1714" t="s">
        <v>100</v>
      </c>
      <c r="AQ1714" t="s">
        <v>101</v>
      </c>
      <c r="AV1714" t="s">
        <v>98</v>
      </c>
      <c r="AX1714" t="s">
        <v>7528</v>
      </c>
      <c r="AZ1714" t="s">
        <v>7528</v>
      </c>
      <c r="BB1714" t="s">
        <v>7528</v>
      </c>
      <c r="BC1714" t="s">
        <v>7528</v>
      </c>
      <c r="BD1714" t="s">
        <v>7528</v>
      </c>
      <c r="BF1714" t="s">
        <v>5333</v>
      </c>
      <c r="BG1714" t="s">
        <v>98</v>
      </c>
      <c r="BH1714" t="s">
        <v>98</v>
      </c>
      <c r="BI1714" t="s">
        <v>98</v>
      </c>
      <c r="BK1714" t="s">
        <v>7528</v>
      </c>
      <c r="BL1714" t="s">
        <v>7528</v>
      </c>
      <c r="CA1714" t="s">
        <v>5332</v>
      </c>
      <c r="CB1714" t="s">
        <v>7528</v>
      </c>
      <c r="CL1714" t="s">
        <v>98</v>
      </c>
      <c r="CM1714" t="s">
        <v>98</v>
      </c>
      <c r="CN1714" t="s">
        <v>7528</v>
      </c>
      <c r="CO1714" s="1">
        <v>40239</v>
      </c>
      <c r="CP1714" s="1">
        <v>43633</v>
      </c>
    </row>
    <row r="1715" spans="1:94" x14ac:dyDescent="0.25">
      <c r="A1715" t="s">
        <v>5334</v>
      </c>
      <c r="B1715" t="str">
        <f xml:space="preserve"> "" &amp; 747396030821</f>
        <v>747396030821</v>
      </c>
      <c r="C1715" t="s">
        <v>5335</v>
      </c>
      <c r="D1715" t="s">
        <v>7082</v>
      </c>
      <c r="E1715" t="s">
        <v>7528</v>
      </c>
      <c r="F1715" t="s">
        <v>627</v>
      </c>
      <c r="G1715">
        <v>1</v>
      </c>
      <c r="H1715">
        <v>1</v>
      </c>
      <c r="I1715" t="s">
        <v>97</v>
      </c>
      <c r="J1715" s="10">
        <v>24.5</v>
      </c>
      <c r="K1715" s="10">
        <v>73.5</v>
      </c>
      <c r="L1715" s="10">
        <v>0</v>
      </c>
      <c r="N1715" s="10">
        <v>0</v>
      </c>
      <c r="S1715">
        <v>11.63</v>
      </c>
      <c r="U1715">
        <v>6.89</v>
      </c>
      <c r="V1715">
        <v>3.38</v>
      </c>
      <c r="W1715">
        <v>1.27</v>
      </c>
      <c r="X1715">
        <v>1</v>
      </c>
      <c r="Y1715">
        <v>12.25</v>
      </c>
      <c r="Z1715">
        <v>13.5</v>
      </c>
      <c r="AA1715">
        <v>9</v>
      </c>
      <c r="AB1715">
        <v>0.86099999999999999</v>
      </c>
      <c r="AC1715">
        <v>1.95</v>
      </c>
      <c r="AF1715" t="s">
        <v>7528</v>
      </c>
      <c r="AK1715" t="s">
        <v>98</v>
      </c>
      <c r="AM1715" t="s">
        <v>98</v>
      </c>
      <c r="AN1715" t="s">
        <v>98</v>
      </c>
      <c r="AO1715" t="s">
        <v>98</v>
      </c>
      <c r="AP1715" t="s">
        <v>100</v>
      </c>
      <c r="AQ1715" t="s">
        <v>101</v>
      </c>
      <c r="AV1715" t="s">
        <v>98</v>
      </c>
      <c r="AX1715" t="s">
        <v>7528</v>
      </c>
      <c r="AZ1715" t="s">
        <v>7528</v>
      </c>
      <c r="BB1715" t="s">
        <v>7528</v>
      </c>
      <c r="BC1715" t="s">
        <v>7528</v>
      </c>
      <c r="BD1715" t="s">
        <v>7528</v>
      </c>
      <c r="BF1715" t="s">
        <v>5336</v>
      </c>
      <c r="BG1715" t="s">
        <v>98</v>
      </c>
      <c r="BH1715" t="s">
        <v>98</v>
      </c>
      <c r="BI1715" t="s">
        <v>98</v>
      </c>
      <c r="BK1715" t="s">
        <v>7528</v>
      </c>
      <c r="BL1715" t="s">
        <v>7528</v>
      </c>
      <c r="CA1715" t="s">
        <v>5334</v>
      </c>
      <c r="CB1715" t="s">
        <v>7528</v>
      </c>
      <c r="CL1715" t="s">
        <v>98</v>
      </c>
      <c r="CM1715" t="s">
        <v>98</v>
      </c>
      <c r="CN1715" t="s">
        <v>7528</v>
      </c>
      <c r="CO1715" s="1">
        <v>40239</v>
      </c>
      <c r="CP1715" s="1">
        <v>43633</v>
      </c>
    </row>
    <row r="1716" spans="1:94" x14ac:dyDescent="0.25">
      <c r="A1716" t="s">
        <v>5337</v>
      </c>
      <c r="B1716" t="str">
        <f xml:space="preserve"> "" &amp; 747396030838</f>
        <v>747396030838</v>
      </c>
      <c r="C1716" t="s">
        <v>5177</v>
      </c>
      <c r="D1716" t="s">
        <v>7083</v>
      </c>
      <c r="E1716" t="s">
        <v>7528</v>
      </c>
      <c r="F1716" t="s">
        <v>627</v>
      </c>
      <c r="G1716">
        <v>1</v>
      </c>
      <c r="H1716">
        <v>1</v>
      </c>
      <c r="I1716" t="s">
        <v>97</v>
      </c>
      <c r="J1716" s="10">
        <v>24.5</v>
      </c>
      <c r="K1716" s="10">
        <v>73.5</v>
      </c>
      <c r="L1716" s="10">
        <v>0</v>
      </c>
      <c r="N1716" s="10">
        <v>0</v>
      </c>
      <c r="S1716">
        <v>11</v>
      </c>
      <c r="U1716">
        <v>7.5</v>
      </c>
      <c r="V1716">
        <v>3.25</v>
      </c>
      <c r="W1716">
        <v>1.62</v>
      </c>
      <c r="X1716">
        <v>1</v>
      </c>
      <c r="Y1716">
        <v>11.5</v>
      </c>
      <c r="Z1716">
        <v>12.5</v>
      </c>
      <c r="AA1716">
        <v>9</v>
      </c>
      <c r="AB1716">
        <v>0.749</v>
      </c>
      <c r="AC1716">
        <v>1.6</v>
      </c>
      <c r="AF1716" t="s">
        <v>7528</v>
      </c>
      <c r="AK1716" t="s">
        <v>98</v>
      </c>
      <c r="AM1716" t="s">
        <v>98</v>
      </c>
      <c r="AN1716" t="s">
        <v>98</v>
      </c>
      <c r="AO1716" t="s">
        <v>98</v>
      </c>
      <c r="AP1716" t="s">
        <v>100</v>
      </c>
      <c r="AQ1716" t="s">
        <v>101</v>
      </c>
      <c r="AV1716" t="s">
        <v>98</v>
      </c>
      <c r="AX1716" t="s">
        <v>7528</v>
      </c>
      <c r="AZ1716" t="s">
        <v>7528</v>
      </c>
      <c r="BB1716" t="s">
        <v>7528</v>
      </c>
      <c r="BC1716" t="s">
        <v>7528</v>
      </c>
      <c r="BD1716" t="s">
        <v>7528</v>
      </c>
      <c r="BF1716" t="s">
        <v>5338</v>
      </c>
      <c r="BG1716" t="s">
        <v>98</v>
      </c>
      <c r="BH1716" t="s">
        <v>98</v>
      </c>
      <c r="BI1716" t="s">
        <v>98</v>
      </c>
      <c r="BK1716" t="s">
        <v>7528</v>
      </c>
      <c r="BL1716" t="s">
        <v>7528</v>
      </c>
      <c r="CA1716" t="s">
        <v>5337</v>
      </c>
      <c r="CB1716" t="s">
        <v>7528</v>
      </c>
      <c r="CL1716" t="s">
        <v>98</v>
      </c>
      <c r="CM1716" t="s">
        <v>98</v>
      </c>
      <c r="CN1716" t="s">
        <v>7528</v>
      </c>
      <c r="CO1716" s="1">
        <v>40239</v>
      </c>
      <c r="CP1716" s="1">
        <v>43633</v>
      </c>
    </row>
    <row r="1717" spans="1:94" x14ac:dyDescent="0.25">
      <c r="A1717" t="s">
        <v>5339</v>
      </c>
      <c r="B1717" t="str">
        <f xml:space="preserve"> "" &amp; 747396047423</f>
        <v>747396047423</v>
      </c>
      <c r="C1717" t="s">
        <v>5335</v>
      </c>
      <c r="D1717" t="s">
        <v>7084</v>
      </c>
      <c r="E1717" t="s">
        <v>7528</v>
      </c>
      <c r="F1717" t="s">
        <v>627</v>
      </c>
      <c r="G1717">
        <v>1</v>
      </c>
      <c r="H1717">
        <v>1</v>
      </c>
      <c r="I1717" t="s">
        <v>97</v>
      </c>
      <c r="J1717" s="10">
        <v>19.5</v>
      </c>
      <c r="K1717" s="10">
        <v>58.5</v>
      </c>
      <c r="L1717" s="10">
        <v>0</v>
      </c>
      <c r="N1717" s="10">
        <v>0</v>
      </c>
      <c r="S1717">
        <v>9.3800000000000008</v>
      </c>
      <c r="U1717">
        <v>6</v>
      </c>
      <c r="V1717">
        <v>3</v>
      </c>
      <c r="W1717">
        <v>1.05</v>
      </c>
      <c r="X1717">
        <v>1</v>
      </c>
      <c r="Y1717">
        <v>11</v>
      </c>
      <c r="Z1717">
        <v>11</v>
      </c>
      <c r="AA1717">
        <v>7.5</v>
      </c>
      <c r="AB1717">
        <v>0.52500000000000002</v>
      </c>
      <c r="AC1717">
        <v>1.31</v>
      </c>
      <c r="AF1717" t="s">
        <v>7528</v>
      </c>
      <c r="AK1717" t="s">
        <v>98</v>
      </c>
      <c r="AM1717" t="s">
        <v>98</v>
      </c>
      <c r="AN1717" t="s">
        <v>98</v>
      </c>
      <c r="AO1717" t="s">
        <v>98</v>
      </c>
      <c r="AP1717" t="s">
        <v>100</v>
      </c>
      <c r="AQ1717" t="s">
        <v>101</v>
      </c>
      <c r="AV1717" t="s">
        <v>98</v>
      </c>
      <c r="AX1717" t="s">
        <v>7528</v>
      </c>
      <c r="AZ1717" t="s">
        <v>7528</v>
      </c>
      <c r="BB1717" t="s">
        <v>7528</v>
      </c>
      <c r="BC1717" t="s">
        <v>7528</v>
      </c>
      <c r="BD1717" t="s">
        <v>7528</v>
      </c>
      <c r="BF1717" t="s">
        <v>5340</v>
      </c>
      <c r="BG1717" t="s">
        <v>98</v>
      </c>
      <c r="BH1717" t="s">
        <v>98</v>
      </c>
      <c r="BI1717" t="s">
        <v>98</v>
      </c>
      <c r="BK1717" t="s">
        <v>7528</v>
      </c>
      <c r="BL1717" t="s">
        <v>7528</v>
      </c>
      <c r="CA1717" t="s">
        <v>5339</v>
      </c>
      <c r="CB1717" t="s">
        <v>7528</v>
      </c>
      <c r="CL1717" t="s">
        <v>98</v>
      </c>
      <c r="CM1717" t="s">
        <v>98</v>
      </c>
      <c r="CN1717" t="s">
        <v>7528</v>
      </c>
      <c r="CO1717" s="1">
        <v>40239</v>
      </c>
      <c r="CP1717" s="1">
        <v>43595</v>
      </c>
    </row>
    <row r="1718" spans="1:94" x14ac:dyDescent="0.25">
      <c r="A1718" t="s">
        <v>5341</v>
      </c>
      <c r="B1718" t="str">
        <f xml:space="preserve"> "" &amp; 747396100487</f>
        <v>747396100487</v>
      </c>
      <c r="C1718" t="s">
        <v>5154</v>
      </c>
      <c r="D1718" t="s">
        <v>7085</v>
      </c>
      <c r="E1718" t="s">
        <v>5342</v>
      </c>
      <c r="F1718" t="s">
        <v>627</v>
      </c>
      <c r="G1718">
        <v>1</v>
      </c>
      <c r="H1718">
        <v>1</v>
      </c>
      <c r="I1718" t="s">
        <v>97</v>
      </c>
      <c r="J1718" s="10">
        <v>18.5</v>
      </c>
      <c r="K1718" s="10">
        <v>55.5</v>
      </c>
      <c r="L1718" s="10">
        <v>0</v>
      </c>
      <c r="N1718" s="10">
        <v>0</v>
      </c>
      <c r="S1718">
        <v>7.13</v>
      </c>
      <c r="T1718">
        <v>6.38</v>
      </c>
      <c r="W1718">
        <v>0.76</v>
      </c>
      <c r="X1718">
        <v>1</v>
      </c>
      <c r="Y1718">
        <v>10.89</v>
      </c>
      <c r="Z1718">
        <v>27.9</v>
      </c>
      <c r="AA1718">
        <v>20.04</v>
      </c>
      <c r="AB1718">
        <v>3.524</v>
      </c>
      <c r="AC1718">
        <v>1.99</v>
      </c>
      <c r="AF1718" t="s">
        <v>7528</v>
      </c>
      <c r="AK1718" t="s">
        <v>98</v>
      </c>
      <c r="AM1718" t="s">
        <v>98</v>
      </c>
      <c r="AN1718" t="s">
        <v>98</v>
      </c>
      <c r="AO1718" t="s">
        <v>98</v>
      </c>
      <c r="AP1718" t="s">
        <v>100</v>
      </c>
      <c r="AQ1718" t="s">
        <v>101</v>
      </c>
      <c r="AV1718" t="s">
        <v>98</v>
      </c>
      <c r="AX1718" t="s">
        <v>746</v>
      </c>
      <c r="AZ1718" t="s">
        <v>102</v>
      </c>
      <c r="BB1718" t="s">
        <v>7528</v>
      </c>
      <c r="BC1718" t="s">
        <v>7528</v>
      </c>
      <c r="BD1718" t="s">
        <v>7528</v>
      </c>
      <c r="BF1718" t="s">
        <v>5343</v>
      </c>
      <c r="BG1718" t="s">
        <v>98</v>
      </c>
      <c r="BH1718" t="s">
        <v>98</v>
      </c>
      <c r="BI1718" t="s">
        <v>98</v>
      </c>
      <c r="BK1718" t="s">
        <v>110</v>
      </c>
      <c r="BL1718" t="s">
        <v>7528</v>
      </c>
      <c r="CA1718" t="s">
        <v>5341</v>
      </c>
      <c r="CB1718" t="s">
        <v>746</v>
      </c>
      <c r="CL1718" t="s">
        <v>98</v>
      </c>
      <c r="CM1718" t="s">
        <v>98</v>
      </c>
      <c r="CN1718" t="s">
        <v>235</v>
      </c>
      <c r="CO1718" s="1">
        <v>42821</v>
      </c>
      <c r="CP1718" s="1">
        <v>43633</v>
      </c>
    </row>
    <row r="1719" spans="1:94" x14ac:dyDescent="0.25">
      <c r="A1719" t="s">
        <v>5344</v>
      </c>
      <c r="B1719" t="str">
        <f xml:space="preserve"> "" &amp; 747396047447</f>
        <v>747396047447</v>
      </c>
      <c r="C1719" t="s">
        <v>5345</v>
      </c>
      <c r="D1719" t="s">
        <v>7086</v>
      </c>
      <c r="E1719" t="s">
        <v>7528</v>
      </c>
      <c r="F1719" t="s">
        <v>627</v>
      </c>
      <c r="G1719">
        <v>1</v>
      </c>
      <c r="H1719">
        <v>1</v>
      </c>
      <c r="I1719" t="s">
        <v>97</v>
      </c>
      <c r="J1719" s="10">
        <v>9.5</v>
      </c>
      <c r="K1719" s="10">
        <v>28.5</v>
      </c>
      <c r="L1719" s="10">
        <v>0</v>
      </c>
      <c r="N1719" s="10">
        <v>0</v>
      </c>
      <c r="T1719">
        <v>7</v>
      </c>
      <c r="U1719">
        <v>9.25</v>
      </c>
      <c r="W1719">
        <v>0.48</v>
      </c>
      <c r="X1719">
        <v>1</v>
      </c>
      <c r="Y1719">
        <v>9</v>
      </c>
      <c r="Z1719">
        <v>11.25</v>
      </c>
      <c r="AA1719">
        <v>9.25</v>
      </c>
      <c r="AB1719">
        <v>0.54200000000000004</v>
      </c>
      <c r="AC1719">
        <v>0.72</v>
      </c>
      <c r="AF1719" t="s">
        <v>7528</v>
      </c>
      <c r="AK1719" t="s">
        <v>98</v>
      </c>
      <c r="AM1719" t="s">
        <v>98</v>
      </c>
      <c r="AN1719" t="s">
        <v>98</v>
      </c>
      <c r="AO1719" t="s">
        <v>98</v>
      </c>
      <c r="AP1719" t="s">
        <v>100</v>
      </c>
      <c r="AQ1719" t="s">
        <v>101</v>
      </c>
      <c r="AV1719" t="s">
        <v>98</v>
      </c>
      <c r="AX1719" t="s">
        <v>7528</v>
      </c>
      <c r="AZ1719" t="s">
        <v>7528</v>
      </c>
      <c r="BB1719" t="s">
        <v>7528</v>
      </c>
      <c r="BC1719" t="s">
        <v>7528</v>
      </c>
      <c r="BD1719" t="s">
        <v>7528</v>
      </c>
      <c r="BF1719" t="s">
        <v>5346</v>
      </c>
      <c r="BG1719" t="s">
        <v>98</v>
      </c>
      <c r="BH1719" t="s">
        <v>98</v>
      </c>
      <c r="BI1719" t="s">
        <v>98</v>
      </c>
      <c r="BK1719" t="s">
        <v>7528</v>
      </c>
      <c r="BL1719" t="s">
        <v>7528</v>
      </c>
      <c r="CA1719" t="s">
        <v>5344</v>
      </c>
      <c r="CB1719" t="s">
        <v>7528</v>
      </c>
      <c r="CL1719" t="s">
        <v>98</v>
      </c>
      <c r="CM1719" t="s">
        <v>98</v>
      </c>
      <c r="CN1719" t="s">
        <v>7528</v>
      </c>
      <c r="CO1719" s="1">
        <v>40239</v>
      </c>
      <c r="CP1719" s="1">
        <v>43633</v>
      </c>
    </row>
    <row r="1720" spans="1:94" x14ac:dyDescent="0.25">
      <c r="A1720" t="s">
        <v>5347</v>
      </c>
      <c r="B1720" t="str">
        <f xml:space="preserve"> "" &amp; 747396047454</f>
        <v>747396047454</v>
      </c>
      <c r="C1720" t="s">
        <v>5345</v>
      </c>
      <c r="D1720" t="s">
        <v>7087</v>
      </c>
      <c r="E1720" t="s">
        <v>7528</v>
      </c>
      <c r="F1720" t="s">
        <v>627</v>
      </c>
      <c r="G1720">
        <v>1</v>
      </c>
      <c r="H1720">
        <v>1</v>
      </c>
      <c r="I1720" t="s">
        <v>97</v>
      </c>
      <c r="J1720" s="10">
        <v>4</v>
      </c>
      <c r="K1720" s="10">
        <v>12</v>
      </c>
      <c r="L1720" s="10">
        <v>0</v>
      </c>
      <c r="N1720" s="10">
        <v>0</v>
      </c>
      <c r="T1720">
        <v>7</v>
      </c>
      <c r="U1720">
        <v>9.25</v>
      </c>
      <c r="W1720">
        <v>0.17</v>
      </c>
      <c r="X1720">
        <v>1</v>
      </c>
      <c r="AC1720">
        <v>0.27</v>
      </c>
      <c r="AF1720" t="s">
        <v>7528</v>
      </c>
      <c r="AK1720" t="s">
        <v>98</v>
      </c>
      <c r="AM1720" t="s">
        <v>98</v>
      </c>
      <c r="AN1720" t="s">
        <v>98</v>
      </c>
      <c r="AO1720" t="s">
        <v>98</v>
      </c>
      <c r="AP1720" t="s">
        <v>100</v>
      </c>
      <c r="AQ1720" t="s">
        <v>101</v>
      </c>
      <c r="AV1720" t="s">
        <v>98</v>
      </c>
      <c r="AX1720" t="s">
        <v>7528</v>
      </c>
      <c r="AZ1720" t="s">
        <v>7528</v>
      </c>
      <c r="BB1720" t="s">
        <v>7528</v>
      </c>
      <c r="BC1720" t="s">
        <v>7528</v>
      </c>
      <c r="BD1720" t="s">
        <v>7528</v>
      </c>
      <c r="BF1720" t="s">
        <v>5348</v>
      </c>
      <c r="BG1720" t="s">
        <v>98</v>
      </c>
      <c r="BH1720" t="s">
        <v>98</v>
      </c>
      <c r="BI1720" t="s">
        <v>98</v>
      </c>
      <c r="BK1720" t="s">
        <v>7528</v>
      </c>
      <c r="BL1720" t="s">
        <v>7528</v>
      </c>
      <c r="CA1720" t="s">
        <v>5347</v>
      </c>
      <c r="CB1720" t="s">
        <v>7528</v>
      </c>
      <c r="CL1720" t="s">
        <v>98</v>
      </c>
      <c r="CM1720" t="s">
        <v>98</v>
      </c>
      <c r="CN1720" t="s">
        <v>7528</v>
      </c>
      <c r="CO1720" s="1">
        <v>40239</v>
      </c>
      <c r="CP1720" s="1">
        <v>43633</v>
      </c>
    </row>
    <row r="1721" spans="1:94" x14ac:dyDescent="0.25">
      <c r="A1721" t="s">
        <v>5349</v>
      </c>
      <c r="B1721" t="str">
        <f xml:space="preserve"> "" &amp; 747396093826</f>
        <v>747396093826</v>
      </c>
      <c r="C1721" t="s">
        <v>5154</v>
      </c>
      <c r="D1721" t="s">
        <v>5350</v>
      </c>
      <c r="E1721" t="s">
        <v>1829</v>
      </c>
      <c r="F1721" t="s">
        <v>627</v>
      </c>
      <c r="G1721">
        <v>1</v>
      </c>
      <c r="H1721">
        <v>1</v>
      </c>
      <c r="I1721" t="s">
        <v>97</v>
      </c>
      <c r="J1721" s="10">
        <v>7.5</v>
      </c>
      <c r="K1721" s="10">
        <v>22.5</v>
      </c>
      <c r="L1721" s="10">
        <v>0</v>
      </c>
      <c r="N1721" s="10">
        <v>0</v>
      </c>
      <c r="S1721">
        <v>5.88</v>
      </c>
      <c r="T1721">
        <v>3.63</v>
      </c>
      <c r="U1721">
        <v>3.63</v>
      </c>
      <c r="W1721">
        <v>0.105</v>
      </c>
      <c r="Y1721">
        <v>5.88</v>
      </c>
      <c r="Z1721">
        <v>3.63</v>
      </c>
      <c r="AA1721">
        <v>3.63</v>
      </c>
      <c r="AB1721">
        <v>4.4999999999999998E-2</v>
      </c>
      <c r="AC1721">
        <v>0.51</v>
      </c>
      <c r="AF1721" t="s">
        <v>7528</v>
      </c>
      <c r="AK1721" t="s">
        <v>98</v>
      </c>
      <c r="AM1721" t="s">
        <v>98</v>
      </c>
      <c r="AN1721" t="s">
        <v>98</v>
      </c>
      <c r="AO1721" t="s">
        <v>98</v>
      </c>
      <c r="AP1721" t="s">
        <v>100</v>
      </c>
      <c r="AV1721" t="s">
        <v>98</v>
      </c>
      <c r="AX1721" t="s">
        <v>7528</v>
      </c>
      <c r="AZ1721" t="s">
        <v>7528</v>
      </c>
      <c r="BB1721" t="s">
        <v>7528</v>
      </c>
      <c r="BC1721" t="s">
        <v>7528</v>
      </c>
      <c r="BD1721" t="s">
        <v>7528</v>
      </c>
      <c r="BF1721" t="s">
        <v>5351</v>
      </c>
      <c r="BG1721" t="s">
        <v>98</v>
      </c>
      <c r="BH1721" t="s">
        <v>98</v>
      </c>
      <c r="BI1721" t="s">
        <v>98</v>
      </c>
      <c r="BK1721" t="s">
        <v>7528</v>
      </c>
      <c r="BL1721" t="s">
        <v>7528</v>
      </c>
      <c r="CB1721" t="s">
        <v>7528</v>
      </c>
      <c r="CL1721" t="s">
        <v>98</v>
      </c>
      <c r="CM1721" t="s">
        <v>98</v>
      </c>
      <c r="CN1721" t="s">
        <v>7528</v>
      </c>
      <c r="CP1721" s="1">
        <v>43595</v>
      </c>
    </row>
    <row r="1722" spans="1:94" x14ac:dyDescent="0.25">
      <c r="A1722" t="s">
        <v>5352</v>
      </c>
      <c r="B1722" t="str">
        <f xml:space="preserve"> "" &amp; 747396093024</f>
        <v>747396093024</v>
      </c>
      <c r="C1722" t="s">
        <v>5154</v>
      </c>
      <c r="D1722" t="s">
        <v>7088</v>
      </c>
      <c r="E1722" t="s">
        <v>1829</v>
      </c>
      <c r="F1722" t="s">
        <v>627</v>
      </c>
      <c r="G1722">
        <v>1</v>
      </c>
      <c r="H1722">
        <v>1</v>
      </c>
      <c r="I1722" t="s">
        <v>97</v>
      </c>
      <c r="J1722" s="10">
        <v>11.5</v>
      </c>
      <c r="K1722" s="10">
        <v>34.5</v>
      </c>
      <c r="L1722" s="10">
        <v>0</v>
      </c>
      <c r="N1722" s="10">
        <v>0</v>
      </c>
      <c r="S1722">
        <v>6.75</v>
      </c>
      <c r="T1722">
        <v>5.38</v>
      </c>
      <c r="U1722">
        <v>5.38</v>
      </c>
      <c r="W1722">
        <v>0.33500000000000002</v>
      </c>
      <c r="Y1722">
        <v>6.75</v>
      </c>
      <c r="Z1722">
        <v>5.38</v>
      </c>
      <c r="AA1722">
        <v>5.38</v>
      </c>
      <c r="AB1722">
        <v>0.113</v>
      </c>
      <c r="AC1722">
        <v>1.1100000000000001</v>
      </c>
      <c r="AF1722" t="s">
        <v>7528</v>
      </c>
      <c r="AK1722" t="s">
        <v>98</v>
      </c>
      <c r="AM1722" t="s">
        <v>98</v>
      </c>
      <c r="AN1722" t="s">
        <v>98</v>
      </c>
      <c r="AO1722" t="s">
        <v>98</v>
      </c>
      <c r="AP1722" t="s">
        <v>100</v>
      </c>
      <c r="AV1722" t="s">
        <v>98</v>
      </c>
      <c r="AX1722" t="s">
        <v>7528</v>
      </c>
      <c r="AZ1722" t="s">
        <v>7528</v>
      </c>
      <c r="BB1722" t="s">
        <v>7528</v>
      </c>
      <c r="BC1722" t="s">
        <v>7528</v>
      </c>
      <c r="BD1722" t="s">
        <v>7528</v>
      </c>
      <c r="BF1722" t="s">
        <v>5353</v>
      </c>
      <c r="BG1722" t="s">
        <v>98</v>
      </c>
      <c r="BH1722" t="s">
        <v>98</v>
      </c>
      <c r="BI1722" t="s">
        <v>98</v>
      </c>
      <c r="BK1722" t="s">
        <v>7528</v>
      </c>
      <c r="BL1722" t="s">
        <v>7528</v>
      </c>
      <c r="CB1722" t="s">
        <v>7528</v>
      </c>
      <c r="CL1722" t="s">
        <v>98</v>
      </c>
      <c r="CM1722" t="s">
        <v>98</v>
      </c>
      <c r="CN1722" t="s">
        <v>7528</v>
      </c>
      <c r="CP1722" s="1">
        <v>43633</v>
      </c>
    </row>
    <row r="1723" spans="1:94" x14ac:dyDescent="0.25">
      <c r="A1723" t="s">
        <v>5354</v>
      </c>
      <c r="B1723" t="str">
        <f xml:space="preserve"> "" &amp; 747396031064</f>
        <v>747396031064</v>
      </c>
      <c r="C1723" t="s">
        <v>5177</v>
      </c>
      <c r="D1723" t="s">
        <v>7089</v>
      </c>
      <c r="E1723" t="s">
        <v>7528</v>
      </c>
      <c r="F1723" t="s">
        <v>627</v>
      </c>
      <c r="G1723">
        <v>1</v>
      </c>
      <c r="H1723">
        <v>1</v>
      </c>
      <c r="I1723" t="s">
        <v>97</v>
      </c>
      <c r="J1723" s="10">
        <v>11</v>
      </c>
      <c r="K1723" s="10">
        <v>33</v>
      </c>
      <c r="L1723" s="10">
        <v>0</v>
      </c>
      <c r="N1723" s="10">
        <v>0</v>
      </c>
      <c r="S1723">
        <v>0.38</v>
      </c>
      <c r="U1723">
        <v>8</v>
      </c>
      <c r="V1723">
        <v>4</v>
      </c>
      <c r="W1723">
        <v>0.56000000000000005</v>
      </c>
      <c r="X1723">
        <v>1</v>
      </c>
      <c r="Y1723">
        <v>12.5</v>
      </c>
      <c r="Z1723">
        <v>18</v>
      </c>
      <c r="AA1723">
        <v>11</v>
      </c>
      <c r="AB1723">
        <v>1.4319999999999999</v>
      </c>
      <c r="AC1723">
        <v>1.05</v>
      </c>
      <c r="AF1723" t="s">
        <v>7528</v>
      </c>
      <c r="AK1723" t="s">
        <v>98</v>
      </c>
      <c r="AM1723" t="s">
        <v>98</v>
      </c>
      <c r="AN1723" t="s">
        <v>98</v>
      </c>
      <c r="AO1723" t="s">
        <v>98</v>
      </c>
      <c r="AP1723" t="s">
        <v>100</v>
      </c>
      <c r="AQ1723" t="s">
        <v>101</v>
      </c>
      <c r="AV1723" t="s">
        <v>98</v>
      </c>
      <c r="AX1723" t="s">
        <v>7528</v>
      </c>
      <c r="AZ1723" t="s">
        <v>7528</v>
      </c>
      <c r="BB1723" t="s">
        <v>7528</v>
      </c>
      <c r="BC1723" t="s">
        <v>7528</v>
      </c>
      <c r="BD1723" t="s">
        <v>7528</v>
      </c>
      <c r="BF1723" t="s">
        <v>5355</v>
      </c>
      <c r="BG1723" t="s">
        <v>98</v>
      </c>
      <c r="BH1723" t="s">
        <v>98</v>
      </c>
      <c r="BI1723" t="s">
        <v>98</v>
      </c>
      <c r="BK1723" t="s">
        <v>7528</v>
      </c>
      <c r="BL1723" t="s">
        <v>7528</v>
      </c>
      <c r="CA1723" t="s">
        <v>5354</v>
      </c>
      <c r="CB1723" t="s">
        <v>7528</v>
      </c>
      <c r="CL1723" t="s">
        <v>98</v>
      </c>
      <c r="CM1723" t="s">
        <v>98</v>
      </c>
      <c r="CN1723" t="s">
        <v>7528</v>
      </c>
      <c r="CO1723" s="1">
        <v>40242</v>
      </c>
      <c r="CP1723" s="1">
        <v>43633</v>
      </c>
    </row>
    <row r="1724" spans="1:94" x14ac:dyDescent="0.25">
      <c r="A1724" t="s">
        <v>5356</v>
      </c>
      <c r="B1724" t="str">
        <f xml:space="preserve"> "" &amp; 747396031071</f>
        <v>747396031071</v>
      </c>
      <c r="C1724" t="s">
        <v>5177</v>
      </c>
      <c r="D1724" t="s">
        <v>7090</v>
      </c>
      <c r="E1724" t="s">
        <v>7528</v>
      </c>
      <c r="F1724" t="s">
        <v>627</v>
      </c>
      <c r="G1724">
        <v>1</v>
      </c>
      <c r="H1724">
        <v>1</v>
      </c>
      <c r="I1724" t="s">
        <v>97</v>
      </c>
      <c r="J1724" s="10">
        <v>14</v>
      </c>
      <c r="K1724" s="10">
        <v>42</v>
      </c>
      <c r="L1724" s="10">
        <v>0</v>
      </c>
      <c r="N1724" s="10">
        <v>0</v>
      </c>
      <c r="S1724">
        <v>4.5</v>
      </c>
      <c r="U1724">
        <v>11.75</v>
      </c>
      <c r="V1724">
        <v>6</v>
      </c>
      <c r="W1724">
        <v>1.28</v>
      </c>
      <c r="X1724">
        <v>1</v>
      </c>
      <c r="Y1724">
        <v>15.75</v>
      </c>
      <c r="Z1724">
        <v>17.5</v>
      </c>
      <c r="AA1724">
        <v>13.75</v>
      </c>
      <c r="AB1724">
        <v>2.1930000000000001</v>
      </c>
      <c r="AC1724">
        <v>2.02</v>
      </c>
      <c r="AF1724" t="s">
        <v>7528</v>
      </c>
      <c r="AK1724" t="s">
        <v>98</v>
      </c>
      <c r="AM1724" t="s">
        <v>98</v>
      </c>
      <c r="AN1724" t="s">
        <v>98</v>
      </c>
      <c r="AO1724" t="s">
        <v>98</v>
      </c>
      <c r="AP1724" t="s">
        <v>100</v>
      </c>
      <c r="AQ1724" t="s">
        <v>101</v>
      </c>
      <c r="AV1724" t="s">
        <v>98</v>
      </c>
      <c r="AX1724" t="s">
        <v>7528</v>
      </c>
      <c r="AZ1724" t="s">
        <v>7528</v>
      </c>
      <c r="BB1724" t="s">
        <v>7528</v>
      </c>
      <c r="BC1724" t="s">
        <v>7528</v>
      </c>
      <c r="BD1724" t="s">
        <v>7528</v>
      </c>
      <c r="BF1724" t="s">
        <v>5357</v>
      </c>
      <c r="BG1724" t="s">
        <v>98</v>
      </c>
      <c r="BH1724" t="s">
        <v>98</v>
      </c>
      <c r="BI1724" t="s">
        <v>98</v>
      </c>
      <c r="BK1724" t="s">
        <v>7528</v>
      </c>
      <c r="BL1724" t="s">
        <v>7528</v>
      </c>
      <c r="CA1724" t="s">
        <v>5356</v>
      </c>
      <c r="CB1724" t="s">
        <v>7528</v>
      </c>
      <c r="CL1724" t="s">
        <v>98</v>
      </c>
      <c r="CM1724" t="s">
        <v>98</v>
      </c>
      <c r="CN1724" t="s">
        <v>7528</v>
      </c>
      <c r="CO1724" s="1">
        <v>40242</v>
      </c>
      <c r="CP1724" s="1">
        <v>43633</v>
      </c>
    </row>
    <row r="1725" spans="1:94" x14ac:dyDescent="0.25">
      <c r="A1725" t="s">
        <v>5358</v>
      </c>
      <c r="B1725" t="str">
        <f xml:space="preserve"> "" &amp; 747396074924</f>
        <v>747396074924</v>
      </c>
      <c r="C1725" t="s">
        <v>5359</v>
      </c>
      <c r="D1725" t="s">
        <v>7091</v>
      </c>
      <c r="E1725" t="s">
        <v>7528</v>
      </c>
      <c r="F1725" t="s">
        <v>627</v>
      </c>
      <c r="G1725">
        <v>1</v>
      </c>
      <c r="H1725">
        <v>1</v>
      </c>
      <c r="I1725" t="s">
        <v>97</v>
      </c>
      <c r="J1725" s="10">
        <v>22.5</v>
      </c>
      <c r="K1725" s="10">
        <v>67.5</v>
      </c>
      <c r="L1725" s="10">
        <v>0</v>
      </c>
      <c r="N1725" s="10">
        <v>0</v>
      </c>
      <c r="S1725">
        <v>3.62</v>
      </c>
      <c r="U1725">
        <v>7</v>
      </c>
      <c r="W1725">
        <v>1</v>
      </c>
      <c r="AB1725">
        <v>0.11799999999999999</v>
      </c>
      <c r="AC1725">
        <v>12.1</v>
      </c>
      <c r="AF1725" t="s">
        <v>7528</v>
      </c>
      <c r="AK1725" t="s">
        <v>98</v>
      </c>
      <c r="AM1725" t="s">
        <v>98</v>
      </c>
      <c r="AN1725" t="s">
        <v>98</v>
      </c>
      <c r="AO1725" t="s">
        <v>98</v>
      </c>
      <c r="AP1725" t="s">
        <v>100</v>
      </c>
      <c r="AQ1725" t="s">
        <v>101</v>
      </c>
      <c r="AV1725" t="s">
        <v>98</v>
      </c>
      <c r="AX1725" t="s">
        <v>7528</v>
      </c>
      <c r="AZ1725" t="s">
        <v>7528</v>
      </c>
      <c r="BB1725" t="s">
        <v>7528</v>
      </c>
      <c r="BC1725" t="s">
        <v>7528</v>
      </c>
      <c r="BD1725" t="s">
        <v>7528</v>
      </c>
      <c r="BF1725" t="s">
        <v>5360</v>
      </c>
      <c r="BG1725" t="s">
        <v>98</v>
      </c>
      <c r="BH1725" t="s">
        <v>98</v>
      </c>
      <c r="BI1725" t="s">
        <v>98</v>
      </c>
      <c r="BK1725" t="s">
        <v>7528</v>
      </c>
      <c r="BL1725" t="s">
        <v>7528</v>
      </c>
      <c r="CA1725" t="s">
        <v>5358</v>
      </c>
      <c r="CB1725" t="s">
        <v>7528</v>
      </c>
      <c r="CL1725" t="s">
        <v>98</v>
      </c>
      <c r="CM1725" t="s">
        <v>98</v>
      </c>
      <c r="CN1725" t="s">
        <v>7528</v>
      </c>
      <c r="CO1725" s="1">
        <v>40311</v>
      </c>
      <c r="CP1725" s="1">
        <v>43633</v>
      </c>
    </row>
    <row r="1726" spans="1:94" x14ac:dyDescent="0.25">
      <c r="A1726" t="s">
        <v>5361</v>
      </c>
      <c r="B1726" t="str">
        <f xml:space="preserve"> "" &amp; 747396074931</f>
        <v>747396074931</v>
      </c>
      <c r="C1726" t="s">
        <v>5359</v>
      </c>
      <c r="D1726" t="s">
        <v>7092</v>
      </c>
      <c r="E1726" t="s">
        <v>7528</v>
      </c>
      <c r="F1726" t="s">
        <v>627</v>
      </c>
      <c r="G1726">
        <v>1</v>
      </c>
      <c r="H1726">
        <v>1</v>
      </c>
      <c r="I1726" t="s">
        <v>97</v>
      </c>
      <c r="J1726" s="10">
        <v>52.5</v>
      </c>
      <c r="K1726" s="10">
        <v>157.5</v>
      </c>
      <c r="L1726" s="10">
        <v>0</v>
      </c>
      <c r="N1726" s="10">
        <v>0</v>
      </c>
      <c r="S1726">
        <v>4.5</v>
      </c>
      <c r="U1726">
        <v>17</v>
      </c>
      <c r="W1726">
        <v>1</v>
      </c>
      <c r="Y1726">
        <v>0</v>
      </c>
      <c r="Z1726">
        <v>0</v>
      </c>
      <c r="AA1726">
        <v>0</v>
      </c>
      <c r="AB1726">
        <v>0</v>
      </c>
      <c r="AC1726">
        <v>12.1</v>
      </c>
      <c r="AF1726" t="s">
        <v>7528</v>
      </c>
      <c r="AK1726" t="s">
        <v>98</v>
      </c>
      <c r="AM1726" t="s">
        <v>98</v>
      </c>
      <c r="AN1726" t="s">
        <v>98</v>
      </c>
      <c r="AO1726" t="s">
        <v>98</v>
      </c>
      <c r="AP1726" t="s">
        <v>100</v>
      </c>
      <c r="AQ1726" t="s">
        <v>101</v>
      </c>
      <c r="AV1726" t="s">
        <v>98</v>
      </c>
      <c r="AX1726" t="s">
        <v>7528</v>
      </c>
      <c r="AZ1726" t="s">
        <v>7528</v>
      </c>
      <c r="BB1726" t="s">
        <v>7528</v>
      </c>
      <c r="BC1726" t="s">
        <v>7528</v>
      </c>
      <c r="BD1726" t="s">
        <v>7528</v>
      </c>
      <c r="BF1726" t="s">
        <v>5362</v>
      </c>
      <c r="BG1726" t="s">
        <v>98</v>
      </c>
      <c r="BH1726" t="s">
        <v>98</v>
      </c>
      <c r="BI1726" t="s">
        <v>98</v>
      </c>
      <c r="BK1726" t="s">
        <v>7528</v>
      </c>
      <c r="BL1726" t="s">
        <v>7528</v>
      </c>
      <c r="CA1726" t="s">
        <v>5361</v>
      </c>
      <c r="CB1726" t="s">
        <v>7528</v>
      </c>
      <c r="CL1726" t="s">
        <v>98</v>
      </c>
      <c r="CM1726" t="s">
        <v>98</v>
      </c>
      <c r="CN1726" t="s">
        <v>7528</v>
      </c>
      <c r="CO1726" s="1">
        <v>40312</v>
      </c>
      <c r="CP1726" s="1">
        <v>43633</v>
      </c>
    </row>
    <row r="1727" spans="1:94" x14ac:dyDescent="0.25">
      <c r="A1727" t="s">
        <v>5364</v>
      </c>
      <c r="B1727" t="str">
        <f xml:space="preserve"> "" &amp; 747396074313</f>
        <v>747396074313</v>
      </c>
      <c r="C1727" t="s">
        <v>5363</v>
      </c>
      <c r="D1727" t="s">
        <v>7093</v>
      </c>
      <c r="E1727" t="s">
        <v>7528</v>
      </c>
      <c r="F1727" t="s">
        <v>627</v>
      </c>
      <c r="G1727">
        <v>1</v>
      </c>
      <c r="H1727">
        <v>1</v>
      </c>
      <c r="I1727" t="s">
        <v>97</v>
      </c>
      <c r="J1727" s="10">
        <v>12.5</v>
      </c>
      <c r="K1727" s="10">
        <v>37.5</v>
      </c>
      <c r="L1727" s="10">
        <v>0</v>
      </c>
      <c r="N1727" s="10">
        <v>0</v>
      </c>
      <c r="S1727">
        <v>7.75</v>
      </c>
      <c r="U1727">
        <v>3</v>
      </c>
      <c r="W1727">
        <v>0.62</v>
      </c>
      <c r="Y1727">
        <v>6.5</v>
      </c>
      <c r="Z1727">
        <v>21</v>
      </c>
      <c r="AA1727">
        <v>11.5</v>
      </c>
      <c r="AB1727">
        <v>0.90800000000000003</v>
      </c>
      <c r="AC1727">
        <v>0.92</v>
      </c>
      <c r="AF1727" t="s">
        <v>7528</v>
      </c>
      <c r="AK1727" t="s">
        <v>98</v>
      </c>
      <c r="AM1727" t="s">
        <v>98</v>
      </c>
      <c r="AN1727" t="s">
        <v>98</v>
      </c>
      <c r="AO1727" t="s">
        <v>98</v>
      </c>
      <c r="AP1727" t="s">
        <v>100</v>
      </c>
      <c r="AQ1727" t="s">
        <v>101</v>
      </c>
      <c r="AV1727" t="s">
        <v>98</v>
      </c>
      <c r="AX1727" t="s">
        <v>7528</v>
      </c>
      <c r="AZ1727" t="s">
        <v>7528</v>
      </c>
      <c r="BB1727" t="s">
        <v>7528</v>
      </c>
      <c r="BC1727" t="s">
        <v>7528</v>
      </c>
      <c r="BD1727" t="s">
        <v>7528</v>
      </c>
      <c r="BF1727" t="s">
        <v>5365</v>
      </c>
      <c r="BG1727" t="s">
        <v>98</v>
      </c>
      <c r="BH1727" t="s">
        <v>98</v>
      </c>
      <c r="BI1727" t="s">
        <v>98</v>
      </c>
      <c r="BK1727" t="s">
        <v>7528</v>
      </c>
      <c r="BL1727" t="s">
        <v>7528</v>
      </c>
      <c r="CA1727" t="s">
        <v>5364</v>
      </c>
      <c r="CB1727" t="s">
        <v>7528</v>
      </c>
      <c r="CL1727" t="s">
        <v>98</v>
      </c>
      <c r="CM1727" t="s">
        <v>98</v>
      </c>
      <c r="CN1727" t="s">
        <v>7528</v>
      </c>
      <c r="CO1727" s="1">
        <v>40312</v>
      </c>
      <c r="CP1727" s="1">
        <v>43633</v>
      </c>
    </row>
    <row r="1728" spans="1:94" x14ac:dyDescent="0.25">
      <c r="A1728" t="s">
        <v>5366</v>
      </c>
      <c r="B1728" t="str">
        <f xml:space="preserve"> "" &amp; 747396067148</f>
        <v>747396067148</v>
      </c>
      <c r="C1728" t="s">
        <v>5367</v>
      </c>
      <c r="D1728" t="s">
        <v>7094</v>
      </c>
      <c r="E1728" t="s">
        <v>7528</v>
      </c>
      <c r="F1728" t="s">
        <v>627</v>
      </c>
      <c r="G1728">
        <v>1</v>
      </c>
      <c r="H1728">
        <v>1</v>
      </c>
      <c r="I1728" t="s">
        <v>97</v>
      </c>
      <c r="J1728" s="10">
        <v>80</v>
      </c>
      <c r="K1728" s="10">
        <v>240</v>
      </c>
      <c r="L1728" s="10">
        <v>0</v>
      </c>
      <c r="N1728" s="10">
        <v>0</v>
      </c>
      <c r="S1728">
        <v>5.5</v>
      </c>
      <c r="U1728">
        <v>19.75</v>
      </c>
      <c r="W1728">
        <v>1</v>
      </c>
      <c r="Y1728">
        <v>0</v>
      </c>
      <c r="Z1728">
        <v>0</v>
      </c>
      <c r="AA1728">
        <v>0</v>
      </c>
      <c r="AB1728">
        <v>0</v>
      </c>
      <c r="AC1728">
        <v>10.01</v>
      </c>
      <c r="AF1728" t="s">
        <v>7528</v>
      </c>
      <c r="AK1728" t="s">
        <v>98</v>
      </c>
      <c r="AM1728" t="s">
        <v>98</v>
      </c>
      <c r="AN1728" t="s">
        <v>98</v>
      </c>
      <c r="AO1728" t="s">
        <v>98</v>
      </c>
      <c r="AP1728" t="s">
        <v>100</v>
      </c>
      <c r="AQ1728" t="s">
        <v>101</v>
      </c>
      <c r="AV1728" t="s">
        <v>98</v>
      </c>
      <c r="AX1728" t="s">
        <v>7528</v>
      </c>
      <c r="AZ1728" t="s">
        <v>7528</v>
      </c>
      <c r="BB1728" t="s">
        <v>7528</v>
      </c>
      <c r="BC1728" t="s">
        <v>7528</v>
      </c>
      <c r="BD1728" t="s">
        <v>7528</v>
      </c>
      <c r="BF1728" t="s">
        <v>5368</v>
      </c>
      <c r="BG1728" t="s">
        <v>98</v>
      </c>
      <c r="BH1728" t="s">
        <v>98</v>
      </c>
      <c r="BI1728" t="s">
        <v>98</v>
      </c>
      <c r="BK1728" t="s">
        <v>7528</v>
      </c>
      <c r="BL1728" t="s">
        <v>7528</v>
      </c>
      <c r="CA1728" t="s">
        <v>5366</v>
      </c>
      <c r="CB1728" t="s">
        <v>7528</v>
      </c>
      <c r="CL1728" t="s">
        <v>98</v>
      </c>
      <c r="CM1728" t="s">
        <v>98</v>
      </c>
      <c r="CN1728" t="s">
        <v>7528</v>
      </c>
      <c r="CO1728" s="1">
        <v>39821</v>
      </c>
      <c r="CP1728" s="1">
        <v>43595</v>
      </c>
    </row>
    <row r="1729" spans="1:94" x14ac:dyDescent="0.25">
      <c r="A1729" t="s">
        <v>5369</v>
      </c>
      <c r="B1729" t="str">
        <f xml:space="preserve"> "" &amp; 747396067179</f>
        <v>747396067179</v>
      </c>
      <c r="C1729" t="s">
        <v>5370</v>
      </c>
      <c r="D1729" t="s">
        <v>7095</v>
      </c>
      <c r="E1729" t="s">
        <v>7528</v>
      </c>
      <c r="F1729" t="s">
        <v>627</v>
      </c>
      <c r="G1729">
        <v>1</v>
      </c>
      <c r="H1729">
        <v>1</v>
      </c>
      <c r="I1729" t="s">
        <v>97</v>
      </c>
      <c r="J1729" s="10">
        <v>60</v>
      </c>
      <c r="K1729" s="10">
        <v>180</v>
      </c>
      <c r="L1729" s="10">
        <v>0</v>
      </c>
      <c r="N1729" s="10">
        <v>0</v>
      </c>
      <c r="S1729">
        <v>5.75</v>
      </c>
      <c r="U1729">
        <v>15.25</v>
      </c>
      <c r="W1729">
        <v>6.29</v>
      </c>
      <c r="X1729">
        <v>1</v>
      </c>
      <c r="AC1729">
        <v>8.58</v>
      </c>
      <c r="AF1729" t="s">
        <v>7528</v>
      </c>
      <c r="AK1729" t="s">
        <v>98</v>
      </c>
      <c r="AM1729" t="s">
        <v>98</v>
      </c>
      <c r="AN1729" t="s">
        <v>98</v>
      </c>
      <c r="AO1729" t="s">
        <v>98</v>
      </c>
      <c r="AP1729" t="s">
        <v>100</v>
      </c>
      <c r="AQ1729" t="s">
        <v>101</v>
      </c>
      <c r="AV1729" t="s">
        <v>98</v>
      </c>
      <c r="AX1729" t="s">
        <v>7528</v>
      </c>
      <c r="AZ1729" t="s">
        <v>7528</v>
      </c>
      <c r="BB1729" t="s">
        <v>7528</v>
      </c>
      <c r="BC1729" t="s">
        <v>7528</v>
      </c>
      <c r="BD1729" t="s">
        <v>7528</v>
      </c>
      <c r="BF1729" t="s">
        <v>5371</v>
      </c>
      <c r="BG1729" t="s">
        <v>98</v>
      </c>
      <c r="BH1729" t="s">
        <v>98</v>
      </c>
      <c r="BI1729" t="s">
        <v>98</v>
      </c>
      <c r="BK1729" t="s">
        <v>7528</v>
      </c>
      <c r="BL1729" t="s">
        <v>7528</v>
      </c>
      <c r="CA1729" t="s">
        <v>5369</v>
      </c>
      <c r="CB1729" t="s">
        <v>7528</v>
      </c>
      <c r="CL1729" t="s">
        <v>98</v>
      </c>
      <c r="CM1729" t="s">
        <v>98</v>
      </c>
      <c r="CN1729" t="s">
        <v>7528</v>
      </c>
      <c r="CO1729" s="1">
        <v>39821</v>
      </c>
      <c r="CP1729" s="1">
        <v>43595</v>
      </c>
    </row>
    <row r="1730" spans="1:94" x14ac:dyDescent="0.25">
      <c r="A1730" t="s">
        <v>5372</v>
      </c>
      <c r="B1730" t="str">
        <f xml:space="preserve"> "" &amp; 747396067186</f>
        <v>747396067186</v>
      </c>
      <c r="C1730" t="s">
        <v>5373</v>
      </c>
      <c r="D1730" t="s">
        <v>7096</v>
      </c>
      <c r="E1730" t="s">
        <v>7528</v>
      </c>
      <c r="F1730" t="s">
        <v>627</v>
      </c>
      <c r="G1730">
        <v>1</v>
      </c>
      <c r="H1730">
        <v>1</v>
      </c>
      <c r="I1730" t="s">
        <v>97</v>
      </c>
      <c r="J1730" s="10">
        <v>45</v>
      </c>
      <c r="K1730" s="10">
        <v>135</v>
      </c>
      <c r="L1730" s="10">
        <v>0</v>
      </c>
      <c r="N1730" s="10">
        <v>0</v>
      </c>
      <c r="S1730">
        <v>5.63</v>
      </c>
      <c r="T1730">
        <v>16.25</v>
      </c>
      <c r="U1730">
        <v>15.63</v>
      </c>
      <c r="W1730">
        <v>4.4400000000000004</v>
      </c>
      <c r="Y1730">
        <v>6</v>
      </c>
      <c r="Z1730">
        <v>16.25</v>
      </c>
      <c r="AA1730">
        <v>16.25</v>
      </c>
      <c r="AB1730">
        <v>0.91700000000000004</v>
      </c>
      <c r="AC1730">
        <v>8.91</v>
      </c>
      <c r="AF1730" t="s">
        <v>7528</v>
      </c>
      <c r="AK1730" t="s">
        <v>98</v>
      </c>
      <c r="AM1730" t="s">
        <v>98</v>
      </c>
      <c r="AN1730" t="s">
        <v>98</v>
      </c>
      <c r="AO1730" t="s">
        <v>98</v>
      </c>
      <c r="AP1730" t="s">
        <v>100</v>
      </c>
      <c r="AQ1730" t="s">
        <v>101</v>
      </c>
      <c r="AV1730" t="s">
        <v>98</v>
      </c>
      <c r="AX1730" t="s">
        <v>7528</v>
      </c>
      <c r="AZ1730" t="s">
        <v>7528</v>
      </c>
      <c r="BB1730" t="s">
        <v>7528</v>
      </c>
      <c r="BC1730" t="s">
        <v>7528</v>
      </c>
      <c r="BD1730" t="s">
        <v>7528</v>
      </c>
      <c r="BF1730" t="s">
        <v>5374</v>
      </c>
      <c r="BG1730" t="s">
        <v>98</v>
      </c>
      <c r="BH1730" t="s">
        <v>98</v>
      </c>
      <c r="BI1730" t="s">
        <v>98</v>
      </c>
      <c r="BK1730" t="s">
        <v>7528</v>
      </c>
      <c r="BL1730" t="s">
        <v>7528</v>
      </c>
      <c r="CA1730" t="s">
        <v>5372</v>
      </c>
      <c r="CB1730" t="s">
        <v>7528</v>
      </c>
      <c r="CL1730" t="s">
        <v>98</v>
      </c>
      <c r="CM1730" t="s">
        <v>98</v>
      </c>
      <c r="CN1730" t="s">
        <v>7528</v>
      </c>
      <c r="CO1730" s="1">
        <v>40259</v>
      </c>
      <c r="CP1730" s="1">
        <v>43595</v>
      </c>
    </row>
    <row r="1731" spans="1:94" x14ac:dyDescent="0.25">
      <c r="A1731" t="s">
        <v>5375</v>
      </c>
      <c r="B1731" t="str">
        <f xml:space="preserve"> "" &amp; 747396067209</f>
        <v>747396067209</v>
      </c>
      <c r="C1731" t="s">
        <v>5376</v>
      </c>
      <c r="D1731" t="s">
        <v>7097</v>
      </c>
      <c r="E1731" t="s">
        <v>7528</v>
      </c>
      <c r="F1731" t="s">
        <v>627</v>
      </c>
      <c r="G1731">
        <v>1</v>
      </c>
      <c r="H1731">
        <v>1</v>
      </c>
      <c r="I1731" t="s">
        <v>97</v>
      </c>
      <c r="J1731" s="10">
        <v>24.5</v>
      </c>
      <c r="K1731" s="10">
        <v>73.5</v>
      </c>
      <c r="L1731" s="10">
        <v>0</v>
      </c>
      <c r="N1731" s="10">
        <v>0</v>
      </c>
      <c r="S1731">
        <v>5.63</v>
      </c>
      <c r="U1731">
        <v>15.63</v>
      </c>
      <c r="W1731">
        <v>1</v>
      </c>
      <c r="AB1731">
        <v>0.88700000000000001</v>
      </c>
      <c r="AC1731">
        <v>1.89</v>
      </c>
      <c r="AF1731" t="s">
        <v>7528</v>
      </c>
      <c r="AK1731" t="s">
        <v>98</v>
      </c>
      <c r="AM1731" t="s">
        <v>98</v>
      </c>
      <c r="AN1731" t="s">
        <v>98</v>
      </c>
      <c r="AO1731" t="s">
        <v>98</v>
      </c>
      <c r="AP1731" t="s">
        <v>100</v>
      </c>
      <c r="AQ1731" t="s">
        <v>101</v>
      </c>
      <c r="AV1731" t="s">
        <v>98</v>
      </c>
      <c r="AX1731" t="s">
        <v>7528</v>
      </c>
      <c r="AZ1731" t="s">
        <v>7528</v>
      </c>
      <c r="BB1731" t="s">
        <v>7528</v>
      </c>
      <c r="BC1731" t="s">
        <v>7528</v>
      </c>
      <c r="BD1731" t="s">
        <v>7528</v>
      </c>
      <c r="BF1731" t="s">
        <v>5377</v>
      </c>
      <c r="BG1731" t="s">
        <v>98</v>
      </c>
      <c r="BH1731" t="s">
        <v>98</v>
      </c>
      <c r="BI1731" t="s">
        <v>98</v>
      </c>
      <c r="BK1731" t="s">
        <v>7528</v>
      </c>
      <c r="BL1731" t="s">
        <v>7528</v>
      </c>
      <c r="CA1731" t="s">
        <v>5375</v>
      </c>
      <c r="CB1731" t="s">
        <v>7528</v>
      </c>
      <c r="CL1731" t="s">
        <v>98</v>
      </c>
      <c r="CM1731" t="s">
        <v>98</v>
      </c>
      <c r="CN1731" t="s">
        <v>7528</v>
      </c>
      <c r="CO1731" s="1">
        <v>39404</v>
      </c>
      <c r="CP1731" s="1">
        <v>43633</v>
      </c>
    </row>
    <row r="1732" spans="1:94" x14ac:dyDescent="0.25">
      <c r="A1732" t="s">
        <v>5378</v>
      </c>
      <c r="B1732" t="str">
        <f xml:space="preserve"> "" &amp; 747396067223</f>
        <v>747396067223</v>
      </c>
      <c r="C1732" t="s">
        <v>5379</v>
      </c>
      <c r="D1732" t="s">
        <v>7098</v>
      </c>
      <c r="E1732" t="s">
        <v>7528</v>
      </c>
      <c r="F1732" t="s">
        <v>627</v>
      </c>
      <c r="G1732">
        <v>1</v>
      </c>
      <c r="H1732">
        <v>1</v>
      </c>
      <c r="I1732" t="s">
        <v>97</v>
      </c>
      <c r="J1732" s="10">
        <v>20.5</v>
      </c>
      <c r="K1732" s="10">
        <v>61.5</v>
      </c>
      <c r="L1732" s="10">
        <v>0</v>
      </c>
      <c r="N1732" s="10">
        <v>0</v>
      </c>
      <c r="S1732">
        <v>12.63</v>
      </c>
      <c r="T1732">
        <v>6</v>
      </c>
      <c r="U1732">
        <v>5.38</v>
      </c>
      <c r="V1732">
        <v>3.13</v>
      </c>
      <c r="W1732">
        <v>1.5</v>
      </c>
      <c r="Y1732">
        <v>13.13</v>
      </c>
      <c r="Z1732">
        <v>6</v>
      </c>
      <c r="AA1732">
        <v>3.75</v>
      </c>
      <c r="AB1732">
        <v>0.17100000000000001</v>
      </c>
      <c r="AC1732">
        <v>2.2599999999999998</v>
      </c>
      <c r="AF1732" t="s">
        <v>7528</v>
      </c>
      <c r="AK1732" t="s">
        <v>98</v>
      </c>
      <c r="AM1732" t="s">
        <v>98</v>
      </c>
      <c r="AN1732" t="s">
        <v>98</v>
      </c>
      <c r="AO1732" t="s">
        <v>98</v>
      </c>
      <c r="AP1732" t="s">
        <v>100</v>
      </c>
      <c r="AQ1732" t="s">
        <v>101</v>
      </c>
      <c r="AV1732" t="s">
        <v>98</v>
      </c>
      <c r="AX1732" t="s">
        <v>7528</v>
      </c>
      <c r="AZ1732" t="s">
        <v>7528</v>
      </c>
      <c r="BB1732" t="s">
        <v>7528</v>
      </c>
      <c r="BC1732" t="s">
        <v>7528</v>
      </c>
      <c r="BD1732" t="s">
        <v>7528</v>
      </c>
      <c r="BF1732" t="s">
        <v>5380</v>
      </c>
      <c r="BG1732" t="s">
        <v>98</v>
      </c>
      <c r="BH1732" t="s">
        <v>98</v>
      </c>
      <c r="BI1732" t="s">
        <v>98</v>
      </c>
      <c r="BK1732" t="s">
        <v>7528</v>
      </c>
      <c r="BL1732" t="s">
        <v>7528</v>
      </c>
      <c r="CA1732" t="s">
        <v>5378</v>
      </c>
      <c r="CB1732" t="s">
        <v>7528</v>
      </c>
      <c r="CL1732" t="s">
        <v>98</v>
      </c>
      <c r="CM1732" t="s">
        <v>98</v>
      </c>
      <c r="CN1732" t="s">
        <v>7528</v>
      </c>
      <c r="CO1732" s="1">
        <v>39821</v>
      </c>
      <c r="CP1732" s="1">
        <v>43633</v>
      </c>
    </row>
    <row r="1733" spans="1:94" x14ac:dyDescent="0.25">
      <c r="A1733" t="s">
        <v>5381</v>
      </c>
      <c r="B1733" t="str">
        <f xml:space="preserve"> "" &amp; 747396067230</f>
        <v>747396067230</v>
      </c>
      <c r="C1733" t="s">
        <v>5373</v>
      </c>
      <c r="D1733" t="s">
        <v>7099</v>
      </c>
      <c r="E1733" t="s">
        <v>7528</v>
      </c>
      <c r="F1733" t="s">
        <v>627</v>
      </c>
      <c r="G1733">
        <v>1</v>
      </c>
      <c r="H1733">
        <v>1</v>
      </c>
      <c r="I1733" t="s">
        <v>97</v>
      </c>
      <c r="J1733" s="10">
        <v>19.5</v>
      </c>
      <c r="K1733" s="10">
        <v>58.5</v>
      </c>
      <c r="L1733" s="10">
        <v>0</v>
      </c>
      <c r="N1733" s="10">
        <v>0</v>
      </c>
      <c r="S1733">
        <v>4</v>
      </c>
      <c r="U1733">
        <v>10</v>
      </c>
      <c r="W1733">
        <v>1</v>
      </c>
      <c r="AB1733">
        <v>0.58799999999999997</v>
      </c>
      <c r="AC1733">
        <v>2.1800000000000002</v>
      </c>
      <c r="AF1733" t="s">
        <v>7528</v>
      </c>
      <c r="AK1733" t="s">
        <v>98</v>
      </c>
      <c r="AM1733" t="s">
        <v>98</v>
      </c>
      <c r="AN1733" t="s">
        <v>98</v>
      </c>
      <c r="AO1733" t="s">
        <v>98</v>
      </c>
      <c r="AP1733" t="s">
        <v>100</v>
      </c>
      <c r="AQ1733" t="s">
        <v>101</v>
      </c>
      <c r="AV1733" t="s">
        <v>98</v>
      </c>
      <c r="AX1733" t="s">
        <v>7528</v>
      </c>
      <c r="AZ1733" t="s">
        <v>7528</v>
      </c>
      <c r="BB1733" t="s">
        <v>7528</v>
      </c>
      <c r="BC1733" t="s">
        <v>7528</v>
      </c>
      <c r="BD1733" t="s">
        <v>7528</v>
      </c>
      <c r="BF1733" t="s">
        <v>5382</v>
      </c>
      <c r="BG1733" t="s">
        <v>98</v>
      </c>
      <c r="BH1733" t="s">
        <v>98</v>
      </c>
      <c r="BI1733" t="s">
        <v>98</v>
      </c>
      <c r="BK1733" t="s">
        <v>7528</v>
      </c>
      <c r="BL1733" t="s">
        <v>7528</v>
      </c>
      <c r="CA1733" t="s">
        <v>5381</v>
      </c>
      <c r="CB1733" t="s">
        <v>7528</v>
      </c>
      <c r="CL1733" t="s">
        <v>98</v>
      </c>
      <c r="CM1733" t="s">
        <v>98</v>
      </c>
      <c r="CN1733" t="s">
        <v>7528</v>
      </c>
      <c r="CO1733" s="1">
        <v>39821</v>
      </c>
      <c r="CP1733" s="1">
        <v>43595</v>
      </c>
    </row>
    <row r="1734" spans="1:94" x14ac:dyDescent="0.25">
      <c r="A1734" t="s">
        <v>5383</v>
      </c>
      <c r="B1734" t="str">
        <f xml:space="preserve"> "" &amp; 747396074948</f>
        <v>747396074948</v>
      </c>
      <c r="C1734" t="s">
        <v>5384</v>
      </c>
      <c r="D1734" t="s">
        <v>7100</v>
      </c>
      <c r="E1734" t="s">
        <v>7528</v>
      </c>
      <c r="F1734" t="s">
        <v>627</v>
      </c>
      <c r="G1734">
        <v>1</v>
      </c>
      <c r="H1734">
        <v>1</v>
      </c>
      <c r="I1734" t="s">
        <v>97</v>
      </c>
      <c r="J1734" s="10">
        <v>17.5</v>
      </c>
      <c r="K1734" s="10">
        <v>52.5</v>
      </c>
      <c r="L1734" s="10">
        <v>0</v>
      </c>
      <c r="N1734" s="10">
        <v>0</v>
      </c>
      <c r="S1734">
        <v>4.25</v>
      </c>
      <c r="T1734">
        <v>8.25</v>
      </c>
      <c r="U1734">
        <v>6.25</v>
      </c>
      <c r="W1734">
        <v>1.32</v>
      </c>
      <c r="Y1734">
        <v>6.25</v>
      </c>
      <c r="Z1734">
        <v>8.25</v>
      </c>
      <c r="AA1734">
        <v>8.25</v>
      </c>
      <c r="AB1734">
        <v>0.246</v>
      </c>
      <c r="AC1734">
        <v>2.2000000000000002</v>
      </c>
      <c r="AF1734" t="s">
        <v>7528</v>
      </c>
      <c r="AK1734" t="s">
        <v>98</v>
      </c>
      <c r="AM1734" t="s">
        <v>98</v>
      </c>
      <c r="AN1734" t="s">
        <v>98</v>
      </c>
      <c r="AO1734" t="s">
        <v>98</v>
      </c>
      <c r="AP1734" t="s">
        <v>100</v>
      </c>
      <c r="AQ1734" t="s">
        <v>101</v>
      </c>
      <c r="AV1734" t="s">
        <v>98</v>
      </c>
      <c r="AX1734" t="s">
        <v>7528</v>
      </c>
      <c r="AZ1734" t="s">
        <v>7528</v>
      </c>
      <c r="BB1734" t="s">
        <v>7528</v>
      </c>
      <c r="BC1734" t="s">
        <v>7528</v>
      </c>
      <c r="BD1734" t="s">
        <v>7528</v>
      </c>
      <c r="BF1734" t="s">
        <v>5385</v>
      </c>
      <c r="BG1734" t="s">
        <v>98</v>
      </c>
      <c r="BH1734" t="s">
        <v>98</v>
      </c>
      <c r="BI1734" t="s">
        <v>98</v>
      </c>
      <c r="BK1734" t="s">
        <v>7528</v>
      </c>
      <c r="BL1734" t="s">
        <v>7528</v>
      </c>
      <c r="CA1734" t="s">
        <v>5383</v>
      </c>
      <c r="CB1734" t="s">
        <v>7528</v>
      </c>
      <c r="CL1734" t="s">
        <v>98</v>
      </c>
      <c r="CM1734" t="s">
        <v>98</v>
      </c>
      <c r="CN1734" t="s">
        <v>7528</v>
      </c>
      <c r="CO1734" s="1">
        <v>40294</v>
      </c>
      <c r="CP1734" s="1">
        <v>43633</v>
      </c>
    </row>
    <row r="1735" spans="1:94" x14ac:dyDescent="0.25">
      <c r="A1735" t="s">
        <v>5386</v>
      </c>
      <c r="B1735" t="str">
        <f xml:space="preserve"> "" &amp; 747396074719</f>
        <v>747396074719</v>
      </c>
      <c r="C1735" t="s">
        <v>808</v>
      </c>
      <c r="D1735" t="s">
        <v>7101</v>
      </c>
      <c r="E1735" t="s">
        <v>7528</v>
      </c>
      <c r="F1735" t="s">
        <v>627</v>
      </c>
      <c r="G1735">
        <v>1</v>
      </c>
      <c r="H1735">
        <v>1</v>
      </c>
      <c r="I1735" t="s">
        <v>97</v>
      </c>
      <c r="J1735" s="10">
        <v>13.5</v>
      </c>
      <c r="K1735" s="10">
        <v>40.5</v>
      </c>
      <c r="L1735" s="10">
        <v>0</v>
      </c>
      <c r="N1735" s="10">
        <v>0</v>
      </c>
      <c r="W1735">
        <v>1</v>
      </c>
      <c r="AB1735">
        <v>0.66</v>
      </c>
      <c r="AC1735">
        <v>3.44</v>
      </c>
      <c r="AF1735" t="s">
        <v>7528</v>
      </c>
      <c r="AK1735" t="s">
        <v>98</v>
      </c>
      <c r="AM1735" t="s">
        <v>98</v>
      </c>
      <c r="AN1735" t="s">
        <v>98</v>
      </c>
      <c r="AO1735" t="s">
        <v>98</v>
      </c>
      <c r="AP1735" t="s">
        <v>100</v>
      </c>
      <c r="AQ1735" t="s">
        <v>101</v>
      </c>
      <c r="AV1735" t="s">
        <v>98</v>
      </c>
      <c r="AX1735" t="s">
        <v>7528</v>
      </c>
      <c r="AZ1735" t="s">
        <v>7528</v>
      </c>
      <c r="BB1735" t="s">
        <v>7528</v>
      </c>
      <c r="BC1735" t="s">
        <v>7528</v>
      </c>
      <c r="BD1735" t="s">
        <v>7528</v>
      </c>
      <c r="BF1735" t="s">
        <v>5387</v>
      </c>
      <c r="BG1735" t="s">
        <v>98</v>
      </c>
      <c r="BH1735" t="s">
        <v>98</v>
      </c>
      <c r="BI1735" t="s">
        <v>98</v>
      </c>
      <c r="BK1735" t="s">
        <v>7528</v>
      </c>
      <c r="BL1735" t="s">
        <v>7528</v>
      </c>
      <c r="CA1735" t="s">
        <v>5386</v>
      </c>
      <c r="CB1735" t="s">
        <v>7528</v>
      </c>
      <c r="CL1735" t="s">
        <v>98</v>
      </c>
      <c r="CM1735" t="s">
        <v>98</v>
      </c>
      <c r="CN1735" t="s">
        <v>7528</v>
      </c>
      <c r="CO1735" s="1">
        <v>40312</v>
      </c>
      <c r="CP1735" s="1">
        <v>43633</v>
      </c>
    </row>
    <row r="1736" spans="1:94" x14ac:dyDescent="0.25">
      <c r="A1736" t="s">
        <v>5388</v>
      </c>
      <c r="B1736" t="str">
        <f xml:space="preserve"> "" &amp; 747396074351</f>
        <v>747396074351</v>
      </c>
      <c r="C1736" t="s">
        <v>5389</v>
      </c>
      <c r="D1736" t="s">
        <v>7102</v>
      </c>
      <c r="E1736" t="s">
        <v>7528</v>
      </c>
      <c r="F1736" t="s">
        <v>627</v>
      </c>
      <c r="G1736">
        <v>1</v>
      </c>
      <c r="H1736">
        <v>1</v>
      </c>
      <c r="I1736" t="s">
        <v>97</v>
      </c>
      <c r="J1736" s="10">
        <v>44.5</v>
      </c>
      <c r="K1736" s="10">
        <v>133.5</v>
      </c>
      <c r="L1736" s="10">
        <v>0</v>
      </c>
      <c r="N1736" s="10">
        <v>0</v>
      </c>
      <c r="S1736">
        <v>4.5</v>
      </c>
      <c r="U1736">
        <v>12</v>
      </c>
      <c r="W1736">
        <v>10.119999999999999</v>
      </c>
      <c r="Y1736">
        <v>7.75</v>
      </c>
      <c r="Z1736">
        <v>15.25</v>
      </c>
      <c r="AA1736">
        <v>15.25</v>
      </c>
      <c r="AB1736">
        <v>1.0429999999999999</v>
      </c>
      <c r="AC1736">
        <v>12.76</v>
      </c>
      <c r="AF1736" t="s">
        <v>7528</v>
      </c>
      <c r="AK1736" t="s">
        <v>98</v>
      </c>
      <c r="AM1736" t="s">
        <v>98</v>
      </c>
      <c r="AN1736" t="s">
        <v>98</v>
      </c>
      <c r="AO1736" t="s">
        <v>98</v>
      </c>
      <c r="AP1736" t="s">
        <v>100</v>
      </c>
      <c r="AQ1736" t="s">
        <v>101</v>
      </c>
      <c r="AV1736" t="s">
        <v>98</v>
      </c>
      <c r="AX1736" t="s">
        <v>7528</v>
      </c>
      <c r="AZ1736" t="s">
        <v>7528</v>
      </c>
      <c r="BB1736" t="s">
        <v>7528</v>
      </c>
      <c r="BC1736" t="s">
        <v>7528</v>
      </c>
      <c r="BD1736" t="s">
        <v>7528</v>
      </c>
      <c r="BF1736" t="s">
        <v>5390</v>
      </c>
      <c r="BG1736" t="s">
        <v>98</v>
      </c>
      <c r="BH1736" t="s">
        <v>98</v>
      </c>
      <c r="BI1736" t="s">
        <v>98</v>
      </c>
      <c r="BK1736" t="s">
        <v>7528</v>
      </c>
      <c r="BL1736" t="s">
        <v>7528</v>
      </c>
      <c r="CA1736" t="s">
        <v>5388</v>
      </c>
      <c r="CB1736" t="s">
        <v>7528</v>
      </c>
      <c r="CL1736" t="s">
        <v>98</v>
      </c>
      <c r="CM1736" t="s">
        <v>98</v>
      </c>
      <c r="CN1736" t="s">
        <v>7528</v>
      </c>
      <c r="CO1736" s="1">
        <v>40312</v>
      </c>
      <c r="CP1736" s="1">
        <v>43633</v>
      </c>
    </row>
    <row r="1737" spans="1:94" x14ac:dyDescent="0.25">
      <c r="A1737" t="s">
        <v>5391</v>
      </c>
      <c r="B1737" t="str">
        <f xml:space="preserve"> "" &amp; 747396074382</f>
        <v>747396074382</v>
      </c>
      <c r="C1737" t="s">
        <v>5389</v>
      </c>
      <c r="D1737" t="s">
        <v>7103</v>
      </c>
      <c r="E1737" t="s">
        <v>7528</v>
      </c>
      <c r="F1737" t="s">
        <v>627</v>
      </c>
      <c r="G1737">
        <v>1</v>
      </c>
      <c r="H1737">
        <v>1</v>
      </c>
      <c r="I1737" t="s">
        <v>97</v>
      </c>
      <c r="J1737" s="10">
        <v>16.5</v>
      </c>
      <c r="K1737" s="10">
        <v>49.5</v>
      </c>
      <c r="L1737" s="10">
        <v>0</v>
      </c>
      <c r="N1737" s="10">
        <v>0</v>
      </c>
      <c r="S1737">
        <v>4.25</v>
      </c>
      <c r="U1737">
        <v>7.75</v>
      </c>
      <c r="W1737">
        <v>1.67</v>
      </c>
      <c r="Y1737">
        <v>11.25</v>
      </c>
      <c r="Z1737">
        <v>28</v>
      </c>
      <c r="AA1737">
        <v>11</v>
      </c>
      <c r="AB1737">
        <v>2.0049999999999999</v>
      </c>
      <c r="AC1737">
        <v>2.02</v>
      </c>
      <c r="AF1737" t="s">
        <v>7528</v>
      </c>
      <c r="AK1737" t="s">
        <v>98</v>
      </c>
      <c r="AM1737" t="s">
        <v>98</v>
      </c>
      <c r="AN1737" t="s">
        <v>98</v>
      </c>
      <c r="AO1737" t="s">
        <v>98</v>
      </c>
      <c r="AP1737" t="s">
        <v>100</v>
      </c>
      <c r="AQ1737" t="s">
        <v>101</v>
      </c>
      <c r="AV1737" t="s">
        <v>98</v>
      </c>
      <c r="AX1737" t="s">
        <v>7528</v>
      </c>
      <c r="AZ1737" t="s">
        <v>7528</v>
      </c>
      <c r="BB1737" t="s">
        <v>7528</v>
      </c>
      <c r="BC1737" t="s">
        <v>7528</v>
      </c>
      <c r="BD1737" t="s">
        <v>7528</v>
      </c>
      <c r="BF1737" t="s">
        <v>5392</v>
      </c>
      <c r="BG1737" t="s">
        <v>98</v>
      </c>
      <c r="BH1737" t="s">
        <v>98</v>
      </c>
      <c r="BI1737" t="s">
        <v>98</v>
      </c>
      <c r="BK1737" t="s">
        <v>7528</v>
      </c>
      <c r="BL1737" t="s">
        <v>7528</v>
      </c>
      <c r="CA1737" t="s">
        <v>5391</v>
      </c>
      <c r="CB1737" t="s">
        <v>7528</v>
      </c>
      <c r="CL1737" t="s">
        <v>98</v>
      </c>
      <c r="CM1737" t="s">
        <v>98</v>
      </c>
      <c r="CN1737" t="s">
        <v>7528</v>
      </c>
      <c r="CO1737" s="1">
        <v>40312</v>
      </c>
      <c r="CP1737" s="1">
        <v>43633</v>
      </c>
    </row>
    <row r="1738" spans="1:94" x14ac:dyDescent="0.25">
      <c r="A1738" t="s">
        <v>5393</v>
      </c>
      <c r="B1738" t="str">
        <f xml:space="preserve"> "" &amp; 747396075129</f>
        <v>747396075129</v>
      </c>
      <c r="C1738" t="s">
        <v>460</v>
      </c>
      <c r="D1738" t="s">
        <v>7104</v>
      </c>
      <c r="E1738" t="s">
        <v>7528</v>
      </c>
      <c r="F1738" t="s">
        <v>627</v>
      </c>
      <c r="G1738">
        <v>1</v>
      </c>
      <c r="H1738">
        <v>1</v>
      </c>
      <c r="I1738" t="s">
        <v>97</v>
      </c>
      <c r="J1738" s="10">
        <v>34.5</v>
      </c>
      <c r="K1738" s="10">
        <v>103.5</v>
      </c>
      <c r="L1738" s="10">
        <v>0</v>
      </c>
      <c r="N1738" s="10">
        <v>0</v>
      </c>
      <c r="S1738">
        <v>4.25</v>
      </c>
      <c r="T1738">
        <v>15</v>
      </c>
      <c r="U1738">
        <v>12.25</v>
      </c>
      <c r="W1738">
        <v>2.4900000000000002</v>
      </c>
      <c r="Y1738">
        <v>7</v>
      </c>
      <c r="Z1738">
        <v>15</v>
      </c>
      <c r="AA1738">
        <v>15</v>
      </c>
      <c r="AB1738">
        <v>0.91100000000000003</v>
      </c>
      <c r="AC1738">
        <v>4</v>
      </c>
      <c r="AF1738" t="s">
        <v>7528</v>
      </c>
      <c r="AK1738" t="s">
        <v>98</v>
      </c>
      <c r="AM1738" t="s">
        <v>98</v>
      </c>
      <c r="AN1738" t="s">
        <v>98</v>
      </c>
      <c r="AO1738" t="s">
        <v>98</v>
      </c>
      <c r="AP1738" t="s">
        <v>100</v>
      </c>
      <c r="AQ1738" t="s">
        <v>101</v>
      </c>
      <c r="AV1738" t="s">
        <v>98</v>
      </c>
      <c r="AX1738" t="s">
        <v>7528</v>
      </c>
      <c r="AZ1738" t="s">
        <v>7528</v>
      </c>
      <c r="BB1738" t="s">
        <v>7528</v>
      </c>
      <c r="BC1738" t="s">
        <v>7528</v>
      </c>
      <c r="BD1738" t="s">
        <v>7528</v>
      </c>
      <c r="BF1738" t="s">
        <v>5394</v>
      </c>
      <c r="BG1738" t="s">
        <v>98</v>
      </c>
      <c r="BH1738" t="s">
        <v>98</v>
      </c>
      <c r="BI1738" t="s">
        <v>98</v>
      </c>
      <c r="BK1738" t="s">
        <v>7528</v>
      </c>
      <c r="BL1738" t="s">
        <v>7528</v>
      </c>
      <c r="CA1738" t="s">
        <v>5393</v>
      </c>
      <c r="CB1738" t="s">
        <v>7528</v>
      </c>
      <c r="CL1738" t="s">
        <v>98</v>
      </c>
      <c r="CM1738" t="s">
        <v>98</v>
      </c>
      <c r="CN1738" t="s">
        <v>7528</v>
      </c>
      <c r="CO1738" s="1">
        <v>40312</v>
      </c>
      <c r="CP1738" s="1">
        <v>43595</v>
      </c>
    </row>
    <row r="1739" spans="1:94" x14ac:dyDescent="0.25">
      <c r="A1739" t="s">
        <v>5395</v>
      </c>
      <c r="B1739" t="str">
        <f xml:space="preserve"> "" &amp; 747396074054</f>
        <v>747396074054</v>
      </c>
      <c r="C1739" t="s">
        <v>7105</v>
      </c>
      <c r="D1739" t="s">
        <v>7105</v>
      </c>
      <c r="E1739" t="s">
        <v>7528</v>
      </c>
      <c r="F1739" t="s">
        <v>627</v>
      </c>
      <c r="G1739">
        <v>1</v>
      </c>
      <c r="H1739">
        <v>1</v>
      </c>
      <c r="I1739" t="s">
        <v>97</v>
      </c>
      <c r="J1739" s="10">
        <v>26.5</v>
      </c>
      <c r="K1739" s="10">
        <v>79.5</v>
      </c>
      <c r="L1739" s="10">
        <v>0</v>
      </c>
      <c r="N1739" s="10">
        <v>0</v>
      </c>
      <c r="S1739">
        <v>12.17</v>
      </c>
      <c r="T1739">
        <v>3.5</v>
      </c>
      <c r="U1739">
        <v>3.5</v>
      </c>
      <c r="W1739">
        <v>0.81</v>
      </c>
      <c r="Y1739">
        <v>12.5</v>
      </c>
      <c r="Z1739">
        <v>3.5</v>
      </c>
      <c r="AA1739">
        <v>3.5</v>
      </c>
      <c r="AB1739">
        <v>8.8999999999999996E-2</v>
      </c>
      <c r="AC1739">
        <v>1.1299999999999999</v>
      </c>
      <c r="AF1739" t="s">
        <v>7528</v>
      </c>
      <c r="AK1739" t="s">
        <v>98</v>
      </c>
      <c r="AM1739" t="s">
        <v>98</v>
      </c>
      <c r="AN1739" t="s">
        <v>98</v>
      </c>
      <c r="AO1739" t="s">
        <v>98</v>
      </c>
      <c r="AP1739" t="s">
        <v>100</v>
      </c>
      <c r="AQ1739" t="s">
        <v>101</v>
      </c>
      <c r="AV1739" t="s">
        <v>98</v>
      </c>
      <c r="AX1739" t="s">
        <v>7528</v>
      </c>
      <c r="AZ1739" t="s">
        <v>7528</v>
      </c>
      <c r="BB1739" t="s">
        <v>7528</v>
      </c>
      <c r="BC1739" t="s">
        <v>7528</v>
      </c>
      <c r="BD1739" t="s">
        <v>7528</v>
      </c>
      <c r="BF1739" t="s">
        <v>5396</v>
      </c>
      <c r="BG1739" t="s">
        <v>98</v>
      </c>
      <c r="BH1739" t="s">
        <v>98</v>
      </c>
      <c r="BI1739" t="s">
        <v>98</v>
      </c>
      <c r="BK1739" t="s">
        <v>7528</v>
      </c>
      <c r="BL1739" t="s">
        <v>7528</v>
      </c>
      <c r="CA1739" t="s">
        <v>5395</v>
      </c>
      <c r="CB1739" t="s">
        <v>7528</v>
      </c>
      <c r="CL1739" t="s">
        <v>98</v>
      </c>
      <c r="CM1739" t="s">
        <v>98</v>
      </c>
      <c r="CN1739" t="s">
        <v>7528</v>
      </c>
      <c r="CO1739" s="1">
        <v>40317</v>
      </c>
      <c r="CP1739" s="1">
        <v>43633</v>
      </c>
    </row>
    <row r="1740" spans="1:94" x14ac:dyDescent="0.25">
      <c r="A1740" t="s">
        <v>5397</v>
      </c>
      <c r="B1740" t="str">
        <f xml:space="preserve"> "" &amp; 747396074139</f>
        <v>747396074139</v>
      </c>
      <c r="C1740" t="s">
        <v>2024</v>
      </c>
      <c r="D1740" t="s">
        <v>7106</v>
      </c>
      <c r="E1740" t="s">
        <v>7528</v>
      </c>
      <c r="F1740" t="s">
        <v>627</v>
      </c>
      <c r="G1740">
        <v>1</v>
      </c>
      <c r="H1740">
        <v>1</v>
      </c>
      <c r="I1740" t="s">
        <v>97</v>
      </c>
      <c r="J1740" s="10">
        <v>17.5</v>
      </c>
      <c r="K1740" s="10">
        <v>52.5</v>
      </c>
      <c r="L1740" s="10">
        <v>0</v>
      </c>
      <c r="N1740" s="10">
        <v>0</v>
      </c>
      <c r="T1740">
        <v>11.17</v>
      </c>
      <c r="U1740">
        <v>6.88</v>
      </c>
      <c r="V1740">
        <v>1.38</v>
      </c>
      <c r="W1740">
        <v>1.41</v>
      </c>
      <c r="Y1740">
        <v>14</v>
      </c>
      <c r="Z1740">
        <v>10</v>
      </c>
      <c r="AA1740">
        <v>7.5</v>
      </c>
      <c r="AB1740">
        <v>0.60799999999999998</v>
      </c>
      <c r="AC1740">
        <v>1.68</v>
      </c>
      <c r="AF1740" t="s">
        <v>7528</v>
      </c>
      <c r="AK1740" t="s">
        <v>98</v>
      </c>
      <c r="AM1740" t="s">
        <v>98</v>
      </c>
      <c r="AN1740" t="s">
        <v>98</v>
      </c>
      <c r="AO1740" t="s">
        <v>98</v>
      </c>
      <c r="AP1740" t="s">
        <v>100</v>
      </c>
      <c r="AQ1740" t="s">
        <v>101</v>
      </c>
      <c r="AV1740" t="s">
        <v>98</v>
      </c>
      <c r="AX1740" t="s">
        <v>7528</v>
      </c>
      <c r="AZ1740" t="s">
        <v>7528</v>
      </c>
      <c r="BB1740" t="s">
        <v>7528</v>
      </c>
      <c r="BC1740" t="s">
        <v>7528</v>
      </c>
      <c r="BD1740" t="s">
        <v>7528</v>
      </c>
      <c r="BF1740" t="s">
        <v>5398</v>
      </c>
      <c r="BG1740" t="s">
        <v>98</v>
      </c>
      <c r="BH1740" t="s">
        <v>98</v>
      </c>
      <c r="BI1740" t="s">
        <v>98</v>
      </c>
      <c r="BK1740" t="s">
        <v>7528</v>
      </c>
      <c r="BL1740" t="s">
        <v>7528</v>
      </c>
      <c r="CA1740" t="s">
        <v>5397</v>
      </c>
      <c r="CB1740" t="s">
        <v>7528</v>
      </c>
      <c r="CL1740" t="s">
        <v>98</v>
      </c>
      <c r="CM1740" t="s">
        <v>98</v>
      </c>
      <c r="CN1740" t="s">
        <v>7528</v>
      </c>
      <c r="CO1740" s="1">
        <v>40317</v>
      </c>
      <c r="CP1740" s="1">
        <v>43633</v>
      </c>
    </row>
    <row r="1741" spans="1:94" x14ac:dyDescent="0.25">
      <c r="A1741" t="s">
        <v>5399</v>
      </c>
      <c r="B1741" t="str">
        <f xml:space="preserve"> "" &amp; 747396074146</f>
        <v>747396074146</v>
      </c>
      <c r="C1741" t="s">
        <v>5400</v>
      </c>
      <c r="D1741" t="s">
        <v>7107</v>
      </c>
      <c r="E1741" t="s">
        <v>7528</v>
      </c>
      <c r="F1741" t="s">
        <v>627</v>
      </c>
      <c r="G1741">
        <v>1</v>
      </c>
      <c r="H1741">
        <v>1</v>
      </c>
      <c r="I1741" t="s">
        <v>97</v>
      </c>
      <c r="J1741" s="10">
        <v>64.5</v>
      </c>
      <c r="K1741" s="10">
        <v>193.5</v>
      </c>
      <c r="L1741" s="10">
        <v>0</v>
      </c>
      <c r="N1741" s="10">
        <v>0</v>
      </c>
      <c r="S1741">
        <v>4.5</v>
      </c>
      <c r="T1741">
        <v>15.5</v>
      </c>
      <c r="U1741">
        <v>15</v>
      </c>
      <c r="W1741">
        <v>12.63</v>
      </c>
      <c r="Y1741">
        <v>5</v>
      </c>
      <c r="Z1741">
        <v>15.5</v>
      </c>
      <c r="AA1741">
        <v>15.5</v>
      </c>
      <c r="AB1741">
        <v>0.69499999999999995</v>
      </c>
      <c r="AC1741">
        <v>14.63</v>
      </c>
      <c r="AF1741" t="s">
        <v>7528</v>
      </c>
      <c r="AK1741" t="s">
        <v>98</v>
      </c>
      <c r="AM1741" t="s">
        <v>98</v>
      </c>
      <c r="AN1741" t="s">
        <v>98</v>
      </c>
      <c r="AO1741" t="s">
        <v>98</v>
      </c>
      <c r="AP1741" t="s">
        <v>100</v>
      </c>
      <c r="AQ1741" t="s">
        <v>101</v>
      </c>
      <c r="AV1741" t="s">
        <v>98</v>
      </c>
      <c r="AX1741" t="s">
        <v>7528</v>
      </c>
      <c r="AZ1741" t="s">
        <v>7528</v>
      </c>
      <c r="BB1741" t="s">
        <v>7528</v>
      </c>
      <c r="BC1741" t="s">
        <v>7528</v>
      </c>
      <c r="BD1741" t="s">
        <v>7528</v>
      </c>
      <c r="BF1741" t="s">
        <v>5401</v>
      </c>
      <c r="BG1741" t="s">
        <v>98</v>
      </c>
      <c r="BH1741" t="s">
        <v>98</v>
      </c>
      <c r="BI1741" t="s">
        <v>98</v>
      </c>
      <c r="BK1741" t="s">
        <v>7528</v>
      </c>
      <c r="BL1741" t="s">
        <v>7528</v>
      </c>
      <c r="CA1741" t="s">
        <v>5399</v>
      </c>
      <c r="CB1741" t="s">
        <v>7528</v>
      </c>
      <c r="CL1741" t="s">
        <v>98</v>
      </c>
      <c r="CM1741" t="s">
        <v>98</v>
      </c>
      <c r="CN1741" t="s">
        <v>7528</v>
      </c>
      <c r="CO1741" s="1">
        <v>40353</v>
      </c>
      <c r="CP1741" s="1">
        <v>43633</v>
      </c>
    </row>
    <row r="1742" spans="1:94" x14ac:dyDescent="0.25">
      <c r="A1742" t="s">
        <v>5402</v>
      </c>
      <c r="B1742" t="str">
        <f xml:space="preserve"> "" &amp; 747396074092</f>
        <v>747396074092</v>
      </c>
      <c r="C1742" t="s">
        <v>460</v>
      </c>
      <c r="D1742" t="s">
        <v>5403</v>
      </c>
      <c r="E1742" t="s">
        <v>7528</v>
      </c>
      <c r="F1742" t="s">
        <v>627</v>
      </c>
      <c r="G1742">
        <v>1</v>
      </c>
      <c r="H1742">
        <v>1</v>
      </c>
      <c r="I1742" t="s">
        <v>97</v>
      </c>
      <c r="J1742" s="10">
        <v>9.5</v>
      </c>
      <c r="K1742" s="10">
        <v>28.5</v>
      </c>
      <c r="L1742" s="10">
        <v>0</v>
      </c>
      <c r="N1742" s="10">
        <v>0</v>
      </c>
      <c r="S1742">
        <v>7.88</v>
      </c>
      <c r="T1742">
        <v>3.15</v>
      </c>
      <c r="U1742">
        <v>2.38</v>
      </c>
      <c r="V1742">
        <v>0.17</v>
      </c>
      <c r="W1742">
        <v>0.44</v>
      </c>
      <c r="Y1742">
        <v>8.66</v>
      </c>
      <c r="Z1742">
        <v>3.15</v>
      </c>
      <c r="AA1742">
        <v>3.15</v>
      </c>
      <c r="AB1742">
        <v>0.05</v>
      </c>
      <c r="AC1742">
        <v>0.81</v>
      </c>
      <c r="AF1742" t="s">
        <v>7528</v>
      </c>
      <c r="AK1742" t="s">
        <v>98</v>
      </c>
      <c r="AM1742" t="s">
        <v>98</v>
      </c>
      <c r="AN1742" t="s">
        <v>98</v>
      </c>
      <c r="AO1742" t="s">
        <v>98</v>
      </c>
      <c r="AP1742" t="s">
        <v>100</v>
      </c>
      <c r="AQ1742" t="s">
        <v>101</v>
      </c>
      <c r="AV1742" t="s">
        <v>98</v>
      </c>
      <c r="AX1742" t="s">
        <v>7528</v>
      </c>
      <c r="AZ1742" t="s">
        <v>7528</v>
      </c>
      <c r="BB1742" t="s">
        <v>7528</v>
      </c>
      <c r="BC1742" t="s">
        <v>7528</v>
      </c>
      <c r="BD1742" t="s">
        <v>7528</v>
      </c>
      <c r="BF1742" t="s">
        <v>5404</v>
      </c>
      <c r="BG1742" t="s">
        <v>98</v>
      </c>
      <c r="BH1742" t="s">
        <v>98</v>
      </c>
      <c r="BI1742" t="s">
        <v>98</v>
      </c>
      <c r="BK1742" t="s">
        <v>7528</v>
      </c>
      <c r="BL1742" t="s">
        <v>7528</v>
      </c>
      <c r="CA1742" t="s">
        <v>5402</v>
      </c>
      <c r="CB1742" t="s">
        <v>7528</v>
      </c>
      <c r="CL1742" t="s">
        <v>98</v>
      </c>
      <c r="CM1742" t="s">
        <v>98</v>
      </c>
      <c r="CN1742" t="s">
        <v>7528</v>
      </c>
      <c r="CO1742" s="1">
        <v>40317</v>
      </c>
      <c r="CP1742" s="1">
        <v>40317</v>
      </c>
    </row>
    <row r="1743" spans="1:94" x14ac:dyDescent="0.25">
      <c r="A1743" t="s">
        <v>5405</v>
      </c>
      <c r="B1743" t="str">
        <f xml:space="preserve"> "" &amp; 747396074795</f>
        <v>747396074795</v>
      </c>
      <c r="C1743" t="s">
        <v>5406</v>
      </c>
      <c r="D1743" t="s">
        <v>7108</v>
      </c>
      <c r="E1743" t="s">
        <v>7528</v>
      </c>
      <c r="F1743" t="s">
        <v>627</v>
      </c>
      <c r="G1743">
        <v>1</v>
      </c>
      <c r="H1743">
        <v>1</v>
      </c>
      <c r="I1743" t="s">
        <v>97</v>
      </c>
      <c r="J1743" s="10">
        <v>47.5</v>
      </c>
      <c r="K1743" s="10">
        <v>142.5</v>
      </c>
      <c r="L1743" s="10">
        <v>0</v>
      </c>
      <c r="N1743" s="10">
        <v>0</v>
      </c>
      <c r="S1743">
        <v>4.63</v>
      </c>
      <c r="U1743">
        <v>15.75</v>
      </c>
      <c r="W1743">
        <v>3.74</v>
      </c>
      <c r="Y1743">
        <v>16.7</v>
      </c>
      <c r="Z1743">
        <v>11.5</v>
      </c>
      <c r="AA1743">
        <v>11.5</v>
      </c>
      <c r="AB1743">
        <v>1.278</v>
      </c>
      <c r="AC1743">
        <v>9.9</v>
      </c>
      <c r="AF1743" t="s">
        <v>7528</v>
      </c>
      <c r="AK1743" t="s">
        <v>98</v>
      </c>
      <c r="AM1743" t="s">
        <v>98</v>
      </c>
      <c r="AN1743" t="s">
        <v>98</v>
      </c>
      <c r="AO1743" t="s">
        <v>98</v>
      </c>
      <c r="AP1743" t="s">
        <v>100</v>
      </c>
      <c r="AQ1743" t="s">
        <v>101</v>
      </c>
      <c r="AV1743" t="s">
        <v>98</v>
      </c>
      <c r="AX1743" t="s">
        <v>7528</v>
      </c>
      <c r="AZ1743" t="s">
        <v>7528</v>
      </c>
      <c r="BB1743" t="s">
        <v>7528</v>
      </c>
      <c r="BC1743" t="s">
        <v>7528</v>
      </c>
      <c r="BD1743" t="s">
        <v>7528</v>
      </c>
      <c r="BF1743" t="s">
        <v>5407</v>
      </c>
      <c r="BG1743" t="s">
        <v>98</v>
      </c>
      <c r="BH1743" t="s">
        <v>98</v>
      </c>
      <c r="BI1743" t="s">
        <v>98</v>
      </c>
      <c r="BK1743" t="s">
        <v>7528</v>
      </c>
      <c r="BL1743" t="s">
        <v>7528</v>
      </c>
      <c r="CA1743" t="s">
        <v>5405</v>
      </c>
      <c r="CB1743" t="s">
        <v>7528</v>
      </c>
      <c r="CL1743" t="s">
        <v>98</v>
      </c>
      <c r="CM1743" t="s">
        <v>98</v>
      </c>
      <c r="CN1743" t="s">
        <v>7528</v>
      </c>
      <c r="CO1743" s="1">
        <v>40317</v>
      </c>
      <c r="CP1743" s="1">
        <v>43633</v>
      </c>
    </row>
    <row r="1744" spans="1:94" x14ac:dyDescent="0.25">
      <c r="A1744" t="s">
        <v>5409</v>
      </c>
      <c r="B1744" t="str">
        <f xml:space="preserve"> "" &amp; 747396074726</f>
        <v>747396074726</v>
      </c>
      <c r="C1744" t="s">
        <v>5408</v>
      </c>
      <c r="D1744" t="s">
        <v>7109</v>
      </c>
      <c r="E1744" t="s">
        <v>7528</v>
      </c>
      <c r="F1744" t="s">
        <v>627</v>
      </c>
      <c r="G1744">
        <v>1</v>
      </c>
      <c r="H1744">
        <v>1</v>
      </c>
      <c r="I1744" t="s">
        <v>97</v>
      </c>
      <c r="J1744" s="10">
        <v>42.5</v>
      </c>
      <c r="K1744" s="10">
        <v>127.5</v>
      </c>
      <c r="L1744" s="10">
        <v>0</v>
      </c>
      <c r="N1744" s="10">
        <v>0</v>
      </c>
      <c r="S1744">
        <v>4.13</v>
      </c>
      <c r="U1744">
        <v>15</v>
      </c>
      <c r="W1744">
        <v>2.86</v>
      </c>
      <c r="Y1744">
        <v>17.5</v>
      </c>
      <c r="Z1744">
        <v>10</v>
      </c>
      <c r="AA1744">
        <v>10</v>
      </c>
      <c r="AB1744">
        <v>1.0129999999999999</v>
      </c>
      <c r="AC1744">
        <v>10.119999999999999</v>
      </c>
      <c r="AF1744" t="s">
        <v>7528</v>
      </c>
      <c r="AK1744" t="s">
        <v>98</v>
      </c>
      <c r="AM1744" t="s">
        <v>98</v>
      </c>
      <c r="AN1744" t="s">
        <v>98</v>
      </c>
      <c r="AO1744" t="s">
        <v>98</v>
      </c>
      <c r="AP1744" t="s">
        <v>100</v>
      </c>
      <c r="AQ1744" t="s">
        <v>101</v>
      </c>
      <c r="AV1744" t="s">
        <v>98</v>
      </c>
      <c r="AX1744" t="s">
        <v>7528</v>
      </c>
      <c r="AZ1744" t="s">
        <v>7528</v>
      </c>
      <c r="BB1744" t="s">
        <v>7528</v>
      </c>
      <c r="BC1744" t="s">
        <v>7528</v>
      </c>
      <c r="BD1744" t="s">
        <v>7528</v>
      </c>
      <c r="BF1744" t="s">
        <v>5410</v>
      </c>
      <c r="BG1744" t="s">
        <v>98</v>
      </c>
      <c r="BH1744" t="s">
        <v>98</v>
      </c>
      <c r="BI1744" t="s">
        <v>98</v>
      </c>
      <c r="BK1744" t="s">
        <v>7528</v>
      </c>
      <c r="BL1744" t="s">
        <v>7528</v>
      </c>
      <c r="CA1744" t="s">
        <v>5409</v>
      </c>
      <c r="CB1744" t="s">
        <v>7528</v>
      </c>
      <c r="CL1744" t="s">
        <v>98</v>
      </c>
      <c r="CM1744" t="s">
        <v>98</v>
      </c>
      <c r="CN1744" t="s">
        <v>7528</v>
      </c>
      <c r="CO1744" s="1">
        <v>40353</v>
      </c>
      <c r="CP1744" s="1">
        <v>43633</v>
      </c>
    </row>
    <row r="1745" spans="1:94" x14ac:dyDescent="0.25">
      <c r="A1745" t="s">
        <v>5411</v>
      </c>
      <c r="B1745" t="str">
        <f xml:space="preserve"> "" &amp; 747396074757</f>
        <v>747396074757</v>
      </c>
      <c r="C1745" t="s">
        <v>5408</v>
      </c>
      <c r="D1745" t="s">
        <v>7110</v>
      </c>
      <c r="E1745" t="s">
        <v>7528</v>
      </c>
      <c r="F1745" t="s">
        <v>627</v>
      </c>
      <c r="G1745">
        <v>1</v>
      </c>
      <c r="H1745">
        <v>1</v>
      </c>
      <c r="I1745" t="s">
        <v>97</v>
      </c>
      <c r="J1745" s="10">
        <v>32.5</v>
      </c>
      <c r="K1745" s="10">
        <v>97.5</v>
      </c>
      <c r="L1745" s="10">
        <v>0</v>
      </c>
      <c r="N1745" s="10">
        <v>0</v>
      </c>
      <c r="S1745">
        <v>3.5</v>
      </c>
      <c r="U1745">
        <v>12</v>
      </c>
      <c r="W1745">
        <v>1</v>
      </c>
      <c r="AB1745">
        <v>0.249</v>
      </c>
      <c r="AC1745">
        <v>1.72</v>
      </c>
      <c r="AF1745" t="s">
        <v>7528</v>
      </c>
      <c r="AK1745" t="s">
        <v>98</v>
      </c>
      <c r="AM1745" t="s">
        <v>98</v>
      </c>
      <c r="AN1745" t="s">
        <v>98</v>
      </c>
      <c r="AO1745" t="s">
        <v>98</v>
      </c>
      <c r="AP1745" t="s">
        <v>100</v>
      </c>
      <c r="AQ1745" t="s">
        <v>101</v>
      </c>
      <c r="AV1745" t="s">
        <v>98</v>
      </c>
      <c r="AX1745" t="s">
        <v>7528</v>
      </c>
      <c r="AZ1745" t="s">
        <v>7528</v>
      </c>
      <c r="BB1745" t="s">
        <v>7528</v>
      </c>
      <c r="BC1745" t="s">
        <v>7528</v>
      </c>
      <c r="BD1745" t="s">
        <v>7528</v>
      </c>
      <c r="BF1745" t="s">
        <v>5412</v>
      </c>
      <c r="BG1745" t="s">
        <v>98</v>
      </c>
      <c r="BH1745" t="s">
        <v>98</v>
      </c>
      <c r="BI1745" t="s">
        <v>98</v>
      </c>
      <c r="BK1745" t="s">
        <v>7528</v>
      </c>
      <c r="BL1745" t="s">
        <v>7528</v>
      </c>
      <c r="CA1745" t="s">
        <v>5411</v>
      </c>
      <c r="CB1745" t="s">
        <v>7528</v>
      </c>
      <c r="CL1745" t="s">
        <v>98</v>
      </c>
      <c r="CM1745" t="s">
        <v>98</v>
      </c>
      <c r="CN1745" t="s">
        <v>7528</v>
      </c>
      <c r="CO1745" s="1">
        <v>40353</v>
      </c>
      <c r="CP1745" s="1">
        <v>43633</v>
      </c>
    </row>
    <row r="1746" spans="1:94" x14ac:dyDescent="0.25">
      <c r="A1746" t="s">
        <v>5413</v>
      </c>
      <c r="B1746" t="str">
        <f xml:space="preserve"> "" &amp; 747396074733</f>
        <v>747396074733</v>
      </c>
      <c r="C1746" t="s">
        <v>5408</v>
      </c>
      <c r="D1746" t="s">
        <v>7111</v>
      </c>
      <c r="E1746" t="s">
        <v>7528</v>
      </c>
      <c r="F1746" t="s">
        <v>627</v>
      </c>
      <c r="G1746">
        <v>1</v>
      </c>
      <c r="H1746">
        <v>1</v>
      </c>
      <c r="I1746" t="s">
        <v>97</v>
      </c>
      <c r="J1746" s="10">
        <v>77.5</v>
      </c>
      <c r="K1746" s="10">
        <v>232.5</v>
      </c>
      <c r="L1746" s="10">
        <v>0</v>
      </c>
      <c r="N1746" s="10">
        <v>0</v>
      </c>
      <c r="S1746">
        <v>5.38</v>
      </c>
      <c r="U1746">
        <v>20.38</v>
      </c>
      <c r="W1746">
        <v>5.5</v>
      </c>
      <c r="Y1746">
        <v>19</v>
      </c>
      <c r="Z1746">
        <v>14</v>
      </c>
      <c r="AA1746">
        <v>14</v>
      </c>
      <c r="AB1746">
        <v>2.1549999999999998</v>
      </c>
      <c r="AC1746">
        <v>17.16</v>
      </c>
      <c r="AF1746" t="s">
        <v>7528</v>
      </c>
      <c r="AK1746" t="s">
        <v>98</v>
      </c>
      <c r="AM1746" t="s">
        <v>98</v>
      </c>
      <c r="AN1746" t="s">
        <v>98</v>
      </c>
      <c r="AO1746" t="s">
        <v>98</v>
      </c>
      <c r="AP1746" t="s">
        <v>100</v>
      </c>
      <c r="AQ1746" t="s">
        <v>101</v>
      </c>
      <c r="AV1746" t="s">
        <v>98</v>
      </c>
      <c r="AX1746" t="s">
        <v>7528</v>
      </c>
      <c r="AZ1746" t="s">
        <v>7528</v>
      </c>
      <c r="BB1746" t="s">
        <v>7528</v>
      </c>
      <c r="BC1746" t="s">
        <v>7528</v>
      </c>
      <c r="BD1746" t="s">
        <v>7528</v>
      </c>
      <c r="BF1746" t="s">
        <v>5414</v>
      </c>
      <c r="BG1746" t="s">
        <v>98</v>
      </c>
      <c r="BH1746" t="s">
        <v>98</v>
      </c>
      <c r="BI1746" t="s">
        <v>98</v>
      </c>
      <c r="BK1746" t="s">
        <v>7528</v>
      </c>
      <c r="BL1746" t="s">
        <v>7528</v>
      </c>
      <c r="CA1746" t="s">
        <v>5413</v>
      </c>
      <c r="CB1746" t="s">
        <v>7528</v>
      </c>
      <c r="CL1746" t="s">
        <v>98</v>
      </c>
      <c r="CM1746" t="s">
        <v>98</v>
      </c>
      <c r="CN1746" t="s">
        <v>7528</v>
      </c>
      <c r="CO1746" s="1">
        <v>40353</v>
      </c>
      <c r="CP1746" s="1">
        <v>43633</v>
      </c>
    </row>
    <row r="1747" spans="1:94" x14ac:dyDescent="0.25">
      <c r="A1747" t="s">
        <v>5415</v>
      </c>
      <c r="B1747" t="str">
        <f xml:space="preserve"> "" &amp; 747396074863</f>
        <v>747396074863</v>
      </c>
      <c r="C1747" t="s">
        <v>5416</v>
      </c>
      <c r="D1747" t="s">
        <v>7112</v>
      </c>
      <c r="E1747" t="s">
        <v>7528</v>
      </c>
      <c r="F1747" t="s">
        <v>627</v>
      </c>
      <c r="G1747">
        <v>1</v>
      </c>
      <c r="H1747">
        <v>1</v>
      </c>
      <c r="I1747" t="s">
        <v>97</v>
      </c>
      <c r="J1747" s="10">
        <v>9.5</v>
      </c>
      <c r="K1747" s="10">
        <v>28.5</v>
      </c>
      <c r="L1747" s="10">
        <v>0</v>
      </c>
      <c r="N1747" s="10">
        <v>0</v>
      </c>
      <c r="S1747">
        <v>5.5</v>
      </c>
      <c r="U1747">
        <v>4.25</v>
      </c>
      <c r="W1747">
        <v>0.46</v>
      </c>
      <c r="Y1747">
        <v>14.5</v>
      </c>
      <c r="Z1747">
        <v>16</v>
      </c>
      <c r="AA1747">
        <v>11.5</v>
      </c>
      <c r="AB1747">
        <v>1.544</v>
      </c>
      <c r="AC1747">
        <v>0.83</v>
      </c>
      <c r="AF1747" t="s">
        <v>7528</v>
      </c>
      <c r="AK1747" t="s">
        <v>98</v>
      </c>
      <c r="AM1747" t="s">
        <v>98</v>
      </c>
      <c r="AN1747" t="s">
        <v>98</v>
      </c>
      <c r="AO1747" t="s">
        <v>98</v>
      </c>
      <c r="AP1747" t="s">
        <v>100</v>
      </c>
      <c r="AQ1747" t="s">
        <v>101</v>
      </c>
      <c r="AV1747" t="s">
        <v>98</v>
      </c>
      <c r="AX1747" t="s">
        <v>7528</v>
      </c>
      <c r="AZ1747" t="s">
        <v>7528</v>
      </c>
      <c r="BB1747" t="s">
        <v>7528</v>
      </c>
      <c r="BC1747" t="s">
        <v>7528</v>
      </c>
      <c r="BD1747" t="s">
        <v>7528</v>
      </c>
      <c r="BF1747" t="s">
        <v>5417</v>
      </c>
      <c r="BG1747" t="s">
        <v>98</v>
      </c>
      <c r="BH1747" t="s">
        <v>98</v>
      </c>
      <c r="BI1747" t="s">
        <v>98</v>
      </c>
      <c r="BK1747" t="s">
        <v>7528</v>
      </c>
      <c r="BL1747" t="s">
        <v>7528</v>
      </c>
      <c r="CA1747" t="s">
        <v>5415</v>
      </c>
      <c r="CB1747" t="s">
        <v>7528</v>
      </c>
      <c r="CL1747" t="s">
        <v>98</v>
      </c>
      <c r="CM1747" t="s">
        <v>98</v>
      </c>
      <c r="CN1747" t="s">
        <v>7528</v>
      </c>
      <c r="CO1747" s="1">
        <v>40353</v>
      </c>
      <c r="CP1747" s="1">
        <v>43633</v>
      </c>
    </row>
    <row r="1748" spans="1:94" x14ac:dyDescent="0.25">
      <c r="A1748" t="s">
        <v>5418</v>
      </c>
      <c r="B1748" t="str">
        <f xml:space="preserve"> "" &amp; 747396074573</f>
        <v>747396074573</v>
      </c>
      <c r="C1748" t="s">
        <v>808</v>
      </c>
      <c r="D1748" t="s">
        <v>7113</v>
      </c>
      <c r="E1748" t="s">
        <v>7528</v>
      </c>
      <c r="F1748" t="s">
        <v>627</v>
      </c>
      <c r="G1748">
        <v>1</v>
      </c>
      <c r="H1748">
        <v>1</v>
      </c>
      <c r="I1748" t="s">
        <v>97</v>
      </c>
      <c r="J1748" s="10">
        <v>55</v>
      </c>
      <c r="K1748" s="10">
        <v>165</v>
      </c>
      <c r="L1748" s="10">
        <v>0</v>
      </c>
      <c r="N1748" s="10">
        <v>0</v>
      </c>
      <c r="S1748">
        <v>5.5</v>
      </c>
      <c r="U1748">
        <v>20</v>
      </c>
      <c r="W1748">
        <v>6.56</v>
      </c>
      <c r="Y1748">
        <v>7</v>
      </c>
      <c r="Z1748">
        <v>21.5</v>
      </c>
      <c r="AA1748">
        <v>21.5</v>
      </c>
      <c r="AB1748">
        <v>1.873</v>
      </c>
      <c r="AC1748">
        <v>9.5299999999999994</v>
      </c>
      <c r="AF1748" t="s">
        <v>7528</v>
      </c>
      <c r="AK1748" t="s">
        <v>98</v>
      </c>
      <c r="AM1748" t="s">
        <v>98</v>
      </c>
      <c r="AN1748" t="s">
        <v>98</v>
      </c>
      <c r="AO1748" t="s">
        <v>98</v>
      </c>
      <c r="AP1748" t="s">
        <v>100</v>
      </c>
      <c r="AQ1748" t="s">
        <v>101</v>
      </c>
      <c r="AV1748" t="s">
        <v>98</v>
      </c>
      <c r="AX1748" t="s">
        <v>7528</v>
      </c>
      <c r="AZ1748" t="s">
        <v>7528</v>
      </c>
      <c r="BB1748" t="s">
        <v>7528</v>
      </c>
      <c r="BC1748" t="s">
        <v>7528</v>
      </c>
      <c r="BD1748" t="s">
        <v>7528</v>
      </c>
      <c r="BF1748" t="s">
        <v>5419</v>
      </c>
      <c r="BG1748" t="s">
        <v>98</v>
      </c>
      <c r="BH1748" t="s">
        <v>98</v>
      </c>
      <c r="BI1748" t="s">
        <v>98</v>
      </c>
      <c r="BK1748" t="s">
        <v>7528</v>
      </c>
      <c r="BL1748" t="s">
        <v>7528</v>
      </c>
      <c r="CA1748" t="s">
        <v>5418</v>
      </c>
      <c r="CB1748" t="s">
        <v>7528</v>
      </c>
      <c r="CL1748" t="s">
        <v>98</v>
      </c>
      <c r="CM1748" t="s">
        <v>98</v>
      </c>
      <c r="CN1748" t="s">
        <v>7528</v>
      </c>
      <c r="CO1748" s="1">
        <v>40353</v>
      </c>
      <c r="CP1748" s="1">
        <v>43633</v>
      </c>
    </row>
    <row r="1749" spans="1:94" x14ac:dyDescent="0.25">
      <c r="A1749" t="s">
        <v>5420</v>
      </c>
      <c r="B1749" t="str">
        <f xml:space="preserve"> "" &amp; 747396067261</f>
        <v>747396067261</v>
      </c>
      <c r="C1749" t="s">
        <v>235</v>
      </c>
      <c r="D1749" t="s">
        <v>7114</v>
      </c>
      <c r="E1749" t="s">
        <v>7528</v>
      </c>
      <c r="F1749" t="s">
        <v>627</v>
      </c>
      <c r="G1749">
        <v>1</v>
      </c>
      <c r="H1749">
        <v>1</v>
      </c>
      <c r="I1749" t="s">
        <v>97</v>
      </c>
      <c r="J1749" s="10">
        <v>18</v>
      </c>
      <c r="K1749" s="10">
        <v>54</v>
      </c>
      <c r="L1749" s="10">
        <v>0</v>
      </c>
      <c r="N1749" s="10">
        <v>0</v>
      </c>
      <c r="S1749">
        <v>6.88</v>
      </c>
      <c r="U1749">
        <v>7.75</v>
      </c>
      <c r="W1749">
        <v>1.32</v>
      </c>
      <c r="Y1749">
        <v>12.75</v>
      </c>
      <c r="Z1749">
        <v>10.75</v>
      </c>
      <c r="AA1749">
        <v>10</v>
      </c>
      <c r="AB1749">
        <v>0.79300000000000004</v>
      </c>
      <c r="AC1749">
        <v>3.08</v>
      </c>
      <c r="AF1749" t="s">
        <v>7528</v>
      </c>
      <c r="AK1749" t="s">
        <v>98</v>
      </c>
      <c r="AM1749" t="s">
        <v>98</v>
      </c>
      <c r="AN1749" t="s">
        <v>98</v>
      </c>
      <c r="AO1749" t="s">
        <v>98</v>
      </c>
      <c r="AP1749" t="s">
        <v>100</v>
      </c>
      <c r="AQ1749" t="s">
        <v>101</v>
      </c>
      <c r="AV1749" t="s">
        <v>98</v>
      </c>
      <c r="AX1749" t="s">
        <v>7528</v>
      </c>
      <c r="AZ1749" t="s">
        <v>7528</v>
      </c>
      <c r="BB1749" t="s">
        <v>7528</v>
      </c>
      <c r="BC1749" t="s">
        <v>7528</v>
      </c>
      <c r="BD1749" t="s">
        <v>7528</v>
      </c>
      <c r="BF1749" t="s">
        <v>5421</v>
      </c>
      <c r="BG1749" t="s">
        <v>98</v>
      </c>
      <c r="BH1749" t="s">
        <v>98</v>
      </c>
      <c r="BI1749" t="s">
        <v>98</v>
      </c>
      <c r="BK1749" t="s">
        <v>7528</v>
      </c>
      <c r="BL1749" t="s">
        <v>7528</v>
      </c>
      <c r="CA1749" t="s">
        <v>5420</v>
      </c>
      <c r="CB1749" t="s">
        <v>7528</v>
      </c>
      <c r="CL1749" t="s">
        <v>98</v>
      </c>
      <c r="CM1749" t="s">
        <v>98</v>
      </c>
      <c r="CN1749" t="s">
        <v>7528</v>
      </c>
      <c r="CO1749" s="1">
        <v>39821</v>
      </c>
      <c r="CP1749" s="1">
        <v>43595</v>
      </c>
    </row>
    <row r="1750" spans="1:94" x14ac:dyDescent="0.25">
      <c r="A1750" t="s">
        <v>5422</v>
      </c>
      <c r="B1750" t="str">
        <f xml:space="preserve"> "" &amp; 747396067308</f>
        <v>747396067308</v>
      </c>
      <c r="C1750" t="s">
        <v>235</v>
      </c>
      <c r="D1750" t="s">
        <v>7115</v>
      </c>
      <c r="E1750" t="s">
        <v>7528</v>
      </c>
      <c r="F1750" t="s">
        <v>627</v>
      </c>
      <c r="G1750">
        <v>1</v>
      </c>
      <c r="H1750">
        <v>1</v>
      </c>
      <c r="I1750" t="s">
        <v>97</v>
      </c>
      <c r="J1750" s="10">
        <v>80</v>
      </c>
      <c r="K1750" s="10">
        <v>240</v>
      </c>
      <c r="L1750" s="10">
        <v>0</v>
      </c>
      <c r="N1750" s="10">
        <v>0</v>
      </c>
      <c r="U1750">
        <v>27.75</v>
      </c>
      <c r="W1750">
        <v>9.48</v>
      </c>
      <c r="Y1750">
        <v>5.25</v>
      </c>
      <c r="Z1750">
        <v>28.75</v>
      </c>
      <c r="AA1750">
        <v>28.75</v>
      </c>
      <c r="AB1750">
        <v>2.5110000000000001</v>
      </c>
      <c r="AC1750">
        <v>11.22</v>
      </c>
      <c r="AF1750" t="s">
        <v>7528</v>
      </c>
      <c r="AK1750" t="s">
        <v>98</v>
      </c>
      <c r="AM1750" t="s">
        <v>98</v>
      </c>
      <c r="AN1750" t="s">
        <v>98</v>
      </c>
      <c r="AO1750" t="s">
        <v>98</v>
      </c>
      <c r="AP1750" t="s">
        <v>100</v>
      </c>
      <c r="AQ1750" t="s">
        <v>101</v>
      </c>
      <c r="AV1750" t="s">
        <v>98</v>
      </c>
      <c r="AX1750" t="s">
        <v>7528</v>
      </c>
      <c r="AZ1750" t="s">
        <v>7528</v>
      </c>
      <c r="BB1750" t="s">
        <v>7528</v>
      </c>
      <c r="BC1750" t="s">
        <v>7528</v>
      </c>
      <c r="BD1750" t="s">
        <v>7528</v>
      </c>
      <c r="BF1750" t="s">
        <v>5423</v>
      </c>
      <c r="BG1750" t="s">
        <v>98</v>
      </c>
      <c r="BH1750" t="s">
        <v>98</v>
      </c>
      <c r="BI1750" t="s">
        <v>98</v>
      </c>
      <c r="BK1750" t="s">
        <v>7528</v>
      </c>
      <c r="BL1750" t="s">
        <v>7528</v>
      </c>
      <c r="CA1750" t="s">
        <v>5422</v>
      </c>
      <c r="CB1750" t="s">
        <v>7528</v>
      </c>
      <c r="CL1750" t="s">
        <v>98</v>
      </c>
      <c r="CM1750" t="s">
        <v>98</v>
      </c>
      <c r="CN1750" t="s">
        <v>7528</v>
      </c>
      <c r="CO1750" s="1">
        <v>39821</v>
      </c>
      <c r="CP1750" s="1">
        <v>43595</v>
      </c>
    </row>
    <row r="1751" spans="1:94" x14ac:dyDescent="0.25">
      <c r="A1751" t="s">
        <v>5424</v>
      </c>
      <c r="B1751" t="str">
        <f xml:space="preserve"> "" &amp; 747396067339</f>
        <v>747396067339</v>
      </c>
      <c r="C1751" t="s">
        <v>235</v>
      </c>
      <c r="D1751" t="s">
        <v>7116</v>
      </c>
      <c r="E1751" t="s">
        <v>7528</v>
      </c>
      <c r="F1751" t="s">
        <v>627</v>
      </c>
      <c r="G1751">
        <v>1</v>
      </c>
      <c r="H1751">
        <v>1</v>
      </c>
      <c r="I1751" t="s">
        <v>97</v>
      </c>
      <c r="J1751" s="10">
        <v>2.5</v>
      </c>
      <c r="K1751" s="10">
        <v>7.5</v>
      </c>
      <c r="L1751" s="10">
        <v>0</v>
      </c>
      <c r="N1751" s="10">
        <v>0</v>
      </c>
      <c r="S1751">
        <v>2.38</v>
      </c>
      <c r="U1751">
        <v>13.75</v>
      </c>
      <c r="W1751">
        <v>1</v>
      </c>
      <c r="AB1751">
        <v>1E-4</v>
      </c>
      <c r="AC1751">
        <v>0.03</v>
      </c>
      <c r="AF1751" t="s">
        <v>7528</v>
      </c>
      <c r="AK1751" t="s">
        <v>98</v>
      </c>
      <c r="AM1751" t="s">
        <v>98</v>
      </c>
      <c r="AN1751" t="s">
        <v>98</v>
      </c>
      <c r="AO1751" t="s">
        <v>98</v>
      </c>
      <c r="AP1751" t="s">
        <v>100</v>
      </c>
      <c r="AQ1751" t="s">
        <v>101</v>
      </c>
      <c r="AV1751" t="s">
        <v>98</v>
      </c>
      <c r="AX1751" t="s">
        <v>7528</v>
      </c>
      <c r="AZ1751" t="s">
        <v>7528</v>
      </c>
      <c r="BB1751" t="s">
        <v>7528</v>
      </c>
      <c r="BC1751" t="s">
        <v>7528</v>
      </c>
      <c r="BD1751" t="s">
        <v>7528</v>
      </c>
      <c r="BF1751" t="s">
        <v>5425</v>
      </c>
      <c r="BG1751" t="s">
        <v>98</v>
      </c>
      <c r="BH1751" t="s">
        <v>98</v>
      </c>
      <c r="BI1751" t="s">
        <v>98</v>
      </c>
      <c r="BK1751" t="s">
        <v>7528</v>
      </c>
      <c r="BL1751" t="s">
        <v>7528</v>
      </c>
      <c r="CA1751" t="s">
        <v>5424</v>
      </c>
      <c r="CB1751" t="s">
        <v>7528</v>
      </c>
      <c r="CL1751" t="s">
        <v>98</v>
      </c>
      <c r="CM1751" t="s">
        <v>98</v>
      </c>
      <c r="CN1751" t="s">
        <v>7528</v>
      </c>
      <c r="CO1751" s="1">
        <v>39821</v>
      </c>
      <c r="CP1751" s="1">
        <v>43595</v>
      </c>
    </row>
    <row r="1752" spans="1:94" x14ac:dyDescent="0.25">
      <c r="A1752" t="s">
        <v>5426</v>
      </c>
      <c r="B1752" t="str">
        <f xml:space="preserve"> "" &amp; 747396093321</f>
        <v>747396093321</v>
      </c>
      <c r="C1752" t="s">
        <v>5154</v>
      </c>
      <c r="D1752" t="s">
        <v>7117</v>
      </c>
      <c r="E1752" t="s">
        <v>2584</v>
      </c>
      <c r="F1752" t="s">
        <v>627</v>
      </c>
      <c r="G1752">
        <v>1</v>
      </c>
      <c r="H1752">
        <v>1</v>
      </c>
      <c r="I1752" t="s">
        <v>97</v>
      </c>
      <c r="J1752" s="10">
        <v>10</v>
      </c>
      <c r="K1752" s="10">
        <v>30</v>
      </c>
      <c r="L1752" s="10">
        <v>0</v>
      </c>
      <c r="N1752" s="10">
        <v>0</v>
      </c>
      <c r="W1752">
        <v>1.32</v>
      </c>
      <c r="Y1752">
        <v>13</v>
      </c>
      <c r="Z1752">
        <v>28.75</v>
      </c>
      <c r="AA1752">
        <v>21.25</v>
      </c>
      <c r="AB1752">
        <v>4.5960000000000001</v>
      </c>
      <c r="AC1752">
        <v>2.09</v>
      </c>
      <c r="AF1752" t="s">
        <v>7528</v>
      </c>
      <c r="AK1752" t="s">
        <v>98</v>
      </c>
      <c r="AM1752" t="s">
        <v>98</v>
      </c>
      <c r="AN1752" t="s">
        <v>98</v>
      </c>
      <c r="AO1752" t="s">
        <v>98</v>
      </c>
      <c r="AP1752" t="s">
        <v>100</v>
      </c>
      <c r="AV1752" t="s">
        <v>98</v>
      </c>
      <c r="AX1752" t="s">
        <v>7528</v>
      </c>
      <c r="AZ1752" t="s">
        <v>7528</v>
      </c>
      <c r="BB1752" t="s">
        <v>7528</v>
      </c>
      <c r="BC1752" t="s">
        <v>7528</v>
      </c>
      <c r="BD1752" t="s">
        <v>7528</v>
      </c>
      <c r="BF1752" t="s">
        <v>5427</v>
      </c>
      <c r="BG1752" t="s">
        <v>98</v>
      </c>
      <c r="BH1752" t="s">
        <v>98</v>
      </c>
      <c r="BI1752" t="s">
        <v>98</v>
      </c>
      <c r="BK1752" t="s">
        <v>7528</v>
      </c>
      <c r="BL1752" t="s">
        <v>7528</v>
      </c>
      <c r="CB1752" t="s">
        <v>7528</v>
      </c>
      <c r="CL1752" t="s">
        <v>98</v>
      </c>
      <c r="CM1752" t="s">
        <v>98</v>
      </c>
      <c r="CN1752" t="s">
        <v>7528</v>
      </c>
    </row>
    <row r="1753" spans="1:94" x14ac:dyDescent="0.25">
      <c r="A1753" t="s">
        <v>5428</v>
      </c>
      <c r="B1753" t="str">
        <f xml:space="preserve"> "" &amp; 747396093338</f>
        <v>747396093338</v>
      </c>
      <c r="C1753" t="s">
        <v>5154</v>
      </c>
      <c r="D1753" t="s">
        <v>7118</v>
      </c>
      <c r="E1753" t="s">
        <v>2584</v>
      </c>
      <c r="F1753" t="s">
        <v>627</v>
      </c>
      <c r="G1753">
        <v>1</v>
      </c>
      <c r="H1753">
        <v>1</v>
      </c>
      <c r="I1753" t="s">
        <v>97</v>
      </c>
      <c r="J1753" s="10">
        <v>25</v>
      </c>
      <c r="K1753" s="10">
        <v>75</v>
      </c>
      <c r="L1753" s="10">
        <v>0</v>
      </c>
      <c r="N1753" s="10">
        <v>0</v>
      </c>
      <c r="W1753">
        <v>0.71</v>
      </c>
      <c r="Y1753">
        <v>5.5</v>
      </c>
      <c r="Z1753">
        <v>12</v>
      </c>
      <c r="AA1753">
        <v>12</v>
      </c>
      <c r="AB1753">
        <v>0.45800000000000002</v>
      </c>
      <c r="AC1753">
        <v>0.95</v>
      </c>
      <c r="AF1753" t="s">
        <v>7528</v>
      </c>
      <c r="AK1753" t="s">
        <v>98</v>
      </c>
      <c r="AM1753" t="s">
        <v>98</v>
      </c>
      <c r="AN1753" t="s">
        <v>98</v>
      </c>
      <c r="AO1753" t="s">
        <v>98</v>
      </c>
      <c r="AP1753" t="s">
        <v>100</v>
      </c>
      <c r="AV1753" t="s">
        <v>98</v>
      </c>
      <c r="AX1753" t="s">
        <v>7528</v>
      </c>
      <c r="AZ1753" t="s">
        <v>7528</v>
      </c>
      <c r="BB1753" t="s">
        <v>7528</v>
      </c>
      <c r="BC1753" t="s">
        <v>7528</v>
      </c>
      <c r="BD1753" t="s">
        <v>7528</v>
      </c>
      <c r="BF1753" t="s">
        <v>5429</v>
      </c>
      <c r="BG1753" t="s">
        <v>98</v>
      </c>
      <c r="BH1753" t="s">
        <v>98</v>
      </c>
      <c r="BI1753" t="s">
        <v>98</v>
      </c>
      <c r="BK1753" t="s">
        <v>7528</v>
      </c>
      <c r="BL1753" t="s">
        <v>7528</v>
      </c>
      <c r="CB1753" t="s">
        <v>7528</v>
      </c>
      <c r="CL1753" t="s">
        <v>98</v>
      </c>
      <c r="CM1753" t="s">
        <v>98</v>
      </c>
      <c r="CN1753" t="s">
        <v>7528</v>
      </c>
      <c r="CP1753" s="1">
        <v>43633</v>
      </c>
    </row>
    <row r="1754" spans="1:94" x14ac:dyDescent="0.25">
      <c r="A1754" t="s">
        <v>5430</v>
      </c>
      <c r="B1754" t="str">
        <f xml:space="preserve"> "" &amp; 747396093345</f>
        <v>747396093345</v>
      </c>
      <c r="C1754" t="s">
        <v>5154</v>
      </c>
      <c r="D1754" t="s">
        <v>7119</v>
      </c>
      <c r="E1754" t="s">
        <v>2589</v>
      </c>
      <c r="F1754" t="s">
        <v>627</v>
      </c>
      <c r="G1754">
        <v>1</v>
      </c>
      <c r="H1754">
        <v>1</v>
      </c>
      <c r="I1754" t="s">
        <v>97</v>
      </c>
      <c r="J1754" s="10">
        <v>6</v>
      </c>
      <c r="K1754" s="10">
        <v>18</v>
      </c>
      <c r="L1754" s="10">
        <v>0</v>
      </c>
      <c r="N1754" s="10">
        <v>0</v>
      </c>
      <c r="W1754">
        <v>1</v>
      </c>
      <c r="Y1754">
        <v>6.13</v>
      </c>
      <c r="Z1754">
        <v>18.5</v>
      </c>
      <c r="AA1754">
        <v>12.25</v>
      </c>
      <c r="AB1754">
        <v>0.80400000000000005</v>
      </c>
      <c r="AC1754">
        <v>0.57999999999999996</v>
      </c>
      <c r="AF1754" t="s">
        <v>7528</v>
      </c>
      <c r="AK1754" t="s">
        <v>98</v>
      </c>
      <c r="AM1754" t="s">
        <v>98</v>
      </c>
      <c r="AN1754" t="s">
        <v>98</v>
      </c>
      <c r="AO1754" t="s">
        <v>98</v>
      </c>
      <c r="AP1754" t="s">
        <v>100</v>
      </c>
      <c r="AV1754" t="s">
        <v>98</v>
      </c>
      <c r="AX1754" t="s">
        <v>7528</v>
      </c>
      <c r="AZ1754" t="s">
        <v>7528</v>
      </c>
      <c r="BB1754" t="s">
        <v>7528</v>
      </c>
      <c r="BC1754" t="s">
        <v>7528</v>
      </c>
      <c r="BD1754" t="s">
        <v>7528</v>
      </c>
      <c r="BF1754" t="s">
        <v>5431</v>
      </c>
      <c r="BG1754" t="s">
        <v>98</v>
      </c>
      <c r="BH1754" t="s">
        <v>98</v>
      </c>
      <c r="BI1754" t="s">
        <v>98</v>
      </c>
      <c r="BK1754" t="s">
        <v>7528</v>
      </c>
      <c r="BL1754" t="s">
        <v>7528</v>
      </c>
      <c r="CB1754" t="s">
        <v>7528</v>
      </c>
      <c r="CL1754" t="s">
        <v>98</v>
      </c>
      <c r="CM1754" t="s">
        <v>98</v>
      </c>
      <c r="CN1754" t="s">
        <v>7528</v>
      </c>
      <c r="CP1754" s="1">
        <v>43633</v>
      </c>
    </row>
    <row r="1755" spans="1:94" x14ac:dyDescent="0.25">
      <c r="A1755" t="s">
        <v>5432</v>
      </c>
      <c r="B1755" t="str">
        <f xml:space="preserve"> "" &amp; 747396093352</f>
        <v>747396093352</v>
      </c>
      <c r="C1755" t="s">
        <v>5154</v>
      </c>
      <c r="D1755" t="s">
        <v>7120</v>
      </c>
      <c r="E1755" t="s">
        <v>2589</v>
      </c>
      <c r="F1755" t="s">
        <v>627</v>
      </c>
      <c r="G1755">
        <v>1</v>
      </c>
      <c r="H1755">
        <v>1</v>
      </c>
      <c r="I1755" t="s">
        <v>97</v>
      </c>
      <c r="J1755" s="10">
        <v>4</v>
      </c>
      <c r="K1755" s="10">
        <v>12</v>
      </c>
      <c r="L1755" s="10">
        <v>0</v>
      </c>
      <c r="N1755" s="10">
        <v>0</v>
      </c>
      <c r="W1755">
        <v>0.24</v>
      </c>
      <c r="Y1755">
        <v>6.125</v>
      </c>
      <c r="Z1755">
        <v>14.125</v>
      </c>
      <c r="AA1755">
        <v>10.25</v>
      </c>
      <c r="AB1755">
        <v>0.51300000000000001</v>
      </c>
      <c r="AC1755">
        <v>0.32</v>
      </c>
      <c r="AF1755" t="s">
        <v>7528</v>
      </c>
      <c r="AK1755" t="s">
        <v>98</v>
      </c>
      <c r="AM1755" t="s">
        <v>98</v>
      </c>
      <c r="AN1755" t="s">
        <v>98</v>
      </c>
      <c r="AO1755" t="s">
        <v>98</v>
      </c>
      <c r="AP1755" t="s">
        <v>100</v>
      </c>
      <c r="AV1755" t="s">
        <v>98</v>
      </c>
      <c r="AX1755" t="s">
        <v>7528</v>
      </c>
      <c r="AZ1755" t="s">
        <v>7528</v>
      </c>
      <c r="BB1755" t="s">
        <v>7528</v>
      </c>
      <c r="BC1755" t="s">
        <v>7528</v>
      </c>
      <c r="BD1755" t="s">
        <v>7528</v>
      </c>
      <c r="BF1755" t="s">
        <v>5433</v>
      </c>
      <c r="BG1755" t="s">
        <v>98</v>
      </c>
      <c r="BH1755" t="s">
        <v>98</v>
      </c>
      <c r="BI1755" t="s">
        <v>98</v>
      </c>
      <c r="BK1755" t="s">
        <v>7528</v>
      </c>
      <c r="BL1755" t="s">
        <v>7528</v>
      </c>
      <c r="CB1755" t="s">
        <v>7528</v>
      </c>
      <c r="CL1755" t="s">
        <v>98</v>
      </c>
      <c r="CM1755" t="s">
        <v>98</v>
      </c>
      <c r="CN1755" t="s">
        <v>7528</v>
      </c>
      <c r="CP1755" s="1">
        <v>43633</v>
      </c>
    </row>
    <row r="1756" spans="1:94" x14ac:dyDescent="0.25">
      <c r="A1756" t="s">
        <v>5434</v>
      </c>
      <c r="B1756" t="str">
        <f xml:space="preserve"> "" &amp; 747396093369</f>
        <v>747396093369</v>
      </c>
      <c r="C1756" t="s">
        <v>5154</v>
      </c>
      <c r="D1756" t="s">
        <v>7121</v>
      </c>
      <c r="E1756" t="s">
        <v>2589</v>
      </c>
      <c r="F1756" t="s">
        <v>627</v>
      </c>
      <c r="G1756">
        <v>1</v>
      </c>
      <c r="H1756">
        <v>1</v>
      </c>
      <c r="I1756" t="s">
        <v>97</v>
      </c>
      <c r="J1756" s="10">
        <v>5</v>
      </c>
      <c r="K1756" s="10">
        <v>15</v>
      </c>
      <c r="L1756" s="10">
        <v>0</v>
      </c>
      <c r="N1756" s="10">
        <v>0</v>
      </c>
      <c r="W1756">
        <v>0.3</v>
      </c>
      <c r="Y1756">
        <v>6.125</v>
      </c>
      <c r="Z1756">
        <v>15.75</v>
      </c>
      <c r="AA1756">
        <v>10.25</v>
      </c>
      <c r="AB1756">
        <v>0.57199999999999995</v>
      </c>
      <c r="AC1756">
        <v>0.42</v>
      </c>
      <c r="AF1756" t="s">
        <v>7528</v>
      </c>
      <c r="AK1756" t="s">
        <v>98</v>
      </c>
      <c r="AM1756" t="s">
        <v>98</v>
      </c>
      <c r="AN1756" t="s">
        <v>98</v>
      </c>
      <c r="AO1756" t="s">
        <v>98</v>
      </c>
      <c r="AP1756" t="s">
        <v>100</v>
      </c>
      <c r="AV1756" t="s">
        <v>98</v>
      </c>
      <c r="AX1756" t="s">
        <v>7528</v>
      </c>
      <c r="AZ1756" t="s">
        <v>7528</v>
      </c>
      <c r="BB1756" t="s">
        <v>7528</v>
      </c>
      <c r="BC1756" t="s">
        <v>7528</v>
      </c>
      <c r="BD1756" t="s">
        <v>7528</v>
      </c>
      <c r="BF1756" t="s">
        <v>5435</v>
      </c>
      <c r="BG1756" t="s">
        <v>98</v>
      </c>
      <c r="BH1756" t="s">
        <v>98</v>
      </c>
      <c r="BI1756" t="s">
        <v>98</v>
      </c>
      <c r="BK1756" t="s">
        <v>7528</v>
      </c>
      <c r="BL1756" t="s">
        <v>7528</v>
      </c>
      <c r="CB1756" t="s">
        <v>7528</v>
      </c>
      <c r="CL1756" t="s">
        <v>98</v>
      </c>
      <c r="CM1756" t="s">
        <v>98</v>
      </c>
      <c r="CN1756" t="s">
        <v>7528</v>
      </c>
      <c r="CP1756" s="1">
        <v>43633</v>
      </c>
    </row>
    <row r="1757" spans="1:94" x14ac:dyDescent="0.25">
      <c r="A1757" t="s">
        <v>5436</v>
      </c>
      <c r="B1757" t="str">
        <f xml:space="preserve"> "" &amp; 747396093376</f>
        <v>747396093376</v>
      </c>
      <c r="C1757" t="s">
        <v>5154</v>
      </c>
      <c r="D1757" t="s">
        <v>7122</v>
      </c>
      <c r="E1757" t="s">
        <v>2589</v>
      </c>
      <c r="F1757" t="s">
        <v>627</v>
      </c>
      <c r="G1757">
        <v>1</v>
      </c>
      <c r="H1757">
        <v>1</v>
      </c>
      <c r="I1757" t="s">
        <v>97</v>
      </c>
      <c r="J1757" s="10">
        <v>4.5</v>
      </c>
      <c r="K1757" s="10">
        <v>13.5</v>
      </c>
      <c r="L1757" s="10">
        <v>0</v>
      </c>
      <c r="N1757" s="10">
        <v>0</v>
      </c>
      <c r="W1757">
        <v>0.28000000000000003</v>
      </c>
      <c r="Y1757">
        <v>6</v>
      </c>
      <c r="Z1757">
        <v>15.75</v>
      </c>
      <c r="AA1757">
        <v>10.25</v>
      </c>
      <c r="AB1757">
        <v>0.56100000000000005</v>
      </c>
      <c r="AC1757">
        <v>0.37</v>
      </c>
      <c r="AF1757" t="s">
        <v>7528</v>
      </c>
      <c r="AK1757" t="s">
        <v>98</v>
      </c>
      <c r="AM1757" t="s">
        <v>98</v>
      </c>
      <c r="AN1757" t="s">
        <v>98</v>
      </c>
      <c r="AO1757" t="s">
        <v>98</v>
      </c>
      <c r="AP1757" t="s">
        <v>100</v>
      </c>
      <c r="AV1757" t="s">
        <v>98</v>
      </c>
      <c r="AX1757" t="s">
        <v>7528</v>
      </c>
      <c r="AZ1757" t="s">
        <v>7528</v>
      </c>
      <c r="BB1757" t="s">
        <v>7528</v>
      </c>
      <c r="BC1757" t="s">
        <v>7528</v>
      </c>
      <c r="BD1757" t="s">
        <v>7528</v>
      </c>
      <c r="BF1757" t="s">
        <v>5437</v>
      </c>
      <c r="BG1757" t="s">
        <v>98</v>
      </c>
      <c r="BH1757" t="s">
        <v>98</v>
      </c>
      <c r="BI1757" t="s">
        <v>98</v>
      </c>
      <c r="BK1757" t="s">
        <v>7528</v>
      </c>
      <c r="BL1757" t="s">
        <v>7528</v>
      </c>
      <c r="CB1757" t="s">
        <v>7528</v>
      </c>
      <c r="CL1757" t="s">
        <v>98</v>
      </c>
      <c r="CM1757" t="s">
        <v>98</v>
      </c>
      <c r="CN1757" t="s">
        <v>7528</v>
      </c>
      <c r="CP1757" s="1">
        <v>43633</v>
      </c>
    </row>
    <row r="1758" spans="1:94" x14ac:dyDescent="0.25">
      <c r="A1758" t="s">
        <v>5438</v>
      </c>
      <c r="B1758" t="str">
        <f xml:space="preserve"> "" &amp; 747396093383</f>
        <v>747396093383</v>
      </c>
      <c r="C1758" t="s">
        <v>5154</v>
      </c>
      <c r="D1758" t="s">
        <v>7123</v>
      </c>
      <c r="E1758" t="s">
        <v>2589</v>
      </c>
      <c r="F1758" t="s">
        <v>627</v>
      </c>
      <c r="G1758">
        <v>1</v>
      </c>
      <c r="H1758">
        <v>1</v>
      </c>
      <c r="I1758" t="s">
        <v>97</v>
      </c>
      <c r="J1758" s="10">
        <v>10</v>
      </c>
      <c r="K1758" s="10">
        <v>30</v>
      </c>
      <c r="L1758" s="10">
        <v>0</v>
      </c>
      <c r="N1758" s="10">
        <v>0</v>
      </c>
      <c r="W1758">
        <v>1</v>
      </c>
      <c r="AC1758">
        <v>0.44</v>
      </c>
      <c r="AF1758" t="s">
        <v>7528</v>
      </c>
      <c r="AK1758" t="s">
        <v>98</v>
      </c>
      <c r="AM1758" t="s">
        <v>98</v>
      </c>
      <c r="AN1758" t="s">
        <v>98</v>
      </c>
      <c r="AO1758" t="s">
        <v>98</v>
      </c>
      <c r="AP1758" t="s">
        <v>100</v>
      </c>
      <c r="AV1758" t="s">
        <v>98</v>
      </c>
      <c r="AX1758" t="s">
        <v>7528</v>
      </c>
      <c r="AZ1758" t="s">
        <v>7528</v>
      </c>
      <c r="BB1758" t="s">
        <v>7528</v>
      </c>
      <c r="BC1758" t="s">
        <v>7528</v>
      </c>
      <c r="BD1758" t="s">
        <v>7528</v>
      </c>
      <c r="BF1758" t="s">
        <v>5439</v>
      </c>
      <c r="BG1758" t="s">
        <v>98</v>
      </c>
      <c r="BH1758" t="s">
        <v>98</v>
      </c>
      <c r="BI1758" t="s">
        <v>98</v>
      </c>
      <c r="BK1758" t="s">
        <v>7528</v>
      </c>
      <c r="BL1758" t="s">
        <v>7528</v>
      </c>
      <c r="CB1758" t="s">
        <v>7528</v>
      </c>
      <c r="CL1758" t="s">
        <v>98</v>
      </c>
      <c r="CM1758" t="s">
        <v>98</v>
      </c>
      <c r="CN1758" t="s">
        <v>7528</v>
      </c>
      <c r="CP1758" s="1">
        <v>43633</v>
      </c>
    </row>
    <row r="1759" spans="1:94" x14ac:dyDescent="0.25">
      <c r="A1759" t="s">
        <v>5440</v>
      </c>
      <c r="B1759" t="str">
        <f xml:space="preserve"> "" &amp; 747396093390</f>
        <v>747396093390</v>
      </c>
      <c r="C1759" t="s">
        <v>5154</v>
      </c>
      <c r="D1759" t="s">
        <v>7124</v>
      </c>
      <c r="E1759" t="s">
        <v>2589</v>
      </c>
      <c r="F1759" t="s">
        <v>627</v>
      </c>
      <c r="G1759">
        <v>1</v>
      </c>
      <c r="H1759">
        <v>1</v>
      </c>
      <c r="I1759" t="s">
        <v>97</v>
      </c>
      <c r="J1759" s="10">
        <v>6</v>
      </c>
      <c r="K1759" s="10">
        <v>18</v>
      </c>
      <c r="L1759" s="10">
        <v>0</v>
      </c>
      <c r="N1759" s="10">
        <v>0</v>
      </c>
      <c r="W1759">
        <v>0.53</v>
      </c>
      <c r="Y1759">
        <v>7</v>
      </c>
      <c r="Z1759">
        <v>19.25</v>
      </c>
      <c r="AA1759">
        <v>5.38</v>
      </c>
      <c r="AB1759">
        <v>0.42</v>
      </c>
      <c r="AC1759">
        <v>0.59</v>
      </c>
      <c r="AF1759" t="s">
        <v>7528</v>
      </c>
      <c r="AK1759" t="s">
        <v>98</v>
      </c>
      <c r="AM1759" t="s">
        <v>98</v>
      </c>
      <c r="AN1759" t="s">
        <v>98</v>
      </c>
      <c r="AO1759" t="s">
        <v>98</v>
      </c>
      <c r="AP1759" t="s">
        <v>100</v>
      </c>
      <c r="AV1759" t="s">
        <v>98</v>
      </c>
      <c r="AX1759" t="s">
        <v>7528</v>
      </c>
      <c r="AZ1759" t="s">
        <v>7528</v>
      </c>
      <c r="BB1759" t="s">
        <v>7528</v>
      </c>
      <c r="BC1759" t="s">
        <v>7528</v>
      </c>
      <c r="BD1759" t="s">
        <v>7528</v>
      </c>
      <c r="BF1759" t="s">
        <v>5441</v>
      </c>
      <c r="BG1759" t="s">
        <v>98</v>
      </c>
      <c r="BH1759" t="s">
        <v>98</v>
      </c>
      <c r="BI1759" t="s">
        <v>98</v>
      </c>
      <c r="BK1759" t="s">
        <v>7528</v>
      </c>
      <c r="BL1759" t="s">
        <v>7528</v>
      </c>
      <c r="CB1759" t="s">
        <v>7528</v>
      </c>
      <c r="CL1759" t="s">
        <v>98</v>
      </c>
      <c r="CM1759" t="s">
        <v>98</v>
      </c>
      <c r="CN1759" t="s">
        <v>7528</v>
      </c>
      <c r="CP1759" s="1">
        <v>43633</v>
      </c>
    </row>
    <row r="1760" spans="1:94" x14ac:dyDescent="0.25">
      <c r="A1760" t="s">
        <v>5442</v>
      </c>
      <c r="B1760" t="str">
        <f xml:space="preserve"> "" &amp; 747396093413</f>
        <v>747396093413</v>
      </c>
      <c r="C1760" t="s">
        <v>5154</v>
      </c>
      <c r="D1760" t="s">
        <v>7125</v>
      </c>
      <c r="E1760" t="s">
        <v>2589</v>
      </c>
      <c r="F1760" t="s">
        <v>627</v>
      </c>
      <c r="G1760">
        <v>1</v>
      </c>
      <c r="H1760">
        <v>1</v>
      </c>
      <c r="I1760" t="s">
        <v>97</v>
      </c>
      <c r="J1760" s="10">
        <v>15</v>
      </c>
      <c r="K1760" s="10">
        <v>45</v>
      </c>
      <c r="L1760" s="10">
        <v>0</v>
      </c>
      <c r="N1760" s="10">
        <v>0</v>
      </c>
      <c r="W1760">
        <v>0.65</v>
      </c>
      <c r="Y1760">
        <v>7</v>
      </c>
      <c r="Z1760">
        <v>16</v>
      </c>
      <c r="AA1760">
        <v>7.13</v>
      </c>
      <c r="AB1760">
        <v>0.46200000000000002</v>
      </c>
      <c r="AC1760">
        <v>0.72</v>
      </c>
      <c r="AF1760" t="s">
        <v>7528</v>
      </c>
      <c r="AK1760" t="s">
        <v>98</v>
      </c>
      <c r="AM1760" t="s">
        <v>98</v>
      </c>
      <c r="AN1760" t="s">
        <v>98</v>
      </c>
      <c r="AO1760" t="s">
        <v>98</v>
      </c>
      <c r="AP1760" t="s">
        <v>100</v>
      </c>
      <c r="AV1760" t="s">
        <v>98</v>
      </c>
      <c r="AX1760" t="s">
        <v>7528</v>
      </c>
      <c r="AZ1760" t="s">
        <v>7528</v>
      </c>
      <c r="BB1760" t="s">
        <v>7528</v>
      </c>
      <c r="BC1760" t="s">
        <v>7528</v>
      </c>
      <c r="BD1760" t="s">
        <v>7528</v>
      </c>
      <c r="BF1760" t="s">
        <v>5443</v>
      </c>
      <c r="BG1760" t="s">
        <v>98</v>
      </c>
      <c r="BH1760" t="s">
        <v>98</v>
      </c>
      <c r="BI1760" t="s">
        <v>98</v>
      </c>
      <c r="BK1760" t="s">
        <v>7528</v>
      </c>
      <c r="BL1760" t="s">
        <v>7528</v>
      </c>
      <c r="CB1760" t="s">
        <v>7528</v>
      </c>
      <c r="CL1760" t="s">
        <v>98</v>
      </c>
      <c r="CM1760" t="s">
        <v>98</v>
      </c>
      <c r="CN1760" t="s">
        <v>7528</v>
      </c>
      <c r="CP1760" s="1">
        <v>43633</v>
      </c>
    </row>
    <row r="1761" spans="1:94" x14ac:dyDescent="0.25">
      <c r="A1761" t="s">
        <v>5444</v>
      </c>
      <c r="B1761" t="str">
        <f xml:space="preserve"> "" &amp; 747396093406</f>
        <v>747396093406</v>
      </c>
      <c r="C1761" t="s">
        <v>5154</v>
      </c>
      <c r="D1761" t="s">
        <v>7126</v>
      </c>
      <c r="E1761" t="s">
        <v>2589</v>
      </c>
      <c r="F1761" t="s">
        <v>627</v>
      </c>
      <c r="G1761">
        <v>1</v>
      </c>
      <c r="H1761">
        <v>1</v>
      </c>
      <c r="I1761" t="s">
        <v>97</v>
      </c>
      <c r="J1761" s="10">
        <v>4</v>
      </c>
      <c r="K1761" s="10">
        <v>12</v>
      </c>
      <c r="L1761" s="10">
        <v>0</v>
      </c>
      <c r="N1761" s="10">
        <v>0</v>
      </c>
      <c r="W1761">
        <v>0.15</v>
      </c>
      <c r="Y1761">
        <v>7</v>
      </c>
      <c r="Z1761">
        <v>7.5</v>
      </c>
      <c r="AA1761">
        <v>5.38</v>
      </c>
      <c r="AB1761">
        <v>0.16300000000000001</v>
      </c>
      <c r="AC1761">
        <v>0.19</v>
      </c>
      <c r="AF1761" t="s">
        <v>7528</v>
      </c>
      <c r="AK1761" t="s">
        <v>98</v>
      </c>
      <c r="AM1761" t="s">
        <v>98</v>
      </c>
      <c r="AN1761" t="s">
        <v>98</v>
      </c>
      <c r="AO1761" t="s">
        <v>98</v>
      </c>
      <c r="AP1761" t="s">
        <v>100</v>
      </c>
      <c r="AV1761" t="s">
        <v>98</v>
      </c>
      <c r="AX1761" t="s">
        <v>7528</v>
      </c>
      <c r="AZ1761" t="s">
        <v>7528</v>
      </c>
      <c r="BB1761" t="s">
        <v>7528</v>
      </c>
      <c r="BC1761" t="s">
        <v>7528</v>
      </c>
      <c r="BD1761" t="s">
        <v>7528</v>
      </c>
      <c r="BF1761" t="s">
        <v>5445</v>
      </c>
      <c r="BG1761" t="s">
        <v>98</v>
      </c>
      <c r="BH1761" t="s">
        <v>98</v>
      </c>
      <c r="BI1761" t="s">
        <v>98</v>
      </c>
      <c r="BK1761" t="s">
        <v>7528</v>
      </c>
      <c r="BL1761" t="s">
        <v>7528</v>
      </c>
      <c r="CB1761" t="s">
        <v>7528</v>
      </c>
      <c r="CL1761" t="s">
        <v>98</v>
      </c>
      <c r="CM1761" t="s">
        <v>98</v>
      </c>
      <c r="CN1761" t="s">
        <v>7528</v>
      </c>
      <c r="CP1761" s="1">
        <v>43633</v>
      </c>
    </row>
    <row r="1762" spans="1:94" x14ac:dyDescent="0.25">
      <c r="A1762" t="s">
        <v>5446</v>
      </c>
      <c r="B1762" t="str">
        <f xml:space="preserve"> "" &amp; 747396093420</f>
        <v>747396093420</v>
      </c>
      <c r="C1762" t="s">
        <v>5154</v>
      </c>
      <c r="D1762" t="s">
        <v>7127</v>
      </c>
      <c r="E1762" t="s">
        <v>2589</v>
      </c>
      <c r="F1762" t="s">
        <v>627</v>
      </c>
      <c r="G1762">
        <v>1</v>
      </c>
      <c r="H1762">
        <v>1</v>
      </c>
      <c r="I1762" t="s">
        <v>97</v>
      </c>
      <c r="J1762" s="10">
        <v>6.5</v>
      </c>
      <c r="K1762" s="10">
        <v>19.5</v>
      </c>
      <c r="L1762" s="10">
        <v>0</v>
      </c>
      <c r="N1762" s="10">
        <v>0</v>
      </c>
      <c r="W1762">
        <v>0.17</v>
      </c>
      <c r="Y1762">
        <v>7</v>
      </c>
      <c r="Z1762">
        <v>7</v>
      </c>
      <c r="AA1762">
        <v>6.13</v>
      </c>
      <c r="AB1762">
        <v>0.17399999999999999</v>
      </c>
      <c r="AC1762">
        <v>0.21</v>
      </c>
      <c r="AF1762" t="s">
        <v>7528</v>
      </c>
      <c r="AK1762" t="s">
        <v>98</v>
      </c>
      <c r="AM1762" t="s">
        <v>98</v>
      </c>
      <c r="AN1762" t="s">
        <v>98</v>
      </c>
      <c r="AO1762" t="s">
        <v>98</v>
      </c>
      <c r="AP1762" t="s">
        <v>100</v>
      </c>
      <c r="AV1762" t="s">
        <v>98</v>
      </c>
      <c r="AX1762" t="s">
        <v>7528</v>
      </c>
      <c r="AZ1762" t="s">
        <v>7528</v>
      </c>
      <c r="BB1762" t="s">
        <v>7528</v>
      </c>
      <c r="BC1762" t="s">
        <v>7528</v>
      </c>
      <c r="BD1762" t="s">
        <v>7528</v>
      </c>
      <c r="BF1762" t="s">
        <v>5447</v>
      </c>
      <c r="BG1762" t="s">
        <v>98</v>
      </c>
      <c r="BH1762" t="s">
        <v>98</v>
      </c>
      <c r="BI1762" t="s">
        <v>98</v>
      </c>
      <c r="BK1762" t="s">
        <v>7528</v>
      </c>
      <c r="BL1762" t="s">
        <v>7528</v>
      </c>
      <c r="CB1762" t="s">
        <v>7528</v>
      </c>
      <c r="CL1762" t="s">
        <v>98</v>
      </c>
      <c r="CM1762" t="s">
        <v>98</v>
      </c>
      <c r="CN1762" t="s">
        <v>7528</v>
      </c>
      <c r="CP1762" s="1">
        <v>43633</v>
      </c>
    </row>
    <row r="1763" spans="1:94" x14ac:dyDescent="0.25">
      <c r="A1763" t="s">
        <v>5448</v>
      </c>
      <c r="B1763" t="str">
        <f xml:space="preserve"> "" &amp; 747396093437</f>
        <v>747396093437</v>
      </c>
      <c r="C1763" t="s">
        <v>5154</v>
      </c>
      <c r="D1763" t="s">
        <v>7128</v>
      </c>
      <c r="E1763" t="s">
        <v>2589</v>
      </c>
      <c r="F1763" t="s">
        <v>627</v>
      </c>
      <c r="G1763">
        <v>1</v>
      </c>
      <c r="H1763">
        <v>1</v>
      </c>
      <c r="I1763" t="s">
        <v>97</v>
      </c>
      <c r="J1763" s="10">
        <v>12</v>
      </c>
      <c r="K1763" s="10">
        <v>36</v>
      </c>
      <c r="L1763" s="10">
        <v>0</v>
      </c>
      <c r="N1763" s="10">
        <v>0</v>
      </c>
      <c r="W1763">
        <v>0.53</v>
      </c>
      <c r="Y1763">
        <v>7</v>
      </c>
      <c r="Z1763">
        <v>16</v>
      </c>
      <c r="AA1763">
        <v>6.13</v>
      </c>
      <c r="AB1763">
        <v>0.39700000000000002</v>
      </c>
      <c r="AC1763">
        <v>0.59</v>
      </c>
      <c r="AF1763" t="s">
        <v>7528</v>
      </c>
      <c r="AK1763" t="s">
        <v>98</v>
      </c>
      <c r="AM1763" t="s">
        <v>98</v>
      </c>
      <c r="AN1763" t="s">
        <v>98</v>
      </c>
      <c r="AO1763" t="s">
        <v>98</v>
      </c>
      <c r="AP1763" t="s">
        <v>100</v>
      </c>
      <c r="AV1763" t="s">
        <v>98</v>
      </c>
      <c r="AX1763" t="s">
        <v>7528</v>
      </c>
      <c r="AZ1763" t="s">
        <v>7528</v>
      </c>
      <c r="BB1763" t="s">
        <v>7528</v>
      </c>
      <c r="BC1763" t="s">
        <v>7528</v>
      </c>
      <c r="BD1763" t="s">
        <v>7528</v>
      </c>
      <c r="BF1763" t="s">
        <v>5449</v>
      </c>
      <c r="BG1763" t="s">
        <v>98</v>
      </c>
      <c r="BH1763" t="s">
        <v>98</v>
      </c>
      <c r="BI1763" t="s">
        <v>98</v>
      </c>
      <c r="BK1763" t="s">
        <v>7528</v>
      </c>
      <c r="BL1763" t="s">
        <v>7528</v>
      </c>
      <c r="CB1763" t="s">
        <v>7528</v>
      </c>
      <c r="CL1763" t="s">
        <v>98</v>
      </c>
      <c r="CM1763" t="s">
        <v>98</v>
      </c>
      <c r="CN1763" t="s">
        <v>7528</v>
      </c>
      <c r="CP1763" s="1">
        <v>43633</v>
      </c>
    </row>
    <row r="1764" spans="1:94" x14ac:dyDescent="0.25">
      <c r="A1764" t="s">
        <v>5450</v>
      </c>
      <c r="B1764" t="str">
        <f xml:space="preserve"> "" &amp; 747396093444</f>
        <v>747396093444</v>
      </c>
      <c r="C1764" t="s">
        <v>5154</v>
      </c>
      <c r="D1764" t="s">
        <v>7129</v>
      </c>
      <c r="E1764" t="s">
        <v>2589</v>
      </c>
      <c r="F1764" t="s">
        <v>627</v>
      </c>
      <c r="G1764">
        <v>1</v>
      </c>
      <c r="H1764">
        <v>1</v>
      </c>
      <c r="I1764" t="s">
        <v>97</v>
      </c>
      <c r="J1764" s="10">
        <v>9</v>
      </c>
      <c r="K1764" s="10">
        <v>27</v>
      </c>
      <c r="L1764" s="10">
        <v>0</v>
      </c>
      <c r="N1764" s="10">
        <v>0</v>
      </c>
      <c r="W1764">
        <v>0.72</v>
      </c>
      <c r="Y1764">
        <v>7</v>
      </c>
      <c r="Z1764">
        <v>26.13</v>
      </c>
      <c r="AA1764">
        <v>5.38</v>
      </c>
      <c r="AB1764">
        <v>0.56899999999999995</v>
      </c>
      <c r="AC1764">
        <v>0.79</v>
      </c>
      <c r="AF1764" t="s">
        <v>7528</v>
      </c>
      <c r="AK1764" t="s">
        <v>98</v>
      </c>
      <c r="AM1764" t="s">
        <v>98</v>
      </c>
      <c r="AN1764" t="s">
        <v>98</v>
      </c>
      <c r="AO1764" t="s">
        <v>98</v>
      </c>
      <c r="AP1764" t="s">
        <v>100</v>
      </c>
      <c r="AV1764" t="s">
        <v>98</v>
      </c>
      <c r="AX1764" t="s">
        <v>7528</v>
      </c>
      <c r="AZ1764" t="s">
        <v>7528</v>
      </c>
      <c r="BB1764" t="s">
        <v>7528</v>
      </c>
      <c r="BC1764" t="s">
        <v>7528</v>
      </c>
      <c r="BD1764" t="s">
        <v>7528</v>
      </c>
      <c r="BF1764" t="s">
        <v>5451</v>
      </c>
      <c r="BG1764" t="s">
        <v>98</v>
      </c>
      <c r="BH1764" t="s">
        <v>98</v>
      </c>
      <c r="BI1764" t="s">
        <v>98</v>
      </c>
      <c r="BK1764" t="s">
        <v>7528</v>
      </c>
      <c r="BL1764" t="s">
        <v>7528</v>
      </c>
      <c r="CB1764" t="s">
        <v>7528</v>
      </c>
      <c r="CL1764" t="s">
        <v>98</v>
      </c>
      <c r="CM1764" t="s">
        <v>98</v>
      </c>
      <c r="CN1764" t="s">
        <v>7528</v>
      </c>
      <c r="CP1764" s="1">
        <v>43633</v>
      </c>
    </row>
    <row r="1765" spans="1:94" x14ac:dyDescent="0.25">
      <c r="A1765" t="s">
        <v>5452</v>
      </c>
      <c r="B1765" t="str">
        <f xml:space="preserve"> "" &amp; 747396093451</f>
        <v>747396093451</v>
      </c>
      <c r="C1765" t="s">
        <v>5154</v>
      </c>
      <c r="D1765" t="s">
        <v>7130</v>
      </c>
      <c r="E1765" t="s">
        <v>2589</v>
      </c>
      <c r="F1765" t="s">
        <v>627</v>
      </c>
      <c r="G1765">
        <v>1</v>
      </c>
      <c r="H1765">
        <v>1</v>
      </c>
      <c r="I1765" t="s">
        <v>97</v>
      </c>
      <c r="J1765" s="10">
        <v>17.5</v>
      </c>
      <c r="K1765" s="10">
        <v>52.5</v>
      </c>
      <c r="L1765" s="10">
        <v>0</v>
      </c>
      <c r="N1765" s="10">
        <v>0</v>
      </c>
      <c r="W1765">
        <v>1.3</v>
      </c>
      <c r="Y1765">
        <v>7</v>
      </c>
      <c r="Z1765">
        <v>23</v>
      </c>
      <c r="AA1765">
        <v>7.13</v>
      </c>
      <c r="AB1765">
        <v>0.66400000000000003</v>
      </c>
      <c r="AC1765">
        <v>1.39</v>
      </c>
      <c r="AF1765" t="s">
        <v>7528</v>
      </c>
      <c r="AK1765" t="s">
        <v>98</v>
      </c>
      <c r="AM1765" t="s">
        <v>98</v>
      </c>
      <c r="AN1765" t="s">
        <v>98</v>
      </c>
      <c r="AO1765" t="s">
        <v>98</v>
      </c>
      <c r="AP1765" t="s">
        <v>100</v>
      </c>
      <c r="AV1765" t="s">
        <v>98</v>
      </c>
      <c r="AX1765" t="s">
        <v>7528</v>
      </c>
      <c r="AZ1765" t="s">
        <v>7528</v>
      </c>
      <c r="BB1765" t="s">
        <v>7528</v>
      </c>
      <c r="BC1765" t="s">
        <v>7528</v>
      </c>
      <c r="BD1765" t="s">
        <v>7528</v>
      </c>
      <c r="BF1765" t="s">
        <v>5453</v>
      </c>
      <c r="BG1765" t="s">
        <v>98</v>
      </c>
      <c r="BH1765" t="s">
        <v>98</v>
      </c>
      <c r="BI1765" t="s">
        <v>98</v>
      </c>
      <c r="BK1765" t="s">
        <v>7528</v>
      </c>
      <c r="BL1765" t="s">
        <v>7528</v>
      </c>
      <c r="CB1765" t="s">
        <v>7528</v>
      </c>
      <c r="CL1765" t="s">
        <v>98</v>
      </c>
      <c r="CM1765" t="s">
        <v>98</v>
      </c>
      <c r="CN1765" t="s">
        <v>7528</v>
      </c>
      <c r="CP1765" s="1">
        <v>43633</v>
      </c>
    </row>
    <row r="1766" spans="1:94" x14ac:dyDescent="0.25">
      <c r="A1766" t="s">
        <v>5454</v>
      </c>
      <c r="B1766" t="str">
        <f xml:space="preserve"> "" &amp; 747396093468</f>
        <v>747396093468</v>
      </c>
      <c r="C1766" t="s">
        <v>5154</v>
      </c>
      <c r="D1766" t="s">
        <v>7131</v>
      </c>
      <c r="E1766" t="s">
        <v>2589</v>
      </c>
      <c r="F1766" t="s">
        <v>627</v>
      </c>
      <c r="G1766">
        <v>1</v>
      </c>
      <c r="H1766">
        <v>1</v>
      </c>
      <c r="I1766" t="s">
        <v>97</v>
      </c>
      <c r="J1766" s="10">
        <v>14.5</v>
      </c>
      <c r="K1766" s="10">
        <v>43.5</v>
      </c>
      <c r="L1766" s="10">
        <v>0</v>
      </c>
      <c r="N1766" s="10">
        <v>0</v>
      </c>
      <c r="W1766">
        <v>0.81</v>
      </c>
      <c r="Y1766">
        <v>7</v>
      </c>
      <c r="Z1766">
        <v>23</v>
      </c>
      <c r="AA1766">
        <v>6.13</v>
      </c>
      <c r="AB1766">
        <v>0.57099999999999995</v>
      </c>
      <c r="AC1766">
        <v>0.89</v>
      </c>
      <c r="AF1766" t="s">
        <v>7528</v>
      </c>
      <c r="AK1766" t="s">
        <v>98</v>
      </c>
      <c r="AM1766" t="s">
        <v>98</v>
      </c>
      <c r="AN1766" t="s">
        <v>98</v>
      </c>
      <c r="AO1766" t="s">
        <v>98</v>
      </c>
      <c r="AP1766" t="s">
        <v>100</v>
      </c>
      <c r="AV1766" t="s">
        <v>98</v>
      </c>
      <c r="AX1766" t="s">
        <v>7528</v>
      </c>
      <c r="AZ1766" t="s">
        <v>7528</v>
      </c>
      <c r="BB1766" t="s">
        <v>7528</v>
      </c>
      <c r="BC1766" t="s">
        <v>7528</v>
      </c>
      <c r="BD1766" t="s">
        <v>7528</v>
      </c>
      <c r="BF1766" t="s">
        <v>5455</v>
      </c>
      <c r="BG1766" t="s">
        <v>98</v>
      </c>
      <c r="BH1766" t="s">
        <v>98</v>
      </c>
      <c r="BI1766" t="s">
        <v>98</v>
      </c>
      <c r="BK1766" t="s">
        <v>7528</v>
      </c>
      <c r="BL1766" t="s">
        <v>7528</v>
      </c>
      <c r="CB1766" t="s">
        <v>7528</v>
      </c>
      <c r="CL1766" t="s">
        <v>98</v>
      </c>
      <c r="CM1766" t="s">
        <v>98</v>
      </c>
      <c r="CN1766" t="s">
        <v>7528</v>
      </c>
      <c r="CP1766" s="1">
        <v>43633</v>
      </c>
    </row>
    <row r="1767" spans="1:94" x14ac:dyDescent="0.25">
      <c r="A1767" t="s">
        <v>5456</v>
      </c>
      <c r="B1767" t="str">
        <f xml:space="preserve"> "" &amp; 747396093475</f>
        <v>747396093475</v>
      </c>
      <c r="C1767" t="s">
        <v>5154</v>
      </c>
      <c r="D1767" t="s">
        <v>7132</v>
      </c>
      <c r="E1767" t="s">
        <v>2589</v>
      </c>
      <c r="F1767" t="s">
        <v>627</v>
      </c>
      <c r="G1767">
        <v>1</v>
      </c>
      <c r="H1767">
        <v>1</v>
      </c>
      <c r="I1767" t="s">
        <v>97</v>
      </c>
      <c r="J1767" s="10">
        <v>12</v>
      </c>
      <c r="K1767" s="10">
        <v>36</v>
      </c>
      <c r="L1767" s="10">
        <v>0</v>
      </c>
      <c r="N1767" s="10">
        <v>0</v>
      </c>
      <c r="W1767">
        <v>0.91</v>
      </c>
      <c r="Y1767">
        <v>7</v>
      </c>
      <c r="Z1767">
        <v>32.130000000000003</v>
      </c>
      <c r="AA1767">
        <v>5.38</v>
      </c>
      <c r="AB1767">
        <v>0.7</v>
      </c>
      <c r="AC1767">
        <v>1</v>
      </c>
      <c r="AF1767" t="s">
        <v>7528</v>
      </c>
      <c r="AK1767" t="s">
        <v>98</v>
      </c>
      <c r="AM1767" t="s">
        <v>98</v>
      </c>
      <c r="AN1767" t="s">
        <v>98</v>
      </c>
      <c r="AO1767" t="s">
        <v>98</v>
      </c>
      <c r="AP1767" t="s">
        <v>100</v>
      </c>
      <c r="AV1767" t="s">
        <v>98</v>
      </c>
      <c r="AX1767" t="s">
        <v>7528</v>
      </c>
      <c r="AZ1767" t="s">
        <v>7528</v>
      </c>
      <c r="BB1767" t="s">
        <v>7528</v>
      </c>
      <c r="BC1767" t="s">
        <v>7528</v>
      </c>
      <c r="BD1767" t="s">
        <v>7528</v>
      </c>
      <c r="BF1767" t="s">
        <v>5457</v>
      </c>
      <c r="BG1767" t="s">
        <v>98</v>
      </c>
      <c r="BH1767" t="s">
        <v>98</v>
      </c>
      <c r="BI1767" t="s">
        <v>98</v>
      </c>
      <c r="BK1767" t="s">
        <v>7528</v>
      </c>
      <c r="BL1767" t="s">
        <v>7528</v>
      </c>
      <c r="CB1767" t="s">
        <v>7528</v>
      </c>
      <c r="CL1767" t="s">
        <v>98</v>
      </c>
      <c r="CM1767" t="s">
        <v>98</v>
      </c>
      <c r="CN1767" t="s">
        <v>7528</v>
      </c>
      <c r="CP1767" s="1">
        <v>43633</v>
      </c>
    </row>
    <row r="1768" spans="1:94" x14ac:dyDescent="0.25">
      <c r="A1768" t="s">
        <v>5458</v>
      </c>
      <c r="B1768" t="str">
        <f xml:space="preserve"> "" &amp; 747396093482</f>
        <v>747396093482</v>
      </c>
      <c r="C1768" t="s">
        <v>5154</v>
      </c>
      <c r="D1768" t="s">
        <v>7133</v>
      </c>
      <c r="E1768" t="s">
        <v>2589</v>
      </c>
      <c r="F1768" t="s">
        <v>627</v>
      </c>
      <c r="G1768">
        <v>1</v>
      </c>
      <c r="H1768">
        <v>1</v>
      </c>
      <c r="I1768" t="s">
        <v>97</v>
      </c>
      <c r="J1768" s="10">
        <v>19.5</v>
      </c>
      <c r="K1768" s="10">
        <v>58.5</v>
      </c>
      <c r="L1768" s="10">
        <v>0</v>
      </c>
      <c r="N1768" s="10">
        <v>0</v>
      </c>
      <c r="W1768">
        <v>1.36</v>
      </c>
      <c r="Y1768">
        <v>7</v>
      </c>
      <c r="Z1768">
        <v>29.5</v>
      </c>
      <c r="AA1768">
        <v>7</v>
      </c>
      <c r="AB1768">
        <v>0.83699999999999997</v>
      </c>
      <c r="AC1768">
        <v>1.47</v>
      </c>
      <c r="AF1768" t="s">
        <v>7528</v>
      </c>
      <c r="AK1768" t="s">
        <v>98</v>
      </c>
      <c r="AM1768" t="s">
        <v>98</v>
      </c>
      <c r="AN1768" t="s">
        <v>98</v>
      </c>
      <c r="AO1768" t="s">
        <v>98</v>
      </c>
      <c r="AP1768" t="s">
        <v>100</v>
      </c>
      <c r="AV1768" t="s">
        <v>98</v>
      </c>
      <c r="AX1768" t="s">
        <v>7528</v>
      </c>
      <c r="AZ1768" t="s">
        <v>7528</v>
      </c>
      <c r="BB1768" t="s">
        <v>7528</v>
      </c>
      <c r="BC1768" t="s">
        <v>7528</v>
      </c>
      <c r="BD1768" t="s">
        <v>7528</v>
      </c>
      <c r="BF1768" t="s">
        <v>5459</v>
      </c>
      <c r="BG1768" t="s">
        <v>98</v>
      </c>
      <c r="BH1768" t="s">
        <v>98</v>
      </c>
      <c r="BI1768" t="s">
        <v>98</v>
      </c>
      <c r="BK1768" t="s">
        <v>7528</v>
      </c>
      <c r="BL1768" t="s">
        <v>7528</v>
      </c>
      <c r="CB1768" t="s">
        <v>7528</v>
      </c>
      <c r="CL1768" t="s">
        <v>98</v>
      </c>
      <c r="CM1768" t="s">
        <v>98</v>
      </c>
      <c r="CN1768" t="s">
        <v>7528</v>
      </c>
      <c r="CP1768" s="1">
        <v>43633</v>
      </c>
    </row>
    <row r="1769" spans="1:94" x14ac:dyDescent="0.25">
      <c r="A1769" t="s">
        <v>5460</v>
      </c>
      <c r="B1769" t="str">
        <f xml:space="preserve"> "" &amp; 747396093505</f>
        <v>747396093505</v>
      </c>
      <c r="C1769" t="s">
        <v>5154</v>
      </c>
      <c r="D1769" t="s">
        <v>7134</v>
      </c>
      <c r="E1769" t="s">
        <v>2589</v>
      </c>
      <c r="F1769" t="s">
        <v>627</v>
      </c>
      <c r="G1769">
        <v>1</v>
      </c>
      <c r="H1769">
        <v>1</v>
      </c>
      <c r="I1769" t="s">
        <v>97</v>
      </c>
      <c r="J1769" s="10">
        <v>16.5</v>
      </c>
      <c r="K1769" s="10">
        <v>49.5</v>
      </c>
      <c r="L1769" s="10">
        <v>0</v>
      </c>
      <c r="N1769" s="10">
        <v>0</v>
      </c>
      <c r="W1769">
        <v>0.95</v>
      </c>
      <c r="Y1769">
        <v>6.25</v>
      </c>
      <c r="Z1769">
        <v>31</v>
      </c>
      <c r="AA1769">
        <v>13.25</v>
      </c>
      <c r="AB1769">
        <v>1.486</v>
      </c>
      <c r="AC1769">
        <v>1.1599999999999999</v>
      </c>
      <c r="AF1769" t="s">
        <v>7528</v>
      </c>
      <c r="AK1769" t="s">
        <v>98</v>
      </c>
      <c r="AM1769" t="s">
        <v>98</v>
      </c>
      <c r="AN1769" t="s">
        <v>98</v>
      </c>
      <c r="AO1769" t="s">
        <v>98</v>
      </c>
      <c r="AP1769" t="s">
        <v>100</v>
      </c>
      <c r="AV1769" t="s">
        <v>98</v>
      </c>
      <c r="AX1769" t="s">
        <v>7528</v>
      </c>
      <c r="AZ1769" t="s">
        <v>7528</v>
      </c>
      <c r="BB1769" t="s">
        <v>7528</v>
      </c>
      <c r="BC1769" t="s">
        <v>7528</v>
      </c>
      <c r="BD1769" t="s">
        <v>7528</v>
      </c>
      <c r="BF1769" t="s">
        <v>5461</v>
      </c>
      <c r="BG1769" t="s">
        <v>98</v>
      </c>
      <c r="BH1769" t="s">
        <v>98</v>
      </c>
      <c r="BI1769" t="s">
        <v>98</v>
      </c>
      <c r="BK1769" t="s">
        <v>7528</v>
      </c>
      <c r="BL1769" t="s">
        <v>7528</v>
      </c>
      <c r="CB1769" t="s">
        <v>7528</v>
      </c>
      <c r="CL1769" t="s">
        <v>98</v>
      </c>
      <c r="CM1769" t="s">
        <v>98</v>
      </c>
      <c r="CN1769" t="s">
        <v>7528</v>
      </c>
      <c r="CP1769" s="1">
        <v>43633</v>
      </c>
    </row>
    <row r="1770" spans="1:94" x14ac:dyDescent="0.25">
      <c r="A1770" t="s">
        <v>5462</v>
      </c>
      <c r="B1770" t="str">
        <f xml:space="preserve"> "" &amp; 747396093512</f>
        <v>747396093512</v>
      </c>
      <c r="C1770" t="s">
        <v>5154</v>
      </c>
      <c r="D1770" t="s">
        <v>7135</v>
      </c>
      <c r="E1770" t="s">
        <v>2589</v>
      </c>
      <c r="F1770" t="s">
        <v>627</v>
      </c>
      <c r="G1770">
        <v>1</v>
      </c>
      <c r="H1770">
        <v>1</v>
      </c>
      <c r="I1770" t="s">
        <v>97</v>
      </c>
      <c r="J1770" s="10">
        <v>10</v>
      </c>
      <c r="K1770" s="10">
        <v>30</v>
      </c>
      <c r="L1770" s="10">
        <v>0</v>
      </c>
      <c r="N1770" s="10">
        <v>0</v>
      </c>
      <c r="W1770">
        <v>1.2</v>
      </c>
      <c r="Y1770">
        <v>7</v>
      </c>
      <c r="Z1770">
        <v>17.5</v>
      </c>
      <c r="AA1770">
        <v>10.130000000000001</v>
      </c>
      <c r="AB1770">
        <v>0.71799999999999997</v>
      </c>
      <c r="AC1770">
        <v>1.3</v>
      </c>
      <c r="AF1770" t="s">
        <v>7528</v>
      </c>
      <c r="AK1770" t="s">
        <v>98</v>
      </c>
      <c r="AM1770" t="s">
        <v>98</v>
      </c>
      <c r="AN1770" t="s">
        <v>98</v>
      </c>
      <c r="AO1770" t="s">
        <v>98</v>
      </c>
      <c r="AP1770" t="s">
        <v>100</v>
      </c>
      <c r="AV1770" t="s">
        <v>98</v>
      </c>
      <c r="AX1770" t="s">
        <v>7528</v>
      </c>
      <c r="AZ1770" t="s">
        <v>7528</v>
      </c>
      <c r="BB1770" t="s">
        <v>7528</v>
      </c>
      <c r="BC1770" t="s">
        <v>7528</v>
      </c>
      <c r="BD1770" t="s">
        <v>7528</v>
      </c>
      <c r="BF1770" t="s">
        <v>5463</v>
      </c>
      <c r="BG1770" t="s">
        <v>98</v>
      </c>
      <c r="BH1770" t="s">
        <v>98</v>
      </c>
      <c r="BI1770" t="s">
        <v>98</v>
      </c>
      <c r="BK1770" t="s">
        <v>7528</v>
      </c>
      <c r="BL1770" t="s">
        <v>7528</v>
      </c>
      <c r="CB1770" t="s">
        <v>7528</v>
      </c>
      <c r="CL1770" t="s">
        <v>98</v>
      </c>
      <c r="CM1770" t="s">
        <v>98</v>
      </c>
      <c r="CN1770" t="s">
        <v>7528</v>
      </c>
      <c r="CP1770" s="1">
        <v>43633</v>
      </c>
    </row>
    <row r="1771" spans="1:94" x14ac:dyDescent="0.25">
      <c r="A1771" t="s">
        <v>5464</v>
      </c>
      <c r="B1771" t="str">
        <f xml:space="preserve"> "" &amp; 747396093529</f>
        <v>747396093529</v>
      </c>
      <c r="C1771" t="s">
        <v>5154</v>
      </c>
      <c r="D1771" t="s">
        <v>7136</v>
      </c>
      <c r="E1771" t="s">
        <v>2589</v>
      </c>
      <c r="F1771" t="s">
        <v>627</v>
      </c>
      <c r="G1771">
        <v>1</v>
      </c>
      <c r="H1771">
        <v>1</v>
      </c>
      <c r="I1771" t="s">
        <v>97</v>
      </c>
      <c r="J1771" s="10">
        <v>7</v>
      </c>
      <c r="K1771" s="10">
        <v>21</v>
      </c>
      <c r="L1771" s="10">
        <v>0</v>
      </c>
      <c r="N1771" s="10">
        <v>0</v>
      </c>
      <c r="W1771">
        <v>0.59</v>
      </c>
      <c r="Y1771">
        <v>6.125</v>
      </c>
      <c r="Z1771">
        <v>17.375</v>
      </c>
      <c r="AA1771">
        <v>14.5</v>
      </c>
      <c r="AB1771">
        <v>0.89300000000000002</v>
      </c>
      <c r="AC1771">
        <v>0.75</v>
      </c>
      <c r="AF1771" t="s">
        <v>7528</v>
      </c>
      <c r="AK1771" t="s">
        <v>98</v>
      </c>
      <c r="AM1771" t="s">
        <v>98</v>
      </c>
      <c r="AN1771" t="s">
        <v>98</v>
      </c>
      <c r="AO1771" t="s">
        <v>98</v>
      </c>
      <c r="AP1771" t="s">
        <v>100</v>
      </c>
      <c r="AV1771" t="s">
        <v>98</v>
      </c>
      <c r="AX1771" t="s">
        <v>7528</v>
      </c>
      <c r="AZ1771" t="s">
        <v>7528</v>
      </c>
      <c r="BB1771" t="s">
        <v>7528</v>
      </c>
      <c r="BC1771" t="s">
        <v>7528</v>
      </c>
      <c r="BD1771" t="s">
        <v>7528</v>
      </c>
      <c r="BF1771" t="s">
        <v>5465</v>
      </c>
      <c r="BG1771" t="s">
        <v>98</v>
      </c>
      <c r="BH1771" t="s">
        <v>98</v>
      </c>
      <c r="BI1771" t="s">
        <v>98</v>
      </c>
      <c r="BK1771" t="s">
        <v>7528</v>
      </c>
      <c r="BL1771" t="s">
        <v>7528</v>
      </c>
      <c r="CB1771" t="s">
        <v>7528</v>
      </c>
      <c r="CL1771" t="s">
        <v>98</v>
      </c>
      <c r="CM1771" t="s">
        <v>98</v>
      </c>
      <c r="CN1771" t="s">
        <v>7528</v>
      </c>
      <c r="CP1771" s="1">
        <v>43633</v>
      </c>
    </row>
    <row r="1772" spans="1:94" x14ac:dyDescent="0.25">
      <c r="A1772" t="s">
        <v>5466</v>
      </c>
      <c r="B1772" t="str">
        <f xml:space="preserve"> "" &amp; 747396093543</f>
        <v>747396093543</v>
      </c>
      <c r="C1772" t="s">
        <v>5154</v>
      </c>
      <c r="D1772" t="s">
        <v>7137</v>
      </c>
      <c r="E1772" t="s">
        <v>2589</v>
      </c>
      <c r="F1772" t="s">
        <v>627</v>
      </c>
      <c r="G1772">
        <v>1</v>
      </c>
      <c r="H1772">
        <v>1</v>
      </c>
      <c r="I1772" t="s">
        <v>97</v>
      </c>
      <c r="J1772" s="10">
        <v>18.5</v>
      </c>
      <c r="K1772" s="10">
        <v>55.5</v>
      </c>
      <c r="L1772" s="10">
        <v>0</v>
      </c>
      <c r="N1772" s="10">
        <v>0</v>
      </c>
      <c r="W1772">
        <v>0.73</v>
      </c>
      <c r="Y1772">
        <v>7</v>
      </c>
      <c r="Z1772">
        <v>34.5</v>
      </c>
      <c r="AA1772">
        <v>10</v>
      </c>
      <c r="AB1772">
        <v>1.3979999999999999</v>
      </c>
      <c r="AC1772">
        <v>1.06</v>
      </c>
      <c r="AF1772" t="s">
        <v>7528</v>
      </c>
      <c r="AK1772" t="s">
        <v>98</v>
      </c>
      <c r="AM1772" t="s">
        <v>98</v>
      </c>
      <c r="AN1772" t="s">
        <v>98</v>
      </c>
      <c r="AO1772" t="s">
        <v>98</v>
      </c>
      <c r="AP1772" t="s">
        <v>100</v>
      </c>
      <c r="AV1772" t="s">
        <v>98</v>
      </c>
      <c r="AX1772" t="s">
        <v>7528</v>
      </c>
      <c r="AZ1772" t="s">
        <v>7528</v>
      </c>
      <c r="BB1772" t="s">
        <v>7528</v>
      </c>
      <c r="BC1772" t="s">
        <v>7528</v>
      </c>
      <c r="BD1772" t="s">
        <v>7528</v>
      </c>
      <c r="BF1772" t="s">
        <v>5467</v>
      </c>
      <c r="BG1772" t="s">
        <v>98</v>
      </c>
      <c r="BH1772" t="s">
        <v>98</v>
      </c>
      <c r="BI1772" t="s">
        <v>98</v>
      </c>
      <c r="BK1772" t="s">
        <v>7528</v>
      </c>
      <c r="BL1772" t="s">
        <v>7528</v>
      </c>
      <c r="CB1772" t="s">
        <v>7528</v>
      </c>
      <c r="CL1772" t="s">
        <v>98</v>
      </c>
      <c r="CM1772" t="s">
        <v>98</v>
      </c>
      <c r="CN1772" t="s">
        <v>7528</v>
      </c>
      <c r="CP1772" s="1">
        <v>43633</v>
      </c>
    </row>
    <row r="1773" spans="1:94" x14ac:dyDescent="0.25">
      <c r="A1773" t="s">
        <v>5468</v>
      </c>
      <c r="B1773" t="str">
        <f xml:space="preserve"> "" &amp; 747396093550</f>
        <v>747396093550</v>
      </c>
      <c r="C1773" t="s">
        <v>5154</v>
      </c>
      <c r="D1773" t="s">
        <v>7138</v>
      </c>
      <c r="E1773" t="s">
        <v>2589</v>
      </c>
      <c r="F1773" t="s">
        <v>627</v>
      </c>
      <c r="G1773">
        <v>1</v>
      </c>
      <c r="H1773">
        <v>1</v>
      </c>
      <c r="I1773" t="s">
        <v>97</v>
      </c>
      <c r="J1773" s="10">
        <v>10</v>
      </c>
      <c r="K1773" s="10">
        <v>30</v>
      </c>
      <c r="L1773" s="10">
        <v>0</v>
      </c>
      <c r="N1773" s="10">
        <v>0</v>
      </c>
      <c r="W1773">
        <v>1.1399999999999999</v>
      </c>
      <c r="Y1773">
        <v>7</v>
      </c>
      <c r="Z1773">
        <v>17</v>
      </c>
      <c r="AA1773">
        <v>10</v>
      </c>
      <c r="AB1773">
        <v>0.68899999999999995</v>
      </c>
      <c r="AC1773">
        <v>1.23</v>
      </c>
      <c r="AF1773" t="s">
        <v>7528</v>
      </c>
      <c r="AK1773" t="s">
        <v>98</v>
      </c>
      <c r="AM1773" t="s">
        <v>98</v>
      </c>
      <c r="AN1773" t="s">
        <v>98</v>
      </c>
      <c r="AO1773" t="s">
        <v>98</v>
      </c>
      <c r="AP1773" t="s">
        <v>100</v>
      </c>
      <c r="AV1773" t="s">
        <v>98</v>
      </c>
      <c r="AX1773" t="s">
        <v>7528</v>
      </c>
      <c r="AZ1773" t="s">
        <v>7528</v>
      </c>
      <c r="BB1773" t="s">
        <v>7528</v>
      </c>
      <c r="BC1773" t="s">
        <v>7528</v>
      </c>
      <c r="BD1773" t="s">
        <v>7528</v>
      </c>
      <c r="BF1773" t="s">
        <v>5469</v>
      </c>
      <c r="BG1773" t="s">
        <v>98</v>
      </c>
      <c r="BH1773" t="s">
        <v>98</v>
      </c>
      <c r="BI1773" t="s">
        <v>98</v>
      </c>
      <c r="BK1773" t="s">
        <v>7528</v>
      </c>
      <c r="BL1773" t="s">
        <v>7528</v>
      </c>
      <c r="CB1773" t="s">
        <v>7528</v>
      </c>
      <c r="CL1773" t="s">
        <v>98</v>
      </c>
      <c r="CM1773" t="s">
        <v>98</v>
      </c>
      <c r="CN1773" t="s">
        <v>7528</v>
      </c>
      <c r="CP1773" s="1">
        <v>43633</v>
      </c>
    </row>
    <row r="1774" spans="1:94" x14ac:dyDescent="0.25">
      <c r="A1774" t="s">
        <v>5470</v>
      </c>
      <c r="B1774" t="str">
        <f xml:space="preserve"> "" &amp; 747396093567</f>
        <v>747396093567</v>
      </c>
      <c r="C1774" t="s">
        <v>5154</v>
      </c>
      <c r="D1774" t="s">
        <v>7139</v>
      </c>
      <c r="E1774" t="s">
        <v>2589</v>
      </c>
      <c r="F1774" t="s">
        <v>627</v>
      </c>
      <c r="G1774">
        <v>1</v>
      </c>
      <c r="H1774">
        <v>1</v>
      </c>
      <c r="I1774" t="s">
        <v>97</v>
      </c>
      <c r="J1774" s="10">
        <v>5</v>
      </c>
      <c r="K1774" s="10">
        <v>15</v>
      </c>
      <c r="L1774" s="10">
        <v>0</v>
      </c>
      <c r="N1774" s="10">
        <v>0</v>
      </c>
      <c r="W1774">
        <v>0.41</v>
      </c>
      <c r="Y1774">
        <v>6.1</v>
      </c>
      <c r="Z1774">
        <v>14.17</v>
      </c>
      <c r="AA1774">
        <v>10.24</v>
      </c>
      <c r="AB1774">
        <v>0.51200000000000001</v>
      </c>
      <c r="AC1774">
        <v>0.51</v>
      </c>
      <c r="AF1774" t="s">
        <v>7528</v>
      </c>
      <c r="AK1774" t="s">
        <v>98</v>
      </c>
      <c r="AM1774" t="s">
        <v>98</v>
      </c>
      <c r="AN1774" t="s">
        <v>98</v>
      </c>
      <c r="AO1774" t="s">
        <v>98</v>
      </c>
      <c r="AP1774" t="s">
        <v>100</v>
      </c>
      <c r="AV1774" t="s">
        <v>98</v>
      </c>
      <c r="AX1774" t="s">
        <v>7528</v>
      </c>
      <c r="AZ1774" t="s">
        <v>7528</v>
      </c>
      <c r="BB1774" t="s">
        <v>7528</v>
      </c>
      <c r="BC1774" t="s">
        <v>7528</v>
      </c>
      <c r="BD1774" t="s">
        <v>7528</v>
      </c>
      <c r="BF1774" t="s">
        <v>5471</v>
      </c>
      <c r="BG1774" t="s">
        <v>98</v>
      </c>
      <c r="BH1774" t="s">
        <v>98</v>
      </c>
      <c r="BI1774" t="s">
        <v>98</v>
      </c>
      <c r="BK1774" t="s">
        <v>7528</v>
      </c>
      <c r="BL1774" t="s">
        <v>7528</v>
      </c>
      <c r="CB1774" t="s">
        <v>7528</v>
      </c>
      <c r="CL1774" t="s">
        <v>98</v>
      </c>
      <c r="CM1774" t="s">
        <v>98</v>
      </c>
      <c r="CN1774" t="s">
        <v>7528</v>
      </c>
      <c r="CP1774" s="1">
        <v>43633</v>
      </c>
    </row>
    <row r="1775" spans="1:94" x14ac:dyDescent="0.25">
      <c r="A1775" t="s">
        <v>5472</v>
      </c>
      <c r="B1775" t="str">
        <f xml:space="preserve"> "" &amp; 747396090450</f>
        <v>747396090450</v>
      </c>
      <c r="C1775" t="s">
        <v>5154</v>
      </c>
      <c r="D1775" t="s">
        <v>7140</v>
      </c>
      <c r="E1775" t="s">
        <v>2621</v>
      </c>
      <c r="F1775" t="s">
        <v>627</v>
      </c>
      <c r="G1775">
        <v>1</v>
      </c>
      <c r="H1775">
        <v>1</v>
      </c>
      <c r="I1775" t="s">
        <v>97</v>
      </c>
      <c r="J1775" s="10">
        <v>9.5</v>
      </c>
      <c r="K1775" s="10">
        <v>28.5</v>
      </c>
      <c r="L1775" s="10">
        <v>0</v>
      </c>
      <c r="N1775" s="10">
        <v>0</v>
      </c>
      <c r="S1775">
        <v>6.25</v>
      </c>
      <c r="T1775">
        <v>7</v>
      </c>
      <c r="U1775">
        <v>7</v>
      </c>
      <c r="W1775">
        <v>1.32</v>
      </c>
      <c r="X1775">
        <v>1</v>
      </c>
      <c r="Y1775">
        <v>6.25</v>
      </c>
      <c r="Z1775">
        <v>7</v>
      </c>
      <c r="AA1775">
        <v>7</v>
      </c>
      <c r="AB1775">
        <v>0.17699999999999999</v>
      </c>
      <c r="AC1775">
        <v>1.98</v>
      </c>
      <c r="AF1775" t="s">
        <v>7528</v>
      </c>
      <c r="AK1775" t="s">
        <v>98</v>
      </c>
      <c r="AM1775" t="s">
        <v>98</v>
      </c>
      <c r="AN1775" t="s">
        <v>98</v>
      </c>
      <c r="AO1775" t="s">
        <v>98</v>
      </c>
      <c r="AP1775" t="s">
        <v>100</v>
      </c>
      <c r="AV1775" t="s">
        <v>98</v>
      </c>
      <c r="AX1775" t="s">
        <v>7528</v>
      </c>
      <c r="AZ1775" t="s">
        <v>7528</v>
      </c>
      <c r="BB1775" t="s">
        <v>7528</v>
      </c>
      <c r="BC1775" t="s">
        <v>7528</v>
      </c>
      <c r="BD1775" t="s">
        <v>7528</v>
      </c>
      <c r="BF1775" t="s">
        <v>5473</v>
      </c>
      <c r="BG1775" t="s">
        <v>98</v>
      </c>
      <c r="BH1775" t="s">
        <v>98</v>
      </c>
      <c r="BI1775" t="s">
        <v>98</v>
      </c>
      <c r="BK1775" t="s">
        <v>7528</v>
      </c>
      <c r="BL1775" t="s">
        <v>7528</v>
      </c>
      <c r="CB1775" t="s">
        <v>7528</v>
      </c>
      <c r="CL1775" t="s">
        <v>98</v>
      </c>
      <c r="CM1775" t="s">
        <v>98</v>
      </c>
      <c r="CN1775" t="s">
        <v>7528</v>
      </c>
      <c r="CP1775" s="1">
        <v>43595</v>
      </c>
    </row>
    <row r="1776" spans="1:94" x14ac:dyDescent="0.25">
      <c r="A1776" t="s">
        <v>5474</v>
      </c>
      <c r="B1776" t="str">
        <f xml:space="preserve"> "" &amp; 747396090436</f>
        <v>747396090436</v>
      </c>
      <c r="C1776" t="s">
        <v>5154</v>
      </c>
      <c r="D1776" t="s">
        <v>7141</v>
      </c>
      <c r="E1776" t="s">
        <v>2649</v>
      </c>
      <c r="F1776" t="s">
        <v>627</v>
      </c>
      <c r="G1776">
        <v>1</v>
      </c>
      <c r="H1776">
        <v>1</v>
      </c>
      <c r="I1776" t="s">
        <v>97</v>
      </c>
      <c r="J1776" s="10">
        <v>42.5</v>
      </c>
      <c r="K1776" s="10">
        <v>127.5</v>
      </c>
      <c r="L1776" s="10">
        <v>0</v>
      </c>
      <c r="N1776" s="10">
        <v>0</v>
      </c>
      <c r="W1776">
        <v>3.63</v>
      </c>
      <c r="X1776">
        <v>1</v>
      </c>
      <c r="Y1776">
        <v>6.25</v>
      </c>
      <c r="Z1776">
        <v>17.25</v>
      </c>
      <c r="AA1776">
        <v>17.25</v>
      </c>
      <c r="AB1776">
        <v>1.0760000000000001</v>
      </c>
      <c r="AC1776">
        <v>4.47</v>
      </c>
      <c r="AF1776" t="s">
        <v>7528</v>
      </c>
      <c r="AK1776" t="s">
        <v>98</v>
      </c>
      <c r="AM1776" t="s">
        <v>98</v>
      </c>
      <c r="AN1776" t="s">
        <v>98</v>
      </c>
      <c r="AO1776" t="s">
        <v>98</v>
      </c>
      <c r="AP1776" t="s">
        <v>100</v>
      </c>
      <c r="AV1776" t="s">
        <v>98</v>
      </c>
      <c r="AX1776" t="s">
        <v>7528</v>
      </c>
      <c r="AZ1776" t="s">
        <v>7528</v>
      </c>
      <c r="BB1776" t="s">
        <v>7528</v>
      </c>
      <c r="BC1776" t="s">
        <v>7528</v>
      </c>
      <c r="BD1776" t="s">
        <v>7528</v>
      </c>
      <c r="BF1776" t="s">
        <v>5475</v>
      </c>
      <c r="BG1776" t="s">
        <v>98</v>
      </c>
      <c r="BH1776" t="s">
        <v>98</v>
      </c>
      <c r="BI1776" t="s">
        <v>98</v>
      </c>
      <c r="BK1776" t="s">
        <v>7528</v>
      </c>
      <c r="BL1776" t="s">
        <v>7528</v>
      </c>
      <c r="CB1776" t="s">
        <v>7528</v>
      </c>
      <c r="CL1776" t="s">
        <v>98</v>
      </c>
      <c r="CM1776" t="s">
        <v>98</v>
      </c>
      <c r="CN1776" t="s">
        <v>7528</v>
      </c>
      <c r="CP1776" s="1">
        <v>43595</v>
      </c>
    </row>
    <row r="1777" spans="1:94" x14ac:dyDescent="0.25">
      <c r="A1777" t="s">
        <v>5476</v>
      </c>
      <c r="B1777" t="str">
        <f xml:space="preserve"> "" &amp; 747396093314</f>
        <v>747396093314</v>
      </c>
      <c r="C1777" t="s">
        <v>5154</v>
      </c>
      <c r="D1777" t="s">
        <v>5477</v>
      </c>
      <c r="E1777" t="s">
        <v>2692</v>
      </c>
      <c r="F1777" t="s">
        <v>627</v>
      </c>
      <c r="G1777">
        <v>1</v>
      </c>
      <c r="H1777">
        <v>1</v>
      </c>
      <c r="I1777" t="s">
        <v>97</v>
      </c>
      <c r="J1777" s="10">
        <v>30</v>
      </c>
      <c r="K1777" s="10">
        <v>90</v>
      </c>
      <c r="L1777" s="10">
        <v>0</v>
      </c>
      <c r="N1777" s="10">
        <v>0</v>
      </c>
      <c r="W1777">
        <v>7.77</v>
      </c>
      <c r="Y1777">
        <v>7.63</v>
      </c>
      <c r="Z1777">
        <v>24.75</v>
      </c>
      <c r="AA1777">
        <v>24.75</v>
      </c>
      <c r="AB1777">
        <v>2.7050000000000001</v>
      </c>
      <c r="AC1777">
        <v>12.54</v>
      </c>
      <c r="AF1777" t="s">
        <v>7528</v>
      </c>
      <c r="AK1777" t="s">
        <v>98</v>
      </c>
      <c r="AM1777" t="s">
        <v>98</v>
      </c>
      <c r="AN1777" t="s">
        <v>98</v>
      </c>
      <c r="AO1777" t="s">
        <v>98</v>
      </c>
      <c r="AP1777" t="s">
        <v>100</v>
      </c>
      <c r="AV1777" t="s">
        <v>98</v>
      </c>
      <c r="AX1777" t="s">
        <v>7528</v>
      </c>
      <c r="AZ1777" t="s">
        <v>7528</v>
      </c>
      <c r="BB1777" t="s">
        <v>7528</v>
      </c>
      <c r="BC1777" t="s">
        <v>7528</v>
      </c>
      <c r="BD1777" t="s">
        <v>7528</v>
      </c>
      <c r="BF1777" t="s">
        <v>5478</v>
      </c>
      <c r="BG1777" t="s">
        <v>98</v>
      </c>
      <c r="BH1777" t="s">
        <v>98</v>
      </c>
      <c r="BI1777" t="s">
        <v>98</v>
      </c>
      <c r="BK1777" t="s">
        <v>7528</v>
      </c>
      <c r="BL1777" t="s">
        <v>7528</v>
      </c>
      <c r="CB1777" t="s">
        <v>7528</v>
      </c>
      <c r="CL1777" t="s">
        <v>98</v>
      </c>
      <c r="CM1777" t="s">
        <v>98</v>
      </c>
      <c r="CN1777" t="s">
        <v>7528</v>
      </c>
      <c r="CP1777" s="1">
        <v>43595</v>
      </c>
    </row>
    <row r="1778" spans="1:94" x14ac:dyDescent="0.25">
      <c r="A1778" t="s">
        <v>5479</v>
      </c>
      <c r="B1778" t="str">
        <f xml:space="preserve"> "" &amp; 747396031347</f>
        <v>747396031347</v>
      </c>
      <c r="C1778" t="s">
        <v>5480</v>
      </c>
      <c r="D1778" t="s">
        <v>7142</v>
      </c>
      <c r="E1778" t="s">
        <v>7528</v>
      </c>
      <c r="F1778" t="s">
        <v>627</v>
      </c>
      <c r="G1778">
        <v>1</v>
      </c>
      <c r="H1778">
        <v>1</v>
      </c>
      <c r="I1778" t="s">
        <v>97</v>
      </c>
      <c r="J1778" s="10">
        <v>18</v>
      </c>
      <c r="K1778" s="10">
        <v>54</v>
      </c>
      <c r="L1778" s="10">
        <v>0</v>
      </c>
      <c r="N1778" s="10">
        <v>0</v>
      </c>
      <c r="S1778">
        <v>5</v>
      </c>
      <c r="U1778">
        <v>10.16</v>
      </c>
      <c r="V1778">
        <v>1.1599999999999999</v>
      </c>
      <c r="W1778">
        <v>0.94</v>
      </c>
      <c r="X1778">
        <v>1</v>
      </c>
      <c r="Y1778">
        <v>7.5</v>
      </c>
      <c r="Z1778">
        <v>12</v>
      </c>
      <c r="AA1778">
        <v>12</v>
      </c>
      <c r="AB1778">
        <v>0.625</v>
      </c>
      <c r="AC1778">
        <v>1.43</v>
      </c>
      <c r="AF1778" t="s">
        <v>7528</v>
      </c>
      <c r="AK1778" t="s">
        <v>98</v>
      </c>
      <c r="AM1778" t="s">
        <v>98</v>
      </c>
      <c r="AN1778" t="s">
        <v>98</v>
      </c>
      <c r="AO1778" t="s">
        <v>98</v>
      </c>
      <c r="AP1778" t="s">
        <v>100</v>
      </c>
      <c r="AQ1778" t="s">
        <v>101</v>
      </c>
      <c r="AV1778" t="s">
        <v>98</v>
      </c>
      <c r="AX1778" t="s">
        <v>7528</v>
      </c>
      <c r="AZ1778" t="s">
        <v>7528</v>
      </c>
      <c r="BB1778" t="s">
        <v>7528</v>
      </c>
      <c r="BC1778" t="s">
        <v>7528</v>
      </c>
      <c r="BD1778" t="s">
        <v>7528</v>
      </c>
      <c r="BF1778" t="s">
        <v>5481</v>
      </c>
      <c r="BG1778" t="s">
        <v>98</v>
      </c>
      <c r="BH1778" t="s">
        <v>98</v>
      </c>
      <c r="BI1778" t="s">
        <v>98</v>
      </c>
      <c r="BK1778" t="s">
        <v>7528</v>
      </c>
      <c r="BL1778" t="s">
        <v>7528</v>
      </c>
      <c r="CA1778" t="s">
        <v>5479</v>
      </c>
      <c r="CB1778" t="s">
        <v>7528</v>
      </c>
      <c r="CL1778" t="s">
        <v>98</v>
      </c>
      <c r="CM1778" t="s">
        <v>98</v>
      </c>
      <c r="CN1778" t="s">
        <v>7528</v>
      </c>
      <c r="CO1778" s="1">
        <v>40242</v>
      </c>
      <c r="CP1778" s="1">
        <v>43633</v>
      </c>
    </row>
    <row r="1779" spans="1:94" x14ac:dyDescent="0.25">
      <c r="A1779" t="s">
        <v>5482</v>
      </c>
      <c r="B1779" t="str">
        <f xml:space="preserve"> "" &amp; 747396060651</f>
        <v>747396060651</v>
      </c>
      <c r="C1779" t="s">
        <v>5177</v>
      </c>
      <c r="D1779" t="s">
        <v>7143</v>
      </c>
      <c r="E1779" t="s">
        <v>7528</v>
      </c>
      <c r="F1779" t="s">
        <v>627</v>
      </c>
      <c r="G1779">
        <v>1</v>
      </c>
      <c r="H1779">
        <v>1</v>
      </c>
      <c r="I1779" t="s">
        <v>97</v>
      </c>
      <c r="J1779" s="10">
        <v>10</v>
      </c>
      <c r="K1779" s="10">
        <v>30</v>
      </c>
      <c r="L1779" s="10">
        <v>0</v>
      </c>
      <c r="N1779" s="10">
        <v>0</v>
      </c>
      <c r="S1779">
        <v>3.13</v>
      </c>
      <c r="U1779">
        <v>9.8800000000000008</v>
      </c>
      <c r="W1779">
        <v>1</v>
      </c>
      <c r="AB1779">
        <v>0.42830000000000001</v>
      </c>
      <c r="AC1779">
        <v>2.75</v>
      </c>
      <c r="AF1779" t="s">
        <v>7528</v>
      </c>
      <c r="AK1779" t="s">
        <v>98</v>
      </c>
      <c r="AM1779" t="s">
        <v>98</v>
      </c>
      <c r="AN1779" t="s">
        <v>98</v>
      </c>
      <c r="AO1779" t="s">
        <v>98</v>
      </c>
      <c r="AP1779" t="s">
        <v>100</v>
      </c>
      <c r="AQ1779" t="s">
        <v>101</v>
      </c>
      <c r="AV1779" t="s">
        <v>98</v>
      </c>
      <c r="AX1779" t="s">
        <v>7528</v>
      </c>
      <c r="AZ1779" t="s">
        <v>7528</v>
      </c>
      <c r="BB1779" t="s">
        <v>7528</v>
      </c>
      <c r="BC1779" t="s">
        <v>7528</v>
      </c>
      <c r="BD1779" t="s">
        <v>7528</v>
      </c>
      <c r="BF1779" t="s">
        <v>5483</v>
      </c>
      <c r="BG1779" t="s">
        <v>98</v>
      </c>
      <c r="BH1779" t="s">
        <v>98</v>
      </c>
      <c r="BI1779" t="s">
        <v>98</v>
      </c>
      <c r="BK1779" t="s">
        <v>7528</v>
      </c>
      <c r="BL1779" t="s">
        <v>7528</v>
      </c>
      <c r="CA1779" t="s">
        <v>5482</v>
      </c>
      <c r="CB1779" t="s">
        <v>7528</v>
      </c>
      <c r="CL1779" t="s">
        <v>98</v>
      </c>
      <c r="CM1779" t="s">
        <v>98</v>
      </c>
      <c r="CN1779" t="s">
        <v>7528</v>
      </c>
      <c r="CO1779" s="1">
        <v>40259</v>
      </c>
      <c r="CP1779" s="1">
        <v>43595</v>
      </c>
    </row>
    <row r="1780" spans="1:94" x14ac:dyDescent="0.25">
      <c r="A1780" t="s">
        <v>5484</v>
      </c>
      <c r="B1780" t="str">
        <f xml:space="preserve"> "" &amp; 747396031910</f>
        <v>747396031910</v>
      </c>
      <c r="C1780" t="s">
        <v>947</v>
      </c>
      <c r="D1780" t="s">
        <v>7144</v>
      </c>
      <c r="E1780" t="s">
        <v>7528</v>
      </c>
      <c r="F1780" t="s">
        <v>627</v>
      </c>
      <c r="G1780">
        <v>1</v>
      </c>
      <c r="H1780">
        <v>1</v>
      </c>
      <c r="I1780" t="s">
        <v>97</v>
      </c>
      <c r="J1780" s="10">
        <v>22.5</v>
      </c>
      <c r="K1780" s="10">
        <v>67.5</v>
      </c>
      <c r="L1780" s="10">
        <v>0</v>
      </c>
      <c r="N1780" s="10">
        <v>0</v>
      </c>
      <c r="S1780">
        <v>10</v>
      </c>
      <c r="U1780">
        <v>9.75</v>
      </c>
      <c r="V1780">
        <v>3.68</v>
      </c>
      <c r="W1780">
        <v>1.54</v>
      </c>
      <c r="X1780">
        <v>1</v>
      </c>
      <c r="Y1780">
        <v>26.12</v>
      </c>
      <c r="Z1780">
        <v>28.87</v>
      </c>
      <c r="AA1780">
        <v>14.25</v>
      </c>
      <c r="AB1780">
        <v>6.2190000000000003</v>
      </c>
      <c r="AC1780">
        <v>4.91</v>
      </c>
      <c r="AF1780" t="s">
        <v>7528</v>
      </c>
      <c r="AK1780" t="s">
        <v>98</v>
      </c>
      <c r="AM1780" t="s">
        <v>98</v>
      </c>
      <c r="AN1780" t="s">
        <v>98</v>
      </c>
      <c r="AO1780" t="s">
        <v>98</v>
      </c>
      <c r="AP1780" t="s">
        <v>100</v>
      </c>
      <c r="AQ1780" t="s">
        <v>101</v>
      </c>
      <c r="AV1780" t="s">
        <v>98</v>
      </c>
      <c r="AX1780" t="s">
        <v>7528</v>
      </c>
      <c r="AZ1780" t="s">
        <v>7528</v>
      </c>
      <c r="BB1780" t="s">
        <v>7528</v>
      </c>
      <c r="BC1780" t="s">
        <v>7528</v>
      </c>
      <c r="BD1780" t="s">
        <v>7528</v>
      </c>
      <c r="BF1780" t="s">
        <v>5485</v>
      </c>
      <c r="BG1780" t="s">
        <v>98</v>
      </c>
      <c r="BH1780" t="s">
        <v>98</v>
      </c>
      <c r="BI1780" t="s">
        <v>98</v>
      </c>
      <c r="BK1780" t="s">
        <v>7528</v>
      </c>
      <c r="BL1780" t="s">
        <v>7528</v>
      </c>
      <c r="CA1780" t="s">
        <v>5484</v>
      </c>
      <c r="CB1780" t="s">
        <v>7528</v>
      </c>
      <c r="CL1780" t="s">
        <v>98</v>
      </c>
      <c r="CM1780" t="s">
        <v>98</v>
      </c>
      <c r="CN1780" t="s">
        <v>7528</v>
      </c>
      <c r="CO1780" s="1">
        <v>40247</v>
      </c>
      <c r="CP1780" s="1">
        <v>43633</v>
      </c>
    </row>
    <row r="1781" spans="1:94" x14ac:dyDescent="0.25">
      <c r="A1781" t="s">
        <v>5486</v>
      </c>
      <c r="B1781" t="str">
        <f xml:space="preserve"> "" &amp; 747396047508</f>
        <v>747396047508</v>
      </c>
      <c r="C1781" t="s">
        <v>5177</v>
      </c>
      <c r="D1781" t="s">
        <v>7145</v>
      </c>
      <c r="E1781" t="s">
        <v>7528</v>
      </c>
      <c r="F1781" t="s">
        <v>627</v>
      </c>
      <c r="G1781">
        <v>1</v>
      </c>
      <c r="H1781">
        <v>1</v>
      </c>
      <c r="I1781" t="s">
        <v>97</v>
      </c>
      <c r="J1781" s="10">
        <v>14</v>
      </c>
      <c r="K1781" s="10">
        <v>42</v>
      </c>
      <c r="L1781" s="10">
        <v>0</v>
      </c>
      <c r="N1781" s="10">
        <v>0</v>
      </c>
      <c r="S1781">
        <v>4.5</v>
      </c>
      <c r="T1781">
        <v>9</v>
      </c>
      <c r="U1781">
        <v>6.38</v>
      </c>
      <c r="W1781">
        <v>1.23</v>
      </c>
      <c r="X1781">
        <v>1</v>
      </c>
      <c r="Y1781">
        <v>7.75</v>
      </c>
      <c r="Z1781">
        <v>9</v>
      </c>
      <c r="AA1781">
        <v>9</v>
      </c>
      <c r="AB1781">
        <v>0.36299999999999999</v>
      </c>
      <c r="AC1781">
        <v>2.0680000000000001</v>
      </c>
      <c r="AF1781" t="s">
        <v>7528</v>
      </c>
      <c r="AK1781" t="s">
        <v>98</v>
      </c>
      <c r="AM1781" t="s">
        <v>98</v>
      </c>
      <c r="AN1781" t="s">
        <v>98</v>
      </c>
      <c r="AO1781" t="s">
        <v>98</v>
      </c>
      <c r="AP1781" t="s">
        <v>100</v>
      </c>
      <c r="AQ1781" t="s">
        <v>101</v>
      </c>
      <c r="AV1781" t="s">
        <v>98</v>
      </c>
      <c r="AX1781" t="s">
        <v>7528</v>
      </c>
      <c r="AZ1781" t="s">
        <v>7528</v>
      </c>
      <c r="BB1781" t="s">
        <v>7528</v>
      </c>
      <c r="BC1781" t="s">
        <v>7528</v>
      </c>
      <c r="BD1781" t="s">
        <v>7528</v>
      </c>
      <c r="BF1781" t="s">
        <v>5487</v>
      </c>
      <c r="BG1781" t="s">
        <v>98</v>
      </c>
      <c r="BH1781" t="s">
        <v>98</v>
      </c>
      <c r="BI1781" t="s">
        <v>98</v>
      </c>
      <c r="BK1781" t="s">
        <v>7528</v>
      </c>
      <c r="BL1781" t="s">
        <v>7528</v>
      </c>
      <c r="CA1781" t="s">
        <v>5486</v>
      </c>
      <c r="CB1781" t="s">
        <v>7528</v>
      </c>
      <c r="CL1781" t="s">
        <v>98</v>
      </c>
      <c r="CM1781" t="s">
        <v>98</v>
      </c>
      <c r="CN1781" t="s">
        <v>7528</v>
      </c>
      <c r="CO1781" s="1">
        <v>40248</v>
      </c>
      <c r="CP1781" s="1">
        <v>43595</v>
      </c>
    </row>
    <row r="1782" spans="1:94" x14ac:dyDescent="0.25">
      <c r="A1782" t="s">
        <v>5488</v>
      </c>
      <c r="B1782" t="str">
        <f xml:space="preserve"> "" &amp; 747396031934</f>
        <v>747396031934</v>
      </c>
      <c r="C1782" t="s">
        <v>5489</v>
      </c>
      <c r="D1782" t="s">
        <v>7146</v>
      </c>
      <c r="E1782" t="s">
        <v>7528</v>
      </c>
      <c r="F1782" t="s">
        <v>627</v>
      </c>
      <c r="G1782">
        <v>1</v>
      </c>
      <c r="H1782">
        <v>1</v>
      </c>
      <c r="I1782" t="s">
        <v>97</v>
      </c>
      <c r="J1782" s="10">
        <v>10</v>
      </c>
      <c r="K1782" s="10">
        <v>30</v>
      </c>
      <c r="L1782" s="10">
        <v>0</v>
      </c>
      <c r="N1782" s="10">
        <v>0</v>
      </c>
      <c r="S1782">
        <v>5</v>
      </c>
      <c r="U1782">
        <v>11.88</v>
      </c>
      <c r="V1782">
        <v>5.75</v>
      </c>
      <c r="W1782">
        <v>1.47</v>
      </c>
      <c r="X1782">
        <v>1</v>
      </c>
      <c r="Y1782">
        <v>19.75</v>
      </c>
      <c r="Z1782">
        <v>29.13</v>
      </c>
      <c r="AA1782">
        <v>15</v>
      </c>
      <c r="AB1782">
        <v>4.9939999999999998</v>
      </c>
      <c r="AC1782">
        <v>2.02</v>
      </c>
      <c r="AF1782" t="s">
        <v>7528</v>
      </c>
      <c r="AK1782" t="s">
        <v>98</v>
      </c>
      <c r="AM1782" t="s">
        <v>98</v>
      </c>
      <c r="AN1782" t="s">
        <v>98</v>
      </c>
      <c r="AO1782" t="s">
        <v>98</v>
      </c>
      <c r="AP1782" t="s">
        <v>100</v>
      </c>
      <c r="AQ1782" t="s">
        <v>101</v>
      </c>
      <c r="AV1782" t="s">
        <v>98</v>
      </c>
      <c r="AX1782" t="s">
        <v>7528</v>
      </c>
      <c r="AZ1782" t="s">
        <v>7528</v>
      </c>
      <c r="BB1782" t="s">
        <v>7528</v>
      </c>
      <c r="BC1782" t="s">
        <v>7528</v>
      </c>
      <c r="BD1782" t="s">
        <v>7528</v>
      </c>
      <c r="BF1782" t="s">
        <v>5490</v>
      </c>
      <c r="BG1782" t="s">
        <v>98</v>
      </c>
      <c r="BH1782" t="s">
        <v>98</v>
      </c>
      <c r="BI1782" t="s">
        <v>98</v>
      </c>
      <c r="BK1782" t="s">
        <v>7528</v>
      </c>
      <c r="BL1782" t="s">
        <v>7528</v>
      </c>
      <c r="CA1782" t="s">
        <v>5488</v>
      </c>
      <c r="CB1782" t="s">
        <v>7528</v>
      </c>
      <c r="CL1782" t="s">
        <v>98</v>
      </c>
      <c r="CM1782" t="s">
        <v>98</v>
      </c>
      <c r="CN1782" t="s">
        <v>7528</v>
      </c>
      <c r="CO1782" s="1">
        <v>40284</v>
      </c>
      <c r="CP1782" s="1">
        <v>43633</v>
      </c>
    </row>
    <row r="1783" spans="1:94" x14ac:dyDescent="0.25">
      <c r="A1783" t="s">
        <v>5491</v>
      </c>
      <c r="B1783" t="str">
        <f xml:space="preserve"> "" &amp; 747396032016</f>
        <v>747396032016</v>
      </c>
      <c r="C1783" t="s">
        <v>5154</v>
      </c>
      <c r="D1783" t="s">
        <v>7147</v>
      </c>
      <c r="E1783" t="s">
        <v>7528</v>
      </c>
      <c r="F1783" t="s">
        <v>627</v>
      </c>
      <c r="G1783">
        <v>1</v>
      </c>
      <c r="H1783">
        <v>1</v>
      </c>
      <c r="I1783" t="s">
        <v>97</v>
      </c>
      <c r="J1783" s="10">
        <v>27.5</v>
      </c>
      <c r="K1783" s="10">
        <v>82.5</v>
      </c>
      <c r="L1783" s="10">
        <v>0</v>
      </c>
      <c r="N1783" s="10">
        <v>0</v>
      </c>
      <c r="W1783">
        <v>3.21</v>
      </c>
      <c r="X1783">
        <v>1</v>
      </c>
      <c r="Y1783">
        <v>26.75</v>
      </c>
      <c r="Z1783">
        <v>20.75</v>
      </c>
      <c r="AA1783">
        <v>17.38</v>
      </c>
      <c r="AB1783">
        <v>5.5830000000000002</v>
      </c>
      <c r="AC1783">
        <v>4.3099999999999996</v>
      </c>
      <c r="AF1783" t="s">
        <v>7528</v>
      </c>
      <c r="AK1783" t="s">
        <v>98</v>
      </c>
      <c r="AM1783" t="s">
        <v>98</v>
      </c>
      <c r="AN1783" t="s">
        <v>98</v>
      </c>
      <c r="AO1783" t="s">
        <v>98</v>
      </c>
      <c r="AP1783" t="s">
        <v>100</v>
      </c>
      <c r="AV1783" t="s">
        <v>98</v>
      </c>
      <c r="AX1783" t="s">
        <v>7528</v>
      </c>
      <c r="AZ1783" t="s">
        <v>7528</v>
      </c>
      <c r="BB1783" t="s">
        <v>7528</v>
      </c>
      <c r="BC1783" t="s">
        <v>7528</v>
      </c>
      <c r="BD1783" t="s">
        <v>7528</v>
      </c>
      <c r="BF1783" t="s">
        <v>5492</v>
      </c>
      <c r="BG1783" t="s">
        <v>98</v>
      </c>
      <c r="BH1783" t="s">
        <v>98</v>
      </c>
      <c r="BI1783" t="s">
        <v>98</v>
      </c>
      <c r="BK1783" t="s">
        <v>7528</v>
      </c>
      <c r="BL1783" t="s">
        <v>7528</v>
      </c>
      <c r="CB1783" t="s">
        <v>7528</v>
      </c>
      <c r="CL1783" t="s">
        <v>98</v>
      </c>
      <c r="CM1783" t="s">
        <v>98</v>
      </c>
      <c r="CN1783" t="s">
        <v>7528</v>
      </c>
      <c r="CP1783" s="1">
        <v>43633</v>
      </c>
    </row>
    <row r="1784" spans="1:94" x14ac:dyDescent="0.25">
      <c r="A1784" t="s">
        <v>5493</v>
      </c>
      <c r="B1784" t="str">
        <f xml:space="preserve"> "" &amp; 747396060675</f>
        <v>747396060675</v>
      </c>
      <c r="C1784" t="s">
        <v>5202</v>
      </c>
      <c r="D1784" t="s">
        <v>7148</v>
      </c>
      <c r="E1784" t="s">
        <v>7528</v>
      </c>
      <c r="F1784" t="s">
        <v>627</v>
      </c>
      <c r="G1784">
        <v>1</v>
      </c>
      <c r="H1784">
        <v>1</v>
      </c>
      <c r="I1784" t="s">
        <v>97</v>
      </c>
      <c r="J1784" s="10">
        <v>11.5</v>
      </c>
      <c r="K1784" s="10">
        <v>34.5</v>
      </c>
      <c r="L1784" s="10">
        <v>0</v>
      </c>
      <c r="N1784" s="10">
        <v>0</v>
      </c>
      <c r="S1784">
        <v>8.24</v>
      </c>
      <c r="U1784">
        <v>7</v>
      </c>
      <c r="W1784">
        <v>1</v>
      </c>
      <c r="AB1784">
        <v>0.36499999999999999</v>
      </c>
      <c r="AC1784">
        <v>1.9</v>
      </c>
      <c r="AF1784" t="s">
        <v>7528</v>
      </c>
      <c r="AK1784" t="s">
        <v>98</v>
      </c>
      <c r="AM1784" t="s">
        <v>98</v>
      </c>
      <c r="AN1784" t="s">
        <v>98</v>
      </c>
      <c r="AO1784" t="s">
        <v>98</v>
      </c>
      <c r="AP1784" t="s">
        <v>100</v>
      </c>
      <c r="AQ1784" t="s">
        <v>101</v>
      </c>
      <c r="AV1784" t="s">
        <v>98</v>
      </c>
      <c r="AX1784" t="s">
        <v>7528</v>
      </c>
      <c r="AZ1784" t="s">
        <v>7528</v>
      </c>
      <c r="BB1784" t="s">
        <v>7528</v>
      </c>
      <c r="BC1784" t="s">
        <v>7528</v>
      </c>
      <c r="BD1784" t="s">
        <v>7528</v>
      </c>
      <c r="BF1784" t="s">
        <v>5494</v>
      </c>
      <c r="BG1784" t="s">
        <v>98</v>
      </c>
      <c r="BH1784" t="s">
        <v>98</v>
      </c>
      <c r="BI1784" t="s">
        <v>98</v>
      </c>
      <c r="BK1784" t="s">
        <v>7528</v>
      </c>
      <c r="BL1784" t="s">
        <v>7528</v>
      </c>
      <c r="CA1784" t="s">
        <v>5493</v>
      </c>
      <c r="CB1784" t="s">
        <v>7528</v>
      </c>
      <c r="CL1784" t="s">
        <v>98</v>
      </c>
      <c r="CM1784" t="s">
        <v>98</v>
      </c>
      <c r="CN1784" t="s">
        <v>7528</v>
      </c>
      <c r="CO1784" s="1">
        <v>40259</v>
      </c>
      <c r="CP1784" s="1">
        <v>43595</v>
      </c>
    </row>
    <row r="1785" spans="1:94" x14ac:dyDescent="0.25">
      <c r="A1785" t="s">
        <v>5495</v>
      </c>
      <c r="B1785" t="str">
        <f xml:space="preserve"> "" &amp; 747396032504</f>
        <v>747396032504</v>
      </c>
      <c r="C1785" t="s">
        <v>1501</v>
      </c>
      <c r="D1785" t="s">
        <v>7149</v>
      </c>
      <c r="E1785" t="s">
        <v>7528</v>
      </c>
      <c r="F1785" t="s">
        <v>627</v>
      </c>
      <c r="G1785">
        <v>1</v>
      </c>
      <c r="H1785">
        <v>1</v>
      </c>
      <c r="I1785" t="s">
        <v>97</v>
      </c>
      <c r="J1785" s="10">
        <v>12.5</v>
      </c>
      <c r="K1785" s="10">
        <v>37.5</v>
      </c>
      <c r="L1785" s="10">
        <v>0</v>
      </c>
      <c r="N1785" s="10">
        <v>0</v>
      </c>
      <c r="S1785">
        <v>4.75</v>
      </c>
      <c r="U1785">
        <v>5</v>
      </c>
      <c r="W1785">
        <v>1.1000000000000001</v>
      </c>
      <c r="X1785">
        <v>1</v>
      </c>
      <c r="Y1785">
        <v>13.75</v>
      </c>
      <c r="Z1785">
        <v>25</v>
      </c>
      <c r="AA1785">
        <v>19.5</v>
      </c>
      <c r="AB1785">
        <v>3.879</v>
      </c>
      <c r="AC1785">
        <v>1.28</v>
      </c>
      <c r="AF1785" t="s">
        <v>7528</v>
      </c>
      <c r="AK1785" t="s">
        <v>98</v>
      </c>
      <c r="AM1785" t="s">
        <v>98</v>
      </c>
      <c r="AN1785" t="s">
        <v>98</v>
      </c>
      <c r="AO1785" t="s">
        <v>98</v>
      </c>
      <c r="AP1785" t="s">
        <v>100</v>
      </c>
      <c r="AQ1785" t="s">
        <v>101</v>
      </c>
      <c r="AV1785" t="s">
        <v>98</v>
      </c>
      <c r="AX1785" t="s">
        <v>7528</v>
      </c>
      <c r="AZ1785" t="s">
        <v>7528</v>
      </c>
      <c r="BB1785" t="s">
        <v>7528</v>
      </c>
      <c r="BC1785" t="s">
        <v>7528</v>
      </c>
      <c r="BD1785" t="s">
        <v>7528</v>
      </c>
      <c r="BF1785" t="s">
        <v>5496</v>
      </c>
      <c r="BG1785" t="s">
        <v>98</v>
      </c>
      <c r="BH1785" t="s">
        <v>98</v>
      </c>
      <c r="BI1785" t="s">
        <v>98</v>
      </c>
      <c r="BK1785" t="s">
        <v>7528</v>
      </c>
      <c r="BL1785" t="s">
        <v>7528</v>
      </c>
      <c r="CA1785" t="s">
        <v>5495</v>
      </c>
      <c r="CB1785" t="s">
        <v>7528</v>
      </c>
      <c r="CL1785" t="s">
        <v>98</v>
      </c>
      <c r="CM1785" t="s">
        <v>98</v>
      </c>
      <c r="CN1785" t="s">
        <v>7528</v>
      </c>
      <c r="CO1785" s="1">
        <v>40283</v>
      </c>
      <c r="CP1785" s="1">
        <v>43633</v>
      </c>
    </row>
    <row r="1786" spans="1:94" x14ac:dyDescent="0.25">
      <c r="A1786" t="s">
        <v>5497</v>
      </c>
      <c r="B1786" t="str">
        <f xml:space="preserve"> "" &amp; 747396032740</f>
        <v>747396032740</v>
      </c>
      <c r="C1786" t="s">
        <v>5498</v>
      </c>
      <c r="D1786" t="s">
        <v>7150</v>
      </c>
      <c r="E1786" t="s">
        <v>7528</v>
      </c>
      <c r="F1786" t="s">
        <v>627</v>
      </c>
      <c r="G1786">
        <v>1</v>
      </c>
      <c r="H1786">
        <v>1</v>
      </c>
      <c r="I1786" t="s">
        <v>97</v>
      </c>
      <c r="J1786" s="10">
        <v>9.5</v>
      </c>
      <c r="K1786" s="10">
        <v>28.5</v>
      </c>
      <c r="L1786" s="10">
        <v>0</v>
      </c>
      <c r="N1786" s="10">
        <v>0</v>
      </c>
      <c r="S1786">
        <v>4.5</v>
      </c>
      <c r="T1786">
        <v>6.63</v>
      </c>
      <c r="U1786">
        <v>6.12</v>
      </c>
      <c r="W1786">
        <v>1.32</v>
      </c>
      <c r="X1786">
        <v>1</v>
      </c>
      <c r="Y1786">
        <v>5</v>
      </c>
      <c r="Z1786">
        <v>6.63</v>
      </c>
      <c r="AA1786">
        <v>6.63</v>
      </c>
      <c r="AB1786">
        <v>0.127</v>
      </c>
      <c r="AC1786">
        <v>1.67</v>
      </c>
      <c r="AF1786" t="s">
        <v>7528</v>
      </c>
      <c r="AK1786" t="s">
        <v>98</v>
      </c>
      <c r="AM1786" t="s">
        <v>98</v>
      </c>
      <c r="AN1786" t="s">
        <v>98</v>
      </c>
      <c r="AO1786" t="s">
        <v>98</v>
      </c>
      <c r="AP1786" t="s">
        <v>100</v>
      </c>
      <c r="AQ1786" t="s">
        <v>101</v>
      </c>
      <c r="AV1786" t="s">
        <v>98</v>
      </c>
      <c r="AX1786" t="s">
        <v>7528</v>
      </c>
      <c r="AZ1786" t="s">
        <v>7528</v>
      </c>
      <c r="BB1786" t="s">
        <v>7528</v>
      </c>
      <c r="BC1786" t="s">
        <v>7528</v>
      </c>
      <c r="BD1786" t="s">
        <v>7528</v>
      </c>
      <c r="BF1786" t="s">
        <v>5499</v>
      </c>
      <c r="BG1786" t="s">
        <v>98</v>
      </c>
      <c r="BH1786" t="s">
        <v>98</v>
      </c>
      <c r="BI1786" t="s">
        <v>98</v>
      </c>
      <c r="BK1786" t="s">
        <v>7528</v>
      </c>
      <c r="BL1786" t="s">
        <v>7528</v>
      </c>
      <c r="CA1786" t="s">
        <v>5497</v>
      </c>
      <c r="CB1786" t="s">
        <v>7528</v>
      </c>
      <c r="CL1786" t="s">
        <v>98</v>
      </c>
      <c r="CM1786" t="s">
        <v>98</v>
      </c>
      <c r="CN1786" t="s">
        <v>7528</v>
      </c>
      <c r="CO1786" s="1">
        <v>40254</v>
      </c>
      <c r="CP1786" s="1">
        <v>43633</v>
      </c>
    </row>
    <row r="1787" spans="1:94" x14ac:dyDescent="0.25">
      <c r="A1787" t="s">
        <v>5500</v>
      </c>
      <c r="B1787" t="str">
        <f xml:space="preserve"> "" &amp; 747396074627</f>
        <v>747396074627</v>
      </c>
      <c r="C1787" t="s">
        <v>1501</v>
      </c>
      <c r="D1787" t="s">
        <v>7151</v>
      </c>
      <c r="E1787" t="s">
        <v>7528</v>
      </c>
      <c r="F1787" t="s">
        <v>627</v>
      </c>
      <c r="G1787">
        <v>1</v>
      </c>
      <c r="H1787">
        <v>1</v>
      </c>
      <c r="I1787" t="s">
        <v>97</v>
      </c>
      <c r="J1787" s="10">
        <v>12.5</v>
      </c>
      <c r="K1787" s="10">
        <v>37.5</v>
      </c>
      <c r="L1787" s="10">
        <v>0</v>
      </c>
      <c r="N1787" s="10">
        <v>0</v>
      </c>
      <c r="S1787">
        <v>6</v>
      </c>
      <c r="U1787">
        <v>2</v>
      </c>
      <c r="W1787">
        <v>1</v>
      </c>
      <c r="AB1787">
        <v>6.4000000000000001E-2</v>
      </c>
      <c r="AC1787">
        <v>0.53</v>
      </c>
      <c r="AF1787" t="s">
        <v>7528</v>
      </c>
      <c r="AK1787" t="s">
        <v>98</v>
      </c>
      <c r="AM1787" t="s">
        <v>98</v>
      </c>
      <c r="AN1787" t="s">
        <v>98</v>
      </c>
      <c r="AO1787" t="s">
        <v>98</v>
      </c>
      <c r="AP1787" t="s">
        <v>100</v>
      </c>
      <c r="AQ1787" t="s">
        <v>101</v>
      </c>
      <c r="AV1787" t="s">
        <v>98</v>
      </c>
      <c r="AX1787" t="s">
        <v>7528</v>
      </c>
      <c r="AZ1787" t="s">
        <v>7528</v>
      </c>
      <c r="BB1787" t="s">
        <v>7528</v>
      </c>
      <c r="BC1787" t="s">
        <v>7528</v>
      </c>
      <c r="BD1787" t="s">
        <v>7528</v>
      </c>
      <c r="BF1787" t="s">
        <v>5501</v>
      </c>
      <c r="BG1787" t="s">
        <v>98</v>
      </c>
      <c r="BH1787" t="s">
        <v>98</v>
      </c>
      <c r="BI1787" t="s">
        <v>98</v>
      </c>
      <c r="BK1787" t="s">
        <v>7528</v>
      </c>
      <c r="BL1787" t="s">
        <v>7528</v>
      </c>
      <c r="CA1787" t="s">
        <v>5500</v>
      </c>
      <c r="CB1787" t="s">
        <v>7528</v>
      </c>
      <c r="CL1787" t="s">
        <v>98</v>
      </c>
      <c r="CM1787" t="s">
        <v>98</v>
      </c>
      <c r="CN1787" t="s">
        <v>7528</v>
      </c>
      <c r="CO1787" s="1">
        <v>40309</v>
      </c>
      <c r="CP1787" s="1">
        <v>43633</v>
      </c>
    </row>
    <row r="1788" spans="1:94" x14ac:dyDescent="0.25">
      <c r="A1788" t="s">
        <v>5502</v>
      </c>
      <c r="B1788" t="str">
        <f xml:space="preserve"> "" &amp; 747396047690</f>
        <v>747396047690</v>
      </c>
      <c r="C1788" t="s">
        <v>5503</v>
      </c>
      <c r="D1788" t="s">
        <v>7152</v>
      </c>
      <c r="E1788" t="s">
        <v>7528</v>
      </c>
      <c r="F1788" t="s">
        <v>627</v>
      </c>
      <c r="G1788">
        <v>1</v>
      </c>
      <c r="H1788">
        <v>1</v>
      </c>
      <c r="I1788" t="s">
        <v>97</v>
      </c>
      <c r="J1788" s="10">
        <v>24.5</v>
      </c>
      <c r="K1788" s="10">
        <v>73.5</v>
      </c>
      <c r="L1788" s="10">
        <v>0</v>
      </c>
      <c r="N1788" s="10">
        <v>0</v>
      </c>
      <c r="S1788">
        <v>5</v>
      </c>
      <c r="U1788">
        <v>5.5</v>
      </c>
      <c r="W1788">
        <v>1.32</v>
      </c>
      <c r="X1788">
        <v>1</v>
      </c>
      <c r="Y1788">
        <v>21.5</v>
      </c>
      <c r="Z1788">
        <v>23.5</v>
      </c>
      <c r="AA1788">
        <v>15</v>
      </c>
      <c r="AB1788">
        <v>4.3860000000000001</v>
      </c>
      <c r="AC1788">
        <v>1.76</v>
      </c>
      <c r="AF1788" t="s">
        <v>7528</v>
      </c>
      <c r="AK1788" t="s">
        <v>98</v>
      </c>
      <c r="AM1788" t="s">
        <v>98</v>
      </c>
      <c r="AN1788" t="s">
        <v>98</v>
      </c>
      <c r="AO1788" t="s">
        <v>98</v>
      </c>
      <c r="AP1788" t="s">
        <v>100</v>
      </c>
      <c r="AQ1788" t="s">
        <v>101</v>
      </c>
      <c r="AV1788" t="s">
        <v>98</v>
      </c>
      <c r="AX1788" t="s">
        <v>7528</v>
      </c>
      <c r="AZ1788" t="s">
        <v>7528</v>
      </c>
      <c r="BB1788" t="s">
        <v>7528</v>
      </c>
      <c r="BC1788" t="s">
        <v>7528</v>
      </c>
      <c r="BD1788" t="s">
        <v>7528</v>
      </c>
      <c r="BF1788" t="s">
        <v>5504</v>
      </c>
      <c r="BG1788" t="s">
        <v>98</v>
      </c>
      <c r="BH1788" t="s">
        <v>98</v>
      </c>
      <c r="BI1788" t="s">
        <v>98</v>
      </c>
      <c r="BK1788" t="s">
        <v>7528</v>
      </c>
      <c r="BL1788" t="s">
        <v>7528</v>
      </c>
      <c r="CA1788" t="s">
        <v>5502</v>
      </c>
      <c r="CB1788" t="s">
        <v>7528</v>
      </c>
      <c r="CL1788" t="s">
        <v>98</v>
      </c>
      <c r="CM1788" t="s">
        <v>98</v>
      </c>
      <c r="CN1788" t="s">
        <v>7528</v>
      </c>
      <c r="CO1788" s="1">
        <v>40283</v>
      </c>
      <c r="CP1788" s="1">
        <v>43595</v>
      </c>
    </row>
    <row r="1789" spans="1:94" x14ac:dyDescent="0.25">
      <c r="A1789" t="s">
        <v>5505</v>
      </c>
      <c r="B1789" t="str">
        <f xml:space="preserve"> "" &amp; 747396060750</f>
        <v>747396060750</v>
      </c>
      <c r="C1789" t="s">
        <v>5503</v>
      </c>
      <c r="D1789" t="s">
        <v>7153</v>
      </c>
      <c r="E1789" t="s">
        <v>7528</v>
      </c>
      <c r="F1789" t="s">
        <v>627</v>
      </c>
      <c r="G1789">
        <v>1</v>
      </c>
      <c r="H1789">
        <v>1</v>
      </c>
      <c r="I1789" t="s">
        <v>97</v>
      </c>
      <c r="J1789" s="10">
        <v>79.5</v>
      </c>
      <c r="K1789" s="10">
        <v>238.5</v>
      </c>
      <c r="L1789" s="10">
        <v>0</v>
      </c>
      <c r="N1789" s="10">
        <v>0</v>
      </c>
      <c r="S1789">
        <v>5.75</v>
      </c>
      <c r="U1789">
        <v>16</v>
      </c>
      <c r="W1789">
        <v>6.6</v>
      </c>
      <c r="X1789">
        <v>1</v>
      </c>
      <c r="Y1789">
        <v>8.75</v>
      </c>
      <c r="Z1789">
        <v>19</v>
      </c>
      <c r="AA1789">
        <v>19</v>
      </c>
      <c r="AB1789">
        <v>1.8280000000000001</v>
      </c>
      <c r="AC1789">
        <v>9.24</v>
      </c>
      <c r="AF1789" t="s">
        <v>7528</v>
      </c>
      <c r="AK1789" t="s">
        <v>98</v>
      </c>
      <c r="AM1789" t="s">
        <v>98</v>
      </c>
      <c r="AN1789" t="s">
        <v>98</v>
      </c>
      <c r="AO1789" t="s">
        <v>98</v>
      </c>
      <c r="AP1789" t="s">
        <v>100</v>
      </c>
      <c r="AQ1789" t="s">
        <v>101</v>
      </c>
      <c r="AV1789" t="s">
        <v>98</v>
      </c>
      <c r="AX1789" t="s">
        <v>7528</v>
      </c>
      <c r="AZ1789" t="s">
        <v>7528</v>
      </c>
      <c r="BB1789" t="s">
        <v>7528</v>
      </c>
      <c r="BC1789" t="s">
        <v>7528</v>
      </c>
      <c r="BD1789" t="s">
        <v>7528</v>
      </c>
      <c r="BF1789" t="s">
        <v>5506</v>
      </c>
      <c r="BG1789" t="s">
        <v>98</v>
      </c>
      <c r="BH1789" t="s">
        <v>98</v>
      </c>
      <c r="BI1789" t="s">
        <v>98</v>
      </c>
      <c r="BK1789" t="s">
        <v>7528</v>
      </c>
      <c r="BL1789" t="s">
        <v>7528</v>
      </c>
      <c r="CA1789" t="s">
        <v>5505</v>
      </c>
      <c r="CB1789" t="s">
        <v>7528</v>
      </c>
      <c r="CL1789" t="s">
        <v>98</v>
      </c>
      <c r="CM1789" t="s">
        <v>98</v>
      </c>
      <c r="CN1789" t="s">
        <v>7528</v>
      </c>
      <c r="CO1789" s="1">
        <v>40283</v>
      </c>
      <c r="CP1789" s="1">
        <v>43595</v>
      </c>
    </row>
    <row r="1790" spans="1:94" x14ac:dyDescent="0.25">
      <c r="A1790" t="s">
        <v>5507</v>
      </c>
      <c r="B1790" t="str">
        <f xml:space="preserve"> "" &amp; 747396060767</f>
        <v>747396060767</v>
      </c>
      <c r="C1790" t="s">
        <v>5503</v>
      </c>
      <c r="D1790" t="s">
        <v>7154</v>
      </c>
      <c r="E1790" t="s">
        <v>7528</v>
      </c>
      <c r="F1790" t="s">
        <v>627</v>
      </c>
      <c r="G1790">
        <v>1</v>
      </c>
      <c r="H1790">
        <v>1</v>
      </c>
      <c r="I1790" t="s">
        <v>97</v>
      </c>
      <c r="J1790" s="10">
        <v>39.5</v>
      </c>
      <c r="K1790" s="10">
        <v>118.5</v>
      </c>
      <c r="L1790" s="10">
        <v>0</v>
      </c>
      <c r="N1790" s="10">
        <v>0</v>
      </c>
      <c r="S1790">
        <v>9</v>
      </c>
      <c r="U1790">
        <v>8.25</v>
      </c>
      <c r="V1790">
        <v>4</v>
      </c>
      <c r="W1790">
        <v>2.37</v>
      </c>
      <c r="X1790">
        <v>1</v>
      </c>
      <c r="Y1790">
        <v>22.25</v>
      </c>
      <c r="Z1790">
        <v>21</v>
      </c>
      <c r="AA1790">
        <v>17.5</v>
      </c>
      <c r="AB1790">
        <v>4.7320000000000002</v>
      </c>
      <c r="AC1790">
        <v>3.12</v>
      </c>
      <c r="AF1790" t="s">
        <v>7528</v>
      </c>
      <c r="AK1790" t="s">
        <v>98</v>
      </c>
      <c r="AM1790" t="s">
        <v>98</v>
      </c>
      <c r="AN1790" t="s">
        <v>98</v>
      </c>
      <c r="AO1790" t="s">
        <v>98</v>
      </c>
      <c r="AP1790" t="s">
        <v>100</v>
      </c>
      <c r="AQ1790" t="s">
        <v>101</v>
      </c>
      <c r="AV1790" t="s">
        <v>98</v>
      </c>
      <c r="AX1790" t="s">
        <v>7528</v>
      </c>
      <c r="AZ1790" t="s">
        <v>7528</v>
      </c>
      <c r="BB1790" t="s">
        <v>7528</v>
      </c>
      <c r="BC1790" t="s">
        <v>7528</v>
      </c>
      <c r="BD1790" t="s">
        <v>7528</v>
      </c>
      <c r="BF1790" t="s">
        <v>5508</v>
      </c>
      <c r="BG1790" t="s">
        <v>98</v>
      </c>
      <c r="BH1790" t="s">
        <v>98</v>
      </c>
      <c r="BI1790" t="s">
        <v>98</v>
      </c>
      <c r="BK1790" t="s">
        <v>7528</v>
      </c>
      <c r="BL1790" t="s">
        <v>7528</v>
      </c>
      <c r="CA1790" t="s">
        <v>5507</v>
      </c>
      <c r="CB1790" t="s">
        <v>7528</v>
      </c>
      <c r="CL1790" t="s">
        <v>98</v>
      </c>
      <c r="CM1790" t="s">
        <v>98</v>
      </c>
      <c r="CN1790" t="s">
        <v>7528</v>
      </c>
      <c r="CO1790" s="1">
        <v>40287</v>
      </c>
      <c r="CP1790" s="1">
        <v>43595</v>
      </c>
    </row>
    <row r="1791" spans="1:94" x14ac:dyDescent="0.25">
      <c r="A1791" t="s">
        <v>5509</v>
      </c>
      <c r="B1791" t="str">
        <f xml:space="preserve"> "" &amp; 747396060781</f>
        <v>747396060781</v>
      </c>
      <c r="C1791" t="s">
        <v>808</v>
      </c>
      <c r="D1791" t="s">
        <v>7155</v>
      </c>
      <c r="E1791" t="s">
        <v>7528</v>
      </c>
      <c r="F1791" t="s">
        <v>627</v>
      </c>
      <c r="G1791">
        <v>1</v>
      </c>
      <c r="H1791">
        <v>1</v>
      </c>
      <c r="I1791" t="s">
        <v>97</v>
      </c>
      <c r="J1791" s="10">
        <v>6.5</v>
      </c>
      <c r="K1791" s="10">
        <v>19.5</v>
      </c>
      <c r="L1791" s="10">
        <v>0</v>
      </c>
      <c r="N1791" s="10">
        <v>0</v>
      </c>
      <c r="S1791">
        <v>5.25</v>
      </c>
      <c r="U1791">
        <v>5</v>
      </c>
      <c r="W1791">
        <v>1.1000000000000001</v>
      </c>
      <c r="X1791">
        <v>1</v>
      </c>
      <c r="Y1791">
        <v>14.75</v>
      </c>
      <c r="Z1791">
        <v>19.75</v>
      </c>
      <c r="AA1791">
        <v>14</v>
      </c>
      <c r="AB1791">
        <v>2.36</v>
      </c>
      <c r="AC1791">
        <v>1.61</v>
      </c>
      <c r="AF1791" t="s">
        <v>7528</v>
      </c>
      <c r="AK1791" t="s">
        <v>98</v>
      </c>
      <c r="AM1791" t="s">
        <v>98</v>
      </c>
      <c r="AN1791" t="s">
        <v>98</v>
      </c>
      <c r="AO1791" t="s">
        <v>98</v>
      </c>
      <c r="AP1791" t="s">
        <v>100</v>
      </c>
      <c r="AQ1791" t="s">
        <v>101</v>
      </c>
      <c r="AV1791" t="s">
        <v>98</v>
      </c>
      <c r="AX1791" t="s">
        <v>7528</v>
      </c>
      <c r="AZ1791" t="s">
        <v>7528</v>
      </c>
      <c r="BB1791" t="s">
        <v>7528</v>
      </c>
      <c r="BC1791" t="s">
        <v>7528</v>
      </c>
      <c r="BD1791" t="s">
        <v>7528</v>
      </c>
      <c r="BF1791" t="s">
        <v>5510</v>
      </c>
      <c r="BG1791" t="s">
        <v>98</v>
      </c>
      <c r="BH1791" t="s">
        <v>98</v>
      </c>
      <c r="BI1791" t="s">
        <v>98</v>
      </c>
      <c r="BK1791" t="s">
        <v>7528</v>
      </c>
      <c r="BL1791" t="s">
        <v>7528</v>
      </c>
      <c r="CA1791" t="s">
        <v>5509</v>
      </c>
      <c r="CB1791" t="s">
        <v>7528</v>
      </c>
      <c r="CL1791" t="s">
        <v>98</v>
      </c>
      <c r="CM1791" t="s">
        <v>98</v>
      </c>
      <c r="CN1791" t="s">
        <v>7528</v>
      </c>
      <c r="CO1791" s="1">
        <v>40287</v>
      </c>
      <c r="CP1791" s="1">
        <v>43595</v>
      </c>
    </row>
    <row r="1792" spans="1:94" x14ac:dyDescent="0.25">
      <c r="A1792" t="s">
        <v>5511</v>
      </c>
      <c r="B1792" t="str">
        <f xml:space="preserve"> "" &amp; 747396093017</f>
        <v>747396093017</v>
      </c>
      <c r="C1792" t="s">
        <v>5154</v>
      </c>
      <c r="D1792" t="s">
        <v>5512</v>
      </c>
      <c r="E1792" t="s">
        <v>1829</v>
      </c>
      <c r="F1792" t="s">
        <v>627</v>
      </c>
      <c r="G1792">
        <v>1</v>
      </c>
      <c r="H1792">
        <v>1</v>
      </c>
      <c r="I1792" t="s">
        <v>97</v>
      </c>
      <c r="J1792" s="10">
        <v>7.5</v>
      </c>
      <c r="K1792" s="10">
        <v>22.5</v>
      </c>
      <c r="L1792" s="10">
        <v>0</v>
      </c>
      <c r="N1792" s="10">
        <v>0</v>
      </c>
      <c r="S1792">
        <v>5.88</v>
      </c>
      <c r="T1792">
        <v>3.63</v>
      </c>
      <c r="U1792">
        <v>3.63</v>
      </c>
      <c r="W1792">
        <v>0.12</v>
      </c>
      <c r="Y1792">
        <v>5.88</v>
      </c>
      <c r="Z1792">
        <v>3.63</v>
      </c>
      <c r="AA1792">
        <v>3.63</v>
      </c>
      <c r="AB1792">
        <v>4.4999999999999998E-2</v>
      </c>
      <c r="AC1792">
        <v>0.53</v>
      </c>
      <c r="AF1792" t="s">
        <v>7528</v>
      </c>
      <c r="AK1792" t="s">
        <v>98</v>
      </c>
      <c r="AM1792" t="s">
        <v>98</v>
      </c>
      <c r="AN1792" t="s">
        <v>98</v>
      </c>
      <c r="AO1792" t="s">
        <v>98</v>
      </c>
      <c r="AP1792" t="s">
        <v>100</v>
      </c>
      <c r="AV1792" t="s">
        <v>98</v>
      </c>
      <c r="AX1792" t="s">
        <v>7528</v>
      </c>
      <c r="AZ1792" t="s">
        <v>7528</v>
      </c>
      <c r="BB1792" t="s">
        <v>7528</v>
      </c>
      <c r="BC1792" t="s">
        <v>7528</v>
      </c>
      <c r="BD1792" t="s">
        <v>7528</v>
      </c>
      <c r="BF1792" t="s">
        <v>5513</v>
      </c>
      <c r="BG1792" t="s">
        <v>98</v>
      </c>
      <c r="BH1792" t="s">
        <v>98</v>
      </c>
      <c r="BI1792" t="s">
        <v>98</v>
      </c>
      <c r="BK1792" t="s">
        <v>7528</v>
      </c>
      <c r="BL1792" t="s">
        <v>7528</v>
      </c>
      <c r="CB1792" t="s">
        <v>7528</v>
      </c>
      <c r="CL1792" t="s">
        <v>98</v>
      </c>
      <c r="CM1792" t="s">
        <v>98</v>
      </c>
      <c r="CN1792" t="s">
        <v>7528</v>
      </c>
    </row>
    <row r="1793" spans="1:94" x14ac:dyDescent="0.25">
      <c r="A1793" t="s">
        <v>5514</v>
      </c>
      <c r="B1793" t="str">
        <f xml:space="preserve"> "" &amp; 747396093000</f>
        <v>747396093000</v>
      </c>
      <c r="C1793" t="s">
        <v>5154</v>
      </c>
      <c r="D1793" t="s">
        <v>5515</v>
      </c>
      <c r="E1793" t="s">
        <v>1829</v>
      </c>
      <c r="F1793" t="s">
        <v>627</v>
      </c>
      <c r="G1793">
        <v>1</v>
      </c>
      <c r="H1793">
        <v>1</v>
      </c>
      <c r="I1793" t="s">
        <v>97</v>
      </c>
      <c r="J1793" s="10">
        <v>11.5</v>
      </c>
      <c r="K1793" s="10">
        <v>34.5</v>
      </c>
      <c r="L1793" s="10">
        <v>0</v>
      </c>
      <c r="N1793" s="10">
        <v>0</v>
      </c>
      <c r="S1793">
        <v>6.88</v>
      </c>
      <c r="T1793">
        <v>4.75</v>
      </c>
      <c r="U1793">
        <v>4.75</v>
      </c>
      <c r="W1793">
        <v>0.22500000000000001</v>
      </c>
      <c r="Y1793">
        <v>6.88</v>
      </c>
      <c r="Z1793">
        <v>4.75</v>
      </c>
      <c r="AA1793">
        <v>4.75</v>
      </c>
      <c r="AB1793">
        <v>0.09</v>
      </c>
      <c r="AC1793">
        <v>0.86</v>
      </c>
      <c r="AF1793" t="s">
        <v>7528</v>
      </c>
      <c r="AK1793" t="s">
        <v>98</v>
      </c>
      <c r="AM1793" t="s">
        <v>98</v>
      </c>
      <c r="AN1793" t="s">
        <v>98</v>
      </c>
      <c r="AO1793" t="s">
        <v>98</v>
      </c>
      <c r="AP1793" t="s">
        <v>100</v>
      </c>
      <c r="AV1793" t="s">
        <v>98</v>
      </c>
      <c r="AX1793" t="s">
        <v>7528</v>
      </c>
      <c r="AZ1793" t="s">
        <v>7528</v>
      </c>
      <c r="BB1793" t="s">
        <v>7528</v>
      </c>
      <c r="BC1793" t="s">
        <v>7528</v>
      </c>
      <c r="BD1793" t="s">
        <v>7528</v>
      </c>
      <c r="BF1793" t="s">
        <v>5516</v>
      </c>
      <c r="BG1793" t="s">
        <v>98</v>
      </c>
      <c r="BH1793" t="s">
        <v>98</v>
      </c>
      <c r="BI1793" t="s">
        <v>98</v>
      </c>
      <c r="BK1793" t="s">
        <v>7528</v>
      </c>
      <c r="BL1793" t="s">
        <v>7528</v>
      </c>
      <c r="CB1793" t="s">
        <v>7528</v>
      </c>
      <c r="CL1793" t="s">
        <v>98</v>
      </c>
      <c r="CM1793" t="s">
        <v>98</v>
      </c>
      <c r="CN1793" t="s">
        <v>7528</v>
      </c>
    </row>
    <row r="1794" spans="1:94" x14ac:dyDescent="0.25">
      <c r="A1794" t="s">
        <v>5517</v>
      </c>
      <c r="B1794" t="str">
        <f xml:space="preserve"> "" &amp; 747396069944</f>
        <v>747396069944</v>
      </c>
      <c r="C1794" t="s">
        <v>5518</v>
      </c>
      <c r="D1794" t="s">
        <v>7156</v>
      </c>
      <c r="E1794" t="s">
        <v>7528</v>
      </c>
      <c r="F1794" t="s">
        <v>627</v>
      </c>
      <c r="G1794">
        <v>1</v>
      </c>
      <c r="H1794">
        <v>1</v>
      </c>
      <c r="I1794" t="s">
        <v>97</v>
      </c>
      <c r="J1794" s="10">
        <v>20</v>
      </c>
      <c r="K1794" s="10">
        <v>60</v>
      </c>
      <c r="L1794" s="10">
        <v>0</v>
      </c>
      <c r="N1794" s="10">
        <v>0</v>
      </c>
      <c r="S1794">
        <v>4.88</v>
      </c>
      <c r="T1794">
        <v>6.5</v>
      </c>
      <c r="U1794">
        <v>4</v>
      </c>
      <c r="W1794">
        <v>1</v>
      </c>
      <c r="AB1794">
        <v>0.26</v>
      </c>
      <c r="AC1794">
        <v>1.33</v>
      </c>
      <c r="AF1794" t="s">
        <v>7528</v>
      </c>
      <c r="AK1794" t="s">
        <v>98</v>
      </c>
      <c r="AM1794" t="s">
        <v>98</v>
      </c>
      <c r="AN1794" t="s">
        <v>98</v>
      </c>
      <c r="AO1794" t="s">
        <v>98</v>
      </c>
      <c r="AP1794" t="s">
        <v>100</v>
      </c>
      <c r="AQ1794" t="s">
        <v>101</v>
      </c>
      <c r="AV1794" t="s">
        <v>98</v>
      </c>
      <c r="AX1794" t="s">
        <v>7528</v>
      </c>
      <c r="AZ1794" t="s">
        <v>7528</v>
      </c>
      <c r="BB1794" t="s">
        <v>7528</v>
      </c>
      <c r="BC1794" t="s">
        <v>7528</v>
      </c>
      <c r="BD1794" t="s">
        <v>7528</v>
      </c>
      <c r="BF1794" t="s">
        <v>5519</v>
      </c>
      <c r="BG1794" t="s">
        <v>98</v>
      </c>
      <c r="BH1794" t="s">
        <v>98</v>
      </c>
      <c r="BI1794" t="s">
        <v>98</v>
      </c>
      <c r="BK1794" t="s">
        <v>7528</v>
      </c>
      <c r="BL1794" t="s">
        <v>7528</v>
      </c>
      <c r="CA1794" t="s">
        <v>5517</v>
      </c>
      <c r="CB1794" t="s">
        <v>7528</v>
      </c>
      <c r="CL1794" t="s">
        <v>98</v>
      </c>
      <c r="CM1794" t="s">
        <v>98</v>
      </c>
      <c r="CN1794" t="s">
        <v>7528</v>
      </c>
      <c r="CO1794" s="1">
        <v>40289</v>
      </c>
      <c r="CP1794" s="1">
        <v>43595</v>
      </c>
    </row>
    <row r="1795" spans="1:94" x14ac:dyDescent="0.25">
      <c r="A1795" t="s">
        <v>5520</v>
      </c>
      <c r="B1795" t="str">
        <f xml:space="preserve"> "" &amp; 747396070032</f>
        <v>747396070032</v>
      </c>
      <c r="C1795" t="s">
        <v>5521</v>
      </c>
      <c r="D1795" t="s">
        <v>7157</v>
      </c>
      <c r="E1795" t="s">
        <v>7528</v>
      </c>
      <c r="F1795" t="s">
        <v>627</v>
      </c>
      <c r="G1795">
        <v>1</v>
      </c>
      <c r="H1795">
        <v>1</v>
      </c>
      <c r="I1795" t="s">
        <v>97</v>
      </c>
      <c r="J1795" s="10">
        <v>15</v>
      </c>
      <c r="K1795" s="10">
        <v>45</v>
      </c>
      <c r="L1795" s="10">
        <v>0</v>
      </c>
      <c r="N1795" s="10">
        <v>0</v>
      </c>
      <c r="S1795">
        <v>4</v>
      </c>
      <c r="T1795">
        <v>5.625</v>
      </c>
      <c r="U1795">
        <v>0.13</v>
      </c>
      <c r="W1795">
        <v>1.32</v>
      </c>
      <c r="Y1795">
        <v>4.625</v>
      </c>
      <c r="Z1795">
        <v>5.625</v>
      </c>
      <c r="AA1795">
        <v>5.625</v>
      </c>
      <c r="AB1795">
        <v>8.5000000000000006E-2</v>
      </c>
      <c r="AC1795">
        <v>2</v>
      </c>
      <c r="AF1795" t="s">
        <v>7528</v>
      </c>
      <c r="AK1795" t="s">
        <v>98</v>
      </c>
      <c r="AM1795" t="s">
        <v>98</v>
      </c>
      <c r="AN1795" t="s">
        <v>98</v>
      </c>
      <c r="AO1795" t="s">
        <v>98</v>
      </c>
      <c r="AP1795" t="s">
        <v>100</v>
      </c>
      <c r="AQ1795" t="s">
        <v>101</v>
      </c>
      <c r="AV1795" t="s">
        <v>98</v>
      </c>
      <c r="AX1795" t="s">
        <v>7528</v>
      </c>
      <c r="AZ1795" t="s">
        <v>7528</v>
      </c>
      <c r="BB1795" t="s">
        <v>7528</v>
      </c>
      <c r="BC1795" t="s">
        <v>7528</v>
      </c>
      <c r="BD1795" t="s">
        <v>7528</v>
      </c>
      <c r="BF1795" t="s">
        <v>5522</v>
      </c>
      <c r="BG1795" t="s">
        <v>98</v>
      </c>
      <c r="BH1795" t="s">
        <v>98</v>
      </c>
      <c r="BI1795" t="s">
        <v>98</v>
      </c>
      <c r="BK1795" t="s">
        <v>7528</v>
      </c>
      <c r="BL1795" t="s">
        <v>7528</v>
      </c>
      <c r="CA1795" t="s">
        <v>5520</v>
      </c>
      <c r="CB1795" t="s">
        <v>7528</v>
      </c>
      <c r="CL1795" t="s">
        <v>98</v>
      </c>
      <c r="CM1795" t="s">
        <v>98</v>
      </c>
      <c r="CN1795" t="s">
        <v>7528</v>
      </c>
      <c r="CO1795" s="1">
        <v>40289</v>
      </c>
      <c r="CP1795" s="1">
        <v>43595</v>
      </c>
    </row>
    <row r="1796" spans="1:94" x14ac:dyDescent="0.25">
      <c r="A1796" t="s">
        <v>5523</v>
      </c>
      <c r="B1796" t="str">
        <f xml:space="preserve"> "" &amp; 747396070872</f>
        <v>747396070872</v>
      </c>
      <c r="C1796" t="s">
        <v>5521</v>
      </c>
      <c r="D1796" t="s">
        <v>7158</v>
      </c>
      <c r="E1796" t="s">
        <v>7528</v>
      </c>
      <c r="F1796" t="s">
        <v>627</v>
      </c>
      <c r="G1796">
        <v>1</v>
      </c>
      <c r="H1796">
        <v>1</v>
      </c>
      <c r="I1796" t="s">
        <v>97</v>
      </c>
      <c r="J1796" s="10">
        <v>60</v>
      </c>
      <c r="K1796" s="10">
        <v>180</v>
      </c>
      <c r="L1796" s="10">
        <v>0</v>
      </c>
      <c r="N1796" s="10">
        <v>0</v>
      </c>
      <c r="S1796">
        <v>5.63</v>
      </c>
      <c r="U1796">
        <v>15</v>
      </c>
      <c r="W1796">
        <v>5.28</v>
      </c>
      <c r="Y1796">
        <v>8.25</v>
      </c>
      <c r="Z1796">
        <v>17.75</v>
      </c>
      <c r="AA1796">
        <v>17.75</v>
      </c>
      <c r="AB1796">
        <v>1.504</v>
      </c>
      <c r="AC1796">
        <v>7.48</v>
      </c>
      <c r="AF1796" t="s">
        <v>7528</v>
      </c>
      <c r="AK1796" t="s">
        <v>98</v>
      </c>
      <c r="AM1796" t="s">
        <v>98</v>
      </c>
      <c r="AN1796" t="s">
        <v>98</v>
      </c>
      <c r="AO1796" t="s">
        <v>98</v>
      </c>
      <c r="AP1796" t="s">
        <v>100</v>
      </c>
      <c r="AQ1796" t="s">
        <v>101</v>
      </c>
      <c r="AV1796" t="s">
        <v>98</v>
      </c>
      <c r="AX1796" t="s">
        <v>7528</v>
      </c>
      <c r="AZ1796" t="s">
        <v>7528</v>
      </c>
      <c r="BB1796" t="s">
        <v>7528</v>
      </c>
      <c r="BC1796" t="s">
        <v>7528</v>
      </c>
      <c r="BD1796" t="s">
        <v>7528</v>
      </c>
      <c r="BF1796" t="s">
        <v>5524</v>
      </c>
      <c r="BG1796" t="s">
        <v>98</v>
      </c>
      <c r="BH1796" t="s">
        <v>98</v>
      </c>
      <c r="BI1796" t="s">
        <v>98</v>
      </c>
      <c r="BK1796" t="s">
        <v>7528</v>
      </c>
      <c r="BL1796" t="s">
        <v>7528</v>
      </c>
      <c r="CA1796" t="s">
        <v>5523</v>
      </c>
      <c r="CB1796" t="s">
        <v>7528</v>
      </c>
      <c r="CL1796" t="s">
        <v>98</v>
      </c>
      <c r="CM1796" t="s">
        <v>98</v>
      </c>
      <c r="CN1796" t="s">
        <v>7528</v>
      </c>
      <c r="CO1796" s="1">
        <v>40289</v>
      </c>
      <c r="CP1796" s="1">
        <v>43595</v>
      </c>
    </row>
    <row r="1797" spans="1:94" x14ac:dyDescent="0.25">
      <c r="A1797" t="s">
        <v>5525</v>
      </c>
      <c r="B1797" t="str">
        <f xml:space="preserve"> "" &amp; 747396070056</f>
        <v>747396070056</v>
      </c>
      <c r="C1797" t="s">
        <v>5154</v>
      </c>
      <c r="D1797" t="s">
        <v>7159</v>
      </c>
      <c r="E1797" t="s">
        <v>7528</v>
      </c>
      <c r="F1797" t="s">
        <v>627</v>
      </c>
      <c r="G1797">
        <v>1</v>
      </c>
      <c r="H1797">
        <v>1</v>
      </c>
      <c r="I1797" t="s">
        <v>97</v>
      </c>
      <c r="J1797" s="10">
        <v>45</v>
      </c>
      <c r="K1797" s="10">
        <v>135</v>
      </c>
      <c r="L1797" s="10">
        <v>0</v>
      </c>
      <c r="N1797" s="10">
        <v>0</v>
      </c>
      <c r="S1797">
        <v>4.75</v>
      </c>
      <c r="T1797">
        <v>16</v>
      </c>
      <c r="U1797">
        <v>4.13</v>
      </c>
      <c r="V1797">
        <v>0.25</v>
      </c>
      <c r="W1797">
        <v>3.59</v>
      </c>
      <c r="Y1797">
        <v>19.5</v>
      </c>
      <c r="Z1797">
        <v>19</v>
      </c>
      <c r="AA1797">
        <v>12</v>
      </c>
      <c r="AB1797">
        <v>2.573</v>
      </c>
      <c r="AC1797">
        <v>4.45</v>
      </c>
      <c r="AF1797" t="s">
        <v>7528</v>
      </c>
      <c r="AK1797" t="s">
        <v>98</v>
      </c>
      <c r="AM1797" t="s">
        <v>98</v>
      </c>
      <c r="AN1797" t="s">
        <v>98</v>
      </c>
      <c r="AO1797" t="s">
        <v>98</v>
      </c>
      <c r="AP1797" t="s">
        <v>100</v>
      </c>
      <c r="AQ1797" t="s">
        <v>101</v>
      </c>
      <c r="AV1797" t="s">
        <v>98</v>
      </c>
      <c r="AX1797" t="s">
        <v>7528</v>
      </c>
      <c r="AZ1797" t="s">
        <v>7528</v>
      </c>
      <c r="BB1797" t="s">
        <v>7528</v>
      </c>
      <c r="BC1797" t="s">
        <v>7528</v>
      </c>
      <c r="BD1797" t="s">
        <v>7528</v>
      </c>
      <c r="BF1797" t="s">
        <v>5526</v>
      </c>
      <c r="BG1797" t="s">
        <v>98</v>
      </c>
      <c r="BH1797" t="s">
        <v>98</v>
      </c>
      <c r="BI1797" t="s">
        <v>98</v>
      </c>
      <c r="BK1797" t="s">
        <v>7528</v>
      </c>
      <c r="BL1797" t="s">
        <v>7528</v>
      </c>
      <c r="CA1797" t="s">
        <v>5525</v>
      </c>
      <c r="CB1797" t="s">
        <v>7528</v>
      </c>
      <c r="CL1797" t="s">
        <v>98</v>
      </c>
      <c r="CM1797" t="s">
        <v>98</v>
      </c>
      <c r="CN1797" t="s">
        <v>7528</v>
      </c>
      <c r="CO1797" s="1">
        <v>40289</v>
      </c>
      <c r="CP1797" s="1">
        <v>43595</v>
      </c>
    </row>
    <row r="1798" spans="1:94" x14ac:dyDescent="0.25">
      <c r="A1798" t="s">
        <v>5527</v>
      </c>
      <c r="B1798" t="str">
        <f xml:space="preserve"> "" &amp; 747396070063</f>
        <v>747396070063</v>
      </c>
      <c r="C1798" t="s">
        <v>5154</v>
      </c>
      <c r="D1798" t="s">
        <v>7160</v>
      </c>
      <c r="E1798" t="s">
        <v>7528</v>
      </c>
      <c r="F1798" t="s">
        <v>627</v>
      </c>
      <c r="G1798">
        <v>1</v>
      </c>
      <c r="H1798">
        <v>1</v>
      </c>
      <c r="I1798" t="s">
        <v>97</v>
      </c>
      <c r="J1798" s="10">
        <v>65</v>
      </c>
      <c r="K1798" s="10">
        <v>195</v>
      </c>
      <c r="L1798" s="10">
        <v>0</v>
      </c>
      <c r="N1798" s="10">
        <v>0</v>
      </c>
      <c r="W1798">
        <v>1.88</v>
      </c>
      <c r="Y1798">
        <v>7.63</v>
      </c>
      <c r="Z1798">
        <v>26.5</v>
      </c>
      <c r="AA1798">
        <v>6.5</v>
      </c>
      <c r="AB1798">
        <v>0.76100000000000001</v>
      </c>
      <c r="AC1798">
        <v>2.4</v>
      </c>
      <c r="AF1798" t="s">
        <v>7528</v>
      </c>
      <c r="AK1798" t="s">
        <v>98</v>
      </c>
      <c r="AM1798" t="s">
        <v>98</v>
      </c>
      <c r="AN1798" t="s">
        <v>98</v>
      </c>
      <c r="AO1798" t="s">
        <v>98</v>
      </c>
      <c r="AP1798" t="s">
        <v>100</v>
      </c>
      <c r="AV1798" t="s">
        <v>98</v>
      </c>
      <c r="AX1798" t="s">
        <v>7528</v>
      </c>
      <c r="AZ1798" t="s">
        <v>7528</v>
      </c>
      <c r="BB1798" t="s">
        <v>7528</v>
      </c>
      <c r="BC1798" t="s">
        <v>7528</v>
      </c>
      <c r="BD1798" t="s">
        <v>7528</v>
      </c>
      <c r="BF1798" t="s">
        <v>5528</v>
      </c>
      <c r="BG1798" t="s">
        <v>98</v>
      </c>
      <c r="BH1798" t="s">
        <v>98</v>
      </c>
      <c r="BI1798" t="s">
        <v>98</v>
      </c>
      <c r="BK1798" t="s">
        <v>7528</v>
      </c>
      <c r="BL1798" t="s">
        <v>7528</v>
      </c>
      <c r="CB1798" t="s">
        <v>7528</v>
      </c>
      <c r="CL1798" t="s">
        <v>98</v>
      </c>
      <c r="CM1798" t="s">
        <v>98</v>
      </c>
      <c r="CN1798" t="s">
        <v>7528</v>
      </c>
      <c r="CP1798" s="1">
        <v>43595</v>
      </c>
    </row>
    <row r="1799" spans="1:94" x14ac:dyDescent="0.25">
      <c r="A1799" t="s">
        <v>5529</v>
      </c>
      <c r="B1799" t="str">
        <f xml:space="preserve"> "" &amp; 747396070070</f>
        <v>747396070070</v>
      </c>
      <c r="C1799" t="s">
        <v>5154</v>
      </c>
      <c r="D1799" t="s">
        <v>7161</v>
      </c>
      <c r="E1799" t="s">
        <v>7528</v>
      </c>
      <c r="F1799" t="s">
        <v>627</v>
      </c>
      <c r="G1799">
        <v>1</v>
      </c>
      <c r="H1799">
        <v>1</v>
      </c>
      <c r="I1799" t="s">
        <v>97</v>
      </c>
      <c r="J1799" s="10">
        <v>85</v>
      </c>
      <c r="K1799" s="10">
        <v>255</v>
      </c>
      <c r="L1799" s="10">
        <v>0</v>
      </c>
      <c r="N1799" s="10">
        <v>0</v>
      </c>
      <c r="W1799">
        <v>5.94</v>
      </c>
      <c r="Y1799">
        <v>8.5</v>
      </c>
      <c r="Z1799">
        <v>34.5</v>
      </c>
      <c r="AA1799">
        <v>8.5</v>
      </c>
      <c r="AB1799">
        <v>1.4419999999999999</v>
      </c>
      <c r="AC1799">
        <v>9.1300000000000008</v>
      </c>
      <c r="AF1799" t="s">
        <v>7528</v>
      </c>
      <c r="AK1799" t="s">
        <v>98</v>
      </c>
      <c r="AM1799" t="s">
        <v>98</v>
      </c>
      <c r="AN1799" t="s">
        <v>98</v>
      </c>
      <c r="AO1799" t="s">
        <v>98</v>
      </c>
      <c r="AP1799" t="s">
        <v>100</v>
      </c>
      <c r="AV1799" t="s">
        <v>98</v>
      </c>
      <c r="AX1799" t="s">
        <v>7528</v>
      </c>
      <c r="AZ1799" t="s">
        <v>7528</v>
      </c>
      <c r="BB1799" t="s">
        <v>7528</v>
      </c>
      <c r="BC1799" t="s">
        <v>7528</v>
      </c>
      <c r="BD1799" t="s">
        <v>7528</v>
      </c>
      <c r="BF1799" t="s">
        <v>5530</v>
      </c>
      <c r="BG1799" t="s">
        <v>98</v>
      </c>
      <c r="BH1799" t="s">
        <v>98</v>
      </c>
      <c r="BI1799" t="s">
        <v>98</v>
      </c>
      <c r="BK1799" t="s">
        <v>7528</v>
      </c>
      <c r="BL1799" t="s">
        <v>7528</v>
      </c>
      <c r="CB1799" t="s">
        <v>7528</v>
      </c>
      <c r="CL1799" t="s">
        <v>98</v>
      </c>
      <c r="CM1799" t="s">
        <v>98</v>
      </c>
      <c r="CN1799" t="s">
        <v>7528</v>
      </c>
      <c r="CP1799" s="1">
        <v>43595</v>
      </c>
    </row>
    <row r="1800" spans="1:94" x14ac:dyDescent="0.25">
      <c r="A1800" t="s">
        <v>5531</v>
      </c>
      <c r="B1800" t="str">
        <f xml:space="preserve"> "" &amp; 747396032849</f>
        <v>747396032849</v>
      </c>
      <c r="C1800" t="s">
        <v>5151</v>
      </c>
      <c r="D1800" t="s">
        <v>7162</v>
      </c>
      <c r="E1800" t="s">
        <v>7528</v>
      </c>
      <c r="F1800" t="s">
        <v>627</v>
      </c>
      <c r="G1800">
        <v>1</v>
      </c>
      <c r="H1800">
        <v>1</v>
      </c>
      <c r="I1800" t="s">
        <v>97</v>
      </c>
      <c r="J1800" s="10">
        <v>18</v>
      </c>
      <c r="K1800" s="10">
        <v>54</v>
      </c>
      <c r="L1800" s="10">
        <v>0</v>
      </c>
      <c r="N1800" s="10">
        <v>0</v>
      </c>
      <c r="S1800">
        <v>5.375</v>
      </c>
      <c r="T1800">
        <v>6</v>
      </c>
      <c r="U1800">
        <v>4.75</v>
      </c>
      <c r="W1800">
        <v>1.03</v>
      </c>
      <c r="X1800">
        <v>1</v>
      </c>
      <c r="Y1800">
        <v>5.375</v>
      </c>
      <c r="Z1800">
        <v>6</v>
      </c>
      <c r="AA1800">
        <v>4.75</v>
      </c>
      <c r="AB1800">
        <v>8.8999999999999996E-2</v>
      </c>
      <c r="AC1800">
        <v>1.68</v>
      </c>
      <c r="AF1800" t="s">
        <v>7528</v>
      </c>
      <c r="AK1800" t="s">
        <v>98</v>
      </c>
      <c r="AM1800" t="s">
        <v>98</v>
      </c>
      <c r="AN1800" t="s">
        <v>98</v>
      </c>
      <c r="AO1800" t="s">
        <v>98</v>
      </c>
      <c r="AP1800" t="s">
        <v>100</v>
      </c>
      <c r="AQ1800" t="s">
        <v>101</v>
      </c>
      <c r="AV1800" t="s">
        <v>98</v>
      </c>
      <c r="AX1800" t="s">
        <v>7528</v>
      </c>
      <c r="AZ1800" t="s">
        <v>7528</v>
      </c>
      <c r="BB1800" t="s">
        <v>7528</v>
      </c>
      <c r="BC1800" t="s">
        <v>7528</v>
      </c>
      <c r="BD1800" t="s">
        <v>7528</v>
      </c>
      <c r="BF1800" t="s">
        <v>5532</v>
      </c>
      <c r="BG1800" t="s">
        <v>98</v>
      </c>
      <c r="BH1800" t="s">
        <v>98</v>
      </c>
      <c r="BI1800" t="s">
        <v>98</v>
      </c>
      <c r="BK1800" t="s">
        <v>7528</v>
      </c>
      <c r="BL1800" t="s">
        <v>7528</v>
      </c>
      <c r="CA1800" t="s">
        <v>5531</v>
      </c>
      <c r="CB1800" t="s">
        <v>7528</v>
      </c>
      <c r="CL1800" t="s">
        <v>98</v>
      </c>
      <c r="CM1800" t="s">
        <v>98</v>
      </c>
      <c r="CN1800" t="s">
        <v>7528</v>
      </c>
      <c r="CO1800" s="1">
        <v>40246</v>
      </c>
      <c r="CP1800" s="1">
        <v>43633</v>
      </c>
    </row>
    <row r="1801" spans="1:94" x14ac:dyDescent="0.25">
      <c r="A1801" t="s">
        <v>5533</v>
      </c>
      <c r="B1801" t="str">
        <f xml:space="preserve"> "" &amp; 747396064116</f>
        <v>747396064116</v>
      </c>
      <c r="C1801" t="s">
        <v>3378</v>
      </c>
      <c r="D1801" t="s">
        <v>7163</v>
      </c>
      <c r="E1801" t="s">
        <v>7528</v>
      </c>
      <c r="F1801" t="s">
        <v>627</v>
      </c>
      <c r="G1801">
        <v>1</v>
      </c>
      <c r="H1801">
        <v>1</v>
      </c>
      <c r="I1801" t="s">
        <v>97</v>
      </c>
      <c r="J1801" s="10">
        <v>18</v>
      </c>
      <c r="K1801" s="10">
        <v>54</v>
      </c>
      <c r="L1801" s="10">
        <v>0</v>
      </c>
      <c r="N1801" s="10">
        <v>0</v>
      </c>
      <c r="W1801">
        <v>0.99</v>
      </c>
      <c r="X1801">
        <v>1</v>
      </c>
      <c r="Y1801">
        <v>13.5</v>
      </c>
      <c r="Z1801">
        <v>14.5</v>
      </c>
      <c r="AA1801">
        <v>12</v>
      </c>
      <c r="AB1801">
        <v>1.359</v>
      </c>
      <c r="AC1801">
        <v>1.46</v>
      </c>
      <c r="AF1801" t="s">
        <v>7528</v>
      </c>
      <c r="AK1801" t="s">
        <v>98</v>
      </c>
      <c r="AM1801" t="s">
        <v>98</v>
      </c>
      <c r="AN1801" t="s">
        <v>98</v>
      </c>
      <c r="AO1801" t="s">
        <v>98</v>
      </c>
      <c r="AP1801" t="s">
        <v>100</v>
      </c>
      <c r="AQ1801" t="s">
        <v>101</v>
      </c>
      <c r="AV1801" t="s">
        <v>98</v>
      </c>
      <c r="AX1801" t="s">
        <v>7528</v>
      </c>
      <c r="AZ1801" t="s">
        <v>7528</v>
      </c>
      <c r="BB1801" t="s">
        <v>7528</v>
      </c>
      <c r="BC1801" t="s">
        <v>7528</v>
      </c>
      <c r="BD1801" t="s">
        <v>7528</v>
      </c>
      <c r="BF1801" t="s">
        <v>5534</v>
      </c>
      <c r="BG1801" t="s">
        <v>98</v>
      </c>
      <c r="BH1801" t="s">
        <v>98</v>
      </c>
      <c r="BI1801" t="s">
        <v>98</v>
      </c>
      <c r="BK1801" t="s">
        <v>7528</v>
      </c>
      <c r="BL1801" t="s">
        <v>7528</v>
      </c>
      <c r="CA1801" t="s">
        <v>5533</v>
      </c>
      <c r="CB1801" t="s">
        <v>7528</v>
      </c>
      <c r="CL1801" t="s">
        <v>98</v>
      </c>
      <c r="CM1801" t="s">
        <v>98</v>
      </c>
      <c r="CN1801" t="s">
        <v>7528</v>
      </c>
      <c r="CO1801" s="1">
        <v>40290</v>
      </c>
      <c r="CP1801" s="1">
        <v>43633</v>
      </c>
    </row>
    <row r="1802" spans="1:94" x14ac:dyDescent="0.25">
      <c r="A1802" t="s">
        <v>5535</v>
      </c>
      <c r="B1802" t="str">
        <f xml:space="preserve"> "" &amp; 747396070148</f>
        <v>747396070148</v>
      </c>
      <c r="C1802" t="s">
        <v>1501</v>
      </c>
      <c r="D1802" t="s">
        <v>7164</v>
      </c>
      <c r="E1802" t="s">
        <v>7528</v>
      </c>
      <c r="F1802" t="s">
        <v>627</v>
      </c>
      <c r="G1802">
        <v>1</v>
      </c>
      <c r="H1802">
        <v>1</v>
      </c>
      <c r="I1802" t="s">
        <v>97</v>
      </c>
      <c r="J1802" s="10">
        <v>10</v>
      </c>
      <c r="K1802" s="10">
        <v>30</v>
      </c>
      <c r="L1802" s="10">
        <v>0</v>
      </c>
      <c r="N1802" s="10">
        <v>0</v>
      </c>
      <c r="S1802">
        <v>6.25</v>
      </c>
      <c r="U1802">
        <v>3</v>
      </c>
      <c r="W1802">
        <v>1.23</v>
      </c>
      <c r="Y1802">
        <v>9.75</v>
      </c>
      <c r="Z1802">
        <v>17.25</v>
      </c>
      <c r="AA1802">
        <v>13.5</v>
      </c>
      <c r="AB1802">
        <v>1.3140000000000001</v>
      </c>
      <c r="AC1802">
        <v>1.77</v>
      </c>
      <c r="AF1802" t="s">
        <v>7528</v>
      </c>
      <c r="AK1802" t="s">
        <v>98</v>
      </c>
      <c r="AM1802" t="s">
        <v>98</v>
      </c>
      <c r="AN1802" t="s">
        <v>98</v>
      </c>
      <c r="AO1802" t="s">
        <v>98</v>
      </c>
      <c r="AP1802" t="s">
        <v>100</v>
      </c>
      <c r="AQ1802" t="s">
        <v>101</v>
      </c>
      <c r="AV1802" t="s">
        <v>98</v>
      </c>
      <c r="AX1802" t="s">
        <v>7528</v>
      </c>
      <c r="AZ1802" t="s">
        <v>7528</v>
      </c>
      <c r="BB1802" t="s">
        <v>7528</v>
      </c>
      <c r="BC1802" t="s">
        <v>7528</v>
      </c>
      <c r="BD1802" t="s">
        <v>7528</v>
      </c>
      <c r="BF1802" t="s">
        <v>5536</v>
      </c>
      <c r="BG1802" t="s">
        <v>98</v>
      </c>
      <c r="BH1802" t="s">
        <v>98</v>
      </c>
      <c r="BI1802" t="s">
        <v>98</v>
      </c>
      <c r="BK1802" t="s">
        <v>7528</v>
      </c>
      <c r="BL1802" t="s">
        <v>7528</v>
      </c>
      <c r="CA1802" t="s">
        <v>5535</v>
      </c>
      <c r="CB1802" t="s">
        <v>7528</v>
      </c>
      <c r="CL1802" t="s">
        <v>98</v>
      </c>
      <c r="CM1802" t="s">
        <v>98</v>
      </c>
      <c r="CN1802" t="s">
        <v>7528</v>
      </c>
      <c r="CO1802" s="1">
        <v>40290</v>
      </c>
      <c r="CP1802" s="1">
        <v>43595</v>
      </c>
    </row>
    <row r="1803" spans="1:94" x14ac:dyDescent="0.25">
      <c r="A1803" t="s">
        <v>5537</v>
      </c>
      <c r="B1803" t="str">
        <f xml:space="preserve"> "" &amp; 747396070018</f>
        <v>747396070018</v>
      </c>
      <c r="C1803" t="s">
        <v>5538</v>
      </c>
      <c r="D1803" t="s">
        <v>7165</v>
      </c>
      <c r="E1803" t="s">
        <v>7528</v>
      </c>
      <c r="F1803" t="s">
        <v>627</v>
      </c>
      <c r="G1803">
        <v>1</v>
      </c>
      <c r="H1803">
        <v>1</v>
      </c>
      <c r="I1803" t="s">
        <v>97</v>
      </c>
      <c r="J1803" s="10">
        <v>18</v>
      </c>
      <c r="K1803" s="10">
        <v>54</v>
      </c>
      <c r="L1803" s="10">
        <v>0</v>
      </c>
      <c r="N1803" s="10">
        <v>0</v>
      </c>
      <c r="S1803">
        <v>4.5</v>
      </c>
      <c r="U1803">
        <v>8</v>
      </c>
      <c r="V1803">
        <v>0.5</v>
      </c>
      <c r="W1803">
        <v>1</v>
      </c>
      <c r="AB1803">
        <v>0.26</v>
      </c>
      <c r="AC1803">
        <v>1.35</v>
      </c>
      <c r="AF1803" t="s">
        <v>7528</v>
      </c>
      <c r="AK1803" t="s">
        <v>98</v>
      </c>
      <c r="AM1803" t="s">
        <v>98</v>
      </c>
      <c r="AN1803" t="s">
        <v>98</v>
      </c>
      <c r="AO1803" t="s">
        <v>98</v>
      </c>
      <c r="AP1803" t="s">
        <v>100</v>
      </c>
      <c r="AQ1803" t="s">
        <v>101</v>
      </c>
      <c r="AV1803" t="s">
        <v>98</v>
      </c>
      <c r="AX1803" t="s">
        <v>7528</v>
      </c>
      <c r="AZ1803" t="s">
        <v>7528</v>
      </c>
      <c r="BB1803" t="s">
        <v>7528</v>
      </c>
      <c r="BC1803" t="s">
        <v>7528</v>
      </c>
      <c r="BD1803" t="s">
        <v>7528</v>
      </c>
      <c r="BF1803" t="s">
        <v>5539</v>
      </c>
      <c r="BG1803" t="s">
        <v>98</v>
      </c>
      <c r="BH1803" t="s">
        <v>98</v>
      </c>
      <c r="BI1803" t="s">
        <v>98</v>
      </c>
      <c r="BK1803" t="s">
        <v>7528</v>
      </c>
      <c r="BL1803" t="s">
        <v>7528</v>
      </c>
      <c r="CA1803" t="s">
        <v>5537</v>
      </c>
      <c r="CB1803" t="s">
        <v>7528</v>
      </c>
      <c r="CL1803" t="s">
        <v>98</v>
      </c>
      <c r="CM1803" t="s">
        <v>98</v>
      </c>
      <c r="CN1803" t="s">
        <v>7528</v>
      </c>
      <c r="CO1803" s="1">
        <v>40290</v>
      </c>
      <c r="CP1803" s="1">
        <v>43633</v>
      </c>
    </row>
    <row r="1804" spans="1:94" x14ac:dyDescent="0.25">
      <c r="A1804" t="s">
        <v>5540</v>
      </c>
      <c r="B1804" t="str">
        <f xml:space="preserve"> "" &amp; 747396074269</f>
        <v>747396074269</v>
      </c>
      <c r="C1804" t="s">
        <v>5363</v>
      </c>
      <c r="D1804" t="s">
        <v>7166</v>
      </c>
      <c r="E1804" t="s">
        <v>7528</v>
      </c>
      <c r="F1804" t="s">
        <v>627</v>
      </c>
      <c r="G1804">
        <v>1</v>
      </c>
      <c r="H1804">
        <v>1</v>
      </c>
      <c r="I1804" t="s">
        <v>97</v>
      </c>
      <c r="J1804" s="10">
        <v>26.5</v>
      </c>
      <c r="K1804" s="10">
        <v>79.5</v>
      </c>
      <c r="L1804" s="10">
        <v>0</v>
      </c>
      <c r="N1804" s="10">
        <v>0</v>
      </c>
      <c r="S1804">
        <v>11.63</v>
      </c>
      <c r="U1804">
        <v>6</v>
      </c>
      <c r="V1804">
        <v>3</v>
      </c>
      <c r="W1804">
        <v>1.76</v>
      </c>
      <c r="Y1804">
        <v>5.75</v>
      </c>
      <c r="Z1804">
        <v>15</v>
      </c>
      <c r="AA1804">
        <v>9.5</v>
      </c>
      <c r="AB1804">
        <v>0.47399999999999998</v>
      </c>
      <c r="AC1804">
        <v>2.64</v>
      </c>
      <c r="AF1804" t="s">
        <v>7528</v>
      </c>
      <c r="AK1804" t="s">
        <v>98</v>
      </c>
      <c r="AM1804" t="s">
        <v>98</v>
      </c>
      <c r="AN1804" t="s">
        <v>98</v>
      </c>
      <c r="AO1804" t="s">
        <v>98</v>
      </c>
      <c r="AP1804" t="s">
        <v>100</v>
      </c>
      <c r="AQ1804" t="s">
        <v>101</v>
      </c>
      <c r="AV1804" t="s">
        <v>98</v>
      </c>
      <c r="AX1804" t="s">
        <v>7528</v>
      </c>
      <c r="AZ1804" t="s">
        <v>7528</v>
      </c>
      <c r="BB1804" t="s">
        <v>7528</v>
      </c>
      <c r="BC1804" t="s">
        <v>7528</v>
      </c>
      <c r="BD1804" t="s">
        <v>7528</v>
      </c>
      <c r="BF1804" t="s">
        <v>5541</v>
      </c>
      <c r="BG1804" t="s">
        <v>98</v>
      </c>
      <c r="BH1804" t="s">
        <v>98</v>
      </c>
      <c r="BI1804" t="s">
        <v>98</v>
      </c>
      <c r="BK1804" t="s">
        <v>7528</v>
      </c>
      <c r="BL1804" t="s">
        <v>7528</v>
      </c>
      <c r="CA1804" t="s">
        <v>5540</v>
      </c>
      <c r="CB1804" t="s">
        <v>7528</v>
      </c>
      <c r="CL1804" t="s">
        <v>98</v>
      </c>
      <c r="CM1804" t="s">
        <v>98</v>
      </c>
      <c r="CN1804" t="s">
        <v>7528</v>
      </c>
      <c r="CO1804" s="1">
        <v>40291</v>
      </c>
      <c r="CP1804" s="1">
        <v>43633</v>
      </c>
    </row>
    <row r="1805" spans="1:94" x14ac:dyDescent="0.25">
      <c r="A1805" t="s">
        <v>5542</v>
      </c>
      <c r="B1805" t="str">
        <f xml:space="preserve"> "" &amp; 747396074467</f>
        <v>747396074467</v>
      </c>
      <c r="C1805" t="s">
        <v>5543</v>
      </c>
      <c r="D1805" t="s">
        <v>7167</v>
      </c>
      <c r="E1805" t="s">
        <v>7528</v>
      </c>
      <c r="F1805" t="s">
        <v>627</v>
      </c>
      <c r="G1805">
        <v>1</v>
      </c>
      <c r="H1805">
        <v>1</v>
      </c>
      <c r="I1805" t="s">
        <v>97</v>
      </c>
      <c r="J1805" s="10">
        <v>42.5</v>
      </c>
      <c r="K1805" s="10">
        <v>127.5</v>
      </c>
      <c r="L1805" s="10">
        <v>0</v>
      </c>
      <c r="N1805" s="10">
        <v>0</v>
      </c>
      <c r="S1805">
        <v>14.12</v>
      </c>
      <c r="U1805">
        <v>13.38</v>
      </c>
      <c r="W1805">
        <v>1</v>
      </c>
      <c r="AB1805">
        <v>0.88500000000000001</v>
      </c>
      <c r="AC1805">
        <v>3.52</v>
      </c>
      <c r="AF1805" t="s">
        <v>7528</v>
      </c>
      <c r="AK1805" t="s">
        <v>98</v>
      </c>
      <c r="AM1805" t="s">
        <v>98</v>
      </c>
      <c r="AN1805" t="s">
        <v>98</v>
      </c>
      <c r="AO1805" t="s">
        <v>98</v>
      </c>
      <c r="AP1805" t="s">
        <v>100</v>
      </c>
      <c r="AQ1805" t="s">
        <v>101</v>
      </c>
      <c r="AV1805" t="s">
        <v>98</v>
      </c>
      <c r="AX1805" t="s">
        <v>7528</v>
      </c>
      <c r="AZ1805" t="s">
        <v>7528</v>
      </c>
      <c r="BB1805" t="s">
        <v>7528</v>
      </c>
      <c r="BC1805" t="s">
        <v>7528</v>
      </c>
      <c r="BD1805" t="s">
        <v>7528</v>
      </c>
      <c r="BF1805" t="s">
        <v>5544</v>
      </c>
      <c r="BG1805" t="s">
        <v>98</v>
      </c>
      <c r="BH1805" t="s">
        <v>98</v>
      </c>
      <c r="BI1805" t="s">
        <v>98</v>
      </c>
      <c r="BK1805" t="s">
        <v>7528</v>
      </c>
      <c r="BL1805" t="s">
        <v>7528</v>
      </c>
      <c r="CA1805" t="s">
        <v>5542</v>
      </c>
      <c r="CB1805" t="s">
        <v>7528</v>
      </c>
      <c r="CL1805" t="s">
        <v>98</v>
      </c>
      <c r="CM1805" t="s">
        <v>98</v>
      </c>
      <c r="CN1805" t="s">
        <v>7528</v>
      </c>
      <c r="CO1805" s="1">
        <v>40291</v>
      </c>
      <c r="CP1805" s="1">
        <v>43633</v>
      </c>
    </row>
    <row r="1806" spans="1:94" x14ac:dyDescent="0.25">
      <c r="A1806" t="s">
        <v>5545</v>
      </c>
      <c r="B1806" t="str">
        <f xml:space="preserve"> "" &amp; 747396074450</f>
        <v>747396074450</v>
      </c>
      <c r="C1806" t="s">
        <v>5543</v>
      </c>
      <c r="D1806" t="s">
        <v>7168</v>
      </c>
      <c r="E1806" t="s">
        <v>7528</v>
      </c>
      <c r="F1806" t="s">
        <v>627</v>
      </c>
      <c r="G1806">
        <v>1</v>
      </c>
      <c r="H1806">
        <v>1</v>
      </c>
      <c r="I1806" t="s">
        <v>97</v>
      </c>
      <c r="J1806" s="10">
        <v>87.5</v>
      </c>
      <c r="K1806" s="10">
        <v>262.5</v>
      </c>
      <c r="L1806" s="10">
        <v>0</v>
      </c>
      <c r="N1806" s="10">
        <v>0</v>
      </c>
      <c r="S1806">
        <v>4.5</v>
      </c>
      <c r="U1806">
        <v>13.38</v>
      </c>
      <c r="W1806">
        <v>4.53</v>
      </c>
      <c r="Y1806">
        <v>7.63</v>
      </c>
      <c r="Z1806">
        <v>20.63</v>
      </c>
      <c r="AA1806">
        <v>20.63</v>
      </c>
      <c r="AB1806">
        <v>1.879</v>
      </c>
      <c r="AC1806">
        <v>7.39</v>
      </c>
      <c r="AF1806" t="s">
        <v>7528</v>
      </c>
      <c r="AK1806" t="s">
        <v>98</v>
      </c>
      <c r="AM1806" t="s">
        <v>98</v>
      </c>
      <c r="AN1806" t="s">
        <v>98</v>
      </c>
      <c r="AO1806" t="s">
        <v>98</v>
      </c>
      <c r="AP1806" t="s">
        <v>100</v>
      </c>
      <c r="AQ1806" t="s">
        <v>101</v>
      </c>
      <c r="AV1806" t="s">
        <v>98</v>
      </c>
      <c r="AX1806" t="s">
        <v>7528</v>
      </c>
      <c r="AZ1806" t="s">
        <v>7528</v>
      </c>
      <c r="BB1806" t="s">
        <v>7528</v>
      </c>
      <c r="BC1806" t="s">
        <v>7528</v>
      </c>
      <c r="BD1806" t="s">
        <v>7528</v>
      </c>
      <c r="BF1806" t="s">
        <v>5546</v>
      </c>
      <c r="BG1806" t="s">
        <v>98</v>
      </c>
      <c r="BH1806" t="s">
        <v>98</v>
      </c>
      <c r="BI1806" t="s">
        <v>98</v>
      </c>
      <c r="BK1806" t="s">
        <v>7528</v>
      </c>
      <c r="BL1806" t="s">
        <v>7528</v>
      </c>
      <c r="CA1806" t="s">
        <v>5545</v>
      </c>
      <c r="CB1806" t="s">
        <v>7528</v>
      </c>
      <c r="CL1806" t="s">
        <v>98</v>
      </c>
      <c r="CM1806" t="s">
        <v>98</v>
      </c>
      <c r="CN1806" t="s">
        <v>7528</v>
      </c>
      <c r="CO1806" s="1">
        <v>40294</v>
      </c>
      <c r="CP1806" s="1">
        <v>43633</v>
      </c>
    </row>
    <row r="1807" spans="1:94" x14ac:dyDescent="0.25">
      <c r="A1807" t="s">
        <v>5547</v>
      </c>
      <c r="B1807" t="str">
        <f xml:space="preserve"> "" &amp; 747396074443</f>
        <v>747396074443</v>
      </c>
      <c r="C1807" t="s">
        <v>5543</v>
      </c>
      <c r="D1807" t="s">
        <v>7169</v>
      </c>
      <c r="E1807" t="s">
        <v>7528</v>
      </c>
      <c r="F1807" t="s">
        <v>627</v>
      </c>
      <c r="G1807">
        <v>1</v>
      </c>
      <c r="H1807">
        <v>1</v>
      </c>
      <c r="I1807" t="s">
        <v>97</v>
      </c>
      <c r="J1807" s="10">
        <v>17.5</v>
      </c>
      <c r="K1807" s="10">
        <v>52.5</v>
      </c>
      <c r="L1807" s="10">
        <v>0</v>
      </c>
      <c r="N1807" s="10">
        <v>0</v>
      </c>
      <c r="S1807">
        <v>6.5</v>
      </c>
      <c r="T1807">
        <v>4.5</v>
      </c>
      <c r="U1807">
        <v>4</v>
      </c>
      <c r="W1807">
        <v>0.68</v>
      </c>
      <c r="Y1807">
        <v>7</v>
      </c>
      <c r="Z1807">
        <v>4.5</v>
      </c>
      <c r="AA1807">
        <v>4.5</v>
      </c>
      <c r="AB1807">
        <v>8.2000000000000003E-2</v>
      </c>
      <c r="AC1807">
        <v>0.9</v>
      </c>
      <c r="AF1807" t="s">
        <v>7528</v>
      </c>
      <c r="AK1807" t="s">
        <v>98</v>
      </c>
      <c r="AM1807" t="s">
        <v>98</v>
      </c>
      <c r="AN1807" t="s">
        <v>98</v>
      </c>
      <c r="AO1807" t="s">
        <v>98</v>
      </c>
      <c r="AP1807" t="s">
        <v>100</v>
      </c>
      <c r="AQ1807" t="s">
        <v>101</v>
      </c>
      <c r="AV1807" t="s">
        <v>98</v>
      </c>
      <c r="AX1807" t="s">
        <v>7528</v>
      </c>
      <c r="AZ1807" t="s">
        <v>7528</v>
      </c>
      <c r="BB1807" t="s">
        <v>7528</v>
      </c>
      <c r="BC1807" t="s">
        <v>7528</v>
      </c>
      <c r="BD1807" t="s">
        <v>7528</v>
      </c>
      <c r="BF1807" t="s">
        <v>5548</v>
      </c>
      <c r="BG1807" t="s">
        <v>98</v>
      </c>
      <c r="BH1807" t="s">
        <v>98</v>
      </c>
      <c r="BI1807" t="s">
        <v>98</v>
      </c>
      <c r="BK1807" t="s">
        <v>7528</v>
      </c>
      <c r="BL1807" t="s">
        <v>7528</v>
      </c>
      <c r="CA1807" t="s">
        <v>5547</v>
      </c>
      <c r="CB1807" t="s">
        <v>7528</v>
      </c>
      <c r="CL1807" t="s">
        <v>98</v>
      </c>
      <c r="CM1807" t="s">
        <v>98</v>
      </c>
      <c r="CN1807" t="s">
        <v>7528</v>
      </c>
      <c r="CO1807" s="1">
        <v>40351</v>
      </c>
      <c r="CP1807" s="1">
        <v>43633</v>
      </c>
    </row>
    <row r="1808" spans="1:94" x14ac:dyDescent="0.25">
      <c r="A1808" t="s">
        <v>5549</v>
      </c>
      <c r="B1808" t="str">
        <f xml:space="preserve"> "" &amp; 747396075211</f>
        <v>747396075211</v>
      </c>
      <c r="C1808" t="s">
        <v>5384</v>
      </c>
      <c r="D1808" t="s">
        <v>7170</v>
      </c>
      <c r="E1808" t="s">
        <v>7528</v>
      </c>
      <c r="F1808" t="s">
        <v>627</v>
      </c>
      <c r="G1808">
        <v>1</v>
      </c>
      <c r="H1808">
        <v>1</v>
      </c>
      <c r="I1808" t="s">
        <v>97</v>
      </c>
      <c r="J1808" s="10">
        <v>24.5</v>
      </c>
      <c r="K1808" s="10">
        <v>73.5</v>
      </c>
      <c r="L1808" s="10">
        <v>0</v>
      </c>
      <c r="N1808" s="10">
        <v>0</v>
      </c>
      <c r="S1808">
        <v>4.25</v>
      </c>
      <c r="T1808">
        <v>16.25</v>
      </c>
      <c r="U1808">
        <v>12</v>
      </c>
      <c r="W1808">
        <v>1.1000000000000001</v>
      </c>
      <c r="Y1808">
        <v>6.75</v>
      </c>
      <c r="Z1808">
        <v>16.25</v>
      </c>
      <c r="AA1808">
        <v>6.5</v>
      </c>
      <c r="AB1808">
        <v>0.41299999999999998</v>
      </c>
      <c r="AC1808">
        <v>2.02</v>
      </c>
      <c r="AF1808" t="s">
        <v>7528</v>
      </c>
      <c r="AK1808" t="s">
        <v>98</v>
      </c>
      <c r="AM1808" t="s">
        <v>98</v>
      </c>
      <c r="AN1808" t="s">
        <v>98</v>
      </c>
      <c r="AO1808" t="s">
        <v>98</v>
      </c>
      <c r="AP1808" t="s">
        <v>100</v>
      </c>
      <c r="AQ1808" t="s">
        <v>101</v>
      </c>
      <c r="AV1808" t="s">
        <v>98</v>
      </c>
      <c r="AX1808" t="s">
        <v>7528</v>
      </c>
      <c r="AZ1808" t="s">
        <v>7528</v>
      </c>
      <c r="BB1808" t="s">
        <v>7528</v>
      </c>
      <c r="BC1808" t="s">
        <v>7528</v>
      </c>
      <c r="BD1808" t="s">
        <v>7528</v>
      </c>
      <c r="BF1808" t="s">
        <v>5550</v>
      </c>
      <c r="BG1808" t="s">
        <v>98</v>
      </c>
      <c r="BH1808" t="s">
        <v>98</v>
      </c>
      <c r="BI1808" t="s">
        <v>98</v>
      </c>
      <c r="BK1808" t="s">
        <v>7528</v>
      </c>
      <c r="BL1808" t="s">
        <v>7528</v>
      </c>
      <c r="CA1808" t="s">
        <v>5549</v>
      </c>
      <c r="CB1808" t="s">
        <v>7528</v>
      </c>
      <c r="CL1808" t="s">
        <v>98</v>
      </c>
      <c r="CM1808" t="s">
        <v>98</v>
      </c>
      <c r="CN1808" t="s">
        <v>7528</v>
      </c>
      <c r="CO1808" s="1">
        <v>40294</v>
      </c>
      <c r="CP1808" s="1">
        <v>43595</v>
      </c>
    </row>
    <row r="1809" spans="1:94" x14ac:dyDescent="0.25">
      <c r="A1809" t="s">
        <v>5551</v>
      </c>
      <c r="B1809" t="str">
        <f xml:space="preserve"> "" &amp; 747396074337</f>
        <v>747396074337</v>
      </c>
      <c r="C1809" t="s">
        <v>5389</v>
      </c>
      <c r="D1809" t="s">
        <v>7171</v>
      </c>
      <c r="E1809" t="s">
        <v>7528</v>
      </c>
      <c r="F1809" t="s">
        <v>627</v>
      </c>
      <c r="G1809">
        <v>1</v>
      </c>
      <c r="H1809">
        <v>1</v>
      </c>
      <c r="I1809" t="s">
        <v>97</v>
      </c>
      <c r="J1809" s="10">
        <v>14.5</v>
      </c>
      <c r="K1809" s="10">
        <v>43.5</v>
      </c>
      <c r="L1809" s="10">
        <v>0</v>
      </c>
      <c r="N1809" s="10">
        <v>0</v>
      </c>
      <c r="S1809">
        <v>4.75</v>
      </c>
      <c r="U1809">
        <v>5.25</v>
      </c>
      <c r="W1809">
        <v>0.79</v>
      </c>
      <c r="Y1809">
        <v>8.5</v>
      </c>
      <c r="Z1809">
        <v>31.75</v>
      </c>
      <c r="AA1809">
        <v>8.5</v>
      </c>
      <c r="AB1809">
        <v>1.3280000000000001</v>
      </c>
      <c r="AC1809">
        <v>1.23</v>
      </c>
      <c r="AF1809" t="s">
        <v>7528</v>
      </c>
      <c r="AK1809" t="s">
        <v>98</v>
      </c>
      <c r="AM1809" t="s">
        <v>98</v>
      </c>
      <c r="AN1809" t="s">
        <v>98</v>
      </c>
      <c r="AO1809" t="s">
        <v>98</v>
      </c>
      <c r="AP1809" t="s">
        <v>100</v>
      </c>
      <c r="AQ1809" t="s">
        <v>101</v>
      </c>
      <c r="AV1809" t="s">
        <v>98</v>
      </c>
      <c r="AX1809" t="s">
        <v>7528</v>
      </c>
      <c r="AZ1809" t="s">
        <v>7528</v>
      </c>
      <c r="BB1809" t="s">
        <v>7528</v>
      </c>
      <c r="BC1809" t="s">
        <v>7528</v>
      </c>
      <c r="BD1809" t="s">
        <v>7528</v>
      </c>
      <c r="BF1809" t="s">
        <v>5552</v>
      </c>
      <c r="BG1809" t="s">
        <v>98</v>
      </c>
      <c r="BH1809" t="s">
        <v>98</v>
      </c>
      <c r="BI1809" t="s">
        <v>98</v>
      </c>
      <c r="BK1809" t="s">
        <v>7528</v>
      </c>
      <c r="BL1809" t="s">
        <v>7528</v>
      </c>
      <c r="CA1809" t="s">
        <v>5551</v>
      </c>
      <c r="CB1809" t="s">
        <v>7528</v>
      </c>
      <c r="CL1809" t="s">
        <v>98</v>
      </c>
      <c r="CM1809" t="s">
        <v>98</v>
      </c>
      <c r="CN1809" t="s">
        <v>7528</v>
      </c>
      <c r="CO1809" s="1">
        <v>40317</v>
      </c>
      <c r="CP1809" s="1">
        <v>43633</v>
      </c>
    </row>
    <row r="1810" spans="1:94" x14ac:dyDescent="0.25">
      <c r="A1810" t="s">
        <v>5553</v>
      </c>
      <c r="B1810" t="str">
        <f xml:space="preserve"> "" &amp; 747396065656</f>
        <v>747396065656</v>
      </c>
      <c r="C1810" t="s">
        <v>5154</v>
      </c>
      <c r="D1810" t="s">
        <v>7172</v>
      </c>
      <c r="E1810" t="s">
        <v>333</v>
      </c>
      <c r="F1810" t="s">
        <v>627</v>
      </c>
      <c r="G1810">
        <v>1</v>
      </c>
      <c r="H1810">
        <v>1</v>
      </c>
      <c r="I1810" t="s">
        <v>97</v>
      </c>
      <c r="J1810" s="10">
        <v>49.5</v>
      </c>
      <c r="K1810" s="10">
        <v>148.5</v>
      </c>
      <c r="L1810" s="10">
        <v>0</v>
      </c>
      <c r="N1810" s="10">
        <v>0</v>
      </c>
      <c r="S1810">
        <v>6.25</v>
      </c>
      <c r="T1810">
        <v>15.5</v>
      </c>
      <c r="U1810">
        <v>15.5</v>
      </c>
      <c r="W1810">
        <v>8.14</v>
      </c>
      <c r="Y1810">
        <v>6.25</v>
      </c>
      <c r="Z1810">
        <v>15.5</v>
      </c>
      <c r="AA1810">
        <v>15.5</v>
      </c>
      <c r="AB1810">
        <v>0.86899999999999999</v>
      </c>
      <c r="AC1810">
        <v>10.210000000000001</v>
      </c>
      <c r="AF1810" t="s">
        <v>7528</v>
      </c>
      <c r="AK1810" t="s">
        <v>98</v>
      </c>
      <c r="AM1810" t="s">
        <v>98</v>
      </c>
      <c r="AN1810" t="s">
        <v>98</v>
      </c>
      <c r="AO1810" t="s">
        <v>98</v>
      </c>
      <c r="AP1810" t="s">
        <v>100</v>
      </c>
      <c r="AV1810" t="s">
        <v>98</v>
      </c>
      <c r="AX1810" t="s">
        <v>7528</v>
      </c>
      <c r="AZ1810" t="s">
        <v>7528</v>
      </c>
      <c r="BB1810" t="s">
        <v>7528</v>
      </c>
      <c r="BC1810" t="s">
        <v>7528</v>
      </c>
      <c r="BD1810" t="s">
        <v>7528</v>
      </c>
      <c r="BF1810" t="s">
        <v>5554</v>
      </c>
      <c r="BG1810" t="s">
        <v>98</v>
      </c>
      <c r="BH1810" t="s">
        <v>98</v>
      </c>
      <c r="BI1810" t="s">
        <v>98</v>
      </c>
      <c r="BK1810" t="s">
        <v>7528</v>
      </c>
      <c r="BL1810" t="s">
        <v>7528</v>
      </c>
      <c r="CB1810" t="s">
        <v>7528</v>
      </c>
      <c r="CL1810" t="s">
        <v>98</v>
      </c>
      <c r="CM1810" t="s">
        <v>98</v>
      </c>
      <c r="CN1810" t="s">
        <v>7528</v>
      </c>
      <c r="CP1810" s="1">
        <v>43595</v>
      </c>
    </row>
    <row r="1811" spans="1:94" x14ac:dyDescent="0.25">
      <c r="A1811" t="s">
        <v>5555</v>
      </c>
      <c r="B1811" t="str">
        <f xml:space="preserve"> "" &amp; 747396086606</f>
        <v>747396086606</v>
      </c>
      <c r="C1811" t="s">
        <v>5154</v>
      </c>
      <c r="D1811" t="s">
        <v>7173</v>
      </c>
      <c r="E1811" t="s">
        <v>5556</v>
      </c>
      <c r="F1811" t="s">
        <v>627</v>
      </c>
      <c r="G1811">
        <v>1</v>
      </c>
      <c r="H1811">
        <v>1</v>
      </c>
      <c r="I1811" t="s">
        <v>97</v>
      </c>
      <c r="J1811" s="10">
        <v>49.5</v>
      </c>
      <c r="K1811" s="10">
        <v>148.5</v>
      </c>
      <c r="L1811" s="10">
        <v>0</v>
      </c>
      <c r="N1811" s="10">
        <v>0</v>
      </c>
      <c r="W1811">
        <v>8.14</v>
      </c>
      <c r="Y1811">
        <v>9</v>
      </c>
      <c r="Z1811">
        <v>17.75</v>
      </c>
      <c r="AA1811">
        <v>17.75</v>
      </c>
      <c r="AB1811">
        <v>1.641</v>
      </c>
      <c r="AC1811">
        <v>9.9</v>
      </c>
      <c r="AF1811" t="s">
        <v>7528</v>
      </c>
      <c r="AK1811" t="s">
        <v>98</v>
      </c>
      <c r="AM1811" t="s">
        <v>98</v>
      </c>
      <c r="AN1811" t="s">
        <v>98</v>
      </c>
      <c r="AO1811" t="s">
        <v>98</v>
      </c>
      <c r="AP1811" t="s">
        <v>100</v>
      </c>
      <c r="AV1811" t="s">
        <v>98</v>
      </c>
      <c r="AX1811" t="s">
        <v>7528</v>
      </c>
      <c r="AZ1811" t="s">
        <v>7528</v>
      </c>
      <c r="BB1811" t="s">
        <v>7528</v>
      </c>
      <c r="BC1811" t="s">
        <v>7528</v>
      </c>
      <c r="BD1811" t="s">
        <v>7528</v>
      </c>
      <c r="BF1811" t="s">
        <v>5557</v>
      </c>
      <c r="BG1811" t="s">
        <v>98</v>
      </c>
      <c r="BH1811" t="s">
        <v>98</v>
      </c>
      <c r="BI1811" t="s">
        <v>98</v>
      </c>
      <c r="BK1811" t="s">
        <v>7528</v>
      </c>
      <c r="BL1811" t="s">
        <v>7528</v>
      </c>
      <c r="CB1811" t="s">
        <v>7528</v>
      </c>
      <c r="CL1811" t="s">
        <v>98</v>
      </c>
      <c r="CM1811" t="s">
        <v>98</v>
      </c>
      <c r="CN1811" t="s">
        <v>7528</v>
      </c>
      <c r="CP1811" s="1">
        <v>43633</v>
      </c>
    </row>
    <row r="1812" spans="1:94" x14ac:dyDescent="0.25">
      <c r="A1812" t="s">
        <v>5558</v>
      </c>
      <c r="B1812" t="str">
        <f xml:space="preserve"> "" &amp; 747396070131</f>
        <v>747396070131</v>
      </c>
      <c r="C1812" t="s">
        <v>5142</v>
      </c>
      <c r="D1812" t="s">
        <v>7174</v>
      </c>
      <c r="E1812" t="s">
        <v>7528</v>
      </c>
      <c r="F1812" t="s">
        <v>627</v>
      </c>
      <c r="G1812">
        <v>1</v>
      </c>
      <c r="H1812">
        <v>1</v>
      </c>
      <c r="I1812" t="s">
        <v>97</v>
      </c>
      <c r="J1812" s="10">
        <v>25</v>
      </c>
      <c r="K1812" s="10">
        <v>75</v>
      </c>
      <c r="L1812" s="10">
        <v>0</v>
      </c>
      <c r="N1812" s="10">
        <v>0</v>
      </c>
      <c r="S1812">
        <v>8.5</v>
      </c>
      <c r="U1812">
        <v>8</v>
      </c>
      <c r="V1812">
        <v>5</v>
      </c>
      <c r="W1812">
        <v>0.96</v>
      </c>
      <c r="Y1812">
        <v>9</v>
      </c>
      <c r="Z1812">
        <v>28.25</v>
      </c>
      <c r="AA1812">
        <v>20.5</v>
      </c>
      <c r="AB1812">
        <v>3.016</v>
      </c>
      <c r="AC1812">
        <v>1.44</v>
      </c>
      <c r="AF1812" t="s">
        <v>7528</v>
      </c>
      <c r="AK1812" t="s">
        <v>98</v>
      </c>
      <c r="AM1812" t="s">
        <v>98</v>
      </c>
      <c r="AN1812" t="s">
        <v>98</v>
      </c>
      <c r="AO1812" t="s">
        <v>98</v>
      </c>
      <c r="AP1812" t="s">
        <v>100</v>
      </c>
      <c r="AQ1812" t="s">
        <v>101</v>
      </c>
      <c r="AV1812" t="s">
        <v>98</v>
      </c>
      <c r="AX1812" t="s">
        <v>7528</v>
      </c>
      <c r="AZ1812" t="s">
        <v>7528</v>
      </c>
      <c r="BB1812" t="s">
        <v>7528</v>
      </c>
      <c r="BC1812" t="s">
        <v>7528</v>
      </c>
      <c r="BD1812" t="s">
        <v>7528</v>
      </c>
      <c r="BF1812" t="s">
        <v>5559</v>
      </c>
      <c r="BG1812" t="s">
        <v>98</v>
      </c>
      <c r="BH1812" t="s">
        <v>98</v>
      </c>
      <c r="BI1812" t="s">
        <v>98</v>
      </c>
      <c r="BK1812" t="s">
        <v>7528</v>
      </c>
      <c r="BL1812" t="s">
        <v>7528</v>
      </c>
      <c r="CA1812" t="s">
        <v>5558</v>
      </c>
      <c r="CB1812" t="s">
        <v>7528</v>
      </c>
      <c r="CL1812" t="s">
        <v>98</v>
      </c>
      <c r="CM1812" t="s">
        <v>98</v>
      </c>
      <c r="CN1812" t="s">
        <v>7528</v>
      </c>
      <c r="CO1812" s="1">
        <v>40294</v>
      </c>
      <c r="CP1812" s="1">
        <v>43595</v>
      </c>
    </row>
    <row r="1813" spans="1:94" x14ac:dyDescent="0.25">
      <c r="A1813" t="s">
        <v>5560</v>
      </c>
      <c r="B1813" t="str">
        <f xml:space="preserve"> "" &amp; 747396075068</f>
        <v>747396075068</v>
      </c>
      <c r="C1813" t="s">
        <v>5561</v>
      </c>
      <c r="D1813" t="s">
        <v>7175</v>
      </c>
      <c r="E1813" t="s">
        <v>7528</v>
      </c>
      <c r="F1813" t="s">
        <v>627</v>
      </c>
      <c r="G1813">
        <v>1</v>
      </c>
      <c r="H1813">
        <v>1</v>
      </c>
      <c r="I1813" t="s">
        <v>97</v>
      </c>
      <c r="J1813" s="10">
        <v>7.5</v>
      </c>
      <c r="K1813" s="10">
        <v>22.5</v>
      </c>
      <c r="L1813" s="10">
        <v>0</v>
      </c>
      <c r="N1813" s="10">
        <v>0</v>
      </c>
      <c r="S1813">
        <v>3.88</v>
      </c>
      <c r="U1813">
        <v>1.75</v>
      </c>
      <c r="W1813">
        <v>0.26</v>
      </c>
      <c r="Y1813">
        <v>7.75</v>
      </c>
      <c r="Z1813">
        <v>20.5</v>
      </c>
      <c r="AA1813">
        <v>10.5</v>
      </c>
      <c r="AB1813">
        <v>0.96499999999999997</v>
      </c>
      <c r="AC1813">
        <v>0.94</v>
      </c>
      <c r="AF1813" t="s">
        <v>7528</v>
      </c>
      <c r="AK1813" t="s">
        <v>98</v>
      </c>
      <c r="AM1813" t="s">
        <v>98</v>
      </c>
      <c r="AN1813" t="s">
        <v>98</v>
      </c>
      <c r="AO1813" t="s">
        <v>98</v>
      </c>
      <c r="AP1813" t="s">
        <v>100</v>
      </c>
      <c r="AQ1813" t="s">
        <v>101</v>
      </c>
      <c r="AV1813" t="s">
        <v>98</v>
      </c>
      <c r="AX1813" t="s">
        <v>7528</v>
      </c>
      <c r="AZ1813" t="s">
        <v>7528</v>
      </c>
      <c r="BB1813" t="s">
        <v>7528</v>
      </c>
      <c r="BC1813" t="s">
        <v>7528</v>
      </c>
      <c r="BD1813" t="s">
        <v>7528</v>
      </c>
      <c r="BF1813" t="s">
        <v>5562</v>
      </c>
      <c r="BG1813" t="s">
        <v>98</v>
      </c>
      <c r="BH1813" t="s">
        <v>98</v>
      </c>
      <c r="BI1813" t="s">
        <v>98</v>
      </c>
      <c r="BK1813" t="s">
        <v>7528</v>
      </c>
      <c r="BL1813" t="s">
        <v>7528</v>
      </c>
      <c r="CA1813" t="s">
        <v>5560</v>
      </c>
      <c r="CB1813" t="s">
        <v>7528</v>
      </c>
      <c r="CL1813" t="s">
        <v>98</v>
      </c>
      <c r="CM1813" t="s">
        <v>98</v>
      </c>
      <c r="CN1813" t="s">
        <v>7528</v>
      </c>
      <c r="CO1813" s="1">
        <v>40294</v>
      </c>
      <c r="CP1813" s="1">
        <v>43595</v>
      </c>
    </row>
    <row r="1814" spans="1:94" x14ac:dyDescent="0.25">
      <c r="A1814" t="s">
        <v>5563</v>
      </c>
      <c r="B1814" t="str">
        <f xml:space="preserve"> "" &amp; 747396075075</f>
        <v>747396075075</v>
      </c>
      <c r="C1814" t="s">
        <v>5561</v>
      </c>
      <c r="D1814" t="s">
        <v>7176</v>
      </c>
      <c r="E1814" t="s">
        <v>7528</v>
      </c>
      <c r="F1814" t="s">
        <v>627</v>
      </c>
      <c r="G1814">
        <v>1</v>
      </c>
      <c r="H1814">
        <v>1</v>
      </c>
      <c r="I1814" t="s">
        <v>97</v>
      </c>
      <c r="J1814" s="10">
        <v>7</v>
      </c>
      <c r="K1814" s="10">
        <v>21</v>
      </c>
      <c r="L1814" s="10">
        <v>0</v>
      </c>
      <c r="N1814" s="10">
        <v>0</v>
      </c>
      <c r="S1814">
        <v>3.88</v>
      </c>
      <c r="U1814">
        <v>1.75</v>
      </c>
      <c r="W1814">
        <v>0.2</v>
      </c>
      <c r="Y1814">
        <v>3.75</v>
      </c>
      <c r="Z1814">
        <v>11.5</v>
      </c>
      <c r="AA1814">
        <v>11.5</v>
      </c>
      <c r="AB1814">
        <v>0.28699999999999998</v>
      </c>
      <c r="AC1814">
        <v>0.41</v>
      </c>
      <c r="AF1814" t="s">
        <v>7528</v>
      </c>
      <c r="AK1814" t="s">
        <v>98</v>
      </c>
      <c r="AM1814" t="s">
        <v>98</v>
      </c>
      <c r="AN1814" t="s">
        <v>98</v>
      </c>
      <c r="AO1814" t="s">
        <v>98</v>
      </c>
      <c r="AP1814" t="s">
        <v>100</v>
      </c>
      <c r="AQ1814" t="s">
        <v>101</v>
      </c>
      <c r="AV1814" t="s">
        <v>98</v>
      </c>
      <c r="AX1814" t="s">
        <v>7528</v>
      </c>
      <c r="AZ1814" t="s">
        <v>7528</v>
      </c>
      <c r="BB1814" t="s">
        <v>7528</v>
      </c>
      <c r="BC1814" t="s">
        <v>7528</v>
      </c>
      <c r="BD1814" t="s">
        <v>7528</v>
      </c>
      <c r="BF1814" t="s">
        <v>5564</v>
      </c>
      <c r="BG1814" t="s">
        <v>98</v>
      </c>
      <c r="BH1814" t="s">
        <v>98</v>
      </c>
      <c r="BI1814" t="s">
        <v>98</v>
      </c>
      <c r="BK1814" t="s">
        <v>7528</v>
      </c>
      <c r="BL1814" t="s">
        <v>7528</v>
      </c>
      <c r="CA1814" t="s">
        <v>5563</v>
      </c>
      <c r="CB1814" t="s">
        <v>7528</v>
      </c>
      <c r="CL1814" t="s">
        <v>98</v>
      </c>
      <c r="CM1814" t="s">
        <v>98</v>
      </c>
      <c r="CN1814" t="s">
        <v>7528</v>
      </c>
      <c r="CO1814" s="1">
        <v>40294</v>
      </c>
      <c r="CP1814" s="1">
        <v>43595</v>
      </c>
    </row>
    <row r="1815" spans="1:94" x14ac:dyDescent="0.25">
      <c r="A1815" t="s">
        <v>5565</v>
      </c>
      <c r="B1815" t="str">
        <f xml:space="preserve"> "" &amp; 747396070087</f>
        <v>747396070087</v>
      </c>
      <c r="C1815" t="s">
        <v>808</v>
      </c>
      <c r="D1815" t="s">
        <v>7177</v>
      </c>
      <c r="E1815" t="s">
        <v>7528</v>
      </c>
      <c r="F1815" t="s">
        <v>627</v>
      </c>
      <c r="G1815">
        <v>1</v>
      </c>
      <c r="H1815">
        <v>1</v>
      </c>
      <c r="I1815" t="s">
        <v>97</v>
      </c>
      <c r="J1815" s="10">
        <v>38.5</v>
      </c>
      <c r="K1815" s="10">
        <v>115.5</v>
      </c>
      <c r="L1815" s="10">
        <v>0</v>
      </c>
      <c r="N1815" s="10">
        <v>0</v>
      </c>
      <c r="S1815">
        <v>4</v>
      </c>
      <c r="U1815">
        <v>13</v>
      </c>
      <c r="V1815">
        <v>3.38</v>
      </c>
      <c r="W1815">
        <v>1.08</v>
      </c>
      <c r="Y1815">
        <v>15.5</v>
      </c>
      <c r="Z1815">
        <v>6.5</v>
      </c>
      <c r="AA1815">
        <v>6</v>
      </c>
      <c r="AB1815">
        <v>0.35</v>
      </c>
      <c r="AC1815">
        <v>1.54</v>
      </c>
      <c r="AF1815" t="s">
        <v>7528</v>
      </c>
      <c r="AK1815" t="s">
        <v>98</v>
      </c>
      <c r="AM1815" t="s">
        <v>98</v>
      </c>
      <c r="AN1815" t="s">
        <v>98</v>
      </c>
      <c r="AO1815" t="s">
        <v>98</v>
      </c>
      <c r="AP1815" t="s">
        <v>100</v>
      </c>
      <c r="AQ1815" t="s">
        <v>101</v>
      </c>
      <c r="AV1815" t="s">
        <v>98</v>
      </c>
      <c r="AX1815" t="s">
        <v>7528</v>
      </c>
      <c r="AZ1815" t="s">
        <v>7528</v>
      </c>
      <c r="BB1815" t="s">
        <v>7528</v>
      </c>
      <c r="BC1815" t="s">
        <v>7528</v>
      </c>
      <c r="BD1815" t="s">
        <v>7528</v>
      </c>
      <c r="BF1815" t="s">
        <v>5566</v>
      </c>
      <c r="BG1815" t="s">
        <v>98</v>
      </c>
      <c r="BH1815" t="s">
        <v>98</v>
      </c>
      <c r="BI1815" t="s">
        <v>98</v>
      </c>
      <c r="BK1815" t="s">
        <v>7528</v>
      </c>
      <c r="BL1815" t="s">
        <v>7528</v>
      </c>
      <c r="CA1815" t="s">
        <v>5565</v>
      </c>
      <c r="CB1815" t="s">
        <v>7528</v>
      </c>
      <c r="CL1815" t="s">
        <v>98</v>
      </c>
      <c r="CM1815" t="s">
        <v>98</v>
      </c>
      <c r="CN1815" t="s">
        <v>7528</v>
      </c>
      <c r="CO1815" s="1">
        <v>40295</v>
      </c>
      <c r="CP1815" s="1">
        <v>43595</v>
      </c>
    </row>
    <row r="1816" spans="1:94" x14ac:dyDescent="0.25">
      <c r="A1816" t="s">
        <v>5567</v>
      </c>
      <c r="B1816" t="str">
        <f xml:space="preserve"> "" &amp; 747396070094</f>
        <v>747396070094</v>
      </c>
      <c r="C1816" t="s">
        <v>808</v>
      </c>
      <c r="D1816" t="s">
        <v>7178</v>
      </c>
      <c r="E1816" t="s">
        <v>7528</v>
      </c>
      <c r="F1816" t="s">
        <v>627</v>
      </c>
      <c r="G1816">
        <v>1</v>
      </c>
      <c r="H1816">
        <v>1</v>
      </c>
      <c r="I1816" t="s">
        <v>97</v>
      </c>
      <c r="J1816" s="10">
        <v>50</v>
      </c>
      <c r="K1816" s="10">
        <v>150</v>
      </c>
      <c r="L1816" s="10">
        <v>0</v>
      </c>
      <c r="N1816" s="10">
        <v>0</v>
      </c>
      <c r="S1816">
        <v>4</v>
      </c>
      <c r="U1816">
        <v>17</v>
      </c>
      <c r="V1816">
        <v>3.38</v>
      </c>
      <c r="W1816">
        <v>1.43</v>
      </c>
      <c r="Y1816">
        <v>19.5</v>
      </c>
      <c r="Z1816">
        <v>6.5</v>
      </c>
      <c r="AA1816">
        <v>6</v>
      </c>
      <c r="AB1816">
        <v>0.44</v>
      </c>
      <c r="AC1816">
        <v>2</v>
      </c>
      <c r="AF1816" t="s">
        <v>7528</v>
      </c>
      <c r="AK1816" t="s">
        <v>98</v>
      </c>
      <c r="AM1816" t="s">
        <v>98</v>
      </c>
      <c r="AN1816" t="s">
        <v>98</v>
      </c>
      <c r="AO1816" t="s">
        <v>98</v>
      </c>
      <c r="AP1816" t="s">
        <v>100</v>
      </c>
      <c r="AQ1816" t="s">
        <v>101</v>
      </c>
      <c r="AV1816" t="s">
        <v>98</v>
      </c>
      <c r="AX1816" t="s">
        <v>7528</v>
      </c>
      <c r="AZ1816" t="s">
        <v>7528</v>
      </c>
      <c r="BB1816" t="s">
        <v>7528</v>
      </c>
      <c r="BC1816" t="s">
        <v>7528</v>
      </c>
      <c r="BD1816" t="s">
        <v>7528</v>
      </c>
      <c r="BF1816" t="s">
        <v>5568</v>
      </c>
      <c r="BG1816" t="s">
        <v>98</v>
      </c>
      <c r="BH1816" t="s">
        <v>98</v>
      </c>
      <c r="BI1816" t="s">
        <v>98</v>
      </c>
      <c r="BK1816" t="s">
        <v>7528</v>
      </c>
      <c r="BL1816" t="s">
        <v>7528</v>
      </c>
      <c r="CA1816" t="s">
        <v>5567</v>
      </c>
      <c r="CB1816" t="s">
        <v>7528</v>
      </c>
      <c r="CL1816" t="s">
        <v>98</v>
      </c>
      <c r="CM1816" t="s">
        <v>98</v>
      </c>
      <c r="CN1816" t="s">
        <v>7528</v>
      </c>
      <c r="CO1816" s="1">
        <v>40295</v>
      </c>
      <c r="CP1816" s="1">
        <v>43595</v>
      </c>
    </row>
    <row r="1817" spans="1:94" x14ac:dyDescent="0.25">
      <c r="A1817" t="s">
        <v>5569</v>
      </c>
      <c r="B1817" t="str">
        <f xml:space="preserve"> "" &amp; 747396070124</f>
        <v>747396070124</v>
      </c>
      <c r="C1817" t="s">
        <v>808</v>
      </c>
      <c r="D1817" t="s">
        <v>7179</v>
      </c>
      <c r="E1817" t="s">
        <v>7528</v>
      </c>
      <c r="F1817" t="s">
        <v>627</v>
      </c>
      <c r="G1817">
        <v>1</v>
      </c>
      <c r="H1817">
        <v>1</v>
      </c>
      <c r="I1817" t="s">
        <v>97</v>
      </c>
      <c r="J1817" s="10">
        <v>12.5</v>
      </c>
      <c r="K1817" s="10">
        <v>37.5</v>
      </c>
      <c r="L1817" s="10">
        <v>0</v>
      </c>
      <c r="N1817" s="10">
        <v>0</v>
      </c>
      <c r="S1817">
        <v>4.75</v>
      </c>
      <c r="U1817">
        <v>5.13</v>
      </c>
      <c r="V1817">
        <v>3.88</v>
      </c>
      <c r="W1817">
        <v>1.76</v>
      </c>
      <c r="Y1817">
        <v>17.5</v>
      </c>
      <c r="Z1817">
        <v>15.5</v>
      </c>
      <c r="AA1817">
        <v>13</v>
      </c>
      <c r="AB1817">
        <v>2.0409999999999999</v>
      </c>
      <c r="AC1817">
        <v>2.27</v>
      </c>
      <c r="AF1817" t="s">
        <v>7528</v>
      </c>
      <c r="AK1817" t="s">
        <v>98</v>
      </c>
      <c r="AM1817" t="s">
        <v>98</v>
      </c>
      <c r="AN1817" t="s">
        <v>98</v>
      </c>
      <c r="AO1817" t="s">
        <v>98</v>
      </c>
      <c r="AP1817" t="s">
        <v>100</v>
      </c>
      <c r="AQ1817" t="s">
        <v>101</v>
      </c>
      <c r="AV1817" t="s">
        <v>98</v>
      </c>
      <c r="AX1817" t="s">
        <v>7528</v>
      </c>
      <c r="AZ1817" t="s">
        <v>7528</v>
      </c>
      <c r="BB1817" t="s">
        <v>7528</v>
      </c>
      <c r="BC1817" t="s">
        <v>7528</v>
      </c>
      <c r="BD1817" t="s">
        <v>7528</v>
      </c>
      <c r="BF1817" t="s">
        <v>5570</v>
      </c>
      <c r="BG1817" t="s">
        <v>98</v>
      </c>
      <c r="BH1817" t="s">
        <v>98</v>
      </c>
      <c r="BI1817" t="s">
        <v>98</v>
      </c>
      <c r="BK1817" t="s">
        <v>7528</v>
      </c>
      <c r="BL1817" t="s">
        <v>7528</v>
      </c>
      <c r="CA1817" t="s">
        <v>5569</v>
      </c>
      <c r="CB1817" t="s">
        <v>7528</v>
      </c>
      <c r="CL1817" t="s">
        <v>98</v>
      </c>
      <c r="CM1817" t="s">
        <v>98</v>
      </c>
      <c r="CN1817" t="s">
        <v>7528</v>
      </c>
      <c r="CO1817" s="1">
        <v>40295</v>
      </c>
      <c r="CP1817" s="1">
        <v>43595</v>
      </c>
    </row>
    <row r="1818" spans="1:94" x14ac:dyDescent="0.25">
      <c r="A1818" t="s">
        <v>5571</v>
      </c>
      <c r="B1818" t="str">
        <f xml:space="preserve"> "" &amp; 747396074030</f>
        <v>747396074030</v>
      </c>
      <c r="C1818" t="s">
        <v>5572</v>
      </c>
      <c r="D1818" t="s">
        <v>7180</v>
      </c>
      <c r="E1818" t="s">
        <v>7528</v>
      </c>
      <c r="F1818" t="s">
        <v>627</v>
      </c>
      <c r="G1818">
        <v>1</v>
      </c>
      <c r="H1818">
        <v>1</v>
      </c>
      <c r="I1818" t="s">
        <v>97</v>
      </c>
      <c r="J1818" s="10">
        <v>32.5</v>
      </c>
      <c r="K1818" s="10">
        <v>97.5</v>
      </c>
      <c r="L1818" s="10">
        <v>0</v>
      </c>
      <c r="N1818" s="10">
        <v>0</v>
      </c>
      <c r="T1818">
        <v>13.25</v>
      </c>
      <c r="U1818">
        <v>9</v>
      </c>
      <c r="V1818">
        <v>3</v>
      </c>
      <c r="W1818">
        <v>2.02</v>
      </c>
      <c r="Y1818">
        <v>15.75</v>
      </c>
      <c r="Z1818">
        <v>11.5</v>
      </c>
      <c r="AA1818">
        <v>11.5</v>
      </c>
      <c r="AB1818">
        <v>1.2050000000000001</v>
      </c>
      <c r="AC1818">
        <v>2.33</v>
      </c>
      <c r="AF1818" t="s">
        <v>7528</v>
      </c>
      <c r="AK1818" t="s">
        <v>98</v>
      </c>
      <c r="AM1818" t="s">
        <v>98</v>
      </c>
      <c r="AN1818" t="s">
        <v>98</v>
      </c>
      <c r="AO1818" t="s">
        <v>98</v>
      </c>
      <c r="AP1818" t="s">
        <v>100</v>
      </c>
      <c r="AQ1818" t="s">
        <v>101</v>
      </c>
      <c r="AV1818" t="s">
        <v>98</v>
      </c>
      <c r="AX1818" t="s">
        <v>7528</v>
      </c>
      <c r="AZ1818" t="s">
        <v>7528</v>
      </c>
      <c r="BB1818" t="s">
        <v>7528</v>
      </c>
      <c r="BC1818" t="s">
        <v>7528</v>
      </c>
      <c r="BD1818" t="s">
        <v>7528</v>
      </c>
      <c r="BF1818" t="s">
        <v>5573</v>
      </c>
      <c r="BG1818" t="s">
        <v>98</v>
      </c>
      <c r="BH1818" t="s">
        <v>98</v>
      </c>
      <c r="BI1818" t="s">
        <v>98</v>
      </c>
      <c r="BK1818" t="s">
        <v>7528</v>
      </c>
      <c r="BL1818" t="s">
        <v>7528</v>
      </c>
      <c r="CA1818" t="s">
        <v>5571</v>
      </c>
      <c r="CB1818" t="s">
        <v>7528</v>
      </c>
      <c r="CL1818" t="s">
        <v>98</v>
      </c>
      <c r="CM1818" t="s">
        <v>98</v>
      </c>
      <c r="CN1818" t="s">
        <v>7528</v>
      </c>
      <c r="CO1818" s="1">
        <v>40295</v>
      </c>
      <c r="CP1818" s="1">
        <v>43633</v>
      </c>
    </row>
    <row r="1819" spans="1:94" x14ac:dyDescent="0.25">
      <c r="A1819" t="s">
        <v>5574</v>
      </c>
      <c r="B1819" t="str">
        <f xml:space="preserve"> "" &amp; 747396074061</f>
        <v>747396074061</v>
      </c>
      <c r="C1819" t="s">
        <v>5572</v>
      </c>
      <c r="D1819" t="s">
        <v>7181</v>
      </c>
      <c r="E1819" t="s">
        <v>7528</v>
      </c>
      <c r="F1819" t="s">
        <v>627</v>
      </c>
      <c r="G1819">
        <v>1</v>
      </c>
      <c r="H1819">
        <v>1</v>
      </c>
      <c r="I1819" t="s">
        <v>97</v>
      </c>
      <c r="J1819" s="10">
        <v>11.5</v>
      </c>
      <c r="K1819" s="10">
        <v>34.5</v>
      </c>
      <c r="L1819" s="10">
        <v>0</v>
      </c>
      <c r="N1819" s="10">
        <v>0</v>
      </c>
      <c r="S1819">
        <v>4.63</v>
      </c>
      <c r="T1819">
        <v>8.1300000000000008</v>
      </c>
      <c r="V1819">
        <v>1.1299999999999999</v>
      </c>
      <c r="W1819">
        <v>0.37</v>
      </c>
      <c r="Y1819">
        <v>7.5</v>
      </c>
      <c r="Z1819">
        <v>10.75</v>
      </c>
      <c r="AA1819">
        <v>9</v>
      </c>
      <c r="AB1819">
        <v>0.42</v>
      </c>
      <c r="AC1819">
        <v>0.56999999999999995</v>
      </c>
      <c r="AF1819" t="s">
        <v>7528</v>
      </c>
      <c r="AK1819" t="s">
        <v>98</v>
      </c>
      <c r="AM1819" t="s">
        <v>98</v>
      </c>
      <c r="AN1819" t="s">
        <v>98</v>
      </c>
      <c r="AO1819" t="s">
        <v>98</v>
      </c>
      <c r="AP1819" t="s">
        <v>100</v>
      </c>
      <c r="AQ1819" t="s">
        <v>101</v>
      </c>
      <c r="AV1819" t="s">
        <v>98</v>
      </c>
      <c r="AX1819" t="s">
        <v>7528</v>
      </c>
      <c r="AZ1819" t="s">
        <v>7528</v>
      </c>
      <c r="BB1819" t="s">
        <v>7528</v>
      </c>
      <c r="BC1819" t="s">
        <v>7528</v>
      </c>
      <c r="BD1819" t="s">
        <v>7528</v>
      </c>
      <c r="BF1819" t="s">
        <v>5575</v>
      </c>
      <c r="BG1819" t="s">
        <v>98</v>
      </c>
      <c r="BH1819" t="s">
        <v>98</v>
      </c>
      <c r="BI1819" t="s">
        <v>98</v>
      </c>
      <c r="BK1819" t="s">
        <v>7528</v>
      </c>
      <c r="BL1819" t="s">
        <v>7528</v>
      </c>
      <c r="CA1819" t="s">
        <v>5574</v>
      </c>
      <c r="CB1819" t="s">
        <v>7528</v>
      </c>
      <c r="CL1819" t="s">
        <v>98</v>
      </c>
      <c r="CM1819" t="s">
        <v>98</v>
      </c>
      <c r="CN1819" t="s">
        <v>7528</v>
      </c>
      <c r="CO1819" s="1">
        <v>40295</v>
      </c>
      <c r="CP1819" s="1">
        <v>43633</v>
      </c>
    </row>
    <row r="1820" spans="1:94" x14ac:dyDescent="0.25">
      <c r="A1820" t="s">
        <v>5576</v>
      </c>
      <c r="B1820" t="str">
        <f xml:space="preserve"> "" &amp; 747396075204</f>
        <v>747396075204</v>
      </c>
      <c r="C1820" t="s">
        <v>5572</v>
      </c>
      <c r="D1820" t="s">
        <v>7182</v>
      </c>
      <c r="E1820" t="s">
        <v>7528</v>
      </c>
      <c r="F1820" t="s">
        <v>627</v>
      </c>
      <c r="G1820">
        <v>1</v>
      </c>
      <c r="H1820">
        <v>1</v>
      </c>
      <c r="I1820" t="s">
        <v>97</v>
      </c>
      <c r="J1820" s="10">
        <v>5</v>
      </c>
      <c r="K1820" s="10">
        <v>15</v>
      </c>
      <c r="L1820" s="10">
        <v>0</v>
      </c>
      <c r="N1820" s="10">
        <v>0</v>
      </c>
      <c r="S1820">
        <v>4.63</v>
      </c>
      <c r="T1820">
        <v>8.1300000000000008</v>
      </c>
      <c r="V1820">
        <v>1.1299999999999999</v>
      </c>
      <c r="W1820">
        <v>0.21</v>
      </c>
      <c r="Y1820">
        <v>5.5</v>
      </c>
      <c r="Z1820">
        <v>10</v>
      </c>
      <c r="AA1820">
        <v>5</v>
      </c>
      <c r="AB1820">
        <v>0.159</v>
      </c>
      <c r="AC1820">
        <v>0.25</v>
      </c>
      <c r="AF1820" t="s">
        <v>7528</v>
      </c>
      <c r="AK1820" t="s">
        <v>98</v>
      </c>
      <c r="AM1820" t="s">
        <v>98</v>
      </c>
      <c r="AN1820" t="s">
        <v>98</v>
      </c>
      <c r="AO1820" t="s">
        <v>98</v>
      </c>
      <c r="AP1820" t="s">
        <v>100</v>
      </c>
      <c r="AQ1820" t="s">
        <v>101</v>
      </c>
      <c r="AV1820" t="s">
        <v>98</v>
      </c>
      <c r="AX1820" t="s">
        <v>7528</v>
      </c>
      <c r="AZ1820" t="s">
        <v>7528</v>
      </c>
      <c r="BB1820" t="s">
        <v>7528</v>
      </c>
      <c r="BC1820" t="s">
        <v>7528</v>
      </c>
      <c r="BD1820" t="s">
        <v>7528</v>
      </c>
      <c r="BF1820" t="s">
        <v>5577</v>
      </c>
      <c r="BG1820" t="s">
        <v>98</v>
      </c>
      <c r="BH1820" t="s">
        <v>98</v>
      </c>
      <c r="BI1820" t="s">
        <v>98</v>
      </c>
      <c r="BK1820" t="s">
        <v>7528</v>
      </c>
      <c r="BL1820" t="s">
        <v>7528</v>
      </c>
      <c r="CA1820" t="s">
        <v>5576</v>
      </c>
      <c r="CB1820" t="s">
        <v>7528</v>
      </c>
      <c r="CL1820" t="s">
        <v>98</v>
      </c>
      <c r="CM1820" t="s">
        <v>98</v>
      </c>
      <c r="CN1820" t="s">
        <v>7528</v>
      </c>
      <c r="CO1820" s="1">
        <v>40295</v>
      </c>
      <c r="CP1820" s="1">
        <v>43595</v>
      </c>
    </row>
    <row r="1821" spans="1:94" x14ac:dyDescent="0.25">
      <c r="A1821" t="s">
        <v>5578</v>
      </c>
      <c r="B1821" t="str">
        <f xml:space="preserve"> "" &amp; 747396074498</f>
        <v>747396074498</v>
      </c>
      <c r="C1821" t="s">
        <v>460</v>
      </c>
      <c r="D1821" t="s">
        <v>7183</v>
      </c>
      <c r="E1821" t="s">
        <v>7528</v>
      </c>
      <c r="F1821" t="s">
        <v>627</v>
      </c>
      <c r="G1821">
        <v>1</v>
      </c>
      <c r="H1821">
        <v>1</v>
      </c>
      <c r="I1821" t="s">
        <v>97</v>
      </c>
      <c r="J1821" s="10">
        <v>15.5</v>
      </c>
      <c r="K1821" s="10">
        <v>46.5</v>
      </c>
      <c r="L1821" s="10">
        <v>0</v>
      </c>
      <c r="N1821" s="10">
        <v>0</v>
      </c>
      <c r="S1821">
        <v>6.88</v>
      </c>
      <c r="U1821">
        <v>2.63</v>
      </c>
      <c r="W1821">
        <v>1</v>
      </c>
      <c r="AB1821">
        <v>9.0800000000000006E-2</v>
      </c>
      <c r="AC1821">
        <v>1.03</v>
      </c>
      <c r="AF1821" t="s">
        <v>7528</v>
      </c>
      <c r="AK1821" t="s">
        <v>98</v>
      </c>
      <c r="AM1821" t="s">
        <v>98</v>
      </c>
      <c r="AN1821" t="s">
        <v>98</v>
      </c>
      <c r="AO1821" t="s">
        <v>98</v>
      </c>
      <c r="AP1821" t="s">
        <v>100</v>
      </c>
      <c r="AQ1821" t="s">
        <v>101</v>
      </c>
      <c r="AV1821" t="s">
        <v>98</v>
      </c>
      <c r="AX1821" t="s">
        <v>7528</v>
      </c>
      <c r="AZ1821" t="s">
        <v>7528</v>
      </c>
      <c r="BB1821" t="s">
        <v>7528</v>
      </c>
      <c r="BC1821" t="s">
        <v>7528</v>
      </c>
      <c r="BD1821" t="s">
        <v>7528</v>
      </c>
      <c r="BF1821" t="s">
        <v>5579</v>
      </c>
      <c r="BG1821" t="s">
        <v>98</v>
      </c>
      <c r="BH1821" t="s">
        <v>98</v>
      </c>
      <c r="BI1821" t="s">
        <v>98</v>
      </c>
      <c r="BK1821" t="s">
        <v>7528</v>
      </c>
      <c r="BL1821" t="s">
        <v>7528</v>
      </c>
      <c r="CA1821" t="s">
        <v>5578</v>
      </c>
      <c r="CB1821" t="s">
        <v>7528</v>
      </c>
      <c r="CL1821" t="s">
        <v>98</v>
      </c>
      <c r="CM1821" t="s">
        <v>98</v>
      </c>
      <c r="CN1821" t="s">
        <v>7528</v>
      </c>
      <c r="CO1821" s="1">
        <v>40351</v>
      </c>
      <c r="CP1821" s="1">
        <v>43633</v>
      </c>
    </row>
    <row r="1822" spans="1:94" x14ac:dyDescent="0.25">
      <c r="A1822" t="s">
        <v>5580</v>
      </c>
      <c r="B1822" t="str">
        <f xml:space="preserve"> "" &amp; 747396074504</f>
        <v>747396074504</v>
      </c>
      <c r="C1822" t="s">
        <v>460</v>
      </c>
      <c r="D1822" t="s">
        <v>7184</v>
      </c>
      <c r="E1822" t="s">
        <v>7528</v>
      </c>
      <c r="F1822" t="s">
        <v>627</v>
      </c>
      <c r="G1822">
        <v>1</v>
      </c>
      <c r="H1822">
        <v>1</v>
      </c>
      <c r="I1822" t="s">
        <v>97</v>
      </c>
      <c r="J1822" s="10">
        <v>74.5</v>
      </c>
      <c r="K1822" s="10">
        <v>223.5</v>
      </c>
      <c r="L1822" s="10">
        <v>0</v>
      </c>
      <c r="N1822" s="10">
        <v>0</v>
      </c>
      <c r="S1822">
        <v>4.63</v>
      </c>
      <c r="U1822">
        <v>14.5</v>
      </c>
      <c r="W1822">
        <v>1</v>
      </c>
      <c r="AB1822">
        <v>1.1100000000000001</v>
      </c>
      <c r="AC1822">
        <v>4.68</v>
      </c>
      <c r="AF1822" t="s">
        <v>7528</v>
      </c>
      <c r="AK1822" t="s">
        <v>98</v>
      </c>
      <c r="AM1822" t="s">
        <v>98</v>
      </c>
      <c r="AN1822" t="s">
        <v>98</v>
      </c>
      <c r="AO1822" t="s">
        <v>98</v>
      </c>
      <c r="AP1822" t="s">
        <v>100</v>
      </c>
      <c r="AQ1822" t="s">
        <v>101</v>
      </c>
      <c r="AV1822" t="s">
        <v>98</v>
      </c>
      <c r="AX1822" t="s">
        <v>7528</v>
      </c>
      <c r="AZ1822" t="s">
        <v>7528</v>
      </c>
      <c r="BB1822" t="s">
        <v>7528</v>
      </c>
      <c r="BC1822" t="s">
        <v>7528</v>
      </c>
      <c r="BD1822" t="s">
        <v>7528</v>
      </c>
      <c r="BF1822" t="s">
        <v>5581</v>
      </c>
      <c r="BG1822" t="s">
        <v>98</v>
      </c>
      <c r="BH1822" t="s">
        <v>98</v>
      </c>
      <c r="BI1822" t="s">
        <v>98</v>
      </c>
      <c r="BK1822" t="s">
        <v>7528</v>
      </c>
      <c r="BL1822" t="s">
        <v>7528</v>
      </c>
      <c r="CA1822" t="s">
        <v>5580</v>
      </c>
      <c r="CB1822" t="s">
        <v>7528</v>
      </c>
      <c r="CL1822" t="s">
        <v>98</v>
      </c>
      <c r="CM1822" t="s">
        <v>98</v>
      </c>
      <c r="CN1822" t="s">
        <v>7528</v>
      </c>
      <c r="CO1822" s="1">
        <v>40351</v>
      </c>
      <c r="CP1822" s="1">
        <v>43633</v>
      </c>
    </row>
    <row r="1823" spans="1:94" x14ac:dyDescent="0.25">
      <c r="A1823" t="s">
        <v>5582</v>
      </c>
      <c r="B1823" t="str">
        <f xml:space="preserve"> "" &amp; 747396074641</f>
        <v>747396074641</v>
      </c>
      <c r="C1823" t="s">
        <v>808</v>
      </c>
      <c r="D1823" t="s">
        <v>7185</v>
      </c>
      <c r="E1823" t="s">
        <v>7528</v>
      </c>
      <c r="F1823" t="s">
        <v>627</v>
      </c>
      <c r="G1823">
        <v>1</v>
      </c>
      <c r="H1823">
        <v>1</v>
      </c>
      <c r="I1823" t="s">
        <v>97</v>
      </c>
      <c r="J1823" s="10">
        <v>12.5</v>
      </c>
      <c r="K1823" s="10">
        <v>37.5</v>
      </c>
      <c r="L1823" s="10">
        <v>0</v>
      </c>
      <c r="N1823" s="10">
        <v>0</v>
      </c>
      <c r="S1823">
        <v>6.75</v>
      </c>
      <c r="U1823">
        <v>3.88</v>
      </c>
      <c r="W1823">
        <v>1.32</v>
      </c>
      <c r="Y1823">
        <v>10</v>
      </c>
      <c r="Z1823">
        <v>11.5</v>
      </c>
      <c r="AA1823">
        <v>11.5</v>
      </c>
      <c r="AB1823">
        <v>0.76500000000000001</v>
      </c>
      <c r="AC1823">
        <v>1.85</v>
      </c>
      <c r="AF1823" t="s">
        <v>7528</v>
      </c>
      <c r="AK1823" t="s">
        <v>98</v>
      </c>
      <c r="AM1823" t="s">
        <v>98</v>
      </c>
      <c r="AN1823" t="s">
        <v>98</v>
      </c>
      <c r="AO1823" t="s">
        <v>98</v>
      </c>
      <c r="AP1823" t="s">
        <v>100</v>
      </c>
      <c r="AQ1823" t="s">
        <v>101</v>
      </c>
      <c r="AV1823" t="s">
        <v>98</v>
      </c>
      <c r="AX1823" t="s">
        <v>7528</v>
      </c>
      <c r="AZ1823" t="s">
        <v>7528</v>
      </c>
      <c r="BB1823" t="s">
        <v>7528</v>
      </c>
      <c r="BC1823" t="s">
        <v>7528</v>
      </c>
      <c r="BD1823" t="s">
        <v>7528</v>
      </c>
      <c r="BF1823" t="s">
        <v>5583</v>
      </c>
      <c r="BG1823" t="s">
        <v>98</v>
      </c>
      <c r="BH1823" t="s">
        <v>98</v>
      </c>
      <c r="BI1823" t="s">
        <v>98</v>
      </c>
      <c r="BK1823" t="s">
        <v>7528</v>
      </c>
      <c r="BL1823" t="s">
        <v>7528</v>
      </c>
      <c r="CA1823" t="s">
        <v>5582</v>
      </c>
      <c r="CB1823" t="s">
        <v>7528</v>
      </c>
      <c r="CL1823" t="s">
        <v>98</v>
      </c>
      <c r="CM1823" t="s">
        <v>98</v>
      </c>
      <c r="CN1823" t="s">
        <v>7528</v>
      </c>
      <c r="CO1823" s="1">
        <v>40295</v>
      </c>
      <c r="CP1823" s="1">
        <v>43633</v>
      </c>
    </row>
    <row r="1824" spans="1:94" x14ac:dyDescent="0.25">
      <c r="A1824" t="s">
        <v>5584</v>
      </c>
      <c r="B1824" t="str">
        <f xml:space="preserve"> "" &amp; 747396074658</f>
        <v>747396074658</v>
      </c>
      <c r="C1824" t="s">
        <v>460</v>
      </c>
      <c r="D1824" t="s">
        <v>7186</v>
      </c>
      <c r="E1824" t="s">
        <v>7528</v>
      </c>
      <c r="F1824" t="s">
        <v>627</v>
      </c>
      <c r="G1824">
        <v>1</v>
      </c>
      <c r="H1824">
        <v>1</v>
      </c>
      <c r="I1824" t="s">
        <v>97</v>
      </c>
      <c r="J1824" s="10">
        <v>16.5</v>
      </c>
      <c r="K1824" s="10">
        <v>49.5</v>
      </c>
      <c r="L1824" s="10">
        <v>0</v>
      </c>
      <c r="N1824" s="10">
        <v>0</v>
      </c>
      <c r="S1824">
        <v>9.6300000000000008</v>
      </c>
      <c r="T1824">
        <v>4.5</v>
      </c>
      <c r="U1824">
        <v>3.88</v>
      </c>
      <c r="W1824">
        <v>1.26</v>
      </c>
      <c r="Y1824">
        <v>10.25</v>
      </c>
      <c r="Z1824">
        <v>4.5</v>
      </c>
      <c r="AA1824">
        <v>4.5</v>
      </c>
      <c r="AB1824">
        <v>0.12</v>
      </c>
      <c r="AC1824">
        <v>1.81</v>
      </c>
      <c r="AF1824" t="s">
        <v>7528</v>
      </c>
      <c r="AK1824" t="s">
        <v>98</v>
      </c>
      <c r="AM1824" t="s">
        <v>98</v>
      </c>
      <c r="AN1824" t="s">
        <v>98</v>
      </c>
      <c r="AO1824" t="s">
        <v>98</v>
      </c>
      <c r="AP1824" t="s">
        <v>100</v>
      </c>
      <c r="AQ1824" t="s">
        <v>101</v>
      </c>
      <c r="AV1824" t="s">
        <v>98</v>
      </c>
      <c r="AX1824" t="s">
        <v>7528</v>
      </c>
      <c r="AZ1824" t="s">
        <v>7528</v>
      </c>
      <c r="BB1824" t="s">
        <v>7528</v>
      </c>
      <c r="BC1824" t="s">
        <v>7528</v>
      </c>
      <c r="BD1824" t="s">
        <v>7528</v>
      </c>
      <c r="BF1824" t="s">
        <v>5585</v>
      </c>
      <c r="BG1824" t="s">
        <v>98</v>
      </c>
      <c r="BH1824" t="s">
        <v>98</v>
      </c>
      <c r="BI1824" t="s">
        <v>98</v>
      </c>
      <c r="BK1824" t="s">
        <v>7528</v>
      </c>
      <c r="BL1824" t="s">
        <v>7528</v>
      </c>
      <c r="CA1824" t="s">
        <v>5584</v>
      </c>
      <c r="CB1824" t="s">
        <v>7528</v>
      </c>
      <c r="CL1824" t="s">
        <v>98</v>
      </c>
      <c r="CM1824" t="s">
        <v>98</v>
      </c>
      <c r="CN1824" t="s">
        <v>7528</v>
      </c>
      <c r="CO1824" s="1">
        <v>40351</v>
      </c>
      <c r="CP1824" s="1">
        <v>43633</v>
      </c>
    </row>
    <row r="1825" spans="1:94" x14ac:dyDescent="0.25">
      <c r="A1825" t="s">
        <v>5586</v>
      </c>
      <c r="B1825" t="str">
        <f xml:space="preserve"> "" &amp; 747396074665</f>
        <v>747396074665</v>
      </c>
      <c r="C1825" t="s">
        <v>5587</v>
      </c>
      <c r="D1825" t="s">
        <v>7187</v>
      </c>
      <c r="E1825" t="s">
        <v>7528</v>
      </c>
      <c r="F1825" t="s">
        <v>627</v>
      </c>
      <c r="G1825">
        <v>1</v>
      </c>
      <c r="H1825">
        <v>1</v>
      </c>
      <c r="I1825" t="s">
        <v>97</v>
      </c>
      <c r="J1825" s="10">
        <v>24.5</v>
      </c>
      <c r="K1825" s="10">
        <v>73.5</v>
      </c>
      <c r="L1825" s="10">
        <v>0</v>
      </c>
      <c r="N1825" s="10">
        <v>0</v>
      </c>
      <c r="S1825">
        <v>13</v>
      </c>
      <c r="U1825">
        <v>6.75</v>
      </c>
      <c r="V1825">
        <v>3.88</v>
      </c>
      <c r="W1825">
        <v>2.11</v>
      </c>
      <c r="Y1825">
        <v>15.88</v>
      </c>
      <c r="Z1825">
        <v>11</v>
      </c>
      <c r="AA1825">
        <v>9.5</v>
      </c>
      <c r="AB1825">
        <v>0.96</v>
      </c>
      <c r="AC1825">
        <v>3.06</v>
      </c>
      <c r="AF1825" t="s">
        <v>7528</v>
      </c>
      <c r="AK1825" t="s">
        <v>98</v>
      </c>
      <c r="AM1825" t="s">
        <v>98</v>
      </c>
      <c r="AN1825" t="s">
        <v>98</v>
      </c>
      <c r="AO1825" t="s">
        <v>98</v>
      </c>
      <c r="AP1825" t="s">
        <v>100</v>
      </c>
      <c r="AQ1825" t="s">
        <v>101</v>
      </c>
      <c r="AV1825" t="s">
        <v>98</v>
      </c>
      <c r="AX1825" t="s">
        <v>7528</v>
      </c>
      <c r="AZ1825" t="s">
        <v>7528</v>
      </c>
      <c r="BB1825" t="s">
        <v>7528</v>
      </c>
      <c r="BC1825" t="s">
        <v>7528</v>
      </c>
      <c r="BD1825" t="s">
        <v>7528</v>
      </c>
      <c r="BF1825" t="s">
        <v>5588</v>
      </c>
      <c r="BG1825" t="s">
        <v>98</v>
      </c>
      <c r="BH1825" t="s">
        <v>98</v>
      </c>
      <c r="BI1825" t="s">
        <v>98</v>
      </c>
      <c r="BK1825" t="s">
        <v>7528</v>
      </c>
      <c r="BL1825" t="s">
        <v>7528</v>
      </c>
      <c r="CA1825" t="s">
        <v>5586</v>
      </c>
      <c r="CB1825" t="s">
        <v>7528</v>
      </c>
      <c r="CL1825" t="s">
        <v>98</v>
      </c>
      <c r="CM1825" t="s">
        <v>98</v>
      </c>
      <c r="CN1825" t="s">
        <v>7528</v>
      </c>
      <c r="CO1825" s="1">
        <v>40298</v>
      </c>
      <c r="CP1825" s="1">
        <v>43633</v>
      </c>
    </row>
    <row r="1826" spans="1:94" x14ac:dyDescent="0.25">
      <c r="A1826" t="s">
        <v>5589</v>
      </c>
      <c r="B1826" t="str">
        <f xml:space="preserve"> "" &amp; 747396074672</f>
        <v>747396074672</v>
      </c>
      <c r="C1826" t="s">
        <v>5587</v>
      </c>
      <c r="D1826" t="s">
        <v>7188</v>
      </c>
      <c r="E1826" t="s">
        <v>7528</v>
      </c>
      <c r="F1826" t="s">
        <v>627</v>
      </c>
      <c r="G1826">
        <v>1</v>
      </c>
      <c r="H1826">
        <v>1</v>
      </c>
      <c r="I1826" t="s">
        <v>97</v>
      </c>
      <c r="J1826" s="10">
        <v>18.5</v>
      </c>
      <c r="K1826" s="10">
        <v>55.5</v>
      </c>
      <c r="L1826" s="10">
        <v>0</v>
      </c>
      <c r="N1826" s="10">
        <v>0</v>
      </c>
      <c r="S1826">
        <v>10.5</v>
      </c>
      <c r="T1826">
        <v>6.5</v>
      </c>
      <c r="U1826">
        <v>6</v>
      </c>
      <c r="V1826">
        <v>3</v>
      </c>
      <c r="W1826">
        <v>2.77</v>
      </c>
      <c r="Y1826">
        <v>11</v>
      </c>
      <c r="Z1826">
        <v>6.5</v>
      </c>
      <c r="AA1826">
        <v>3.5</v>
      </c>
      <c r="AB1826">
        <v>0.14499999999999999</v>
      </c>
      <c r="AC1826">
        <v>4.1100000000000003</v>
      </c>
      <c r="AF1826" t="s">
        <v>7528</v>
      </c>
      <c r="AK1826" t="s">
        <v>98</v>
      </c>
      <c r="AM1826" t="s">
        <v>98</v>
      </c>
      <c r="AN1826" t="s">
        <v>98</v>
      </c>
      <c r="AO1826" t="s">
        <v>98</v>
      </c>
      <c r="AP1826" t="s">
        <v>100</v>
      </c>
      <c r="AQ1826" t="s">
        <v>101</v>
      </c>
      <c r="AV1826" t="s">
        <v>98</v>
      </c>
      <c r="AX1826" t="s">
        <v>7528</v>
      </c>
      <c r="AZ1826" t="s">
        <v>7528</v>
      </c>
      <c r="BB1826" t="s">
        <v>7528</v>
      </c>
      <c r="BC1826" t="s">
        <v>7528</v>
      </c>
      <c r="BD1826" t="s">
        <v>7528</v>
      </c>
      <c r="BF1826" t="s">
        <v>5590</v>
      </c>
      <c r="BG1826" t="s">
        <v>98</v>
      </c>
      <c r="BH1826" t="s">
        <v>98</v>
      </c>
      <c r="BI1826" t="s">
        <v>98</v>
      </c>
      <c r="BK1826" t="s">
        <v>7528</v>
      </c>
      <c r="BL1826" t="s">
        <v>7528</v>
      </c>
      <c r="CA1826" t="s">
        <v>5589</v>
      </c>
      <c r="CB1826" t="s">
        <v>7528</v>
      </c>
      <c r="CL1826" t="s">
        <v>98</v>
      </c>
      <c r="CM1826" t="s">
        <v>98</v>
      </c>
      <c r="CN1826" t="s">
        <v>7528</v>
      </c>
      <c r="CO1826" s="1">
        <v>40298</v>
      </c>
      <c r="CP1826" s="1">
        <v>43633</v>
      </c>
    </row>
    <row r="1827" spans="1:94" x14ac:dyDescent="0.25">
      <c r="A1827" t="s">
        <v>5591</v>
      </c>
      <c r="B1827" t="str">
        <f xml:space="preserve"> "" &amp; 747396074511</f>
        <v>747396074511</v>
      </c>
      <c r="C1827" t="s">
        <v>1501</v>
      </c>
      <c r="D1827" t="s">
        <v>7189</v>
      </c>
      <c r="E1827" t="s">
        <v>7528</v>
      </c>
      <c r="F1827" t="s">
        <v>627</v>
      </c>
      <c r="G1827">
        <v>1</v>
      </c>
      <c r="H1827">
        <v>1</v>
      </c>
      <c r="I1827" t="s">
        <v>97</v>
      </c>
      <c r="J1827" s="10">
        <v>12.5</v>
      </c>
      <c r="K1827" s="10">
        <v>37.5</v>
      </c>
      <c r="L1827" s="10">
        <v>0</v>
      </c>
      <c r="N1827" s="10">
        <v>0</v>
      </c>
      <c r="S1827">
        <v>4.75</v>
      </c>
      <c r="U1827">
        <v>4.38</v>
      </c>
      <c r="W1827">
        <v>0.55000000000000004</v>
      </c>
      <c r="Y1827">
        <v>13.5</v>
      </c>
      <c r="Z1827">
        <v>17.5</v>
      </c>
      <c r="AA1827">
        <v>12.5</v>
      </c>
      <c r="AB1827">
        <v>1.7090000000000001</v>
      </c>
      <c r="AC1827">
        <v>0.78</v>
      </c>
      <c r="AF1827" t="s">
        <v>7528</v>
      </c>
      <c r="AK1827" t="s">
        <v>98</v>
      </c>
      <c r="AM1827" t="s">
        <v>98</v>
      </c>
      <c r="AN1827" t="s">
        <v>98</v>
      </c>
      <c r="AO1827" t="s">
        <v>98</v>
      </c>
      <c r="AP1827" t="s">
        <v>100</v>
      </c>
      <c r="AQ1827" t="s">
        <v>101</v>
      </c>
      <c r="AV1827" t="s">
        <v>98</v>
      </c>
      <c r="AX1827" t="s">
        <v>7528</v>
      </c>
      <c r="AZ1827" t="s">
        <v>7528</v>
      </c>
      <c r="BB1827" t="s">
        <v>7528</v>
      </c>
      <c r="BC1827" t="s">
        <v>7528</v>
      </c>
      <c r="BD1827" t="s">
        <v>7528</v>
      </c>
      <c r="BF1827" t="s">
        <v>5592</v>
      </c>
      <c r="BG1827" t="s">
        <v>98</v>
      </c>
      <c r="BH1827" t="s">
        <v>98</v>
      </c>
      <c r="BI1827" t="s">
        <v>98</v>
      </c>
      <c r="BK1827" t="s">
        <v>7528</v>
      </c>
      <c r="BL1827" t="s">
        <v>7528</v>
      </c>
      <c r="CA1827" t="s">
        <v>5591</v>
      </c>
      <c r="CB1827" t="s">
        <v>7528</v>
      </c>
      <c r="CL1827" t="s">
        <v>98</v>
      </c>
      <c r="CM1827" t="s">
        <v>98</v>
      </c>
      <c r="CN1827" t="s">
        <v>7528</v>
      </c>
      <c r="CO1827" s="1">
        <v>40298</v>
      </c>
      <c r="CP1827" s="1">
        <v>43633</v>
      </c>
    </row>
    <row r="1828" spans="1:94" x14ac:dyDescent="0.25">
      <c r="A1828" t="s">
        <v>5593</v>
      </c>
      <c r="B1828" t="str">
        <f xml:space="preserve"> "" &amp; 747396074078</f>
        <v>747396074078</v>
      </c>
      <c r="C1828" t="s">
        <v>1501</v>
      </c>
      <c r="D1828" t="s">
        <v>7190</v>
      </c>
      <c r="E1828" t="s">
        <v>7528</v>
      </c>
      <c r="F1828" t="s">
        <v>627</v>
      </c>
      <c r="G1828">
        <v>1</v>
      </c>
      <c r="H1828">
        <v>1</v>
      </c>
      <c r="I1828" t="s">
        <v>97</v>
      </c>
      <c r="J1828" s="10">
        <v>17.5</v>
      </c>
      <c r="K1828" s="10">
        <v>52.5</v>
      </c>
      <c r="L1828" s="10">
        <v>0</v>
      </c>
      <c r="N1828" s="10">
        <v>0</v>
      </c>
      <c r="S1828">
        <v>12.25</v>
      </c>
      <c r="U1828">
        <v>6.5</v>
      </c>
      <c r="V1828">
        <v>3.38</v>
      </c>
      <c r="W1828">
        <v>1.65</v>
      </c>
      <c r="Y1828">
        <v>5.75</v>
      </c>
      <c r="Z1828">
        <v>14.75</v>
      </c>
      <c r="AA1828">
        <v>9</v>
      </c>
      <c r="AB1828">
        <v>0.442</v>
      </c>
      <c r="AC1828">
        <v>2.5299999999999998</v>
      </c>
      <c r="AF1828" t="s">
        <v>7528</v>
      </c>
      <c r="AK1828" t="s">
        <v>98</v>
      </c>
      <c r="AM1828" t="s">
        <v>98</v>
      </c>
      <c r="AN1828" t="s">
        <v>98</v>
      </c>
      <c r="AO1828" t="s">
        <v>98</v>
      </c>
      <c r="AP1828" t="s">
        <v>100</v>
      </c>
      <c r="AQ1828" t="s">
        <v>101</v>
      </c>
      <c r="AV1828" t="s">
        <v>98</v>
      </c>
      <c r="AX1828" t="s">
        <v>7528</v>
      </c>
      <c r="AZ1828" t="s">
        <v>7528</v>
      </c>
      <c r="BB1828" t="s">
        <v>7528</v>
      </c>
      <c r="BC1828" t="s">
        <v>7528</v>
      </c>
      <c r="BD1828" t="s">
        <v>7528</v>
      </c>
      <c r="BF1828" t="s">
        <v>5594</v>
      </c>
      <c r="BG1828" t="s">
        <v>98</v>
      </c>
      <c r="BH1828" t="s">
        <v>98</v>
      </c>
      <c r="BI1828" t="s">
        <v>98</v>
      </c>
      <c r="BK1828" t="s">
        <v>7528</v>
      </c>
      <c r="BL1828" t="s">
        <v>7528</v>
      </c>
      <c r="CA1828" t="s">
        <v>5593</v>
      </c>
      <c r="CB1828" t="s">
        <v>7528</v>
      </c>
      <c r="CL1828" t="s">
        <v>98</v>
      </c>
      <c r="CM1828" t="s">
        <v>98</v>
      </c>
      <c r="CN1828" t="s">
        <v>7528</v>
      </c>
      <c r="CO1828" s="1">
        <v>40298</v>
      </c>
      <c r="CP1828" s="1">
        <v>43633</v>
      </c>
    </row>
    <row r="1829" spans="1:94" x14ac:dyDescent="0.25">
      <c r="A1829" t="s">
        <v>5595</v>
      </c>
      <c r="B1829" t="str">
        <f xml:space="preserve"> "" &amp; 747396074085</f>
        <v>747396074085</v>
      </c>
      <c r="C1829" t="s">
        <v>1501</v>
      </c>
      <c r="D1829" t="s">
        <v>7191</v>
      </c>
      <c r="E1829" t="s">
        <v>7528</v>
      </c>
      <c r="F1829" t="s">
        <v>627</v>
      </c>
      <c r="G1829">
        <v>1</v>
      </c>
      <c r="H1829">
        <v>1</v>
      </c>
      <c r="I1829" t="s">
        <v>97</v>
      </c>
      <c r="J1829" s="10">
        <v>8.5</v>
      </c>
      <c r="K1829" s="10">
        <v>25.5</v>
      </c>
      <c r="L1829" s="10">
        <v>0</v>
      </c>
      <c r="N1829" s="10">
        <v>0</v>
      </c>
      <c r="S1829">
        <v>3.5</v>
      </c>
      <c r="T1829">
        <v>3.74</v>
      </c>
      <c r="U1829">
        <v>0.25</v>
      </c>
      <c r="W1829">
        <v>0.37</v>
      </c>
      <c r="Y1829">
        <v>4.33</v>
      </c>
      <c r="Z1829">
        <v>3.74</v>
      </c>
      <c r="AA1829">
        <v>3.74</v>
      </c>
      <c r="AB1829">
        <v>3.5000000000000003E-2</v>
      </c>
      <c r="AC1829">
        <v>0.53</v>
      </c>
      <c r="AF1829" t="s">
        <v>7528</v>
      </c>
      <c r="AK1829" t="s">
        <v>98</v>
      </c>
      <c r="AM1829" t="s">
        <v>98</v>
      </c>
      <c r="AN1829" t="s">
        <v>98</v>
      </c>
      <c r="AO1829" t="s">
        <v>98</v>
      </c>
      <c r="AP1829" t="s">
        <v>100</v>
      </c>
      <c r="AQ1829" t="s">
        <v>101</v>
      </c>
      <c r="AV1829" t="s">
        <v>98</v>
      </c>
      <c r="AX1829" t="s">
        <v>7528</v>
      </c>
      <c r="AZ1829" t="s">
        <v>7528</v>
      </c>
      <c r="BB1829" t="s">
        <v>7528</v>
      </c>
      <c r="BC1829" t="s">
        <v>7528</v>
      </c>
      <c r="BD1829" t="s">
        <v>7528</v>
      </c>
      <c r="BF1829" t="s">
        <v>5596</v>
      </c>
      <c r="BG1829" t="s">
        <v>98</v>
      </c>
      <c r="BH1829" t="s">
        <v>98</v>
      </c>
      <c r="BI1829" t="s">
        <v>98</v>
      </c>
      <c r="BK1829" t="s">
        <v>7528</v>
      </c>
      <c r="BL1829" t="s">
        <v>7528</v>
      </c>
      <c r="CA1829" t="s">
        <v>5595</v>
      </c>
      <c r="CB1829" t="s">
        <v>7528</v>
      </c>
      <c r="CL1829" t="s">
        <v>98</v>
      </c>
      <c r="CM1829" t="s">
        <v>98</v>
      </c>
      <c r="CN1829" t="s">
        <v>7528</v>
      </c>
      <c r="CO1829" s="1">
        <v>40298</v>
      </c>
      <c r="CP1829" s="1">
        <v>43633</v>
      </c>
    </row>
    <row r="1830" spans="1:94" x14ac:dyDescent="0.25">
      <c r="A1830" t="s">
        <v>5597</v>
      </c>
      <c r="B1830" t="str">
        <f xml:space="preserve"> "" &amp; 747396074771</f>
        <v>747396074771</v>
      </c>
      <c r="C1830" t="s">
        <v>5408</v>
      </c>
      <c r="D1830" t="s">
        <v>7192</v>
      </c>
      <c r="E1830" t="s">
        <v>7528</v>
      </c>
      <c r="F1830" t="s">
        <v>627</v>
      </c>
      <c r="G1830">
        <v>1</v>
      </c>
      <c r="H1830">
        <v>1</v>
      </c>
      <c r="I1830" t="s">
        <v>97</v>
      </c>
      <c r="J1830" s="10">
        <v>22.5</v>
      </c>
      <c r="K1830" s="10">
        <v>67.5</v>
      </c>
      <c r="L1830" s="10">
        <v>0</v>
      </c>
      <c r="N1830" s="10">
        <v>0</v>
      </c>
      <c r="S1830">
        <v>7</v>
      </c>
      <c r="T1830">
        <v>3.5</v>
      </c>
      <c r="U1830">
        <v>2.88</v>
      </c>
      <c r="W1830">
        <v>0.89</v>
      </c>
      <c r="Y1830">
        <v>7.75</v>
      </c>
      <c r="Z1830">
        <v>3.5</v>
      </c>
      <c r="AA1830">
        <v>3.5</v>
      </c>
      <c r="AB1830">
        <v>5.5E-2</v>
      </c>
      <c r="AC1830">
        <v>1.1200000000000001</v>
      </c>
      <c r="AF1830" t="s">
        <v>7528</v>
      </c>
      <c r="AK1830" t="s">
        <v>98</v>
      </c>
      <c r="AM1830" t="s">
        <v>98</v>
      </c>
      <c r="AN1830" t="s">
        <v>98</v>
      </c>
      <c r="AO1830" t="s">
        <v>98</v>
      </c>
      <c r="AP1830" t="s">
        <v>100</v>
      </c>
      <c r="AQ1830" t="s">
        <v>101</v>
      </c>
      <c r="AV1830" t="s">
        <v>98</v>
      </c>
      <c r="AX1830" t="s">
        <v>7528</v>
      </c>
      <c r="AZ1830" t="s">
        <v>7528</v>
      </c>
      <c r="BB1830" t="s">
        <v>7528</v>
      </c>
      <c r="BC1830" t="s">
        <v>7528</v>
      </c>
      <c r="BD1830" t="s">
        <v>7528</v>
      </c>
      <c r="BF1830" t="s">
        <v>5598</v>
      </c>
      <c r="BG1830" t="s">
        <v>98</v>
      </c>
      <c r="BH1830" t="s">
        <v>98</v>
      </c>
      <c r="BI1830" t="s">
        <v>98</v>
      </c>
      <c r="BK1830" t="s">
        <v>7528</v>
      </c>
      <c r="BL1830" t="s">
        <v>7528</v>
      </c>
      <c r="CA1830" t="s">
        <v>5597</v>
      </c>
      <c r="CB1830" t="s">
        <v>7528</v>
      </c>
      <c r="CL1830" t="s">
        <v>98</v>
      </c>
      <c r="CM1830" t="s">
        <v>98</v>
      </c>
      <c r="CN1830" t="s">
        <v>7528</v>
      </c>
      <c r="CO1830" s="1">
        <v>40317</v>
      </c>
      <c r="CP1830" s="1">
        <v>43633</v>
      </c>
    </row>
    <row r="1831" spans="1:94" x14ac:dyDescent="0.25">
      <c r="A1831" t="s">
        <v>5599</v>
      </c>
      <c r="B1831" t="str">
        <f xml:space="preserve"> "" &amp; 747396074436</f>
        <v>747396074436</v>
      </c>
      <c r="C1831" t="s">
        <v>5408</v>
      </c>
      <c r="D1831" t="s">
        <v>7193</v>
      </c>
      <c r="E1831" t="s">
        <v>7528</v>
      </c>
      <c r="F1831" t="s">
        <v>627</v>
      </c>
      <c r="G1831">
        <v>1</v>
      </c>
      <c r="H1831">
        <v>1</v>
      </c>
      <c r="I1831" t="s">
        <v>97</v>
      </c>
      <c r="J1831" s="10">
        <v>14.5</v>
      </c>
      <c r="K1831" s="10">
        <v>43.5</v>
      </c>
      <c r="L1831" s="10">
        <v>0</v>
      </c>
      <c r="N1831" s="10">
        <v>0</v>
      </c>
      <c r="S1831">
        <v>2.5</v>
      </c>
      <c r="U1831">
        <v>8</v>
      </c>
      <c r="W1831">
        <v>0.92</v>
      </c>
      <c r="Y1831">
        <v>28.5</v>
      </c>
      <c r="Z1831">
        <v>12.2</v>
      </c>
      <c r="AA1831">
        <v>12.2</v>
      </c>
      <c r="AB1831">
        <v>2.4550000000000001</v>
      </c>
      <c r="AC1831">
        <v>1.1499999999999999</v>
      </c>
      <c r="AF1831" t="s">
        <v>7528</v>
      </c>
      <c r="AK1831" t="s">
        <v>98</v>
      </c>
      <c r="AM1831" t="s">
        <v>98</v>
      </c>
      <c r="AN1831" t="s">
        <v>98</v>
      </c>
      <c r="AO1831" t="s">
        <v>98</v>
      </c>
      <c r="AP1831" t="s">
        <v>100</v>
      </c>
      <c r="AQ1831" t="s">
        <v>101</v>
      </c>
      <c r="AV1831" t="s">
        <v>98</v>
      </c>
      <c r="AX1831" t="s">
        <v>7528</v>
      </c>
      <c r="AZ1831" t="s">
        <v>7528</v>
      </c>
      <c r="BB1831" t="s">
        <v>7528</v>
      </c>
      <c r="BC1831" t="s">
        <v>7528</v>
      </c>
      <c r="BD1831" t="s">
        <v>7528</v>
      </c>
      <c r="BF1831" t="s">
        <v>5600</v>
      </c>
      <c r="BG1831" t="s">
        <v>98</v>
      </c>
      <c r="BH1831" t="s">
        <v>98</v>
      </c>
      <c r="BI1831" t="s">
        <v>98</v>
      </c>
      <c r="BK1831" t="s">
        <v>7528</v>
      </c>
      <c r="BL1831" t="s">
        <v>7528</v>
      </c>
      <c r="CA1831" t="s">
        <v>5599</v>
      </c>
      <c r="CB1831" t="s">
        <v>7528</v>
      </c>
      <c r="CL1831" t="s">
        <v>98</v>
      </c>
      <c r="CM1831" t="s">
        <v>98</v>
      </c>
      <c r="CN1831" t="s">
        <v>7528</v>
      </c>
      <c r="CO1831" s="1">
        <v>40351</v>
      </c>
      <c r="CP1831" s="1">
        <v>43633</v>
      </c>
    </row>
    <row r="1832" spans="1:94" x14ac:dyDescent="0.25">
      <c r="A1832" t="s">
        <v>5601</v>
      </c>
      <c r="B1832" t="str">
        <f xml:space="preserve"> "" &amp; 747396074825</f>
        <v>747396074825</v>
      </c>
      <c r="C1832" t="s">
        <v>5602</v>
      </c>
      <c r="D1832" t="s">
        <v>7194</v>
      </c>
      <c r="E1832" t="s">
        <v>7528</v>
      </c>
      <c r="F1832" t="s">
        <v>627</v>
      </c>
      <c r="G1832">
        <v>1</v>
      </c>
      <c r="H1832">
        <v>1</v>
      </c>
      <c r="I1832" t="s">
        <v>97</v>
      </c>
      <c r="J1832" s="10">
        <v>24.5</v>
      </c>
      <c r="K1832" s="10">
        <v>73.5</v>
      </c>
      <c r="L1832" s="10">
        <v>0</v>
      </c>
      <c r="N1832" s="10">
        <v>0</v>
      </c>
      <c r="S1832">
        <v>3.63</v>
      </c>
      <c r="U1832">
        <v>9.3800000000000008</v>
      </c>
      <c r="V1832">
        <v>2</v>
      </c>
      <c r="W1832">
        <v>1</v>
      </c>
      <c r="AB1832">
        <v>0.22750000000000001</v>
      </c>
      <c r="AC1832">
        <v>1.43</v>
      </c>
      <c r="AF1832" t="s">
        <v>7528</v>
      </c>
      <c r="AK1832" t="s">
        <v>98</v>
      </c>
      <c r="AM1832" t="s">
        <v>98</v>
      </c>
      <c r="AN1832" t="s">
        <v>98</v>
      </c>
      <c r="AO1832" t="s">
        <v>98</v>
      </c>
      <c r="AP1832" t="s">
        <v>100</v>
      </c>
      <c r="AQ1832" t="s">
        <v>101</v>
      </c>
      <c r="AV1832" t="s">
        <v>98</v>
      </c>
      <c r="AX1832" t="s">
        <v>7528</v>
      </c>
      <c r="AZ1832" t="s">
        <v>7528</v>
      </c>
      <c r="BB1832" t="s">
        <v>7528</v>
      </c>
      <c r="BC1832" t="s">
        <v>7528</v>
      </c>
      <c r="BD1832" t="s">
        <v>7528</v>
      </c>
      <c r="BF1832" t="s">
        <v>5603</v>
      </c>
      <c r="BG1832" t="s">
        <v>98</v>
      </c>
      <c r="BH1832" t="s">
        <v>98</v>
      </c>
      <c r="BI1832" t="s">
        <v>98</v>
      </c>
      <c r="BK1832" t="s">
        <v>7528</v>
      </c>
      <c r="BL1832" t="s">
        <v>7528</v>
      </c>
      <c r="CA1832" t="s">
        <v>5601</v>
      </c>
      <c r="CB1832" t="s">
        <v>7528</v>
      </c>
      <c r="CL1832" t="s">
        <v>98</v>
      </c>
      <c r="CM1832" t="s">
        <v>98</v>
      </c>
      <c r="CN1832" t="s">
        <v>7528</v>
      </c>
      <c r="CO1832" s="1">
        <v>40352</v>
      </c>
      <c r="CP1832" s="1">
        <v>43633</v>
      </c>
    </row>
    <row r="1833" spans="1:94" x14ac:dyDescent="0.25">
      <c r="A1833" t="s">
        <v>5604</v>
      </c>
      <c r="B1833" t="str">
        <f xml:space="preserve"> "" &amp; 747396074832</f>
        <v>747396074832</v>
      </c>
      <c r="C1833" t="s">
        <v>808</v>
      </c>
      <c r="D1833" t="s">
        <v>7195</v>
      </c>
      <c r="E1833" t="s">
        <v>7528</v>
      </c>
      <c r="F1833" t="s">
        <v>627</v>
      </c>
      <c r="G1833">
        <v>1</v>
      </c>
      <c r="H1833">
        <v>1</v>
      </c>
      <c r="I1833" t="s">
        <v>97</v>
      </c>
      <c r="J1833" s="10">
        <v>34.5</v>
      </c>
      <c r="K1833" s="10">
        <v>103.5</v>
      </c>
      <c r="L1833" s="10">
        <v>0</v>
      </c>
      <c r="N1833" s="10">
        <v>0</v>
      </c>
      <c r="S1833">
        <v>3.63</v>
      </c>
      <c r="U1833">
        <v>15.38</v>
      </c>
      <c r="V1833">
        <v>2</v>
      </c>
      <c r="W1833">
        <v>1</v>
      </c>
      <c r="AB1833">
        <v>0.33100000000000002</v>
      </c>
      <c r="AC1833">
        <v>2</v>
      </c>
      <c r="AF1833" t="s">
        <v>7528</v>
      </c>
      <c r="AK1833" t="s">
        <v>98</v>
      </c>
      <c r="AM1833" t="s">
        <v>98</v>
      </c>
      <c r="AN1833" t="s">
        <v>98</v>
      </c>
      <c r="AO1833" t="s">
        <v>98</v>
      </c>
      <c r="AP1833" t="s">
        <v>100</v>
      </c>
      <c r="AQ1833" t="s">
        <v>101</v>
      </c>
      <c r="AV1833" t="s">
        <v>98</v>
      </c>
      <c r="AX1833" t="s">
        <v>7528</v>
      </c>
      <c r="AZ1833" t="s">
        <v>7528</v>
      </c>
      <c r="BB1833" t="s">
        <v>7528</v>
      </c>
      <c r="BC1833" t="s">
        <v>7528</v>
      </c>
      <c r="BD1833" t="s">
        <v>7528</v>
      </c>
      <c r="BF1833" t="s">
        <v>5605</v>
      </c>
      <c r="BG1833" t="s">
        <v>98</v>
      </c>
      <c r="BH1833" t="s">
        <v>98</v>
      </c>
      <c r="BI1833" t="s">
        <v>98</v>
      </c>
      <c r="BK1833" t="s">
        <v>7528</v>
      </c>
      <c r="BL1833" t="s">
        <v>7528</v>
      </c>
      <c r="CA1833" t="s">
        <v>5604</v>
      </c>
      <c r="CB1833" t="s">
        <v>7528</v>
      </c>
      <c r="CL1833" t="s">
        <v>98</v>
      </c>
      <c r="CM1833" t="s">
        <v>98</v>
      </c>
      <c r="CN1833" t="s">
        <v>7528</v>
      </c>
      <c r="CO1833" s="1">
        <v>40352</v>
      </c>
      <c r="CP1833" s="1">
        <v>43633</v>
      </c>
    </row>
    <row r="1834" spans="1:94" x14ac:dyDescent="0.25">
      <c r="A1834" t="s">
        <v>5606</v>
      </c>
      <c r="B1834" t="str">
        <f xml:space="preserve"> "" &amp; 747396074849</f>
        <v>747396074849</v>
      </c>
      <c r="C1834" t="s">
        <v>808</v>
      </c>
      <c r="D1834" t="s">
        <v>7196</v>
      </c>
      <c r="E1834" t="s">
        <v>7528</v>
      </c>
      <c r="F1834" t="s">
        <v>627</v>
      </c>
      <c r="G1834">
        <v>1</v>
      </c>
      <c r="H1834">
        <v>1</v>
      </c>
      <c r="I1834" t="s">
        <v>97</v>
      </c>
      <c r="J1834" s="10">
        <v>44.5</v>
      </c>
      <c r="K1834" s="10">
        <v>133.5</v>
      </c>
      <c r="L1834" s="10">
        <v>0</v>
      </c>
      <c r="N1834" s="10">
        <v>0</v>
      </c>
      <c r="S1834">
        <v>3.68</v>
      </c>
      <c r="U1834">
        <v>21.63</v>
      </c>
      <c r="V1834">
        <v>2</v>
      </c>
      <c r="W1834">
        <v>1</v>
      </c>
      <c r="AB1834">
        <v>0.42899999999999999</v>
      </c>
      <c r="AC1834">
        <v>2.57</v>
      </c>
      <c r="AF1834" t="s">
        <v>7528</v>
      </c>
      <c r="AK1834" t="s">
        <v>98</v>
      </c>
      <c r="AM1834" t="s">
        <v>98</v>
      </c>
      <c r="AN1834" t="s">
        <v>98</v>
      </c>
      <c r="AO1834" t="s">
        <v>98</v>
      </c>
      <c r="AP1834" t="s">
        <v>100</v>
      </c>
      <c r="AQ1834" t="s">
        <v>101</v>
      </c>
      <c r="AV1834" t="s">
        <v>98</v>
      </c>
      <c r="AX1834" t="s">
        <v>7528</v>
      </c>
      <c r="AZ1834" t="s">
        <v>7528</v>
      </c>
      <c r="BB1834" t="s">
        <v>7528</v>
      </c>
      <c r="BC1834" t="s">
        <v>7528</v>
      </c>
      <c r="BD1834" t="s">
        <v>7528</v>
      </c>
      <c r="BF1834" t="s">
        <v>5607</v>
      </c>
      <c r="BG1834" t="s">
        <v>98</v>
      </c>
      <c r="BH1834" t="s">
        <v>98</v>
      </c>
      <c r="BI1834" t="s">
        <v>98</v>
      </c>
      <c r="BK1834" t="s">
        <v>7528</v>
      </c>
      <c r="BL1834" t="s">
        <v>7528</v>
      </c>
      <c r="CA1834" t="s">
        <v>5606</v>
      </c>
      <c r="CB1834" t="s">
        <v>7528</v>
      </c>
      <c r="CL1834" t="s">
        <v>98</v>
      </c>
      <c r="CM1834" t="s">
        <v>98</v>
      </c>
      <c r="CN1834" t="s">
        <v>7528</v>
      </c>
      <c r="CO1834" s="1">
        <v>40352</v>
      </c>
      <c r="CP1834" s="1">
        <v>43633</v>
      </c>
    </row>
    <row r="1835" spans="1:94" x14ac:dyDescent="0.25">
      <c r="A1835" t="s">
        <v>5608</v>
      </c>
      <c r="B1835" t="str">
        <f xml:space="preserve"> "" &amp; 747396074856</f>
        <v>747396074856</v>
      </c>
      <c r="C1835" t="s">
        <v>808</v>
      </c>
      <c r="D1835" t="s">
        <v>7197</v>
      </c>
      <c r="E1835" t="s">
        <v>7528</v>
      </c>
      <c r="F1835" t="s">
        <v>627</v>
      </c>
      <c r="G1835">
        <v>1</v>
      </c>
      <c r="H1835">
        <v>1</v>
      </c>
      <c r="I1835" t="s">
        <v>97</v>
      </c>
      <c r="J1835" s="10">
        <v>54.5</v>
      </c>
      <c r="K1835" s="10">
        <v>163.5</v>
      </c>
      <c r="L1835" s="10">
        <v>0</v>
      </c>
      <c r="N1835" s="10">
        <v>0</v>
      </c>
      <c r="S1835">
        <v>3.63</v>
      </c>
      <c r="U1835">
        <v>27.63</v>
      </c>
      <c r="V1835">
        <v>2</v>
      </c>
      <c r="W1835">
        <v>1</v>
      </c>
      <c r="AB1835">
        <v>0.55700000000000005</v>
      </c>
      <c r="AC1835">
        <v>2.86</v>
      </c>
      <c r="AF1835" t="s">
        <v>7528</v>
      </c>
      <c r="AK1835" t="s">
        <v>98</v>
      </c>
      <c r="AM1835" t="s">
        <v>98</v>
      </c>
      <c r="AN1835" t="s">
        <v>98</v>
      </c>
      <c r="AO1835" t="s">
        <v>98</v>
      </c>
      <c r="AP1835" t="s">
        <v>100</v>
      </c>
      <c r="AQ1835" t="s">
        <v>101</v>
      </c>
      <c r="AV1835" t="s">
        <v>98</v>
      </c>
      <c r="AX1835" t="s">
        <v>7528</v>
      </c>
      <c r="AZ1835" t="s">
        <v>7528</v>
      </c>
      <c r="BB1835" t="s">
        <v>7528</v>
      </c>
      <c r="BC1835" t="s">
        <v>7528</v>
      </c>
      <c r="BD1835" t="s">
        <v>7528</v>
      </c>
      <c r="BF1835" t="s">
        <v>5609</v>
      </c>
      <c r="BG1835" t="s">
        <v>98</v>
      </c>
      <c r="BH1835" t="s">
        <v>98</v>
      </c>
      <c r="BI1835" t="s">
        <v>98</v>
      </c>
      <c r="BK1835" t="s">
        <v>7528</v>
      </c>
      <c r="BL1835" t="s">
        <v>7528</v>
      </c>
      <c r="CA1835" t="s">
        <v>5608</v>
      </c>
      <c r="CB1835" t="s">
        <v>7528</v>
      </c>
      <c r="CL1835" t="s">
        <v>98</v>
      </c>
      <c r="CM1835" t="s">
        <v>98</v>
      </c>
      <c r="CN1835" t="s">
        <v>7528</v>
      </c>
      <c r="CO1835" s="1">
        <v>40352</v>
      </c>
      <c r="CP1835" s="1">
        <v>43633</v>
      </c>
    </row>
    <row r="1836" spans="1:94" x14ac:dyDescent="0.25">
      <c r="A1836" t="s">
        <v>5610</v>
      </c>
      <c r="B1836" t="str">
        <f xml:space="preserve"> "" &amp; 747396074689</f>
        <v>747396074689</v>
      </c>
      <c r="C1836" t="s">
        <v>5611</v>
      </c>
      <c r="D1836" t="s">
        <v>7198</v>
      </c>
      <c r="E1836" t="s">
        <v>7528</v>
      </c>
      <c r="F1836" t="s">
        <v>627</v>
      </c>
      <c r="G1836">
        <v>1</v>
      </c>
      <c r="H1836">
        <v>1</v>
      </c>
      <c r="I1836" t="s">
        <v>97</v>
      </c>
      <c r="J1836" s="10">
        <v>21.5</v>
      </c>
      <c r="K1836" s="10">
        <v>64.5</v>
      </c>
      <c r="L1836" s="10">
        <v>0</v>
      </c>
      <c r="N1836" s="10">
        <v>0</v>
      </c>
      <c r="S1836">
        <v>2.5</v>
      </c>
      <c r="T1836">
        <v>16.13</v>
      </c>
      <c r="U1836">
        <v>4.5</v>
      </c>
      <c r="W1836">
        <v>1.76</v>
      </c>
      <c r="Y1836">
        <v>12.875</v>
      </c>
      <c r="Z1836">
        <v>19.125</v>
      </c>
      <c r="AA1836">
        <v>9</v>
      </c>
      <c r="AB1836">
        <v>1.282</v>
      </c>
      <c r="AC1836">
        <v>2.4</v>
      </c>
      <c r="AF1836" t="s">
        <v>7528</v>
      </c>
      <c r="AK1836" t="s">
        <v>98</v>
      </c>
      <c r="AM1836" t="s">
        <v>98</v>
      </c>
      <c r="AN1836" t="s">
        <v>98</v>
      </c>
      <c r="AO1836" t="s">
        <v>98</v>
      </c>
      <c r="AP1836" t="s">
        <v>100</v>
      </c>
      <c r="AQ1836" t="s">
        <v>101</v>
      </c>
      <c r="AV1836" t="s">
        <v>98</v>
      </c>
      <c r="AX1836" t="s">
        <v>7528</v>
      </c>
      <c r="AZ1836" t="s">
        <v>7528</v>
      </c>
      <c r="BB1836" t="s">
        <v>7528</v>
      </c>
      <c r="BC1836" t="s">
        <v>7528</v>
      </c>
      <c r="BD1836" t="s">
        <v>7528</v>
      </c>
      <c r="BF1836" t="s">
        <v>5612</v>
      </c>
      <c r="BG1836" t="s">
        <v>98</v>
      </c>
      <c r="BH1836" t="s">
        <v>98</v>
      </c>
      <c r="BI1836" t="s">
        <v>98</v>
      </c>
      <c r="BK1836" t="s">
        <v>7528</v>
      </c>
      <c r="BL1836" t="s">
        <v>7528</v>
      </c>
      <c r="CA1836" t="s">
        <v>5610</v>
      </c>
      <c r="CB1836" t="s">
        <v>7528</v>
      </c>
      <c r="CL1836" t="s">
        <v>98</v>
      </c>
      <c r="CM1836" t="s">
        <v>98</v>
      </c>
      <c r="CN1836" t="s">
        <v>7528</v>
      </c>
      <c r="CO1836" s="1">
        <v>40352</v>
      </c>
      <c r="CP1836" s="1">
        <v>43633</v>
      </c>
    </row>
    <row r="1837" spans="1:94" x14ac:dyDescent="0.25">
      <c r="A1837" t="s">
        <v>5613</v>
      </c>
      <c r="B1837" t="str">
        <f xml:space="preserve"> "" &amp; 747396074696</f>
        <v>747396074696</v>
      </c>
      <c r="C1837" t="s">
        <v>5611</v>
      </c>
      <c r="D1837" t="s">
        <v>7199</v>
      </c>
      <c r="E1837" t="s">
        <v>7528</v>
      </c>
      <c r="F1837" t="s">
        <v>627</v>
      </c>
      <c r="G1837">
        <v>1</v>
      </c>
      <c r="H1837">
        <v>1</v>
      </c>
      <c r="I1837" t="s">
        <v>97</v>
      </c>
      <c r="J1837" s="10">
        <v>32.5</v>
      </c>
      <c r="K1837" s="10">
        <v>97.5</v>
      </c>
      <c r="L1837" s="10">
        <v>0</v>
      </c>
      <c r="N1837" s="10">
        <v>0</v>
      </c>
      <c r="S1837">
        <v>2.5</v>
      </c>
      <c r="T1837">
        <v>22.13</v>
      </c>
      <c r="U1837">
        <v>4.5</v>
      </c>
      <c r="W1837">
        <v>2.31</v>
      </c>
      <c r="Y1837">
        <v>12.875</v>
      </c>
      <c r="Z1837">
        <v>25.125</v>
      </c>
      <c r="AA1837">
        <v>9</v>
      </c>
      <c r="AB1837">
        <v>1.6850000000000001</v>
      </c>
      <c r="AC1837">
        <v>3.15</v>
      </c>
      <c r="AF1837" t="s">
        <v>7528</v>
      </c>
      <c r="AK1837" t="s">
        <v>98</v>
      </c>
      <c r="AM1837" t="s">
        <v>98</v>
      </c>
      <c r="AN1837" t="s">
        <v>98</v>
      </c>
      <c r="AO1837" t="s">
        <v>98</v>
      </c>
      <c r="AP1837" t="s">
        <v>100</v>
      </c>
      <c r="AQ1837" t="s">
        <v>101</v>
      </c>
      <c r="AV1837" t="s">
        <v>98</v>
      </c>
      <c r="AX1837" t="s">
        <v>7528</v>
      </c>
      <c r="AZ1837" t="s">
        <v>7528</v>
      </c>
      <c r="BB1837" t="s">
        <v>7528</v>
      </c>
      <c r="BC1837" t="s">
        <v>7528</v>
      </c>
      <c r="BD1837" t="s">
        <v>7528</v>
      </c>
      <c r="BF1837" t="s">
        <v>5614</v>
      </c>
      <c r="BG1837" t="s">
        <v>98</v>
      </c>
      <c r="BH1837" t="s">
        <v>98</v>
      </c>
      <c r="BI1837" t="s">
        <v>98</v>
      </c>
      <c r="BK1837" t="s">
        <v>7528</v>
      </c>
      <c r="BL1837" t="s">
        <v>7528</v>
      </c>
      <c r="CA1837" t="s">
        <v>5613</v>
      </c>
      <c r="CB1837" t="s">
        <v>7528</v>
      </c>
      <c r="CL1837" t="s">
        <v>98</v>
      </c>
      <c r="CM1837" t="s">
        <v>98</v>
      </c>
      <c r="CN1837" t="s">
        <v>7528</v>
      </c>
      <c r="CO1837" s="1">
        <v>40352</v>
      </c>
      <c r="CP1837" s="1">
        <v>43595</v>
      </c>
    </row>
    <row r="1838" spans="1:94" x14ac:dyDescent="0.25">
      <c r="A1838" t="s">
        <v>5615</v>
      </c>
      <c r="B1838" t="str">
        <f xml:space="preserve"> "" &amp; 747396060873</f>
        <v>747396060873</v>
      </c>
      <c r="C1838" t="s">
        <v>235</v>
      </c>
      <c r="D1838" t="s">
        <v>7200</v>
      </c>
      <c r="E1838" t="s">
        <v>7528</v>
      </c>
      <c r="F1838" t="s">
        <v>627</v>
      </c>
      <c r="G1838">
        <v>1</v>
      </c>
      <c r="H1838">
        <v>1</v>
      </c>
      <c r="I1838" t="s">
        <v>97</v>
      </c>
      <c r="J1838" s="10">
        <v>15</v>
      </c>
      <c r="K1838" s="10">
        <v>45</v>
      </c>
      <c r="L1838" s="10">
        <v>0</v>
      </c>
      <c r="N1838" s="10">
        <v>0</v>
      </c>
      <c r="S1838">
        <v>7.75</v>
      </c>
      <c r="U1838">
        <v>7.25</v>
      </c>
      <c r="W1838">
        <v>1.98</v>
      </c>
      <c r="X1838">
        <v>1</v>
      </c>
      <c r="Y1838">
        <v>23</v>
      </c>
      <c r="Z1838">
        <v>20</v>
      </c>
      <c r="AA1838">
        <v>10.25</v>
      </c>
      <c r="AB1838">
        <v>2.7290000000000001</v>
      </c>
      <c r="AC1838">
        <v>2.86</v>
      </c>
      <c r="AF1838" t="s">
        <v>7528</v>
      </c>
      <c r="AK1838" t="s">
        <v>98</v>
      </c>
      <c r="AM1838" t="s">
        <v>98</v>
      </c>
      <c r="AN1838" t="s">
        <v>98</v>
      </c>
      <c r="AO1838" t="s">
        <v>98</v>
      </c>
      <c r="AP1838" t="s">
        <v>100</v>
      </c>
      <c r="AQ1838" t="s">
        <v>101</v>
      </c>
      <c r="AV1838" t="s">
        <v>98</v>
      </c>
      <c r="AX1838" t="s">
        <v>7528</v>
      </c>
      <c r="AZ1838" t="s">
        <v>7528</v>
      </c>
      <c r="BB1838" t="s">
        <v>7528</v>
      </c>
      <c r="BC1838" t="s">
        <v>7528</v>
      </c>
      <c r="BD1838" t="s">
        <v>7528</v>
      </c>
      <c r="BF1838" t="s">
        <v>5616</v>
      </c>
      <c r="BG1838" t="s">
        <v>98</v>
      </c>
      <c r="BH1838" t="s">
        <v>98</v>
      </c>
      <c r="BI1838" t="s">
        <v>98</v>
      </c>
      <c r="BK1838" t="s">
        <v>7528</v>
      </c>
      <c r="BL1838" t="s">
        <v>7528</v>
      </c>
      <c r="CA1838" t="s">
        <v>5615</v>
      </c>
      <c r="CB1838" t="s">
        <v>7528</v>
      </c>
      <c r="CL1838" t="s">
        <v>98</v>
      </c>
      <c r="CM1838" t="s">
        <v>98</v>
      </c>
      <c r="CN1838" t="s">
        <v>7528</v>
      </c>
      <c r="CO1838" s="1">
        <v>39821</v>
      </c>
      <c r="CP1838" s="1">
        <v>43595</v>
      </c>
    </row>
    <row r="1839" spans="1:94" x14ac:dyDescent="0.25">
      <c r="A1839" t="s">
        <v>5617</v>
      </c>
      <c r="B1839" t="str">
        <f xml:space="preserve"> "" &amp; 747396060989</f>
        <v>747396060989</v>
      </c>
      <c r="C1839" t="s">
        <v>3099</v>
      </c>
      <c r="D1839" t="s">
        <v>7201</v>
      </c>
      <c r="E1839" t="s">
        <v>7528</v>
      </c>
      <c r="F1839" t="s">
        <v>627</v>
      </c>
      <c r="G1839">
        <v>1</v>
      </c>
      <c r="H1839">
        <v>1</v>
      </c>
      <c r="I1839" t="s">
        <v>97</v>
      </c>
      <c r="J1839" s="10">
        <v>11</v>
      </c>
      <c r="K1839" s="10">
        <v>33</v>
      </c>
      <c r="L1839" s="10">
        <v>0</v>
      </c>
      <c r="N1839" s="10">
        <v>0</v>
      </c>
      <c r="S1839">
        <v>4.5</v>
      </c>
      <c r="T1839">
        <v>7.75</v>
      </c>
      <c r="U1839">
        <v>5</v>
      </c>
      <c r="W1839">
        <v>0.36</v>
      </c>
      <c r="Y1839">
        <v>16</v>
      </c>
      <c r="Z1839">
        <v>15.5</v>
      </c>
      <c r="AA1839">
        <v>10.75</v>
      </c>
      <c r="AB1839">
        <v>1.5429999999999999</v>
      </c>
      <c r="AC1839">
        <v>0.48</v>
      </c>
      <c r="AF1839" t="s">
        <v>7528</v>
      </c>
      <c r="AK1839" t="s">
        <v>98</v>
      </c>
      <c r="AM1839" t="s">
        <v>98</v>
      </c>
      <c r="AN1839" t="s">
        <v>98</v>
      </c>
      <c r="AO1839" t="s">
        <v>98</v>
      </c>
      <c r="AP1839" t="s">
        <v>100</v>
      </c>
      <c r="AQ1839" t="s">
        <v>101</v>
      </c>
      <c r="AV1839" t="s">
        <v>98</v>
      </c>
      <c r="AX1839" t="s">
        <v>7528</v>
      </c>
      <c r="AZ1839" t="s">
        <v>7528</v>
      </c>
      <c r="BB1839" t="s">
        <v>7528</v>
      </c>
      <c r="BC1839" t="s">
        <v>7528</v>
      </c>
      <c r="BD1839" t="s">
        <v>7528</v>
      </c>
      <c r="BF1839" t="s">
        <v>5618</v>
      </c>
      <c r="BG1839" t="s">
        <v>98</v>
      </c>
      <c r="BH1839" t="s">
        <v>98</v>
      </c>
      <c r="BI1839" t="s">
        <v>98</v>
      </c>
      <c r="BK1839" t="s">
        <v>7528</v>
      </c>
      <c r="BL1839" t="s">
        <v>7528</v>
      </c>
      <c r="CA1839" t="s">
        <v>5617</v>
      </c>
      <c r="CB1839" t="s">
        <v>7528</v>
      </c>
      <c r="CL1839" t="s">
        <v>98</v>
      </c>
      <c r="CM1839" t="s">
        <v>98</v>
      </c>
      <c r="CN1839" t="s">
        <v>7528</v>
      </c>
      <c r="CO1839" s="1">
        <v>38895</v>
      </c>
      <c r="CP1839" s="1">
        <v>43595</v>
      </c>
    </row>
    <row r="1840" spans="1:94" x14ac:dyDescent="0.25">
      <c r="A1840" t="s">
        <v>5619</v>
      </c>
      <c r="B1840" t="str">
        <f xml:space="preserve"> "" &amp; 747396033051</f>
        <v>747396033051</v>
      </c>
      <c r="C1840" t="s">
        <v>5154</v>
      </c>
      <c r="D1840" t="s">
        <v>7202</v>
      </c>
      <c r="E1840" t="s">
        <v>472</v>
      </c>
      <c r="F1840" t="s">
        <v>627</v>
      </c>
      <c r="G1840">
        <v>1</v>
      </c>
      <c r="H1840">
        <v>1</v>
      </c>
      <c r="I1840" t="s">
        <v>97</v>
      </c>
      <c r="J1840" s="10">
        <v>145</v>
      </c>
      <c r="K1840" s="10">
        <v>435</v>
      </c>
      <c r="L1840" s="10">
        <v>0</v>
      </c>
      <c r="N1840" s="10">
        <v>0</v>
      </c>
      <c r="W1840">
        <v>8.01</v>
      </c>
      <c r="X1840">
        <v>1</v>
      </c>
      <c r="Y1840">
        <v>7.63</v>
      </c>
      <c r="Z1840">
        <v>22.75</v>
      </c>
      <c r="AA1840">
        <v>22.75</v>
      </c>
      <c r="AB1840">
        <v>2.2850000000000001</v>
      </c>
      <c r="AC1840">
        <v>12.1</v>
      </c>
      <c r="AF1840" t="s">
        <v>7528</v>
      </c>
      <c r="AK1840" t="s">
        <v>98</v>
      </c>
      <c r="AM1840" t="s">
        <v>98</v>
      </c>
      <c r="AN1840" t="s">
        <v>98</v>
      </c>
      <c r="AO1840" t="s">
        <v>98</v>
      </c>
      <c r="AP1840" t="s">
        <v>100</v>
      </c>
      <c r="AV1840" t="s">
        <v>98</v>
      </c>
      <c r="AX1840" t="s">
        <v>7528</v>
      </c>
      <c r="AZ1840" t="s">
        <v>7528</v>
      </c>
      <c r="BB1840" t="s">
        <v>7528</v>
      </c>
      <c r="BC1840" t="s">
        <v>7528</v>
      </c>
      <c r="BD1840" t="s">
        <v>7528</v>
      </c>
      <c r="BF1840" t="s">
        <v>5620</v>
      </c>
      <c r="BG1840" t="s">
        <v>98</v>
      </c>
      <c r="BH1840" t="s">
        <v>98</v>
      </c>
      <c r="BI1840" t="s">
        <v>98</v>
      </c>
      <c r="BK1840" t="s">
        <v>7528</v>
      </c>
      <c r="BL1840" t="s">
        <v>7528</v>
      </c>
      <c r="CB1840" t="s">
        <v>7528</v>
      </c>
      <c r="CL1840" t="s">
        <v>98</v>
      </c>
      <c r="CM1840" t="s">
        <v>98</v>
      </c>
      <c r="CN1840" t="s">
        <v>7528</v>
      </c>
      <c r="CP1840" s="1">
        <v>43633</v>
      </c>
    </row>
    <row r="1841" spans="1:94" x14ac:dyDescent="0.25">
      <c r="A1841" t="s">
        <v>5621</v>
      </c>
      <c r="B1841" t="str">
        <f xml:space="preserve"> "" &amp; 747396033082</f>
        <v>747396033082</v>
      </c>
      <c r="C1841" t="s">
        <v>5154</v>
      </c>
      <c r="D1841" t="s">
        <v>7203</v>
      </c>
      <c r="E1841" t="s">
        <v>472</v>
      </c>
      <c r="F1841" t="s">
        <v>627</v>
      </c>
      <c r="G1841">
        <v>1</v>
      </c>
      <c r="H1841">
        <v>1</v>
      </c>
      <c r="I1841" t="s">
        <v>97</v>
      </c>
      <c r="J1841" s="10">
        <v>69.5</v>
      </c>
      <c r="K1841" s="10">
        <v>208.5</v>
      </c>
      <c r="L1841" s="10">
        <v>0</v>
      </c>
      <c r="N1841" s="10">
        <v>0</v>
      </c>
      <c r="W1841">
        <v>6.6</v>
      </c>
      <c r="X1841">
        <v>1</v>
      </c>
      <c r="Y1841">
        <v>8</v>
      </c>
      <c r="Z1841">
        <v>18</v>
      </c>
      <c r="AA1841">
        <v>18</v>
      </c>
      <c r="AB1841">
        <v>1.5</v>
      </c>
      <c r="AC1841">
        <v>8.8000000000000007</v>
      </c>
      <c r="AF1841" t="s">
        <v>7528</v>
      </c>
      <c r="AK1841" t="s">
        <v>98</v>
      </c>
      <c r="AM1841" t="s">
        <v>98</v>
      </c>
      <c r="AN1841" t="s">
        <v>98</v>
      </c>
      <c r="AO1841" t="s">
        <v>98</v>
      </c>
      <c r="AP1841" t="s">
        <v>100</v>
      </c>
      <c r="AV1841" t="s">
        <v>98</v>
      </c>
      <c r="AX1841" t="s">
        <v>7528</v>
      </c>
      <c r="AZ1841" t="s">
        <v>7528</v>
      </c>
      <c r="BB1841" t="s">
        <v>7528</v>
      </c>
      <c r="BC1841" t="s">
        <v>7528</v>
      </c>
      <c r="BD1841" t="s">
        <v>7528</v>
      </c>
      <c r="BF1841" t="s">
        <v>5622</v>
      </c>
      <c r="BG1841" t="s">
        <v>98</v>
      </c>
      <c r="BH1841" t="s">
        <v>98</v>
      </c>
      <c r="BI1841" t="s">
        <v>98</v>
      </c>
      <c r="BK1841" t="s">
        <v>7528</v>
      </c>
      <c r="BL1841" t="s">
        <v>7528</v>
      </c>
      <c r="CB1841" t="s">
        <v>7528</v>
      </c>
      <c r="CL1841" t="s">
        <v>98</v>
      </c>
      <c r="CM1841" t="s">
        <v>98</v>
      </c>
      <c r="CN1841" t="s">
        <v>7528</v>
      </c>
      <c r="CP1841" s="1">
        <v>43595</v>
      </c>
    </row>
    <row r="1842" spans="1:94" x14ac:dyDescent="0.25">
      <c r="A1842" t="s">
        <v>5623</v>
      </c>
      <c r="B1842" t="str">
        <f xml:space="preserve"> "" &amp; 747396033105</f>
        <v>747396033105</v>
      </c>
      <c r="C1842" t="s">
        <v>5154</v>
      </c>
      <c r="D1842" t="s">
        <v>7204</v>
      </c>
      <c r="E1842" t="s">
        <v>472</v>
      </c>
      <c r="F1842" t="s">
        <v>627</v>
      </c>
      <c r="G1842">
        <v>1</v>
      </c>
      <c r="H1842">
        <v>1</v>
      </c>
      <c r="I1842" t="s">
        <v>97</v>
      </c>
      <c r="J1842" s="10">
        <v>225</v>
      </c>
      <c r="K1842" s="10">
        <v>675</v>
      </c>
      <c r="L1842" s="10">
        <v>0</v>
      </c>
      <c r="N1842" s="10">
        <v>0</v>
      </c>
      <c r="W1842">
        <v>16.28</v>
      </c>
      <c r="X1842">
        <v>1</v>
      </c>
      <c r="Y1842">
        <v>9</v>
      </c>
      <c r="Z1842">
        <v>30.5</v>
      </c>
      <c r="AA1842">
        <v>30.5</v>
      </c>
      <c r="AB1842">
        <v>4.8449999999999998</v>
      </c>
      <c r="AC1842">
        <v>23.76</v>
      </c>
      <c r="AF1842" t="s">
        <v>7528</v>
      </c>
      <c r="AK1842" t="s">
        <v>98</v>
      </c>
      <c r="AM1842" t="s">
        <v>98</v>
      </c>
      <c r="AN1842" t="s">
        <v>98</v>
      </c>
      <c r="AO1842" t="s">
        <v>98</v>
      </c>
      <c r="AP1842" t="s">
        <v>100</v>
      </c>
      <c r="AV1842" t="s">
        <v>98</v>
      </c>
      <c r="AX1842" t="s">
        <v>7528</v>
      </c>
      <c r="AZ1842" t="s">
        <v>7528</v>
      </c>
      <c r="BB1842" t="s">
        <v>7528</v>
      </c>
      <c r="BC1842" t="s">
        <v>7528</v>
      </c>
      <c r="BD1842" t="s">
        <v>7528</v>
      </c>
      <c r="BF1842" t="s">
        <v>5624</v>
      </c>
      <c r="BG1842" t="s">
        <v>98</v>
      </c>
      <c r="BH1842" t="s">
        <v>98</v>
      </c>
      <c r="BI1842" t="s">
        <v>98</v>
      </c>
      <c r="BK1842" t="s">
        <v>7528</v>
      </c>
      <c r="BL1842" t="s">
        <v>7528</v>
      </c>
      <c r="CB1842" t="s">
        <v>7528</v>
      </c>
      <c r="CL1842" t="s">
        <v>98</v>
      </c>
      <c r="CM1842" t="s">
        <v>98</v>
      </c>
      <c r="CN1842" t="s">
        <v>7528</v>
      </c>
      <c r="CP1842" s="1">
        <v>43595</v>
      </c>
    </row>
    <row r="1843" spans="1:94" x14ac:dyDescent="0.25">
      <c r="A1843" t="s">
        <v>5625</v>
      </c>
      <c r="B1843" t="str">
        <f xml:space="preserve"> "" &amp; 747396033129</f>
        <v>747396033129</v>
      </c>
      <c r="C1843" t="s">
        <v>5154</v>
      </c>
      <c r="D1843" t="s">
        <v>7205</v>
      </c>
      <c r="E1843" t="s">
        <v>472</v>
      </c>
      <c r="F1843" t="s">
        <v>627</v>
      </c>
      <c r="G1843">
        <v>1</v>
      </c>
      <c r="H1843">
        <v>1</v>
      </c>
      <c r="I1843" t="s">
        <v>97</v>
      </c>
      <c r="J1843" s="10">
        <v>47.5</v>
      </c>
      <c r="K1843" s="10">
        <v>142.5</v>
      </c>
      <c r="L1843" s="10">
        <v>0</v>
      </c>
      <c r="N1843" s="10">
        <v>0</v>
      </c>
      <c r="W1843">
        <v>3.3</v>
      </c>
      <c r="X1843">
        <v>1</v>
      </c>
      <c r="Y1843">
        <v>6.5</v>
      </c>
      <c r="Z1843">
        <v>14.38</v>
      </c>
      <c r="AA1843">
        <v>14.38</v>
      </c>
      <c r="AB1843">
        <v>0.77800000000000002</v>
      </c>
      <c r="AC1843">
        <v>5.94</v>
      </c>
      <c r="AF1843" t="s">
        <v>7528</v>
      </c>
      <c r="AK1843" t="s">
        <v>98</v>
      </c>
      <c r="AM1843" t="s">
        <v>98</v>
      </c>
      <c r="AN1843" t="s">
        <v>98</v>
      </c>
      <c r="AO1843" t="s">
        <v>98</v>
      </c>
      <c r="AP1843" t="s">
        <v>100</v>
      </c>
      <c r="AV1843" t="s">
        <v>98</v>
      </c>
      <c r="AX1843" t="s">
        <v>7528</v>
      </c>
      <c r="AZ1843" t="s">
        <v>7528</v>
      </c>
      <c r="BB1843" t="s">
        <v>7528</v>
      </c>
      <c r="BC1843" t="s">
        <v>7528</v>
      </c>
      <c r="BD1843" t="s">
        <v>7528</v>
      </c>
      <c r="BF1843" t="s">
        <v>5626</v>
      </c>
      <c r="BG1843" t="s">
        <v>98</v>
      </c>
      <c r="BH1843" t="s">
        <v>98</v>
      </c>
      <c r="BI1843" t="s">
        <v>98</v>
      </c>
      <c r="BK1843" t="s">
        <v>7528</v>
      </c>
      <c r="BL1843" t="s">
        <v>7528</v>
      </c>
      <c r="CB1843" t="s">
        <v>7528</v>
      </c>
      <c r="CL1843" t="s">
        <v>98</v>
      </c>
      <c r="CM1843" t="s">
        <v>98</v>
      </c>
      <c r="CN1843" t="s">
        <v>7528</v>
      </c>
      <c r="CP1843" s="1">
        <v>43595</v>
      </c>
    </row>
    <row r="1844" spans="1:94" x14ac:dyDescent="0.25">
      <c r="A1844" t="s">
        <v>5629</v>
      </c>
      <c r="B1844" t="str">
        <f xml:space="preserve"> "" &amp; 747396061054</f>
        <v>747396061054</v>
      </c>
      <c r="C1844" t="s">
        <v>5379</v>
      </c>
      <c r="D1844" t="s">
        <v>7206</v>
      </c>
      <c r="E1844" t="s">
        <v>7528</v>
      </c>
      <c r="F1844" t="s">
        <v>627</v>
      </c>
      <c r="G1844">
        <v>1</v>
      </c>
      <c r="H1844">
        <v>1</v>
      </c>
      <c r="I1844" t="s">
        <v>97</v>
      </c>
      <c r="J1844" s="10">
        <v>16.5</v>
      </c>
      <c r="K1844" s="10">
        <v>49.5</v>
      </c>
      <c r="L1844" s="10">
        <v>0</v>
      </c>
      <c r="N1844" s="10">
        <v>0</v>
      </c>
      <c r="S1844">
        <v>3.17</v>
      </c>
      <c r="T1844">
        <v>16</v>
      </c>
      <c r="U1844">
        <v>6</v>
      </c>
      <c r="W1844">
        <v>1.78</v>
      </c>
      <c r="X1844">
        <v>1</v>
      </c>
      <c r="Y1844">
        <v>19.25</v>
      </c>
      <c r="Z1844">
        <v>10.25</v>
      </c>
      <c r="AA1844">
        <v>9</v>
      </c>
      <c r="AB1844">
        <v>1.028</v>
      </c>
      <c r="AC1844">
        <v>2.99</v>
      </c>
      <c r="AF1844" t="s">
        <v>7528</v>
      </c>
      <c r="AK1844" t="s">
        <v>98</v>
      </c>
      <c r="AM1844" t="s">
        <v>98</v>
      </c>
      <c r="AN1844" t="s">
        <v>98</v>
      </c>
      <c r="AO1844" t="s">
        <v>98</v>
      </c>
      <c r="AP1844" t="s">
        <v>100</v>
      </c>
      <c r="AQ1844" t="s">
        <v>101</v>
      </c>
      <c r="AV1844" t="s">
        <v>98</v>
      </c>
      <c r="AX1844" t="s">
        <v>7528</v>
      </c>
      <c r="AZ1844" t="s">
        <v>7528</v>
      </c>
      <c r="BB1844" t="s">
        <v>7528</v>
      </c>
      <c r="BC1844" t="s">
        <v>7528</v>
      </c>
      <c r="BD1844" t="s">
        <v>7528</v>
      </c>
      <c r="BF1844" t="s">
        <v>5630</v>
      </c>
      <c r="BG1844" t="s">
        <v>98</v>
      </c>
      <c r="BH1844" t="s">
        <v>98</v>
      </c>
      <c r="BI1844" t="s">
        <v>98</v>
      </c>
      <c r="BK1844" t="s">
        <v>7528</v>
      </c>
      <c r="BL1844" t="s">
        <v>7528</v>
      </c>
      <c r="CA1844" t="s">
        <v>5629</v>
      </c>
      <c r="CB1844" t="s">
        <v>7528</v>
      </c>
      <c r="CL1844" t="s">
        <v>98</v>
      </c>
      <c r="CM1844" t="s">
        <v>98</v>
      </c>
      <c r="CN1844" t="s">
        <v>7528</v>
      </c>
      <c r="CO1844" s="1">
        <v>40304</v>
      </c>
      <c r="CP1844" s="1">
        <v>43595</v>
      </c>
    </row>
    <row r="1845" spans="1:94" x14ac:dyDescent="0.25">
      <c r="A1845" t="s">
        <v>5631</v>
      </c>
      <c r="B1845" t="str">
        <f xml:space="preserve"> "" &amp; 747396061320</f>
        <v>747396061320</v>
      </c>
      <c r="C1845" t="s">
        <v>5379</v>
      </c>
      <c r="D1845" t="s">
        <v>7207</v>
      </c>
      <c r="E1845" t="s">
        <v>7528</v>
      </c>
      <c r="F1845" t="s">
        <v>627</v>
      </c>
      <c r="G1845">
        <v>1</v>
      </c>
      <c r="H1845">
        <v>1</v>
      </c>
      <c r="I1845" t="s">
        <v>97</v>
      </c>
      <c r="J1845" s="10">
        <v>24.95</v>
      </c>
      <c r="K1845" s="10">
        <v>74.849999999999994</v>
      </c>
      <c r="L1845" s="10">
        <v>0</v>
      </c>
      <c r="N1845" s="10">
        <v>0</v>
      </c>
      <c r="S1845">
        <v>2.75</v>
      </c>
      <c r="T1845">
        <v>31.63</v>
      </c>
      <c r="U1845">
        <v>6.75</v>
      </c>
      <c r="W1845">
        <v>4.04</v>
      </c>
      <c r="X1845">
        <v>1</v>
      </c>
      <c r="AC1845">
        <v>5.28</v>
      </c>
      <c r="AF1845" t="s">
        <v>7528</v>
      </c>
      <c r="AK1845" t="s">
        <v>98</v>
      </c>
      <c r="AM1845" t="s">
        <v>98</v>
      </c>
      <c r="AN1845" t="s">
        <v>98</v>
      </c>
      <c r="AO1845" t="s">
        <v>98</v>
      </c>
      <c r="AP1845" t="s">
        <v>100</v>
      </c>
      <c r="AQ1845" t="s">
        <v>101</v>
      </c>
      <c r="AV1845" t="s">
        <v>98</v>
      </c>
      <c r="AX1845" t="s">
        <v>7528</v>
      </c>
      <c r="AZ1845" t="s">
        <v>7528</v>
      </c>
      <c r="BB1845" t="s">
        <v>7528</v>
      </c>
      <c r="BC1845" t="s">
        <v>7528</v>
      </c>
      <c r="BD1845" t="s">
        <v>7528</v>
      </c>
      <c r="BF1845" t="s">
        <v>5632</v>
      </c>
      <c r="BG1845" t="s">
        <v>98</v>
      </c>
      <c r="BH1845" t="s">
        <v>98</v>
      </c>
      <c r="BI1845" t="s">
        <v>98</v>
      </c>
      <c r="BK1845" t="s">
        <v>7528</v>
      </c>
      <c r="BL1845" t="s">
        <v>7528</v>
      </c>
      <c r="CA1845" t="s">
        <v>5631</v>
      </c>
      <c r="CB1845" t="s">
        <v>7528</v>
      </c>
      <c r="CL1845" t="s">
        <v>98</v>
      </c>
      <c r="CM1845" t="s">
        <v>98</v>
      </c>
      <c r="CN1845" t="s">
        <v>7528</v>
      </c>
      <c r="CO1845" s="1">
        <v>40304</v>
      </c>
      <c r="CP1845" s="1">
        <v>43595</v>
      </c>
    </row>
    <row r="1846" spans="1:94" x14ac:dyDescent="0.25">
      <c r="A1846" t="s">
        <v>5633</v>
      </c>
      <c r="B1846" t="str">
        <f xml:space="preserve"> "" &amp; 747396061337</f>
        <v>747396061337</v>
      </c>
      <c r="C1846" t="s">
        <v>5634</v>
      </c>
      <c r="D1846" t="s">
        <v>7208</v>
      </c>
      <c r="E1846" t="s">
        <v>7528</v>
      </c>
      <c r="F1846" t="s">
        <v>627</v>
      </c>
      <c r="G1846">
        <v>1</v>
      </c>
      <c r="H1846">
        <v>1</v>
      </c>
      <c r="I1846" t="s">
        <v>97</v>
      </c>
      <c r="J1846" s="10">
        <v>39.5</v>
      </c>
      <c r="K1846" s="10">
        <v>118.5</v>
      </c>
      <c r="L1846" s="10">
        <v>0</v>
      </c>
      <c r="N1846" s="10">
        <v>0</v>
      </c>
      <c r="S1846">
        <v>2.75</v>
      </c>
      <c r="T1846">
        <v>41.75</v>
      </c>
      <c r="U1846">
        <v>6.75</v>
      </c>
      <c r="W1846">
        <v>4.7300000000000004</v>
      </c>
      <c r="X1846">
        <v>1</v>
      </c>
      <c r="AC1846">
        <v>6.16</v>
      </c>
      <c r="AF1846" t="s">
        <v>7528</v>
      </c>
      <c r="AK1846" t="s">
        <v>98</v>
      </c>
      <c r="AM1846" t="s">
        <v>98</v>
      </c>
      <c r="AN1846" t="s">
        <v>98</v>
      </c>
      <c r="AO1846" t="s">
        <v>98</v>
      </c>
      <c r="AP1846" t="s">
        <v>100</v>
      </c>
      <c r="AQ1846" t="s">
        <v>101</v>
      </c>
      <c r="AV1846" t="s">
        <v>98</v>
      </c>
      <c r="AX1846" t="s">
        <v>7528</v>
      </c>
      <c r="AZ1846" t="s">
        <v>7528</v>
      </c>
      <c r="BB1846" t="s">
        <v>7528</v>
      </c>
      <c r="BC1846" t="s">
        <v>7528</v>
      </c>
      <c r="BD1846" t="s">
        <v>7528</v>
      </c>
      <c r="BF1846" t="s">
        <v>5635</v>
      </c>
      <c r="BG1846" t="s">
        <v>98</v>
      </c>
      <c r="BH1846" t="s">
        <v>98</v>
      </c>
      <c r="BI1846" t="s">
        <v>98</v>
      </c>
      <c r="BK1846" t="s">
        <v>7528</v>
      </c>
      <c r="BL1846" t="s">
        <v>7528</v>
      </c>
      <c r="CA1846" t="s">
        <v>5633</v>
      </c>
      <c r="CB1846" t="s">
        <v>7528</v>
      </c>
      <c r="CL1846" t="s">
        <v>98</v>
      </c>
      <c r="CM1846" t="s">
        <v>98</v>
      </c>
      <c r="CN1846" t="s">
        <v>7528</v>
      </c>
      <c r="CO1846" s="1">
        <v>40304</v>
      </c>
      <c r="CP1846" s="1">
        <v>43595</v>
      </c>
    </row>
    <row r="1847" spans="1:94" x14ac:dyDescent="0.25">
      <c r="A1847" t="s">
        <v>5627</v>
      </c>
      <c r="B1847" t="str">
        <f xml:space="preserve"> "" &amp; 747396033136</f>
        <v>747396033136</v>
      </c>
      <c r="C1847" t="s">
        <v>5154</v>
      </c>
      <c r="D1847" t="s">
        <v>7209</v>
      </c>
      <c r="E1847" t="s">
        <v>472</v>
      </c>
      <c r="F1847" t="s">
        <v>627</v>
      </c>
      <c r="G1847">
        <v>1</v>
      </c>
      <c r="H1847">
        <v>1</v>
      </c>
      <c r="I1847" t="s">
        <v>97</v>
      </c>
      <c r="J1847" s="10">
        <v>25</v>
      </c>
      <c r="K1847" s="10">
        <v>75</v>
      </c>
      <c r="L1847" s="10">
        <v>0</v>
      </c>
      <c r="N1847" s="10">
        <v>0</v>
      </c>
      <c r="W1847">
        <v>1.87</v>
      </c>
      <c r="X1847">
        <v>1</v>
      </c>
      <c r="Y1847">
        <v>14.75</v>
      </c>
      <c r="Z1847">
        <v>14.75</v>
      </c>
      <c r="AA1847">
        <v>14</v>
      </c>
      <c r="AB1847">
        <v>1.7629999999999999</v>
      </c>
      <c r="AC1847">
        <v>2.81</v>
      </c>
      <c r="AF1847" t="s">
        <v>7528</v>
      </c>
      <c r="AK1847" t="s">
        <v>98</v>
      </c>
      <c r="AM1847" t="s">
        <v>98</v>
      </c>
      <c r="AN1847" t="s">
        <v>98</v>
      </c>
      <c r="AO1847" t="s">
        <v>98</v>
      </c>
      <c r="AP1847" t="s">
        <v>100</v>
      </c>
      <c r="AV1847" t="s">
        <v>98</v>
      </c>
      <c r="AX1847" t="s">
        <v>7528</v>
      </c>
      <c r="AZ1847" t="s">
        <v>7528</v>
      </c>
      <c r="BB1847" t="s">
        <v>7528</v>
      </c>
      <c r="BC1847" t="s">
        <v>7528</v>
      </c>
      <c r="BD1847" t="s">
        <v>7528</v>
      </c>
      <c r="BF1847" t="s">
        <v>5628</v>
      </c>
      <c r="BG1847" t="s">
        <v>98</v>
      </c>
      <c r="BH1847" t="s">
        <v>98</v>
      </c>
      <c r="BI1847" t="s">
        <v>98</v>
      </c>
      <c r="BK1847" t="s">
        <v>7528</v>
      </c>
      <c r="BL1847" t="s">
        <v>7528</v>
      </c>
      <c r="CB1847" t="s">
        <v>7528</v>
      </c>
      <c r="CL1847" t="s">
        <v>98</v>
      </c>
      <c r="CM1847" t="s">
        <v>98</v>
      </c>
      <c r="CN1847" t="s">
        <v>7528</v>
      </c>
      <c r="CP1847" s="1">
        <v>43595</v>
      </c>
    </row>
    <row r="1848" spans="1:94" x14ac:dyDescent="0.25">
      <c r="A1848" t="s">
        <v>5636</v>
      </c>
      <c r="B1848" t="str">
        <f xml:space="preserve"> "" &amp; 747396050652</f>
        <v>747396050652</v>
      </c>
      <c r="C1848" t="s">
        <v>5637</v>
      </c>
      <c r="D1848" t="s">
        <v>5638</v>
      </c>
      <c r="E1848" t="s">
        <v>7528</v>
      </c>
      <c r="F1848" t="s">
        <v>627</v>
      </c>
      <c r="G1848">
        <v>1</v>
      </c>
      <c r="H1848">
        <v>1</v>
      </c>
      <c r="I1848" t="s">
        <v>97</v>
      </c>
      <c r="J1848" s="10">
        <v>6.5</v>
      </c>
      <c r="K1848" s="10">
        <v>19.5</v>
      </c>
      <c r="L1848" s="10">
        <v>0</v>
      </c>
      <c r="N1848" s="10">
        <v>0</v>
      </c>
      <c r="T1848">
        <v>4.9400000000000004</v>
      </c>
      <c r="U1848">
        <v>5.25</v>
      </c>
      <c r="W1848">
        <v>1.33</v>
      </c>
      <c r="X1848">
        <v>1</v>
      </c>
      <c r="Y1848">
        <v>23</v>
      </c>
      <c r="Z1848">
        <v>14.5</v>
      </c>
      <c r="AA1848">
        <v>7.5</v>
      </c>
      <c r="AB1848">
        <v>1.4470000000000001</v>
      </c>
      <c r="AC1848">
        <v>1.39</v>
      </c>
      <c r="AF1848" t="s">
        <v>7528</v>
      </c>
      <c r="AK1848" t="s">
        <v>98</v>
      </c>
      <c r="AM1848" t="s">
        <v>98</v>
      </c>
      <c r="AN1848" t="s">
        <v>98</v>
      </c>
      <c r="AO1848" t="s">
        <v>98</v>
      </c>
      <c r="AP1848" t="s">
        <v>100</v>
      </c>
      <c r="AQ1848" t="s">
        <v>101</v>
      </c>
      <c r="AV1848" t="s">
        <v>98</v>
      </c>
      <c r="AX1848" t="s">
        <v>7528</v>
      </c>
      <c r="AZ1848" t="s">
        <v>7528</v>
      </c>
      <c r="BB1848" t="s">
        <v>7528</v>
      </c>
      <c r="BC1848" t="s">
        <v>7528</v>
      </c>
      <c r="BD1848" t="s">
        <v>7528</v>
      </c>
      <c r="BF1848" t="s">
        <v>5639</v>
      </c>
      <c r="BG1848" t="s">
        <v>98</v>
      </c>
      <c r="BH1848" t="s">
        <v>98</v>
      </c>
      <c r="BI1848" t="s">
        <v>98</v>
      </c>
      <c r="BK1848" t="s">
        <v>7528</v>
      </c>
      <c r="BL1848" t="s">
        <v>7528</v>
      </c>
      <c r="CA1848" t="s">
        <v>5636</v>
      </c>
      <c r="CB1848" t="s">
        <v>7528</v>
      </c>
      <c r="CL1848" t="s">
        <v>98</v>
      </c>
      <c r="CM1848" t="s">
        <v>98</v>
      </c>
      <c r="CN1848" t="s">
        <v>7528</v>
      </c>
      <c r="CO1848" s="1">
        <v>40585</v>
      </c>
      <c r="CP1848" s="1">
        <v>43633</v>
      </c>
    </row>
    <row r="1849" spans="1:94" x14ac:dyDescent="0.25">
      <c r="A1849" t="s">
        <v>5640</v>
      </c>
      <c r="B1849" t="str">
        <f xml:space="preserve"> "" &amp; 747396050669</f>
        <v>747396050669</v>
      </c>
      <c r="C1849" t="s">
        <v>5641</v>
      </c>
      <c r="D1849" t="s">
        <v>7210</v>
      </c>
      <c r="E1849" t="s">
        <v>7528</v>
      </c>
      <c r="F1849" t="s">
        <v>627</v>
      </c>
      <c r="G1849">
        <v>1</v>
      </c>
      <c r="H1849">
        <v>1</v>
      </c>
      <c r="I1849" t="s">
        <v>97</v>
      </c>
      <c r="J1849" s="10">
        <v>2.95</v>
      </c>
      <c r="K1849" s="10">
        <v>8.85</v>
      </c>
      <c r="L1849" s="10">
        <v>0</v>
      </c>
      <c r="N1849" s="10">
        <v>0</v>
      </c>
      <c r="S1849">
        <v>0.75</v>
      </c>
      <c r="U1849">
        <v>3.75</v>
      </c>
      <c r="W1849">
        <v>1</v>
      </c>
      <c r="X1849">
        <v>1</v>
      </c>
      <c r="AB1849">
        <v>5.0000000000000001E-3</v>
      </c>
      <c r="AC1849">
        <v>0.25</v>
      </c>
      <c r="AF1849" t="s">
        <v>7528</v>
      </c>
      <c r="AK1849" t="s">
        <v>98</v>
      </c>
      <c r="AM1849" t="s">
        <v>98</v>
      </c>
      <c r="AN1849" t="s">
        <v>98</v>
      </c>
      <c r="AO1849" t="s">
        <v>98</v>
      </c>
      <c r="AP1849" t="s">
        <v>100</v>
      </c>
      <c r="AQ1849" t="s">
        <v>101</v>
      </c>
      <c r="AV1849" t="s">
        <v>98</v>
      </c>
      <c r="AX1849" t="s">
        <v>7528</v>
      </c>
      <c r="AZ1849" t="s">
        <v>7528</v>
      </c>
      <c r="BB1849" t="s">
        <v>7528</v>
      </c>
      <c r="BC1849" t="s">
        <v>7528</v>
      </c>
      <c r="BD1849" t="s">
        <v>7528</v>
      </c>
      <c r="BF1849" t="s">
        <v>5642</v>
      </c>
      <c r="BG1849" t="s">
        <v>98</v>
      </c>
      <c r="BH1849" t="s">
        <v>98</v>
      </c>
      <c r="BI1849" t="s">
        <v>98</v>
      </c>
      <c r="BK1849" t="s">
        <v>7528</v>
      </c>
      <c r="BL1849" t="s">
        <v>7528</v>
      </c>
      <c r="CA1849" t="s">
        <v>5640</v>
      </c>
      <c r="CB1849" t="s">
        <v>7528</v>
      </c>
      <c r="CL1849" t="s">
        <v>98</v>
      </c>
      <c r="CM1849" t="s">
        <v>98</v>
      </c>
      <c r="CN1849" t="s">
        <v>7528</v>
      </c>
      <c r="CO1849" s="1">
        <v>40318</v>
      </c>
      <c r="CP1849" s="1">
        <v>43633</v>
      </c>
    </row>
    <row r="1850" spans="1:94" x14ac:dyDescent="0.25">
      <c r="A1850" t="s">
        <v>5643</v>
      </c>
      <c r="B1850" t="str">
        <f xml:space="preserve"> "" &amp; 747396050676</f>
        <v>747396050676</v>
      </c>
      <c r="C1850" t="s">
        <v>5644</v>
      </c>
      <c r="D1850" t="s">
        <v>7211</v>
      </c>
      <c r="E1850" t="s">
        <v>7528</v>
      </c>
      <c r="F1850" t="s">
        <v>627</v>
      </c>
      <c r="G1850">
        <v>1</v>
      </c>
      <c r="H1850">
        <v>1</v>
      </c>
      <c r="I1850" t="s">
        <v>97</v>
      </c>
      <c r="J1850" s="10">
        <v>1.95</v>
      </c>
      <c r="K1850" s="10">
        <v>5.85</v>
      </c>
      <c r="L1850" s="10">
        <v>0</v>
      </c>
      <c r="N1850" s="10">
        <v>0</v>
      </c>
      <c r="S1850">
        <v>0.75</v>
      </c>
      <c r="U1850">
        <v>3.75</v>
      </c>
      <c r="W1850">
        <v>1</v>
      </c>
      <c r="X1850">
        <v>1</v>
      </c>
      <c r="AB1850">
        <v>5.0000000000000001E-3</v>
      </c>
      <c r="AC1850">
        <v>0.25</v>
      </c>
      <c r="AF1850" t="s">
        <v>7528</v>
      </c>
      <c r="AK1850" t="s">
        <v>98</v>
      </c>
      <c r="AM1850" t="s">
        <v>98</v>
      </c>
      <c r="AN1850" t="s">
        <v>98</v>
      </c>
      <c r="AO1850" t="s">
        <v>98</v>
      </c>
      <c r="AP1850" t="s">
        <v>100</v>
      </c>
      <c r="AQ1850" t="s">
        <v>101</v>
      </c>
      <c r="AV1850" t="s">
        <v>98</v>
      </c>
      <c r="AX1850" t="s">
        <v>7528</v>
      </c>
      <c r="AZ1850" t="s">
        <v>7528</v>
      </c>
      <c r="BB1850" t="s">
        <v>7528</v>
      </c>
      <c r="BC1850" t="s">
        <v>7528</v>
      </c>
      <c r="BD1850" t="s">
        <v>7528</v>
      </c>
      <c r="BF1850" t="s">
        <v>5645</v>
      </c>
      <c r="BG1850" t="s">
        <v>98</v>
      </c>
      <c r="BH1850" t="s">
        <v>98</v>
      </c>
      <c r="BI1850" t="s">
        <v>98</v>
      </c>
      <c r="BK1850" t="s">
        <v>7528</v>
      </c>
      <c r="BL1850" t="s">
        <v>7528</v>
      </c>
      <c r="CA1850" t="s">
        <v>5643</v>
      </c>
      <c r="CB1850" t="s">
        <v>7528</v>
      </c>
      <c r="CL1850" t="s">
        <v>98</v>
      </c>
      <c r="CM1850" t="s">
        <v>98</v>
      </c>
      <c r="CN1850" t="s">
        <v>7528</v>
      </c>
      <c r="CO1850" s="1">
        <v>40318</v>
      </c>
      <c r="CP1850" s="1">
        <v>43633</v>
      </c>
    </row>
    <row r="1851" spans="1:94" x14ac:dyDescent="0.25">
      <c r="A1851" t="s">
        <v>5646</v>
      </c>
      <c r="B1851" t="str">
        <f xml:space="preserve"> "" &amp; 747396054834</f>
        <v>747396054834</v>
      </c>
      <c r="C1851" t="s">
        <v>5637</v>
      </c>
      <c r="D1851" t="s">
        <v>7212</v>
      </c>
      <c r="E1851" t="s">
        <v>7528</v>
      </c>
      <c r="F1851" t="s">
        <v>627</v>
      </c>
      <c r="G1851">
        <v>1</v>
      </c>
      <c r="H1851">
        <v>1</v>
      </c>
      <c r="I1851" t="s">
        <v>97</v>
      </c>
      <c r="J1851" s="10">
        <v>2.5</v>
      </c>
      <c r="K1851" s="10">
        <v>7.5</v>
      </c>
      <c r="L1851" s="10">
        <v>0</v>
      </c>
      <c r="N1851" s="10">
        <v>0</v>
      </c>
      <c r="S1851">
        <v>3.5</v>
      </c>
      <c r="T1851">
        <v>6.75</v>
      </c>
      <c r="U1851">
        <v>0.13</v>
      </c>
      <c r="W1851">
        <v>0.21</v>
      </c>
      <c r="X1851">
        <v>1</v>
      </c>
      <c r="AC1851">
        <v>0.23</v>
      </c>
      <c r="AF1851" t="s">
        <v>7528</v>
      </c>
      <c r="AK1851" t="s">
        <v>98</v>
      </c>
      <c r="AM1851" t="s">
        <v>98</v>
      </c>
      <c r="AN1851" t="s">
        <v>98</v>
      </c>
      <c r="AO1851" t="s">
        <v>98</v>
      </c>
      <c r="AP1851" t="s">
        <v>100</v>
      </c>
      <c r="AQ1851" t="s">
        <v>101</v>
      </c>
      <c r="AV1851" t="s">
        <v>98</v>
      </c>
      <c r="AX1851" t="s">
        <v>7528</v>
      </c>
      <c r="AZ1851" t="s">
        <v>7528</v>
      </c>
      <c r="BB1851" t="s">
        <v>7528</v>
      </c>
      <c r="BC1851" t="s">
        <v>7528</v>
      </c>
      <c r="BD1851" t="s">
        <v>7528</v>
      </c>
      <c r="BF1851" t="s">
        <v>5647</v>
      </c>
      <c r="BG1851" t="s">
        <v>98</v>
      </c>
      <c r="BH1851" t="s">
        <v>98</v>
      </c>
      <c r="BI1851" t="s">
        <v>98</v>
      </c>
      <c r="BK1851" t="s">
        <v>7528</v>
      </c>
      <c r="BL1851" t="s">
        <v>7528</v>
      </c>
      <c r="CA1851" t="s">
        <v>5646</v>
      </c>
      <c r="CB1851" t="s">
        <v>7528</v>
      </c>
      <c r="CL1851" t="s">
        <v>98</v>
      </c>
      <c r="CM1851" t="s">
        <v>98</v>
      </c>
      <c r="CN1851" t="s">
        <v>7528</v>
      </c>
      <c r="CO1851" s="1">
        <v>40585</v>
      </c>
      <c r="CP1851" s="1">
        <v>43633</v>
      </c>
    </row>
    <row r="1852" spans="1:94" x14ac:dyDescent="0.25">
      <c r="A1852" t="s">
        <v>5648</v>
      </c>
      <c r="B1852" t="str">
        <f xml:space="preserve"> "" &amp; 747396051086</f>
        <v>747396051086</v>
      </c>
      <c r="C1852" t="s">
        <v>5649</v>
      </c>
      <c r="D1852" t="s">
        <v>7213</v>
      </c>
      <c r="E1852" t="s">
        <v>7528</v>
      </c>
      <c r="F1852" t="s">
        <v>627</v>
      </c>
      <c r="G1852">
        <v>1</v>
      </c>
      <c r="H1852">
        <v>1</v>
      </c>
      <c r="I1852" t="s">
        <v>97</v>
      </c>
      <c r="J1852" s="10">
        <v>4.5</v>
      </c>
      <c r="K1852" s="10">
        <v>13.5</v>
      </c>
      <c r="L1852" s="10">
        <v>0</v>
      </c>
      <c r="N1852" s="10">
        <v>0</v>
      </c>
      <c r="T1852">
        <v>7.38</v>
      </c>
      <c r="U1852">
        <v>3.13</v>
      </c>
      <c r="W1852">
        <v>0.24</v>
      </c>
      <c r="X1852">
        <v>1</v>
      </c>
      <c r="Y1852">
        <v>7.5</v>
      </c>
      <c r="Z1852">
        <v>10</v>
      </c>
      <c r="AA1852">
        <v>9.25</v>
      </c>
      <c r="AB1852">
        <v>0.40100000000000002</v>
      </c>
      <c r="AC1852">
        <v>0.31</v>
      </c>
      <c r="AF1852" t="s">
        <v>7528</v>
      </c>
      <c r="AK1852" t="s">
        <v>98</v>
      </c>
      <c r="AM1852" t="s">
        <v>98</v>
      </c>
      <c r="AN1852" t="s">
        <v>98</v>
      </c>
      <c r="AO1852" t="s">
        <v>98</v>
      </c>
      <c r="AP1852" t="s">
        <v>100</v>
      </c>
      <c r="AQ1852" t="s">
        <v>101</v>
      </c>
      <c r="AV1852" t="s">
        <v>98</v>
      </c>
      <c r="AX1852" t="s">
        <v>7528</v>
      </c>
      <c r="AZ1852" t="s">
        <v>7528</v>
      </c>
      <c r="BB1852" t="s">
        <v>7528</v>
      </c>
      <c r="BC1852" t="s">
        <v>7528</v>
      </c>
      <c r="BD1852" t="s">
        <v>7528</v>
      </c>
      <c r="BF1852" t="s">
        <v>5650</v>
      </c>
      <c r="BG1852" t="s">
        <v>98</v>
      </c>
      <c r="BH1852" t="s">
        <v>98</v>
      </c>
      <c r="BI1852" t="s">
        <v>98</v>
      </c>
      <c r="BK1852" t="s">
        <v>7528</v>
      </c>
      <c r="BL1852" t="s">
        <v>7528</v>
      </c>
      <c r="CA1852" t="s">
        <v>5648</v>
      </c>
      <c r="CB1852" t="s">
        <v>7528</v>
      </c>
      <c r="CL1852" t="s">
        <v>98</v>
      </c>
      <c r="CM1852" t="s">
        <v>98</v>
      </c>
      <c r="CN1852" t="s">
        <v>7528</v>
      </c>
      <c r="CO1852" s="1">
        <v>40585</v>
      </c>
      <c r="CP1852" s="1">
        <v>43633</v>
      </c>
    </row>
    <row r="1853" spans="1:94" x14ac:dyDescent="0.25">
      <c r="A1853" t="s">
        <v>5651</v>
      </c>
      <c r="B1853" t="str">
        <f xml:space="preserve"> "" &amp; 747396051116</f>
        <v>747396051116</v>
      </c>
      <c r="C1853" t="s">
        <v>5649</v>
      </c>
      <c r="D1853" t="s">
        <v>7214</v>
      </c>
      <c r="E1853" t="s">
        <v>7528</v>
      </c>
      <c r="F1853" t="s">
        <v>627</v>
      </c>
      <c r="G1853">
        <v>1</v>
      </c>
      <c r="H1853">
        <v>1</v>
      </c>
      <c r="I1853" t="s">
        <v>97</v>
      </c>
      <c r="J1853" s="10">
        <v>10.5</v>
      </c>
      <c r="K1853" s="10">
        <v>31.5</v>
      </c>
      <c r="L1853" s="10">
        <v>0</v>
      </c>
      <c r="N1853" s="10">
        <v>0</v>
      </c>
      <c r="S1853">
        <v>0.13</v>
      </c>
      <c r="T1853">
        <v>6.75</v>
      </c>
      <c r="U1853">
        <v>15.19</v>
      </c>
      <c r="W1853">
        <v>0.79</v>
      </c>
      <c r="X1853">
        <v>1</v>
      </c>
      <c r="Y1853">
        <v>3.5</v>
      </c>
      <c r="Z1853">
        <v>17.75</v>
      </c>
      <c r="AA1853">
        <v>9.25</v>
      </c>
      <c r="AB1853">
        <v>0.33300000000000002</v>
      </c>
      <c r="AC1853">
        <v>1.52</v>
      </c>
      <c r="AF1853" t="s">
        <v>7528</v>
      </c>
      <c r="AK1853" t="s">
        <v>98</v>
      </c>
      <c r="AM1853" t="s">
        <v>98</v>
      </c>
      <c r="AN1853" t="s">
        <v>98</v>
      </c>
      <c r="AO1853" t="s">
        <v>98</v>
      </c>
      <c r="AP1853" t="s">
        <v>100</v>
      </c>
      <c r="AQ1853" t="s">
        <v>101</v>
      </c>
      <c r="AV1853" t="s">
        <v>98</v>
      </c>
      <c r="AX1853" t="s">
        <v>7528</v>
      </c>
      <c r="AZ1853" t="s">
        <v>7528</v>
      </c>
      <c r="BB1853" t="s">
        <v>7528</v>
      </c>
      <c r="BC1853" t="s">
        <v>7528</v>
      </c>
      <c r="BD1853" t="s">
        <v>7528</v>
      </c>
      <c r="BF1853" t="s">
        <v>5652</v>
      </c>
      <c r="BG1853" t="s">
        <v>98</v>
      </c>
      <c r="BH1853" t="s">
        <v>98</v>
      </c>
      <c r="BI1853" t="s">
        <v>98</v>
      </c>
      <c r="BK1853" t="s">
        <v>7528</v>
      </c>
      <c r="BL1853" t="s">
        <v>7528</v>
      </c>
      <c r="CA1853" t="s">
        <v>5651</v>
      </c>
      <c r="CB1853" t="s">
        <v>7528</v>
      </c>
      <c r="CL1853" t="s">
        <v>98</v>
      </c>
      <c r="CM1853" t="s">
        <v>98</v>
      </c>
      <c r="CN1853" t="s">
        <v>7528</v>
      </c>
      <c r="CO1853" s="1">
        <v>40585</v>
      </c>
      <c r="CP1853" s="1">
        <v>43633</v>
      </c>
    </row>
    <row r="1854" spans="1:94" x14ac:dyDescent="0.25">
      <c r="A1854" t="s">
        <v>5653</v>
      </c>
      <c r="B1854" t="str">
        <f xml:space="preserve"> "" &amp; 747396051130</f>
        <v>747396051130</v>
      </c>
      <c r="C1854" t="s">
        <v>235</v>
      </c>
      <c r="D1854" t="s">
        <v>7215</v>
      </c>
      <c r="E1854" t="s">
        <v>7528</v>
      </c>
      <c r="F1854" t="s">
        <v>627</v>
      </c>
      <c r="G1854">
        <v>1</v>
      </c>
      <c r="H1854">
        <v>1</v>
      </c>
      <c r="I1854" t="s">
        <v>97</v>
      </c>
      <c r="J1854" s="10">
        <v>7.5</v>
      </c>
      <c r="K1854" s="10">
        <v>22.5</v>
      </c>
      <c r="L1854" s="10">
        <v>0</v>
      </c>
      <c r="N1854" s="10">
        <v>0</v>
      </c>
      <c r="T1854">
        <v>7.75</v>
      </c>
      <c r="U1854">
        <v>8.5</v>
      </c>
      <c r="W1854">
        <v>0.55000000000000004</v>
      </c>
      <c r="X1854">
        <v>1</v>
      </c>
      <c r="Y1854">
        <v>10.25</v>
      </c>
      <c r="Z1854">
        <v>12</v>
      </c>
      <c r="AA1854">
        <v>11</v>
      </c>
      <c r="AB1854">
        <v>0.78300000000000003</v>
      </c>
      <c r="AC1854">
        <v>0.59</v>
      </c>
      <c r="AF1854" t="s">
        <v>7528</v>
      </c>
      <c r="AK1854" t="s">
        <v>98</v>
      </c>
      <c r="AM1854" t="s">
        <v>98</v>
      </c>
      <c r="AN1854" t="s">
        <v>98</v>
      </c>
      <c r="AO1854" t="s">
        <v>98</v>
      </c>
      <c r="AP1854" t="s">
        <v>100</v>
      </c>
      <c r="AQ1854" t="s">
        <v>101</v>
      </c>
      <c r="AV1854" t="s">
        <v>98</v>
      </c>
      <c r="AX1854" t="s">
        <v>7528</v>
      </c>
      <c r="AZ1854" t="s">
        <v>7528</v>
      </c>
      <c r="BB1854" t="s">
        <v>7528</v>
      </c>
      <c r="BC1854" t="s">
        <v>7528</v>
      </c>
      <c r="BD1854" t="s">
        <v>7528</v>
      </c>
      <c r="BF1854" t="s">
        <v>5654</v>
      </c>
      <c r="BG1854" t="s">
        <v>98</v>
      </c>
      <c r="BH1854" t="s">
        <v>98</v>
      </c>
      <c r="BI1854" t="s">
        <v>98</v>
      </c>
      <c r="BK1854" t="s">
        <v>7528</v>
      </c>
      <c r="BL1854" t="s">
        <v>7528</v>
      </c>
      <c r="CA1854" t="s">
        <v>5653</v>
      </c>
      <c r="CB1854" t="s">
        <v>7528</v>
      </c>
      <c r="CL1854" t="s">
        <v>98</v>
      </c>
      <c r="CM1854" t="s">
        <v>98</v>
      </c>
      <c r="CN1854" t="s">
        <v>7528</v>
      </c>
      <c r="CO1854" s="1">
        <v>40585</v>
      </c>
      <c r="CP1854" s="1">
        <v>43633</v>
      </c>
    </row>
    <row r="1855" spans="1:94" x14ac:dyDescent="0.25">
      <c r="A1855" t="s">
        <v>5655</v>
      </c>
      <c r="B1855" t="str">
        <f xml:space="preserve"> "" &amp; 747396051147</f>
        <v>747396051147</v>
      </c>
      <c r="C1855" t="s">
        <v>235</v>
      </c>
      <c r="D1855" t="s">
        <v>7216</v>
      </c>
      <c r="E1855" t="s">
        <v>7528</v>
      </c>
      <c r="F1855" t="s">
        <v>627</v>
      </c>
      <c r="G1855">
        <v>1</v>
      </c>
      <c r="H1855">
        <v>1</v>
      </c>
      <c r="I1855" t="s">
        <v>97</v>
      </c>
      <c r="J1855" s="10">
        <v>4.75</v>
      </c>
      <c r="K1855" s="10">
        <v>14.25</v>
      </c>
      <c r="L1855" s="10">
        <v>0</v>
      </c>
      <c r="N1855" s="10">
        <v>0</v>
      </c>
      <c r="T1855">
        <v>7.38</v>
      </c>
      <c r="U1855">
        <v>8.5</v>
      </c>
      <c r="W1855">
        <v>0.04</v>
      </c>
      <c r="X1855">
        <v>1</v>
      </c>
      <c r="Y1855">
        <v>11.25</v>
      </c>
      <c r="Z1855">
        <v>12.25</v>
      </c>
      <c r="AA1855">
        <v>9.5</v>
      </c>
      <c r="AB1855">
        <v>0.75800000000000001</v>
      </c>
      <c r="AC1855">
        <v>7.0000000000000007E-2</v>
      </c>
      <c r="AF1855" t="s">
        <v>7528</v>
      </c>
      <c r="AK1855" t="s">
        <v>98</v>
      </c>
      <c r="AM1855" t="s">
        <v>98</v>
      </c>
      <c r="AN1855" t="s">
        <v>98</v>
      </c>
      <c r="AO1855" t="s">
        <v>98</v>
      </c>
      <c r="AP1855" t="s">
        <v>100</v>
      </c>
      <c r="AQ1855" t="s">
        <v>101</v>
      </c>
      <c r="AV1855" t="s">
        <v>98</v>
      </c>
      <c r="AX1855" t="s">
        <v>7528</v>
      </c>
      <c r="AZ1855" t="s">
        <v>7528</v>
      </c>
      <c r="BB1855" t="s">
        <v>7528</v>
      </c>
      <c r="BC1855" t="s">
        <v>7528</v>
      </c>
      <c r="BD1855" t="s">
        <v>7528</v>
      </c>
      <c r="BF1855" t="s">
        <v>5656</v>
      </c>
      <c r="BG1855" t="s">
        <v>98</v>
      </c>
      <c r="BH1855" t="s">
        <v>98</v>
      </c>
      <c r="BI1855" t="s">
        <v>98</v>
      </c>
      <c r="BK1855" t="s">
        <v>7528</v>
      </c>
      <c r="BL1855" t="s">
        <v>7528</v>
      </c>
      <c r="CA1855" t="s">
        <v>5655</v>
      </c>
      <c r="CB1855" t="s">
        <v>7528</v>
      </c>
      <c r="CL1855" t="s">
        <v>98</v>
      </c>
      <c r="CM1855" t="s">
        <v>98</v>
      </c>
      <c r="CN1855" t="s">
        <v>7528</v>
      </c>
      <c r="CO1855" s="1">
        <v>40585</v>
      </c>
      <c r="CP1855" s="1">
        <v>43633</v>
      </c>
    </row>
    <row r="1856" spans="1:94" x14ac:dyDescent="0.25">
      <c r="A1856" t="s">
        <v>5657</v>
      </c>
      <c r="B1856" t="str">
        <f xml:space="preserve"> "" &amp; 747396051154</f>
        <v>747396051154</v>
      </c>
      <c r="C1856" t="s">
        <v>5658</v>
      </c>
      <c r="D1856" t="s">
        <v>7217</v>
      </c>
      <c r="E1856" t="s">
        <v>7528</v>
      </c>
      <c r="F1856" t="s">
        <v>627</v>
      </c>
      <c r="G1856">
        <v>1</v>
      </c>
      <c r="H1856">
        <v>1</v>
      </c>
      <c r="I1856" t="s">
        <v>97</v>
      </c>
      <c r="J1856" s="10">
        <v>4.5</v>
      </c>
      <c r="K1856" s="10">
        <v>13.5</v>
      </c>
      <c r="L1856" s="10">
        <v>0</v>
      </c>
      <c r="N1856" s="10">
        <v>0</v>
      </c>
      <c r="S1856">
        <v>0.13</v>
      </c>
      <c r="T1856">
        <v>6.25</v>
      </c>
      <c r="U1856">
        <v>3.88</v>
      </c>
      <c r="W1856">
        <v>0.23</v>
      </c>
      <c r="X1856">
        <v>1</v>
      </c>
      <c r="Y1856">
        <v>9</v>
      </c>
      <c r="Z1856">
        <v>12</v>
      </c>
      <c r="AA1856">
        <v>6.5</v>
      </c>
      <c r="AB1856">
        <v>0.40600000000000003</v>
      </c>
      <c r="AC1856">
        <v>0.25</v>
      </c>
      <c r="AF1856" t="s">
        <v>7528</v>
      </c>
      <c r="AK1856" t="s">
        <v>98</v>
      </c>
      <c r="AM1856" t="s">
        <v>98</v>
      </c>
      <c r="AN1856" t="s">
        <v>98</v>
      </c>
      <c r="AO1856" t="s">
        <v>98</v>
      </c>
      <c r="AP1856" t="s">
        <v>100</v>
      </c>
      <c r="AQ1856" t="s">
        <v>101</v>
      </c>
      <c r="AV1856" t="s">
        <v>98</v>
      </c>
      <c r="AX1856" t="s">
        <v>7528</v>
      </c>
      <c r="AZ1856" t="s">
        <v>7528</v>
      </c>
      <c r="BB1856" t="s">
        <v>7528</v>
      </c>
      <c r="BC1856" t="s">
        <v>7528</v>
      </c>
      <c r="BD1856" t="s">
        <v>7528</v>
      </c>
      <c r="BF1856" t="s">
        <v>5659</v>
      </c>
      <c r="BG1856" t="s">
        <v>98</v>
      </c>
      <c r="BH1856" t="s">
        <v>98</v>
      </c>
      <c r="BI1856" t="s">
        <v>98</v>
      </c>
      <c r="BK1856" t="s">
        <v>7528</v>
      </c>
      <c r="BL1856" t="s">
        <v>7528</v>
      </c>
      <c r="CA1856" t="s">
        <v>5657</v>
      </c>
      <c r="CB1856" t="s">
        <v>7528</v>
      </c>
      <c r="CL1856" t="s">
        <v>98</v>
      </c>
      <c r="CM1856" t="s">
        <v>98</v>
      </c>
      <c r="CN1856" t="s">
        <v>7528</v>
      </c>
      <c r="CO1856" s="1">
        <v>40585</v>
      </c>
      <c r="CP1856" s="1">
        <v>43633</v>
      </c>
    </row>
    <row r="1857" spans="1:94" x14ac:dyDescent="0.25">
      <c r="A1857" t="s">
        <v>5660</v>
      </c>
      <c r="B1857" t="str">
        <f xml:space="preserve"> "" &amp; 747396051178</f>
        <v>747396051178</v>
      </c>
      <c r="C1857" t="s">
        <v>5649</v>
      </c>
      <c r="D1857" t="s">
        <v>7218</v>
      </c>
      <c r="E1857" t="s">
        <v>7528</v>
      </c>
      <c r="F1857" t="s">
        <v>627</v>
      </c>
      <c r="G1857">
        <v>1</v>
      </c>
      <c r="H1857">
        <v>1</v>
      </c>
      <c r="I1857" t="s">
        <v>97</v>
      </c>
      <c r="J1857" s="10">
        <v>7.5</v>
      </c>
      <c r="K1857" s="10">
        <v>22.5</v>
      </c>
      <c r="L1857" s="10">
        <v>0</v>
      </c>
      <c r="N1857" s="10">
        <v>0</v>
      </c>
      <c r="S1857">
        <v>0.13</v>
      </c>
      <c r="T1857">
        <v>10.88</v>
      </c>
      <c r="U1857">
        <v>4.13</v>
      </c>
      <c r="W1857">
        <v>0.4</v>
      </c>
      <c r="X1857">
        <v>1</v>
      </c>
      <c r="Y1857">
        <v>19</v>
      </c>
      <c r="Z1857">
        <v>13</v>
      </c>
      <c r="AA1857">
        <v>6.5</v>
      </c>
      <c r="AB1857">
        <v>0.92900000000000005</v>
      </c>
      <c r="AC1857">
        <v>0.45</v>
      </c>
      <c r="AF1857" t="s">
        <v>7528</v>
      </c>
      <c r="AK1857" t="s">
        <v>98</v>
      </c>
      <c r="AM1857" t="s">
        <v>98</v>
      </c>
      <c r="AN1857" t="s">
        <v>98</v>
      </c>
      <c r="AO1857" t="s">
        <v>98</v>
      </c>
      <c r="AP1857" t="s">
        <v>100</v>
      </c>
      <c r="AQ1857" t="s">
        <v>101</v>
      </c>
      <c r="AV1857" t="s">
        <v>98</v>
      </c>
      <c r="AX1857" t="s">
        <v>7528</v>
      </c>
      <c r="AZ1857" t="s">
        <v>7528</v>
      </c>
      <c r="BB1857" t="s">
        <v>7528</v>
      </c>
      <c r="BC1857" t="s">
        <v>7528</v>
      </c>
      <c r="BD1857" t="s">
        <v>7528</v>
      </c>
      <c r="BF1857" t="s">
        <v>5661</v>
      </c>
      <c r="BG1857" t="s">
        <v>98</v>
      </c>
      <c r="BH1857" t="s">
        <v>98</v>
      </c>
      <c r="BI1857" t="s">
        <v>98</v>
      </c>
      <c r="BK1857" t="s">
        <v>7528</v>
      </c>
      <c r="BL1857" t="s">
        <v>7528</v>
      </c>
      <c r="CA1857" t="s">
        <v>5660</v>
      </c>
      <c r="CB1857" t="s">
        <v>7528</v>
      </c>
      <c r="CL1857" t="s">
        <v>98</v>
      </c>
      <c r="CM1857" t="s">
        <v>98</v>
      </c>
      <c r="CN1857" t="s">
        <v>7528</v>
      </c>
      <c r="CO1857" s="1">
        <v>40588</v>
      </c>
      <c r="CP1857" s="1">
        <v>43633</v>
      </c>
    </row>
    <row r="1858" spans="1:94" x14ac:dyDescent="0.25">
      <c r="A1858" t="s">
        <v>5662</v>
      </c>
      <c r="B1858" t="str">
        <f xml:space="preserve"> "" &amp; 747396051185</f>
        <v>747396051185</v>
      </c>
      <c r="C1858" t="s">
        <v>5649</v>
      </c>
      <c r="D1858" t="s">
        <v>7219</v>
      </c>
      <c r="E1858" t="s">
        <v>7528</v>
      </c>
      <c r="F1858" t="s">
        <v>627</v>
      </c>
      <c r="G1858">
        <v>1</v>
      </c>
      <c r="H1858">
        <v>1</v>
      </c>
      <c r="I1858" t="s">
        <v>97</v>
      </c>
      <c r="J1858" s="10">
        <v>4.25</v>
      </c>
      <c r="K1858" s="10">
        <v>12.75</v>
      </c>
      <c r="L1858" s="10">
        <v>0</v>
      </c>
      <c r="N1858" s="10">
        <v>0</v>
      </c>
      <c r="S1858">
        <v>0.13</v>
      </c>
      <c r="T1858">
        <v>10.88</v>
      </c>
      <c r="U1858">
        <v>7.38</v>
      </c>
      <c r="W1858">
        <v>0.75</v>
      </c>
      <c r="X1858">
        <v>1</v>
      </c>
      <c r="Y1858">
        <v>19.25</v>
      </c>
      <c r="Z1858">
        <v>13.25</v>
      </c>
      <c r="AA1858">
        <v>9.75</v>
      </c>
      <c r="AB1858">
        <v>1.4390000000000001</v>
      </c>
      <c r="AC1858">
        <v>0.84</v>
      </c>
      <c r="AF1858" t="s">
        <v>7528</v>
      </c>
      <c r="AK1858" t="s">
        <v>98</v>
      </c>
      <c r="AM1858" t="s">
        <v>98</v>
      </c>
      <c r="AN1858" t="s">
        <v>98</v>
      </c>
      <c r="AO1858" t="s">
        <v>98</v>
      </c>
      <c r="AP1858" t="s">
        <v>100</v>
      </c>
      <c r="AQ1858" t="s">
        <v>101</v>
      </c>
      <c r="AV1858" t="s">
        <v>98</v>
      </c>
      <c r="AX1858" t="s">
        <v>7528</v>
      </c>
      <c r="AZ1858" t="s">
        <v>7528</v>
      </c>
      <c r="BB1858" t="s">
        <v>7528</v>
      </c>
      <c r="BC1858" t="s">
        <v>7528</v>
      </c>
      <c r="BD1858" t="s">
        <v>7528</v>
      </c>
      <c r="BF1858" t="s">
        <v>5663</v>
      </c>
      <c r="BG1858" t="s">
        <v>98</v>
      </c>
      <c r="BH1858" t="s">
        <v>98</v>
      </c>
      <c r="BI1858" t="s">
        <v>98</v>
      </c>
      <c r="BK1858" t="s">
        <v>7528</v>
      </c>
      <c r="BL1858" t="s">
        <v>7528</v>
      </c>
      <c r="CA1858" t="s">
        <v>5662</v>
      </c>
      <c r="CB1858" t="s">
        <v>7528</v>
      </c>
      <c r="CL1858" t="s">
        <v>98</v>
      </c>
      <c r="CM1858" t="s">
        <v>98</v>
      </c>
      <c r="CN1858" t="s">
        <v>7528</v>
      </c>
      <c r="CO1858" s="1">
        <v>40588</v>
      </c>
      <c r="CP1858" s="1">
        <v>43633</v>
      </c>
    </row>
    <row r="1859" spans="1:94" x14ac:dyDescent="0.25">
      <c r="A1859" t="s">
        <v>5664</v>
      </c>
      <c r="B1859" t="str">
        <f xml:space="preserve"> "" &amp; 747396051192</f>
        <v>747396051192</v>
      </c>
      <c r="C1859" t="s">
        <v>5649</v>
      </c>
      <c r="D1859" t="s">
        <v>7220</v>
      </c>
      <c r="E1859" t="s">
        <v>7528</v>
      </c>
      <c r="F1859" t="s">
        <v>627</v>
      </c>
      <c r="G1859">
        <v>1</v>
      </c>
      <c r="H1859">
        <v>1</v>
      </c>
      <c r="I1859" t="s">
        <v>97</v>
      </c>
      <c r="J1859" s="10">
        <v>8.25</v>
      </c>
      <c r="K1859" s="10">
        <v>24.75</v>
      </c>
      <c r="L1859" s="10">
        <v>0</v>
      </c>
      <c r="N1859" s="10">
        <v>0</v>
      </c>
      <c r="W1859">
        <v>0.4</v>
      </c>
      <c r="X1859">
        <v>1</v>
      </c>
      <c r="Y1859">
        <v>9.75</v>
      </c>
      <c r="Z1859">
        <v>9.75</v>
      </c>
      <c r="AA1859">
        <v>3.5</v>
      </c>
      <c r="AB1859">
        <v>0.193</v>
      </c>
      <c r="AC1859">
        <v>0.9</v>
      </c>
      <c r="AF1859" t="s">
        <v>7528</v>
      </c>
      <c r="AK1859" t="s">
        <v>98</v>
      </c>
      <c r="AM1859" t="s">
        <v>98</v>
      </c>
      <c r="AN1859" t="s">
        <v>98</v>
      </c>
      <c r="AO1859" t="s">
        <v>98</v>
      </c>
      <c r="AP1859" t="s">
        <v>100</v>
      </c>
      <c r="AQ1859" t="s">
        <v>101</v>
      </c>
      <c r="AV1859" t="s">
        <v>98</v>
      </c>
      <c r="AX1859" t="s">
        <v>7528</v>
      </c>
      <c r="AZ1859" t="s">
        <v>7528</v>
      </c>
      <c r="BB1859" t="s">
        <v>7528</v>
      </c>
      <c r="BC1859" t="s">
        <v>7528</v>
      </c>
      <c r="BD1859" t="s">
        <v>7528</v>
      </c>
      <c r="BF1859" t="s">
        <v>5665</v>
      </c>
      <c r="BG1859" t="s">
        <v>98</v>
      </c>
      <c r="BH1859" t="s">
        <v>98</v>
      </c>
      <c r="BI1859" t="s">
        <v>98</v>
      </c>
      <c r="BK1859" t="s">
        <v>7528</v>
      </c>
      <c r="BL1859" t="s">
        <v>7528</v>
      </c>
      <c r="CA1859" t="s">
        <v>5664</v>
      </c>
      <c r="CB1859" t="s">
        <v>7528</v>
      </c>
      <c r="CL1859" t="s">
        <v>98</v>
      </c>
      <c r="CM1859" t="s">
        <v>98</v>
      </c>
      <c r="CN1859" t="s">
        <v>7528</v>
      </c>
      <c r="CO1859" s="1">
        <v>40318</v>
      </c>
      <c r="CP1859" s="1">
        <v>43633</v>
      </c>
    </row>
    <row r="1860" spans="1:94" x14ac:dyDescent="0.25">
      <c r="A1860" t="s">
        <v>5666</v>
      </c>
      <c r="B1860" t="str">
        <f xml:space="preserve"> "" &amp; 747396051208</f>
        <v>747396051208</v>
      </c>
      <c r="C1860" t="s">
        <v>5649</v>
      </c>
      <c r="D1860" t="s">
        <v>7221</v>
      </c>
      <c r="E1860" t="s">
        <v>7528</v>
      </c>
      <c r="F1860" t="s">
        <v>627</v>
      </c>
      <c r="G1860">
        <v>1</v>
      </c>
      <c r="H1860">
        <v>1</v>
      </c>
      <c r="I1860" t="s">
        <v>97</v>
      </c>
      <c r="J1860" s="10">
        <v>7</v>
      </c>
      <c r="K1860" s="10">
        <v>21</v>
      </c>
      <c r="L1860" s="10">
        <v>0</v>
      </c>
      <c r="N1860" s="10">
        <v>0</v>
      </c>
      <c r="W1860">
        <v>0.35</v>
      </c>
      <c r="X1860">
        <v>1</v>
      </c>
      <c r="Y1860">
        <v>8.25</v>
      </c>
      <c r="Z1860">
        <v>9.75</v>
      </c>
      <c r="AA1860">
        <v>3.5</v>
      </c>
      <c r="AB1860">
        <v>0.16300000000000001</v>
      </c>
      <c r="AC1860">
        <v>0.84</v>
      </c>
      <c r="AF1860" t="s">
        <v>7528</v>
      </c>
      <c r="AK1860" t="s">
        <v>98</v>
      </c>
      <c r="AM1860" t="s">
        <v>98</v>
      </c>
      <c r="AN1860" t="s">
        <v>98</v>
      </c>
      <c r="AO1860" t="s">
        <v>98</v>
      </c>
      <c r="AP1860" t="s">
        <v>100</v>
      </c>
      <c r="AQ1860" t="s">
        <v>101</v>
      </c>
      <c r="AV1860" t="s">
        <v>98</v>
      </c>
      <c r="AX1860" t="s">
        <v>7528</v>
      </c>
      <c r="AZ1860" t="s">
        <v>7528</v>
      </c>
      <c r="BB1860" t="s">
        <v>7528</v>
      </c>
      <c r="BC1860" t="s">
        <v>7528</v>
      </c>
      <c r="BD1860" t="s">
        <v>7528</v>
      </c>
      <c r="BF1860" t="s">
        <v>5667</v>
      </c>
      <c r="BG1860" t="s">
        <v>98</v>
      </c>
      <c r="BH1860" t="s">
        <v>98</v>
      </c>
      <c r="BI1860" t="s">
        <v>98</v>
      </c>
      <c r="BK1860" t="s">
        <v>7528</v>
      </c>
      <c r="BL1860" t="s">
        <v>7528</v>
      </c>
      <c r="CA1860" t="s">
        <v>5666</v>
      </c>
      <c r="CB1860" t="s">
        <v>7528</v>
      </c>
      <c r="CL1860" t="s">
        <v>98</v>
      </c>
      <c r="CM1860" t="s">
        <v>98</v>
      </c>
      <c r="CN1860" t="s">
        <v>7528</v>
      </c>
      <c r="CO1860" s="1">
        <v>40318</v>
      </c>
      <c r="CP1860" s="1">
        <v>43633</v>
      </c>
    </row>
    <row r="1861" spans="1:94" x14ac:dyDescent="0.25">
      <c r="A1861" t="s">
        <v>5668</v>
      </c>
      <c r="B1861" t="str">
        <f xml:space="preserve"> "" &amp; 747396051215</f>
        <v>747396051215</v>
      </c>
      <c r="C1861" t="s">
        <v>5649</v>
      </c>
      <c r="D1861" t="s">
        <v>5669</v>
      </c>
      <c r="E1861" t="s">
        <v>7528</v>
      </c>
      <c r="F1861" t="s">
        <v>627</v>
      </c>
      <c r="G1861">
        <v>1</v>
      </c>
      <c r="H1861">
        <v>1</v>
      </c>
      <c r="I1861" t="s">
        <v>97</v>
      </c>
      <c r="J1861" s="10">
        <v>3.5</v>
      </c>
      <c r="K1861" s="10">
        <v>10.5</v>
      </c>
      <c r="L1861" s="10">
        <v>0</v>
      </c>
      <c r="N1861" s="10">
        <v>0</v>
      </c>
      <c r="W1861">
        <v>0.43</v>
      </c>
      <c r="X1861">
        <v>1</v>
      </c>
      <c r="Y1861">
        <v>9.6300000000000008</v>
      </c>
      <c r="Z1861">
        <v>11</v>
      </c>
      <c r="AA1861">
        <v>9.5</v>
      </c>
      <c r="AB1861">
        <v>0.58199999999999996</v>
      </c>
      <c r="AC1861">
        <v>0.47</v>
      </c>
      <c r="AF1861" t="s">
        <v>7528</v>
      </c>
      <c r="AK1861" t="s">
        <v>98</v>
      </c>
      <c r="AM1861" t="s">
        <v>98</v>
      </c>
      <c r="AN1861" t="s">
        <v>98</v>
      </c>
      <c r="AO1861" t="s">
        <v>98</v>
      </c>
      <c r="AP1861" t="s">
        <v>100</v>
      </c>
      <c r="AQ1861" t="s">
        <v>101</v>
      </c>
      <c r="AV1861" t="s">
        <v>98</v>
      </c>
      <c r="AX1861" t="s">
        <v>7528</v>
      </c>
      <c r="AZ1861" t="s">
        <v>7528</v>
      </c>
      <c r="BB1861" t="s">
        <v>7528</v>
      </c>
      <c r="BC1861" t="s">
        <v>7528</v>
      </c>
      <c r="BD1861" t="s">
        <v>7528</v>
      </c>
      <c r="BF1861" t="s">
        <v>5670</v>
      </c>
      <c r="BG1861" t="s">
        <v>98</v>
      </c>
      <c r="BH1861" t="s">
        <v>98</v>
      </c>
      <c r="BI1861" t="s">
        <v>98</v>
      </c>
      <c r="BK1861" t="s">
        <v>7528</v>
      </c>
      <c r="BL1861" t="s">
        <v>7528</v>
      </c>
      <c r="CA1861" t="s">
        <v>5668</v>
      </c>
      <c r="CB1861" t="s">
        <v>7528</v>
      </c>
      <c r="CL1861" t="s">
        <v>98</v>
      </c>
      <c r="CM1861" t="s">
        <v>98</v>
      </c>
      <c r="CN1861" t="s">
        <v>7528</v>
      </c>
      <c r="CO1861" s="1">
        <v>40318</v>
      </c>
      <c r="CP1861" s="1">
        <v>43633</v>
      </c>
    </row>
    <row r="1862" spans="1:94" x14ac:dyDescent="0.25">
      <c r="A1862" t="s">
        <v>5671</v>
      </c>
      <c r="B1862" t="str">
        <f xml:space="preserve"> "" &amp; 747396064192</f>
        <v>747396064192</v>
      </c>
      <c r="C1862" t="s">
        <v>641</v>
      </c>
      <c r="D1862" t="s">
        <v>7222</v>
      </c>
      <c r="E1862" t="s">
        <v>7528</v>
      </c>
      <c r="F1862" t="s">
        <v>627</v>
      </c>
      <c r="G1862">
        <v>1</v>
      </c>
      <c r="H1862">
        <v>1</v>
      </c>
      <c r="I1862" t="s">
        <v>97</v>
      </c>
      <c r="J1862" s="10">
        <v>35</v>
      </c>
      <c r="K1862" s="10">
        <v>105</v>
      </c>
      <c r="L1862" s="10">
        <v>0</v>
      </c>
      <c r="N1862" s="10">
        <v>0</v>
      </c>
      <c r="T1862">
        <v>10.75</v>
      </c>
      <c r="U1862">
        <v>7.25</v>
      </c>
      <c r="W1862">
        <v>1.68</v>
      </c>
      <c r="Y1862">
        <v>6.38</v>
      </c>
      <c r="Z1862">
        <v>18</v>
      </c>
      <c r="AA1862">
        <v>13.63</v>
      </c>
      <c r="AB1862">
        <v>0.90600000000000003</v>
      </c>
      <c r="AC1862">
        <v>2.31</v>
      </c>
      <c r="AF1862" t="s">
        <v>7528</v>
      </c>
      <c r="AK1862" t="s">
        <v>98</v>
      </c>
      <c r="AM1862" t="s">
        <v>98</v>
      </c>
      <c r="AN1862" t="s">
        <v>98</v>
      </c>
      <c r="AO1862" t="s">
        <v>98</v>
      </c>
      <c r="AP1862" t="s">
        <v>100</v>
      </c>
      <c r="AQ1862" t="s">
        <v>101</v>
      </c>
      <c r="AV1862" t="s">
        <v>98</v>
      </c>
      <c r="AX1862" t="s">
        <v>7528</v>
      </c>
      <c r="AZ1862" t="s">
        <v>7528</v>
      </c>
      <c r="BB1862" t="s">
        <v>7528</v>
      </c>
      <c r="BC1862" t="s">
        <v>7528</v>
      </c>
      <c r="BD1862" t="s">
        <v>7528</v>
      </c>
      <c r="BF1862" t="s">
        <v>5672</v>
      </c>
      <c r="BG1862" t="s">
        <v>98</v>
      </c>
      <c r="BH1862" t="s">
        <v>98</v>
      </c>
      <c r="BI1862" t="s">
        <v>98</v>
      </c>
      <c r="BK1862" t="s">
        <v>7528</v>
      </c>
      <c r="BL1862" t="s">
        <v>7528</v>
      </c>
      <c r="CA1862" t="s">
        <v>5671</v>
      </c>
      <c r="CB1862" t="s">
        <v>7528</v>
      </c>
      <c r="CL1862" t="s">
        <v>98</v>
      </c>
      <c r="CM1862" t="s">
        <v>98</v>
      </c>
      <c r="CN1862" t="s">
        <v>7528</v>
      </c>
      <c r="CO1862" s="1">
        <v>40588</v>
      </c>
      <c r="CP1862" s="1">
        <v>43633</v>
      </c>
    </row>
    <row r="1863" spans="1:94" x14ac:dyDescent="0.25">
      <c r="A1863" t="s">
        <v>5673</v>
      </c>
      <c r="B1863" t="str">
        <f xml:space="preserve"> "" &amp; 747396064208</f>
        <v>747396064208</v>
      </c>
      <c r="C1863" t="s">
        <v>641</v>
      </c>
      <c r="D1863" t="s">
        <v>7223</v>
      </c>
      <c r="E1863" t="s">
        <v>7528</v>
      </c>
      <c r="F1863" t="s">
        <v>627</v>
      </c>
      <c r="G1863">
        <v>1</v>
      </c>
      <c r="H1863">
        <v>1</v>
      </c>
      <c r="I1863" t="s">
        <v>97</v>
      </c>
      <c r="J1863" s="10">
        <v>60</v>
      </c>
      <c r="K1863" s="10">
        <v>180</v>
      </c>
      <c r="L1863" s="10">
        <v>0</v>
      </c>
      <c r="N1863" s="10">
        <v>0</v>
      </c>
      <c r="T1863">
        <v>16.75</v>
      </c>
      <c r="U1863">
        <v>7.75</v>
      </c>
      <c r="W1863">
        <v>2.52</v>
      </c>
      <c r="Y1863">
        <v>7.25</v>
      </c>
      <c r="Z1863">
        <v>19.75</v>
      </c>
      <c r="AA1863">
        <v>19.25</v>
      </c>
      <c r="AB1863">
        <v>1.595</v>
      </c>
      <c r="AC1863">
        <v>3.44</v>
      </c>
      <c r="AF1863" t="s">
        <v>7528</v>
      </c>
      <c r="AK1863" t="s">
        <v>98</v>
      </c>
      <c r="AM1863" t="s">
        <v>98</v>
      </c>
      <c r="AN1863" t="s">
        <v>98</v>
      </c>
      <c r="AO1863" t="s">
        <v>98</v>
      </c>
      <c r="AP1863" t="s">
        <v>100</v>
      </c>
      <c r="AQ1863" t="s">
        <v>101</v>
      </c>
      <c r="AV1863" t="s">
        <v>98</v>
      </c>
      <c r="AX1863" t="s">
        <v>7528</v>
      </c>
      <c r="AZ1863" t="s">
        <v>7528</v>
      </c>
      <c r="BB1863" t="s">
        <v>7528</v>
      </c>
      <c r="BC1863" t="s">
        <v>7528</v>
      </c>
      <c r="BD1863" t="s">
        <v>7528</v>
      </c>
      <c r="BF1863" t="s">
        <v>5674</v>
      </c>
      <c r="BG1863" t="s">
        <v>98</v>
      </c>
      <c r="BH1863" t="s">
        <v>98</v>
      </c>
      <c r="BI1863" t="s">
        <v>98</v>
      </c>
      <c r="BK1863" t="s">
        <v>7528</v>
      </c>
      <c r="BL1863" t="s">
        <v>7528</v>
      </c>
      <c r="CA1863" t="s">
        <v>5673</v>
      </c>
      <c r="CB1863" t="s">
        <v>7528</v>
      </c>
      <c r="CL1863" t="s">
        <v>98</v>
      </c>
      <c r="CM1863" t="s">
        <v>98</v>
      </c>
      <c r="CN1863" t="s">
        <v>7528</v>
      </c>
      <c r="CO1863" s="1">
        <v>40588</v>
      </c>
      <c r="CP1863" s="1">
        <v>43633</v>
      </c>
    </row>
    <row r="1864" spans="1:94" x14ac:dyDescent="0.25">
      <c r="A1864" t="s">
        <v>5675</v>
      </c>
      <c r="B1864" t="str">
        <f xml:space="preserve"> "" &amp; 747396064215</f>
        <v>747396064215</v>
      </c>
      <c r="C1864" t="s">
        <v>808</v>
      </c>
      <c r="D1864" t="s">
        <v>7224</v>
      </c>
      <c r="E1864" t="s">
        <v>7528</v>
      </c>
      <c r="F1864" t="s">
        <v>627</v>
      </c>
      <c r="G1864">
        <v>1</v>
      </c>
      <c r="H1864">
        <v>1</v>
      </c>
      <c r="I1864" t="s">
        <v>97</v>
      </c>
      <c r="J1864" s="10">
        <v>30</v>
      </c>
      <c r="K1864" s="10">
        <v>90</v>
      </c>
      <c r="L1864" s="10">
        <v>0</v>
      </c>
      <c r="N1864" s="10">
        <v>0</v>
      </c>
      <c r="S1864">
        <v>9.8800000000000008</v>
      </c>
      <c r="T1864">
        <v>4.38</v>
      </c>
      <c r="U1864">
        <v>3.88</v>
      </c>
      <c r="W1864">
        <v>0.66</v>
      </c>
      <c r="Y1864">
        <v>14</v>
      </c>
      <c r="Z1864">
        <v>16</v>
      </c>
      <c r="AA1864">
        <v>16</v>
      </c>
      <c r="AB1864">
        <v>2.0739999999999998</v>
      </c>
      <c r="AC1864">
        <v>0.88</v>
      </c>
      <c r="AF1864" t="s">
        <v>7528</v>
      </c>
      <c r="AK1864" t="s">
        <v>98</v>
      </c>
      <c r="AM1864" t="s">
        <v>98</v>
      </c>
      <c r="AN1864" t="s">
        <v>98</v>
      </c>
      <c r="AO1864" t="s">
        <v>98</v>
      </c>
      <c r="AP1864" t="s">
        <v>100</v>
      </c>
      <c r="AQ1864" t="s">
        <v>101</v>
      </c>
      <c r="AV1864" t="s">
        <v>98</v>
      </c>
      <c r="AX1864" t="s">
        <v>7528</v>
      </c>
      <c r="AZ1864" t="s">
        <v>7528</v>
      </c>
      <c r="BB1864" t="s">
        <v>7528</v>
      </c>
      <c r="BC1864" t="s">
        <v>7528</v>
      </c>
      <c r="BD1864" t="s">
        <v>7528</v>
      </c>
      <c r="BF1864" t="s">
        <v>5676</v>
      </c>
      <c r="BG1864" t="s">
        <v>98</v>
      </c>
      <c r="BH1864" t="s">
        <v>98</v>
      </c>
      <c r="BI1864" t="s">
        <v>98</v>
      </c>
      <c r="BK1864" t="s">
        <v>7528</v>
      </c>
      <c r="BL1864" t="s">
        <v>7528</v>
      </c>
      <c r="CA1864" t="s">
        <v>5675</v>
      </c>
      <c r="CB1864" t="s">
        <v>7528</v>
      </c>
      <c r="CL1864" t="s">
        <v>98</v>
      </c>
      <c r="CM1864" t="s">
        <v>98</v>
      </c>
      <c r="CN1864" t="s">
        <v>7528</v>
      </c>
      <c r="CO1864" s="1">
        <v>40588</v>
      </c>
      <c r="CP1864" s="1">
        <v>43633</v>
      </c>
    </row>
    <row r="1865" spans="1:94" x14ac:dyDescent="0.25">
      <c r="A1865" t="s">
        <v>5677</v>
      </c>
      <c r="B1865" t="str">
        <f xml:space="preserve"> "" &amp; 747396064222</f>
        <v>747396064222</v>
      </c>
      <c r="C1865" t="s">
        <v>5678</v>
      </c>
      <c r="D1865" t="s">
        <v>7225</v>
      </c>
      <c r="E1865" t="s">
        <v>7528</v>
      </c>
      <c r="F1865" t="s">
        <v>627</v>
      </c>
      <c r="G1865">
        <v>1</v>
      </c>
      <c r="H1865">
        <v>1</v>
      </c>
      <c r="I1865" t="s">
        <v>97</v>
      </c>
      <c r="J1865" s="10">
        <v>45</v>
      </c>
      <c r="K1865" s="10">
        <v>135</v>
      </c>
      <c r="L1865" s="10">
        <v>0</v>
      </c>
      <c r="N1865" s="10">
        <v>0</v>
      </c>
      <c r="S1865">
        <v>9.8800000000000008</v>
      </c>
      <c r="T1865">
        <v>4.38</v>
      </c>
      <c r="U1865">
        <v>3.88</v>
      </c>
      <c r="W1865">
        <v>1</v>
      </c>
      <c r="AB1865">
        <v>0.218</v>
      </c>
      <c r="AC1865">
        <v>3.17</v>
      </c>
      <c r="AF1865" t="s">
        <v>7528</v>
      </c>
      <c r="AK1865" t="s">
        <v>98</v>
      </c>
      <c r="AM1865" t="s">
        <v>98</v>
      </c>
      <c r="AN1865" t="s">
        <v>98</v>
      </c>
      <c r="AO1865" t="s">
        <v>98</v>
      </c>
      <c r="AP1865" t="s">
        <v>100</v>
      </c>
      <c r="AQ1865" t="s">
        <v>101</v>
      </c>
      <c r="AV1865" t="s">
        <v>98</v>
      </c>
      <c r="AX1865" t="s">
        <v>7528</v>
      </c>
      <c r="AZ1865" t="s">
        <v>7528</v>
      </c>
      <c r="BB1865" t="s">
        <v>7528</v>
      </c>
      <c r="BC1865" t="s">
        <v>7528</v>
      </c>
      <c r="BD1865" t="s">
        <v>7528</v>
      </c>
      <c r="BF1865" t="s">
        <v>5679</v>
      </c>
      <c r="BG1865" t="s">
        <v>98</v>
      </c>
      <c r="BH1865" t="s">
        <v>98</v>
      </c>
      <c r="BI1865" t="s">
        <v>98</v>
      </c>
      <c r="BK1865" t="s">
        <v>7528</v>
      </c>
      <c r="BL1865" t="s">
        <v>7528</v>
      </c>
      <c r="CA1865" t="s">
        <v>5677</v>
      </c>
      <c r="CB1865" t="s">
        <v>7528</v>
      </c>
      <c r="CL1865" t="s">
        <v>98</v>
      </c>
      <c r="CM1865" t="s">
        <v>98</v>
      </c>
      <c r="CN1865" t="s">
        <v>7528</v>
      </c>
      <c r="CO1865" s="1">
        <v>40588</v>
      </c>
      <c r="CP1865" s="1">
        <v>43633</v>
      </c>
    </row>
    <row r="1866" spans="1:94" x14ac:dyDescent="0.25">
      <c r="A1866" t="s">
        <v>5680</v>
      </c>
      <c r="B1866" t="str">
        <f xml:space="preserve"> "" &amp; 747396064239</f>
        <v>747396064239</v>
      </c>
      <c r="C1866" t="s">
        <v>808</v>
      </c>
      <c r="D1866" t="s">
        <v>7226</v>
      </c>
      <c r="E1866" t="s">
        <v>7528</v>
      </c>
      <c r="F1866" t="s">
        <v>627</v>
      </c>
      <c r="G1866">
        <v>1</v>
      </c>
      <c r="H1866">
        <v>1</v>
      </c>
      <c r="I1866" t="s">
        <v>97</v>
      </c>
      <c r="J1866" s="10">
        <v>45</v>
      </c>
      <c r="K1866" s="10">
        <v>135</v>
      </c>
      <c r="L1866" s="10">
        <v>0</v>
      </c>
      <c r="N1866" s="10">
        <v>0</v>
      </c>
      <c r="S1866">
        <v>11.75</v>
      </c>
      <c r="T1866">
        <v>6.13</v>
      </c>
      <c r="U1866">
        <v>4.25</v>
      </c>
      <c r="W1866">
        <v>0.99</v>
      </c>
      <c r="Y1866">
        <v>16.100000000000001</v>
      </c>
      <c r="Z1866">
        <v>10.199999999999999</v>
      </c>
      <c r="AA1866">
        <v>7.5</v>
      </c>
      <c r="AB1866">
        <v>0.71299999999999997</v>
      </c>
      <c r="AC1866">
        <v>1.38</v>
      </c>
      <c r="AF1866" t="s">
        <v>7528</v>
      </c>
      <c r="AK1866" t="s">
        <v>98</v>
      </c>
      <c r="AM1866" t="s">
        <v>98</v>
      </c>
      <c r="AN1866" t="s">
        <v>98</v>
      </c>
      <c r="AO1866" t="s">
        <v>98</v>
      </c>
      <c r="AP1866" t="s">
        <v>100</v>
      </c>
      <c r="AQ1866" t="s">
        <v>101</v>
      </c>
      <c r="AV1866" t="s">
        <v>98</v>
      </c>
      <c r="AX1866" t="s">
        <v>7528</v>
      </c>
      <c r="AZ1866" t="s">
        <v>7528</v>
      </c>
      <c r="BB1866" t="s">
        <v>7528</v>
      </c>
      <c r="BC1866" t="s">
        <v>7528</v>
      </c>
      <c r="BD1866" t="s">
        <v>7528</v>
      </c>
      <c r="BF1866" t="s">
        <v>5681</v>
      </c>
      <c r="BG1866" t="s">
        <v>98</v>
      </c>
      <c r="BH1866" t="s">
        <v>98</v>
      </c>
      <c r="BI1866" t="s">
        <v>98</v>
      </c>
      <c r="BK1866" t="s">
        <v>7528</v>
      </c>
      <c r="BL1866" t="s">
        <v>7528</v>
      </c>
      <c r="CA1866" t="s">
        <v>5680</v>
      </c>
      <c r="CB1866" t="s">
        <v>7528</v>
      </c>
      <c r="CL1866" t="s">
        <v>98</v>
      </c>
      <c r="CM1866" t="s">
        <v>98</v>
      </c>
      <c r="CN1866" t="s">
        <v>7528</v>
      </c>
      <c r="CO1866" s="1">
        <v>40588</v>
      </c>
      <c r="CP1866" s="1">
        <v>43633</v>
      </c>
    </row>
    <row r="1867" spans="1:94" x14ac:dyDescent="0.25">
      <c r="A1867" t="s">
        <v>5682</v>
      </c>
      <c r="B1867" t="str">
        <f xml:space="preserve"> "" &amp; 747396064253</f>
        <v>747396064253</v>
      </c>
      <c r="C1867" t="s">
        <v>3367</v>
      </c>
      <c r="D1867" t="s">
        <v>7227</v>
      </c>
      <c r="E1867" t="s">
        <v>7528</v>
      </c>
      <c r="F1867" t="s">
        <v>627</v>
      </c>
      <c r="G1867">
        <v>1</v>
      </c>
      <c r="H1867">
        <v>1</v>
      </c>
      <c r="I1867" t="s">
        <v>97</v>
      </c>
      <c r="J1867" s="10">
        <v>30</v>
      </c>
      <c r="K1867" s="10">
        <v>90</v>
      </c>
      <c r="L1867" s="10">
        <v>0</v>
      </c>
      <c r="N1867" s="10">
        <v>0</v>
      </c>
      <c r="S1867">
        <v>13.25</v>
      </c>
      <c r="U1867">
        <v>5.75</v>
      </c>
      <c r="V1867">
        <v>2.75</v>
      </c>
      <c r="W1867">
        <v>0.95</v>
      </c>
      <c r="X1867">
        <v>1</v>
      </c>
      <c r="Y1867">
        <v>16.5</v>
      </c>
      <c r="Z1867">
        <v>29.5</v>
      </c>
      <c r="AA1867">
        <v>24.25</v>
      </c>
      <c r="AB1867">
        <v>6.8310000000000004</v>
      </c>
      <c r="AC1867">
        <v>1.59</v>
      </c>
      <c r="AF1867" t="s">
        <v>7528</v>
      </c>
      <c r="AK1867" t="s">
        <v>98</v>
      </c>
      <c r="AM1867" t="s">
        <v>98</v>
      </c>
      <c r="AN1867" t="s">
        <v>98</v>
      </c>
      <c r="AO1867" t="s">
        <v>98</v>
      </c>
      <c r="AP1867" t="s">
        <v>100</v>
      </c>
      <c r="AQ1867" t="s">
        <v>101</v>
      </c>
      <c r="AV1867" t="s">
        <v>98</v>
      </c>
      <c r="AX1867" t="s">
        <v>7528</v>
      </c>
      <c r="AZ1867" t="s">
        <v>7528</v>
      </c>
      <c r="BB1867" t="s">
        <v>7528</v>
      </c>
      <c r="BC1867" t="s">
        <v>7528</v>
      </c>
      <c r="BD1867" t="s">
        <v>7528</v>
      </c>
      <c r="BF1867" t="s">
        <v>5683</v>
      </c>
      <c r="BG1867" t="s">
        <v>98</v>
      </c>
      <c r="BH1867" t="s">
        <v>98</v>
      </c>
      <c r="BI1867" t="s">
        <v>98</v>
      </c>
      <c r="BK1867" t="s">
        <v>7528</v>
      </c>
      <c r="BL1867" t="s">
        <v>7528</v>
      </c>
      <c r="CA1867" t="s">
        <v>5682</v>
      </c>
      <c r="CB1867" t="s">
        <v>7528</v>
      </c>
      <c r="CL1867" t="s">
        <v>98</v>
      </c>
      <c r="CM1867" t="s">
        <v>98</v>
      </c>
      <c r="CN1867" t="s">
        <v>7528</v>
      </c>
      <c r="CO1867" s="1">
        <v>40588</v>
      </c>
      <c r="CP1867" s="1">
        <v>43633</v>
      </c>
    </row>
    <row r="1868" spans="1:94" x14ac:dyDescent="0.25">
      <c r="A1868" t="s">
        <v>5684</v>
      </c>
      <c r="B1868" t="str">
        <f xml:space="preserve"> "" &amp; 747396064260</f>
        <v>747396064260</v>
      </c>
      <c r="C1868" t="s">
        <v>3367</v>
      </c>
      <c r="D1868" t="s">
        <v>7228</v>
      </c>
      <c r="E1868" t="s">
        <v>7528</v>
      </c>
      <c r="F1868" t="s">
        <v>627</v>
      </c>
      <c r="G1868">
        <v>1</v>
      </c>
      <c r="H1868">
        <v>1</v>
      </c>
      <c r="I1868" t="s">
        <v>97</v>
      </c>
      <c r="J1868" s="10">
        <v>35</v>
      </c>
      <c r="K1868" s="10">
        <v>105</v>
      </c>
      <c r="L1868" s="10">
        <v>0</v>
      </c>
      <c r="N1868" s="10">
        <v>0</v>
      </c>
      <c r="S1868">
        <v>15.75</v>
      </c>
      <c r="U1868">
        <v>7</v>
      </c>
      <c r="V1868">
        <v>3.5</v>
      </c>
      <c r="W1868">
        <v>1.96</v>
      </c>
      <c r="X1868">
        <v>1</v>
      </c>
      <c r="Y1868">
        <v>18.75</v>
      </c>
      <c r="Z1868">
        <v>25.5</v>
      </c>
      <c r="AA1868">
        <v>19.25</v>
      </c>
      <c r="AB1868">
        <v>5.3259999999999996</v>
      </c>
      <c r="AC1868">
        <v>2.84</v>
      </c>
      <c r="AF1868" t="s">
        <v>7528</v>
      </c>
      <c r="AK1868" t="s">
        <v>98</v>
      </c>
      <c r="AM1868" t="s">
        <v>98</v>
      </c>
      <c r="AN1868" t="s">
        <v>98</v>
      </c>
      <c r="AO1868" t="s">
        <v>98</v>
      </c>
      <c r="AP1868" t="s">
        <v>100</v>
      </c>
      <c r="AQ1868" t="s">
        <v>101</v>
      </c>
      <c r="AV1868" t="s">
        <v>98</v>
      </c>
      <c r="AX1868" t="s">
        <v>7528</v>
      </c>
      <c r="AZ1868" t="s">
        <v>7528</v>
      </c>
      <c r="BB1868" t="s">
        <v>7528</v>
      </c>
      <c r="BC1868" t="s">
        <v>7528</v>
      </c>
      <c r="BD1868" t="s">
        <v>7528</v>
      </c>
      <c r="BF1868" t="s">
        <v>5685</v>
      </c>
      <c r="BG1868" t="s">
        <v>98</v>
      </c>
      <c r="BH1868" t="s">
        <v>98</v>
      </c>
      <c r="BI1868" t="s">
        <v>98</v>
      </c>
      <c r="BK1868" t="s">
        <v>7528</v>
      </c>
      <c r="BL1868" t="s">
        <v>7528</v>
      </c>
      <c r="CA1868" t="s">
        <v>5684</v>
      </c>
      <c r="CB1868" t="s">
        <v>7528</v>
      </c>
      <c r="CL1868" t="s">
        <v>98</v>
      </c>
      <c r="CM1868" t="s">
        <v>98</v>
      </c>
      <c r="CN1868" t="s">
        <v>7528</v>
      </c>
      <c r="CO1868" s="1">
        <v>40588</v>
      </c>
      <c r="CP1868" s="1">
        <v>43633</v>
      </c>
    </row>
    <row r="1869" spans="1:94" x14ac:dyDescent="0.25">
      <c r="A1869" t="s">
        <v>5686</v>
      </c>
      <c r="B1869" t="str">
        <f xml:space="preserve"> "" &amp; 747396064277</f>
        <v>747396064277</v>
      </c>
      <c r="C1869" t="s">
        <v>3367</v>
      </c>
      <c r="D1869" t="s">
        <v>7229</v>
      </c>
      <c r="E1869" t="s">
        <v>7528</v>
      </c>
      <c r="F1869" t="s">
        <v>627</v>
      </c>
      <c r="G1869">
        <v>1</v>
      </c>
      <c r="H1869">
        <v>1</v>
      </c>
      <c r="I1869" t="s">
        <v>97</v>
      </c>
      <c r="J1869" s="10">
        <v>30</v>
      </c>
      <c r="K1869" s="10">
        <v>90</v>
      </c>
      <c r="L1869" s="10">
        <v>0</v>
      </c>
      <c r="N1869" s="10">
        <v>0</v>
      </c>
      <c r="S1869">
        <v>8</v>
      </c>
      <c r="T1869">
        <v>5.25</v>
      </c>
      <c r="U1869">
        <v>4.75</v>
      </c>
      <c r="W1869">
        <v>1.1599999999999999</v>
      </c>
      <c r="X1869">
        <v>1</v>
      </c>
      <c r="Y1869">
        <v>8.6300000000000008</v>
      </c>
      <c r="Z1869">
        <v>5.25</v>
      </c>
      <c r="AA1869">
        <v>5.25</v>
      </c>
      <c r="AB1869">
        <v>0.13800000000000001</v>
      </c>
      <c r="AC1869">
        <v>1.67</v>
      </c>
      <c r="AF1869" t="s">
        <v>7528</v>
      </c>
      <c r="AK1869" t="s">
        <v>98</v>
      </c>
      <c r="AM1869" t="s">
        <v>98</v>
      </c>
      <c r="AN1869" t="s">
        <v>98</v>
      </c>
      <c r="AO1869" t="s">
        <v>98</v>
      </c>
      <c r="AP1869" t="s">
        <v>100</v>
      </c>
      <c r="AQ1869" t="s">
        <v>101</v>
      </c>
      <c r="AV1869" t="s">
        <v>98</v>
      </c>
      <c r="AX1869" t="s">
        <v>7528</v>
      </c>
      <c r="AZ1869" t="s">
        <v>7528</v>
      </c>
      <c r="BB1869" t="s">
        <v>7528</v>
      </c>
      <c r="BC1869" t="s">
        <v>7528</v>
      </c>
      <c r="BD1869" t="s">
        <v>7528</v>
      </c>
      <c r="BF1869" t="s">
        <v>5687</v>
      </c>
      <c r="BG1869" t="s">
        <v>98</v>
      </c>
      <c r="BH1869" t="s">
        <v>98</v>
      </c>
      <c r="BI1869" t="s">
        <v>98</v>
      </c>
      <c r="BK1869" t="s">
        <v>7528</v>
      </c>
      <c r="BL1869" t="s">
        <v>7528</v>
      </c>
      <c r="CA1869" t="s">
        <v>5686</v>
      </c>
      <c r="CB1869" t="s">
        <v>7528</v>
      </c>
      <c r="CL1869" t="s">
        <v>98</v>
      </c>
      <c r="CM1869" t="s">
        <v>98</v>
      </c>
      <c r="CN1869" t="s">
        <v>7528</v>
      </c>
      <c r="CO1869" s="1">
        <v>40588</v>
      </c>
      <c r="CP1869" s="1">
        <v>43633</v>
      </c>
    </row>
    <row r="1870" spans="1:94" x14ac:dyDescent="0.25">
      <c r="A1870" t="s">
        <v>5688</v>
      </c>
      <c r="B1870" t="str">
        <f xml:space="preserve"> "" &amp; 747396064284</f>
        <v>747396064284</v>
      </c>
      <c r="C1870" t="s">
        <v>3367</v>
      </c>
      <c r="D1870" t="s">
        <v>7230</v>
      </c>
      <c r="E1870" t="s">
        <v>7528</v>
      </c>
      <c r="F1870" t="s">
        <v>627</v>
      </c>
      <c r="G1870">
        <v>1</v>
      </c>
      <c r="H1870">
        <v>1</v>
      </c>
      <c r="I1870" t="s">
        <v>97</v>
      </c>
      <c r="J1870" s="10">
        <v>40</v>
      </c>
      <c r="K1870" s="10">
        <v>120</v>
      </c>
      <c r="L1870" s="10">
        <v>0</v>
      </c>
      <c r="N1870" s="10">
        <v>0</v>
      </c>
      <c r="S1870">
        <v>12.5</v>
      </c>
      <c r="U1870">
        <v>6</v>
      </c>
      <c r="W1870">
        <v>2.5099999999999998</v>
      </c>
      <c r="X1870">
        <v>1</v>
      </c>
      <c r="Y1870">
        <v>16.25</v>
      </c>
      <c r="Z1870">
        <v>29.25</v>
      </c>
      <c r="AA1870">
        <v>22.5</v>
      </c>
      <c r="AB1870">
        <v>6.1890000000000001</v>
      </c>
      <c r="AC1870">
        <v>3.54</v>
      </c>
      <c r="AF1870" t="s">
        <v>7528</v>
      </c>
      <c r="AK1870" t="s">
        <v>98</v>
      </c>
      <c r="AM1870" t="s">
        <v>98</v>
      </c>
      <c r="AN1870" t="s">
        <v>98</v>
      </c>
      <c r="AO1870" t="s">
        <v>98</v>
      </c>
      <c r="AP1870" t="s">
        <v>100</v>
      </c>
      <c r="AQ1870" t="s">
        <v>101</v>
      </c>
      <c r="AV1870" t="s">
        <v>98</v>
      </c>
      <c r="AX1870" t="s">
        <v>7528</v>
      </c>
      <c r="AZ1870" t="s">
        <v>7528</v>
      </c>
      <c r="BB1870" t="s">
        <v>7528</v>
      </c>
      <c r="BC1870" t="s">
        <v>7528</v>
      </c>
      <c r="BD1870" t="s">
        <v>7528</v>
      </c>
      <c r="BF1870" t="s">
        <v>5689</v>
      </c>
      <c r="BG1870" t="s">
        <v>98</v>
      </c>
      <c r="BH1870" t="s">
        <v>98</v>
      </c>
      <c r="BI1870" t="s">
        <v>98</v>
      </c>
      <c r="BK1870" t="s">
        <v>7528</v>
      </c>
      <c r="BL1870" t="s">
        <v>7528</v>
      </c>
      <c r="CA1870" t="s">
        <v>5688</v>
      </c>
      <c r="CB1870" t="s">
        <v>7528</v>
      </c>
      <c r="CL1870" t="s">
        <v>98</v>
      </c>
      <c r="CM1870" t="s">
        <v>98</v>
      </c>
      <c r="CN1870" t="s">
        <v>7528</v>
      </c>
      <c r="CO1870" s="1">
        <v>40588</v>
      </c>
      <c r="CP1870" s="1">
        <v>43633</v>
      </c>
    </row>
    <row r="1871" spans="1:94" x14ac:dyDescent="0.25">
      <c r="A1871" t="s">
        <v>5690</v>
      </c>
      <c r="B1871" t="str">
        <f xml:space="preserve"> "" &amp; 747396064291</f>
        <v>747396064291</v>
      </c>
      <c r="C1871" t="s">
        <v>3367</v>
      </c>
      <c r="D1871" t="s">
        <v>7231</v>
      </c>
      <c r="E1871" t="s">
        <v>7528</v>
      </c>
      <c r="F1871" t="s">
        <v>627</v>
      </c>
      <c r="G1871">
        <v>1</v>
      </c>
      <c r="H1871">
        <v>1</v>
      </c>
      <c r="I1871" t="s">
        <v>97</v>
      </c>
      <c r="J1871" s="10">
        <v>35</v>
      </c>
      <c r="K1871" s="10">
        <v>105</v>
      </c>
      <c r="L1871" s="10">
        <v>0</v>
      </c>
      <c r="N1871" s="10">
        <v>0</v>
      </c>
      <c r="S1871">
        <v>3.75</v>
      </c>
      <c r="U1871">
        <v>10</v>
      </c>
      <c r="W1871">
        <v>2.64</v>
      </c>
      <c r="X1871">
        <v>1</v>
      </c>
      <c r="Y1871">
        <v>17</v>
      </c>
      <c r="Z1871">
        <v>23.75</v>
      </c>
      <c r="AA1871">
        <v>23.75</v>
      </c>
      <c r="AB1871">
        <v>5.5490000000000004</v>
      </c>
      <c r="AC1871">
        <v>3.78</v>
      </c>
      <c r="AF1871" t="s">
        <v>7528</v>
      </c>
      <c r="AK1871" t="s">
        <v>98</v>
      </c>
      <c r="AM1871" t="s">
        <v>98</v>
      </c>
      <c r="AN1871" t="s">
        <v>98</v>
      </c>
      <c r="AO1871" t="s">
        <v>98</v>
      </c>
      <c r="AP1871" t="s">
        <v>100</v>
      </c>
      <c r="AQ1871" t="s">
        <v>101</v>
      </c>
      <c r="AV1871" t="s">
        <v>98</v>
      </c>
      <c r="AX1871" t="s">
        <v>7528</v>
      </c>
      <c r="AZ1871" t="s">
        <v>7528</v>
      </c>
      <c r="BB1871" t="s">
        <v>7528</v>
      </c>
      <c r="BC1871" t="s">
        <v>7528</v>
      </c>
      <c r="BD1871" t="s">
        <v>7528</v>
      </c>
      <c r="BF1871" t="s">
        <v>5691</v>
      </c>
      <c r="BG1871" t="s">
        <v>98</v>
      </c>
      <c r="BH1871" t="s">
        <v>98</v>
      </c>
      <c r="BI1871" t="s">
        <v>98</v>
      </c>
      <c r="BK1871" t="s">
        <v>7528</v>
      </c>
      <c r="BL1871" t="s">
        <v>7528</v>
      </c>
      <c r="CA1871" t="s">
        <v>5690</v>
      </c>
      <c r="CB1871" t="s">
        <v>7528</v>
      </c>
      <c r="CL1871" t="s">
        <v>98</v>
      </c>
      <c r="CM1871" t="s">
        <v>98</v>
      </c>
      <c r="CN1871" t="s">
        <v>7528</v>
      </c>
      <c r="CO1871" s="1">
        <v>40588</v>
      </c>
      <c r="CP1871" s="1">
        <v>43633</v>
      </c>
    </row>
    <row r="1872" spans="1:94" x14ac:dyDescent="0.25">
      <c r="A1872" t="s">
        <v>5692</v>
      </c>
      <c r="B1872" t="str">
        <f xml:space="preserve"> "" &amp; 747396064321</f>
        <v>747396064321</v>
      </c>
      <c r="C1872" t="s">
        <v>5693</v>
      </c>
      <c r="D1872" t="s">
        <v>7232</v>
      </c>
      <c r="E1872" t="s">
        <v>7528</v>
      </c>
      <c r="F1872" t="s">
        <v>627</v>
      </c>
      <c r="G1872">
        <v>1</v>
      </c>
      <c r="H1872">
        <v>1</v>
      </c>
      <c r="I1872" t="s">
        <v>97</v>
      </c>
      <c r="J1872" s="10">
        <v>5</v>
      </c>
      <c r="K1872" s="10">
        <v>15</v>
      </c>
      <c r="L1872" s="10">
        <v>0</v>
      </c>
      <c r="N1872" s="10">
        <v>0</v>
      </c>
      <c r="T1872">
        <v>7.63</v>
      </c>
      <c r="U1872">
        <v>5.13</v>
      </c>
      <c r="W1872">
        <v>1</v>
      </c>
      <c r="AB1872">
        <v>2.3E-2</v>
      </c>
      <c r="AC1872">
        <v>0.57999999999999996</v>
      </c>
      <c r="AF1872" t="s">
        <v>7528</v>
      </c>
      <c r="AK1872" t="s">
        <v>98</v>
      </c>
      <c r="AM1872" t="s">
        <v>98</v>
      </c>
      <c r="AN1872" t="s">
        <v>98</v>
      </c>
      <c r="AO1872" t="s">
        <v>98</v>
      </c>
      <c r="AP1872" t="s">
        <v>100</v>
      </c>
      <c r="AQ1872" t="s">
        <v>101</v>
      </c>
      <c r="AV1872" t="s">
        <v>98</v>
      </c>
      <c r="AX1872" t="s">
        <v>7528</v>
      </c>
      <c r="AZ1872" t="s">
        <v>7528</v>
      </c>
      <c r="BB1872" t="s">
        <v>7528</v>
      </c>
      <c r="BC1872" t="s">
        <v>7528</v>
      </c>
      <c r="BD1872" t="s">
        <v>7528</v>
      </c>
      <c r="BF1872" t="s">
        <v>5694</v>
      </c>
      <c r="BG1872" t="s">
        <v>98</v>
      </c>
      <c r="BH1872" t="s">
        <v>98</v>
      </c>
      <c r="BI1872" t="s">
        <v>98</v>
      </c>
      <c r="BK1872" t="s">
        <v>7528</v>
      </c>
      <c r="BL1872" t="s">
        <v>7528</v>
      </c>
      <c r="CA1872" t="s">
        <v>5692</v>
      </c>
      <c r="CB1872" t="s">
        <v>7528</v>
      </c>
      <c r="CL1872" t="s">
        <v>98</v>
      </c>
      <c r="CM1872" t="s">
        <v>98</v>
      </c>
      <c r="CN1872" t="s">
        <v>7528</v>
      </c>
      <c r="CO1872" s="1">
        <v>40588</v>
      </c>
      <c r="CP1872" s="1">
        <v>43633</v>
      </c>
    </row>
    <row r="1873" spans="1:94" x14ac:dyDescent="0.25">
      <c r="A1873" t="s">
        <v>5695</v>
      </c>
      <c r="B1873" t="str">
        <f xml:space="preserve"> "" &amp; 747396064338</f>
        <v>747396064338</v>
      </c>
      <c r="C1873" t="s">
        <v>5696</v>
      </c>
      <c r="D1873" t="s">
        <v>7233</v>
      </c>
      <c r="E1873" t="s">
        <v>7528</v>
      </c>
      <c r="F1873" t="s">
        <v>627</v>
      </c>
      <c r="G1873">
        <v>1</v>
      </c>
      <c r="H1873">
        <v>1</v>
      </c>
      <c r="I1873" t="s">
        <v>97</v>
      </c>
      <c r="J1873" s="10">
        <v>4</v>
      </c>
      <c r="K1873" s="10">
        <v>12</v>
      </c>
      <c r="L1873" s="10">
        <v>0</v>
      </c>
      <c r="N1873" s="10">
        <v>0</v>
      </c>
      <c r="T1873">
        <v>7.63</v>
      </c>
      <c r="U1873">
        <v>2.75</v>
      </c>
      <c r="W1873">
        <v>1</v>
      </c>
      <c r="AB1873">
        <v>2.3E-2</v>
      </c>
      <c r="AC1873">
        <v>0.57999999999999996</v>
      </c>
      <c r="AF1873" t="s">
        <v>7528</v>
      </c>
      <c r="AK1873" t="s">
        <v>98</v>
      </c>
      <c r="AM1873" t="s">
        <v>98</v>
      </c>
      <c r="AN1873" t="s">
        <v>98</v>
      </c>
      <c r="AO1873" t="s">
        <v>98</v>
      </c>
      <c r="AP1873" t="s">
        <v>100</v>
      </c>
      <c r="AQ1873" t="s">
        <v>101</v>
      </c>
      <c r="AV1873" t="s">
        <v>98</v>
      </c>
      <c r="AX1873" t="s">
        <v>7528</v>
      </c>
      <c r="AZ1873" t="s">
        <v>7528</v>
      </c>
      <c r="BB1873" t="s">
        <v>7528</v>
      </c>
      <c r="BC1873" t="s">
        <v>7528</v>
      </c>
      <c r="BD1873" t="s">
        <v>7528</v>
      </c>
      <c r="BF1873" t="s">
        <v>5697</v>
      </c>
      <c r="BG1873" t="s">
        <v>98</v>
      </c>
      <c r="BH1873" t="s">
        <v>98</v>
      </c>
      <c r="BI1873" t="s">
        <v>98</v>
      </c>
      <c r="BK1873" t="s">
        <v>7528</v>
      </c>
      <c r="BL1873" t="s">
        <v>7528</v>
      </c>
      <c r="CA1873" t="s">
        <v>5695</v>
      </c>
      <c r="CB1873" t="s">
        <v>7528</v>
      </c>
      <c r="CL1873" t="s">
        <v>98</v>
      </c>
      <c r="CM1873" t="s">
        <v>98</v>
      </c>
      <c r="CN1873" t="s">
        <v>7528</v>
      </c>
      <c r="CO1873" s="1">
        <v>40588</v>
      </c>
      <c r="CP1873" s="1">
        <v>43633</v>
      </c>
    </row>
    <row r="1874" spans="1:94" x14ac:dyDescent="0.25">
      <c r="A1874" t="s">
        <v>5698</v>
      </c>
      <c r="B1874" t="str">
        <f xml:space="preserve"> "" &amp; 747396064376</f>
        <v>747396064376</v>
      </c>
      <c r="C1874" t="s">
        <v>1501</v>
      </c>
      <c r="D1874" t="s">
        <v>7234</v>
      </c>
      <c r="E1874" t="s">
        <v>7528</v>
      </c>
      <c r="F1874" t="s">
        <v>627</v>
      </c>
      <c r="G1874">
        <v>1</v>
      </c>
      <c r="H1874">
        <v>1</v>
      </c>
      <c r="I1874" t="s">
        <v>97</v>
      </c>
      <c r="J1874" s="10">
        <v>25</v>
      </c>
      <c r="K1874" s="10">
        <v>75</v>
      </c>
      <c r="L1874" s="10">
        <v>0</v>
      </c>
      <c r="N1874" s="10">
        <v>0</v>
      </c>
      <c r="S1874">
        <v>6.25</v>
      </c>
      <c r="U1874">
        <v>10</v>
      </c>
      <c r="V1874">
        <v>3.88</v>
      </c>
      <c r="W1874">
        <v>2.97</v>
      </c>
      <c r="X1874">
        <v>1</v>
      </c>
      <c r="Y1874">
        <v>23</v>
      </c>
      <c r="Z1874">
        <v>23.75</v>
      </c>
      <c r="AA1874">
        <v>21.25</v>
      </c>
      <c r="AB1874">
        <v>6.7169999999999996</v>
      </c>
      <c r="AC1874">
        <v>3.58</v>
      </c>
      <c r="AF1874" t="s">
        <v>7528</v>
      </c>
      <c r="AK1874" t="s">
        <v>98</v>
      </c>
      <c r="AM1874" t="s">
        <v>98</v>
      </c>
      <c r="AN1874" t="s">
        <v>98</v>
      </c>
      <c r="AO1874" t="s">
        <v>98</v>
      </c>
      <c r="AP1874" t="s">
        <v>100</v>
      </c>
      <c r="AQ1874" t="s">
        <v>101</v>
      </c>
      <c r="AV1874" t="s">
        <v>98</v>
      </c>
      <c r="AX1874" t="s">
        <v>7528</v>
      </c>
      <c r="AZ1874" t="s">
        <v>7528</v>
      </c>
      <c r="BB1874" t="s">
        <v>7528</v>
      </c>
      <c r="BC1874" t="s">
        <v>7528</v>
      </c>
      <c r="BD1874" t="s">
        <v>7528</v>
      </c>
      <c r="BF1874" t="s">
        <v>5699</v>
      </c>
      <c r="BG1874" t="s">
        <v>98</v>
      </c>
      <c r="BH1874" t="s">
        <v>98</v>
      </c>
      <c r="BI1874" t="s">
        <v>98</v>
      </c>
      <c r="BK1874" t="s">
        <v>7528</v>
      </c>
      <c r="BL1874" t="s">
        <v>7528</v>
      </c>
      <c r="CA1874" t="s">
        <v>5698</v>
      </c>
      <c r="CB1874" t="s">
        <v>7528</v>
      </c>
      <c r="CL1874" t="s">
        <v>98</v>
      </c>
      <c r="CM1874" t="s">
        <v>98</v>
      </c>
      <c r="CN1874" t="s">
        <v>7528</v>
      </c>
      <c r="CO1874" s="1">
        <v>40588</v>
      </c>
      <c r="CP1874" s="1">
        <v>43633</v>
      </c>
    </row>
    <row r="1875" spans="1:94" x14ac:dyDescent="0.25">
      <c r="A1875" t="s">
        <v>5700</v>
      </c>
      <c r="B1875" t="str">
        <f xml:space="preserve"> "" &amp; 747396064390</f>
        <v>747396064390</v>
      </c>
      <c r="C1875" t="s">
        <v>5701</v>
      </c>
      <c r="D1875" t="s">
        <v>7235</v>
      </c>
      <c r="E1875" t="s">
        <v>7528</v>
      </c>
      <c r="F1875" t="s">
        <v>627</v>
      </c>
      <c r="G1875">
        <v>1</v>
      </c>
      <c r="H1875">
        <v>1</v>
      </c>
      <c r="I1875" t="s">
        <v>97</v>
      </c>
      <c r="J1875" s="10">
        <v>14.5</v>
      </c>
      <c r="K1875" s="10">
        <v>43.5</v>
      </c>
      <c r="L1875" s="10">
        <v>0</v>
      </c>
      <c r="N1875" s="10">
        <v>0</v>
      </c>
      <c r="W1875">
        <v>1.79</v>
      </c>
      <c r="X1875">
        <v>1</v>
      </c>
      <c r="AC1875">
        <v>2.11</v>
      </c>
      <c r="AF1875" t="s">
        <v>7528</v>
      </c>
      <c r="AK1875" t="s">
        <v>98</v>
      </c>
      <c r="AM1875" t="s">
        <v>98</v>
      </c>
      <c r="AN1875" t="s">
        <v>98</v>
      </c>
      <c r="AO1875" t="s">
        <v>98</v>
      </c>
      <c r="AP1875" t="s">
        <v>100</v>
      </c>
      <c r="AQ1875" t="s">
        <v>101</v>
      </c>
      <c r="AV1875" t="s">
        <v>98</v>
      </c>
      <c r="AX1875" t="s">
        <v>7528</v>
      </c>
      <c r="AZ1875" t="s">
        <v>7528</v>
      </c>
      <c r="BB1875" t="s">
        <v>7528</v>
      </c>
      <c r="BC1875" t="s">
        <v>7528</v>
      </c>
      <c r="BD1875" t="s">
        <v>7528</v>
      </c>
      <c r="BF1875" t="s">
        <v>5702</v>
      </c>
      <c r="BG1875" t="s">
        <v>98</v>
      </c>
      <c r="BH1875" t="s">
        <v>98</v>
      </c>
      <c r="BI1875" t="s">
        <v>98</v>
      </c>
      <c r="BK1875" t="s">
        <v>7528</v>
      </c>
      <c r="BL1875" t="s">
        <v>7528</v>
      </c>
      <c r="CA1875" t="s">
        <v>5700</v>
      </c>
      <c r="CB1875" t="s">
        <v>7528</v>
      </c>
      <c r="CL1875" t="s">
        <v>98</v>
      </c>
      <c r="CM1875" t="s">
        <v>98</v>
      </c>
      <c r="CN1875" t="s">
        <v>7528</v>
      </c>
      <c r="CO1875" s="1">
        <v>40589</v>
      </c>
      <c r="CP1875" s="1">
        <v>43633</v>
      </c>
    </row>
    <row r="1876" spans="1:94" x14ac:dyDescent="0.25">
      <c r="A1876" t="s">
        <v>5703</v>
      </c>
      <c r="B1876" t="str">
        <f xml:space="preserve"> "" &amp; 747396064406</f>
        <v>747396064406</v>
      </c>
      <c r="C1876" t="s">
        <v>5701</v>
      </c>
      <c r="D1876" t="s">
        <v>7236</v>
      </c>
      <c r="E1876" t="s">
        <v>7528</v>
      </c>
      <c r="F1876" t="s">
        <v>627</v>
      </c>
      <c r="G1876">
        <v>1</v>
      </c>
      <c r="H1876">
        <v>1</v>
      </c>
      <c r="I1876" t="s">
        <v>97</v>
      </c>
      <c r="J1876" s="10">
        <v>25</v>
      </c>
      <c r="K1876" s="10">
        <v>75</v>
      </c>
      <c r="L1876" s="10">
        <v>0</v>
      </c>
      <c r="N1876" s="10">
        <v>0</v>
      </c>
      <c r="W1876">
        <v>2.08</v>
      </c>
      <c r="X1876">
        <v>1</v>
      </c>
      <c r="AC1876">
        <v>3.11</v>
      </c>
      <c r="AF1876" t="s">
        <v>7528</v>
      </c>
      <c r="AK1876" t="s">
        <v>98</v>
      </c>
      <c r="AM1876" t="s">
        <v>98</v>
      </c>
      <c r="AN1876" t="s">
        <v>98</v>
      </c>
      <c r="AO1876" t="s">
        <v>98</v>
      </c>
      <c r="AP1876" t="s">
        <v>100</v>
      </c>
      <c r="AQ1876" t="s">
        <v>101</v>
      </c>
      <c r="AV1876" t="s">
        <v>98</v>
      </c>
      <c r="AX1876" t="s">
        <v>7528</v>
      </c>
      <c r="AZ1876" t="s">
        <v>7528</v>
      </c>
      <c r="BB1876" t="s">
        <v>7528</v>
      </c>
      <c r="BC1876" t="s">
        <v>7528</v>
      </c>
      <c r="BD1876" t="s">
        <v>7528</v>
      </c>
      <c r="BF1876" t="s">
        <v>5704</v>
      </c>
      <c r="BG1876" t="s">
        <v>98</v>
      </c>
      <c r="BH1876" t="s">
        <v>98</v>
      </c>
      <c r="BI1876" t="s">
        <v>98</v>
      </c>
      <c r="BK1876" t="s">
        <v>7528</v>
      </c>
      <c r="BL1876" t="s">
        <v>7528</v>
      </c>
      <c r="CA1876" t="s">
        <v>5703</v>
      </c>
      <c r="CB1876" t="s">
        <v>7528</v>
      </c>
      <c r="CL1876" t="s">
        <v>98</v>
      </c>
      <c r="CM1876" t="s">
        <v>98</v>
      </c>
      <c r="CN1876" t="s">
        <v>7528</v>
      </c>
      <c r="CO1876" s="1">
        <v>40589</v>
      </c>
      <c r="CP1876" s="1">
        <v>43633</v>
      </c>
    </row>
    <row r="1877" spans="1:94" x14ac:dyDescent="0.25">
      <c r="A1877" t="s">
        <v>5705</v>
      </c>
      <c r="B1877" t="str">
        <f xml:space="preserve"> "" &amp; 747396064444</f>
        <v>747396064444</v>
      </c>
      <c r="C1877" t="s">
        <v>5706</v>
      </c>
      <c r="D1877" t="s">
        <v>7237</v>
      </c>
      <c r="E1877" t="s">
        <v>7528</v>
      </c>
      <c r="F1877" t="s">
        <v>627</v>
      </c>
      <c r="G1877">
        <v>1</v>
      </c>
      <c r="H1877">
        <v>1</v>
      </c>
      <c r="I1877" t="s">
        <v>97</v>
      </c>
      <c r="J1877" s="10">
        <v>15</v>
      </c>
      <c r="K1877" s="10">
        <v>45</v>
      </c>
      <c r="L1877" s="10">
        <v>0</v>
      </c>
      <c r="N1877" s="10">
        <v>0</v>
      </c>
      <c r="W1877">
        <v>0.72</v>
      </c>
      <c r="X1877">
        <v>1</v>
      </c>
      <c r="AC1877">
        <v>0.92</v>
      </c>
      <c r="AF1877" t="s">
        <v>7528</v>
      </c>
      <c r="AK1877" t="s">
        <v>98</v>
      </c>
      <c r="AM1877" t="s">
        <v>98</v>
      </c>
      <c r="AN1877" t="s">
        <v>98</v>
      </c>
      <c r="AO1877" t="s">
        <v>98</v>
      </c>
      <c r="AP1877" t="s">
        <v>100</v>
      </c>
      <c r="AQ1877" t="s">
        <v>101</v>
      </c>
      <c r="AV1877" t="s">
        <v>98</v>
      </c>
      <c r="AX1877" t="s">
        <v>7528</v>
      </c>
      <c r="AZ1877" t="s">
        <v>7528</v>
      </c>
      <c r="BB1877" t="s">
        <v>7528</v>
      </c>
      <c r="BC1877" t="s">
        <v>7528</v>
      </c>
      <c r="BD1877" t="s">
        <v>7528</v>
      </c>
      <c r="BF1877" t="s">
        <v>5707</v>
      </c>
      <c r="BG1877" t="s">
        <v>98</v>
      </c>
      <c r="BH1877" t="s">
        <v>98</v>
      </c>
      <c r="BI1877" t="s">
        <v>98</v>
      </c>
      <c r="BK1877" t="s">
        <v>7528</v>
      </c>
      <c r="BL1877" t="s">
        <v>7528</v>
      </c>
      <c r="CA1877" t="s">
        <v>5705</v>
      </c>
      <c r="CB1877" t="s">
        <v>7528</v>
      </c>
      <c r="CL1877" t="s">
        <v>98</v>
      </c>
      <c r="CM1877" t="s">
        <v>98</v>
      </c>
      <c r="CN1877" t="s">
        <v>7528</v>
      </c>
      <c r="CO1877" s="1">
        <v>40589</v>
      </c>
      <c r="CP1877" s="1">
        <v>43633</v>
      </c>
    </row>
    <row r="1878" spans="1:94" x14ac:dyDescent="0.25">
      <c r="A1878" t="s">
        <v>5708</v>
      </c>
      <c r="B1878" t="str">
        <f xml:space="preserve"> "" &amp; 747396064451</f>
        <v>747396064451</v>
      </c>
      <c r="C1878" t="s">
        <v>5709</v>
      </c>
      <c r="D1878" t="s">
        <v>7238</v>
      </c>
      <c r="E1878" t="s">
        <v>7528</v>
      </c>
      <c r="F1878" t="s">
        <v>627</v>
      </c>
      <c r="G1878">
        <v>1</v>
      </c>
      <c r="H1878">
        <v>1</v>
      </c>
      <c r="I1878" t="s">
        <v>97</v>
      </c>
      <c r="J1878" s="10">
        <v>18</v>
      </c>
      <c r="K1878" s="10">
        <v>54</v>
      </c>
      <c r="L1878" s="10">
        <v>0</v>
      </c>
      <c r="N1878" s="10">
        <v>0</v>
      </c>
      <c r="W1878">
        <v>1.89</v>
      </c>
      <c r="X1878">
        <v>1</v>
      </c>
      <c r="Y1878">
        <v>8.5</v>
      </c>
      <c r="Z1878">
        <v>16</v>
      </c>
      <c r="AA1878">
        <v>16</v>
      </c>
      <c r="AB1878">
        <v>1.2589999999999999</v>
      </c>
      <c r="AC1878">
        <v>0.81</v>
      </c>
      <c r="AF1878" t="s">
        <v>7528</v>
      </c>
      <c r="AK1878" t="s">
        <v>98</v>
      </c>
      <c r="AM1878" t="s">
        <v>98</v>
      </c>
      <c r="AN1878" t="s">
        <v>98</v>
      </c>
      <c r="AO1878" t="s">
        <v>98</v>
      </c>
      <c r="AP1878" t="s">
        <v>100</v>
      </c>
      <c r="AQ1878" t="s">
        <v>101</v>
      </c>
      <c r="AV1878" t="s">
        <v>98</v>
      </c>
      <c r="AX1878" t="s">
        <v>7528</v>
      </c>
      <c r="AZ1878" t="s">
        <v>7528</v>
      </c>
      <c r="BB1878" t="s">
        <v>7528</v>
      </c>
      <c r="BC1878" t="s">
        <v>7528</v>
      </c>
      <c r="BD1878" t="s">
        <v>7528</v>
      </c>
      <c r="BF1878" t="s">
        <v>5710</v>
      </c>
      <c r="BG1878" t="s">
        <v>98</v>
      </c>
      <c r="BH1878" t="s">
        <v>98</v>
      </c>
      <c r="BI1878" t="s">
        <v>98</v>
      </c>
      <c r="BK1878" t="s">
        <v>7528</v>
      </c>
      <c r="BL1878" t="s">
        <v>7528</v>
      </c>
      <c r="CA1878" t="s">
        <v>5708</v>
      </c>
      <c r="CB1878" t="s">
        <v>7528</v>
      </c>
      <c r="CL1878" t="s">
        <v>98</v>
      </c>
      <c r="CM1878" t="s">
        <v>98</v>
      </c>
      <c r="CN1878" t="s">
        <v>7528</v>
      </c>
      <c r="CO1878" s="1">
        <v>40589</v>
      </c>
      <c r="CP1878" s="1">
        <v>43633</v>
      </c>
    </row>
    <row r="1879" spans="1:94" x14ac:dyDescent="0.25">
      <c r="A1879" t="s">
        <v>5711</v>
      </c>
      <c r="B1879" t="str">
        <f xml:space="preserve"> "" &amp; 747396065427</f>
        <v>747396065427</v>
      </c>
      <c r="C1879" t="s">
        <v>5709</v>
      </c>
      <c r="D1879" t="s">
        <v>7239</v>
      </c>
      <c r="E1879" t="s">
        <v>7528</v>
      </c>
      <c r="F1879" t="s">
        <v>627</v>
      </c>
      <c r="G1879">
        <v>1</v>
      </c>
      <c r="H1879">
        <v>1</v>
      </c>
      <c r="I1879" t="s">
        <v>97</v>
      </c>
      <c r="J1879" s="10">
        <v>24</v>
      </c>
      <c r="K1879" s="10">
        <v>72</v>
      </c>
      <c r="L1879" s="10">
        <v>0</v>
      </c>
      <c r="N1879" s="10">
        <v>0</v>
      </c>
      <c r="W1879">
        <v>2.81</v>
      </c>
      <c r="X1879">
        <v>1</v>
      </c>
      <c r="AC1879">
        <v>3.43</v>
      </c>
      <c r="AF1879" t="s">
        <v>7528</v>
      </c>
      <c r="AK1879" t="s">
        <v>98</v>
      </c>
      <c r="AM1879" t="s">
        <v>98</v>
      </c>
      <c r="AN1879" t="s">
        <v>98</v>
      </c>
      <c r="AO1879" t="s">
        <v>98</v>
      </c>
      <c r="AP1879" t="s">
        <v>100</v>
      </c>
      <c r="AQ1879" t="s">
        <v>101</v>
      </c>
      <c r="AV1879" t="s">
        <v>98</v>
      </c>
      <c r="AX1879" t="s">
        <v>7528</v>
      </c>
      <c r="AZ1879" t="s">
        <v>7528</v>
      </c>
      <c r="BB1879" t="s">
        <v>7528</v>
      </c>
      <c r="BC1879" t="s">
        <v>7528</v>
      </c>
      <c r="BD1879" t="s">
        <v>7528</v>
      </c>
      <c r="BF1879" t="s">
        <v>5712</v>
      </c>
      <c r="BG1879" t="s">
        <v>98</v>
      </c>
      <c r="BH1879" t="s">
        <v>98</v>
      </c>
      <c r="BI1879" t="s">
        <v>98</v>
      </c>
      <c r="BK1879" t="s">
        <v>7528</v>
      </c>
      <c r="BL1879" t="s">
        <v>7528</v>
      </c>
      <c r="CA1879" t="s">
        <v>5711</v>
      </c>
      <c r="CB1879" t="s">
        <v>7528</v>
      </c>
      <c r="CL1879" t="s">
        <v>98</v>
      </c>
      <c r="CM1879" t="s">
        <v>98</v>
      </c>
      <c r="CN1879" t="s">
        <v>7528</v>
      </c>
      <c r="CO1879" s="1">
        <v>40589</v>
      </c>
      <c r="CP1879" s="1">
        <v>43633</v>
      </c>
    </row>
    <row r="1880" spans="1:94" x14ac:dyDescent="0.25">
      <c r="A1880" t="s">
        <v>5713</v>
      </c>
      <c r="B1880" t="str">
        <f xml:space="preserve"> "" &amp; 747396064468</f>
        <v>747396064468</v>
      </c>
      <c r="C1880" t="s">
        <v>5714</v>
      </c>
      <c r="D1880" t="s">
        <v>7240</v>
      </c>
      <c r="E1880" t="s">
        <v>7528</v>
      </c>
      <c r="F1880" t="s">
        <v>627</v>
      </c>
      <c r="G1880">
        <v>1</v>
      </c>
      <c r="H1880">
        <v>1</v>
      </c>
      <c r="I1880" t="s">
        <v>97</v>
      </c>
      <c r="J1880" s="10">
        <v>35</v>
      </c>
      <c r="K1880" s="10">
        <v>105</v>
      </c>
      <c r="L1880" s="10">
        <v>0</v>
      </c>
      <c r="N1880" s="10">
        <v>0</v>
      </c>
      <c r="S1880">
        <v>2.75</v>
      </c>
      <c r="T1880">
        <v>11.5</v>
      </c>
      <c r="U1880">
        <v>5.5</v>
      </c>
      <c r="W1880">
        <v>2.09</v>
      </c>
      <c r="X1880">
        <v>1</v>
      </c>
      <c r="Y1880">
        <v>15.75</v>
      </c>
      <c r="Z1880">
        <v>29</v>
      </c>
      <c r="AA1880">
        <v>22.5</v>
      </c>
      <c r="AB1880">
        <v>5.9470000000000001</v>
      </c>
      <c r="AC1880">
        <v>2.7</v>
      </c>
      <c r="AF1880" t="s">
        <v>7528</v>
      </c>
      <c r="AK1880" t="s">
        <v>98</v>
      </c>
      <c r="AM1880" t="s">
        <v>98</v>
      </c>
      <c r="AN1880" t="s">
        <v>98</v>
      </c>
      <c r="AO1880" t="s">
        <v>98</v>
      </c>
      <c r="AP1880" t="s">
        <v>100</v>
      </c>
      <c r="AQ1880" t="s">
        <v>101</v>
      </c>
      <c r="AV1880" t="s">
        <v>98</v>
      </c>
      <c r="AX1880" t="s">
        <v>7528</v>
      </c>
      <c r="AZ1880" t="s">
        <v>7528</v>
      </c>
      <c r="BB1880" t="s">
        <v>7528</v>
      </c>
      <c r="BC1880" t="s">
        <v>7528</v>
      </c>
      <c r="BD1880" t="s">
        <v>7528</v>
      </c>
      <c r="BF1880" t="s">
        <v>5715</v>
      </c>
      <c r="BG1880" t="s">
        <v>98</v>
      </c>
      <c r="BH1880" t="s">
        <v>98</v>
      </c>
      <c r="BI1880" t="s">
        <v>98</v>
      </c>
      <c r="BK1880" t="s">
        <v>7528</v>
      </c>
      <c r="BL1880" t="s">
        <v>7528</v>
      </c>
      <c r="CA1880" t="s">
        <v>5713</v>
      </c>
      <c r="CB1880" t="s">
        <v>7528</v>
      </c>
      <c r="CL1880" t="s">
        <v>98</v>
      </c>
      <c r="CM1880" t="s">
        <v>98</v>
      </c>
      <c r="CN1880" t="s">
        <v>7528</v>
      </c>
      <c r="CO1880" s="1">
        <v>40589</v>
      </c>
      <c r="CP1880" s="1">
        <v>43633</v>
      </c>
    </row>
    <row r="1881" spans="1:94" x14ac:dyDescent="0.25">
      <c r="A1881" t="s">
        <v>5716</v>
      </c>
      <c r="B1881" t="str">
        <f xml:space="preserve"> "" &amp; 747396064475</f>
        <v>747396064475</v>
      </c>
      <c r="C1881" t="s">
        <v>5714</v>
      </c>
      <c r="D1881" t="s">
        <v>7241</v>
      </c>
      <c r="E1881" t="s">
        <v>7528</v>
      </c>
      <c r="F1881" t="s">
        <v>627</v>
      </c>
      <c r="G1881">
        <v>1</v>
      </c>
      <c r="H1881">
        <v>1</v>
      </c>
      <c r="I1881" t="s">
        <v>97</v>
      </c>
      <c r="J1881" s="10">
        <v>40</v>
      </c>
      <c r="K1881" s="10">
        <v>120</v>
      </c>
      <c r="L1881" s="10">
        <v>0</v>
      </c>
      <c r="N1881" s="10">
        <v>0</v>
      </c>
      <c r="S1881">
        <v>3.38</v>
      </c>
      <c r="T1881">
        <v>15.13</v>
      </c>
      <c r="U1881">
        <v>6.63</v>
      </c>
      <c r="W1881">
        <v>3.19</v>
      </c>
      <c r="X1881">
        <v>1</v>
      </c>
      <c r="Y1881">
        <v>19.25</v>
      </c>
      <c r="Z1881">
        <v>25.5</v>
      </c>
      <c r="AA1881">
        <v>18.25</v>
      </c>
      <c r="AB1881">
        <v>5.1840000000000002</v>
      </c>
      <c r="AC1881">
        <v>4.09</v>
      </c>
      <c r="AF1881" t="s">
        <v>7528</v>
      </c>
      <c r="AK1881" t="s">
        <v>98</v>
      </c>
      <c r="AM1881" t="s">
        <v>98</v>
      </c>
      <c r="AN1881" t="s">
        <v>98</v>
      </c>
      <c r="AO1881" t="s">
        <v>98</v>
      </c>
      <c r="AP1881" t="s">
        <v>100</v>
      </c>
      <c r="AQ1881" t="s">
        <v>101</v>
      </c>
      <c r="AV1881" t="s">
        <v>98</v>
      </c>
      <c r="AX1881" t="s">
        <v>7528</v>
      </c>
      <c r="AZ1881" t="s">
        <v>7528</v>
      </c>
      <c r="BB1881" t="s">
        <v>7528</v>
      </c>
      <c r="BC1881" t="s">
        <v>7528</v>
      </c>
      <c r="BD1881" t="s">
        <v>7528</v>
      </c>
      <c r="BF1881" t="s">
        <v>5717</v>
      </c>
      <c r="BG1881" t="s">
        <v>98</v>
      </c>
      <c r="BH1881" t="s">
        <v>98</v>
      </c>
      <c r="BI1881" t="s">
        <v>98</v>
      </c>
      <c r="BK1881" t="s">
        <v>7528</v>
      </c>
      <c r="BL1881" t="s">
        <v>7528</v>
      </c>
      <c r="CA1881" t="s">
        <v>5716</v>
      </c>
      <c r="CB1881" t="s">
        <v>7528</v>
      </c>
      <c r="CL1881" t="s">
        <v>98</v>
      </c>
      <c r="CM1881" t="s">
        <v>98</v>
      </c>
      <c r="CN1881" t="s">
        <v>7528</v>
      </c>
      <c r="CO1881" s="1">
        <v>40589</v>
      </c>
      <c r="CP1881" s="1">
        <v>43633</v>
      </c>
    </row>
    <row r="1882" spans="1:94" x14ac:dyDescent="0.25">
      <c r="A1882" t="s">
        <v>5718</v>
      </c>
      <c r="B1882" t="str">
        <f xml:space="preserve"> "" &amp; 747396070575</f>
        <v>747396070575</v>
      </c>
      <c r="C1882" t="s">
        <v>5649</v>
      </c>
      <c r="D1882" t="s">
        <v>7242</v>
      </c>
      <c r="E1882" t="s">
        <v>7528</v>
      </c>
      <c r="F1882" t="s">
        <v>627</v>
      </c>
      <c r="G1882">
        <v>1</v>
      </c>
      <c r="H1882">
        <v>1</v>
      </c>
      <c r="I1882" t="s">
        <v>97</v>
      </c>
      <c r="J1882" s="10">
        <v>12.5</v>
      </c>
      <c r="K1882" s="10">
        <v>37.5</v>
      </c>
      <c r="L1882" s="10">
        <v>0</v>
      </c>
      <c r="N1882" s="10">
        <v>0</v>
      </c>
      <c r="W1882">
        <v>1</v>
      </c>
      <c r="AB1882">
        <v>0.19750000000000001</v>
      </c>
      <c r="AC1882">
        <v>0.2</v>
      </c>
      <c r="AF1882" t="s">
        <v>7528</v>
      </c>
      <c r="AK1882" t="s">
        <v>98</v>
      </c>
      <c r="AM1882" t="s">
        <v>98</v>
      </c>
      <c r="AN1882" t="s">
        <v>98</v>
      </c>
      <c r="AO1882" t="s">
        <v>98</v>
      </c>
      <c r="AP1882" t="s">
        <v>100</v>
      </c>
      <c r="AQ1882" t="s">
        <v>101</v>
      </c>
      <c r="AV1882" t="s">
        <v>98</v>
      </c>
      <c r="AX1882" t="s">
        <v>7528</v>
      </c>
      <c r="AZ1882" t="s">
        <v>7528</v>
      </c>
      <c r="BB1882" t="s">
        <v>7528</v>
      </c>
      <c r="BC1882" t="s">
        <v>7528</v>
      </c>
      <c r="BD1882" t="s">
        <v>7528</v>
      </c>
      <c r="BF1882" t="s">
        <v>5719</v>
      </c>
      <c r="BG1882" t="s">
        <v>98</v>
      </c>
      <c r="BH1882" t="s">
        <v>98</v>
      </c>
      <c r="BI1882" t="s">
        <v>98</v>
      </c>
      <c r="BK1882" t="s">
        <v>7528</v>
      </c>
      <c r="BL1882" t="s">
        <v>7528</v>
      </c>
      <c r="CA1882" t="s">
        <v>5718</v>
      </c>
      <c r="CB1882" t="s">
        <v>7528</v>
      </c>
      <c r="CL1882" t="s">
        <v>98</v>
      </c>
      <c r="CM1882" t="s">
        <v>98</v>
      </c>
      <c r="CN1882" t="s">
        <v>7528</v>
      </c>
      <c r="CO1882" s="1">
        <v>40318</v>
      </c>
      <c r="CP1882" s="1">
        <v>43633</v>
      </c>
    </row>
    <row r="1883" spans="1:94" x14ac:dyDescent="0.25">
      <c r="A1883" t="s">
        <v>5720</v>
      </c>
      <c r="B1883" t="str">
        <f xml:space="preserve"> "" &amp; 747396070582</f>
        <v>747396070582</v>
      </c>
      <c r="C1883" t="s">
        <v>5649</v>
      </c>
      <c r="D1883" t="s">
        <v>7242</v>
      </c>
      <c r="E1883" t="s">
        <v>7528</v>
      </c>
      <c r="F1883" t="s">
        <v>627</v>
      </c>
      <c r="G1883">
        <v>1</v>
      </c>
      <c r="H1883">
        <v>1</v>
      </c>
      <c r="I1883" t="s">
        <v>97</v>
      </c>
      <c r="J1883" s="10">
        <v>10</v>
      </c>
      <c r="K1883" s="10">
        <v>30</v>
      </c>
      <c r="L1883" s="10">
        <v>0</v>
      </c>
      <c r="N1883" s="10">
        <v>0</v>
      </c>
      <c r="S1883">
        <v>3.13</v>
      </c>
      <c r="U1883">
        <v>0.13</v>
      </c>
      <c r="W1883">
        <v>1</v>
      </c>
      <c r="AB1883">
        <v>0.1832</v>
      </c>
      <c r="AC1883">
        <v>0.4</v>
      </c>
      <c r="AF1883" t="s">
        <v>7528</v>
      </c>
      <c r="AK1883" t="s">
        <v>98</v>
      </c>
      <c r="AM1883" t="s">
        <v>98</v>
      </c>
      <c r="AN1883" t="s">
        <v>98</v>
      </c>
      <c r="AO1883" t="s">
        <v>98</v>
      </c>
      <c r="AP1883" t="s">
        <v>100</v>
      </c>
      <c r="AQ1883" t="s">
        <v>101</v>
      </c>
      <c r="AV1883" t="s">
        <v>98</v>
      </c>
      <c r="AX1883" t="s">
        <v>7528</v>
      </c>
      <c r="AZ1883" t="s">
        <v>7528</v>
      </c>
      <c r="BB1883" t="s">
        <v>7528</v>
      </c>
      <c r="BC1883" t="s">
        <v>7528</v>
      </c>
      <c r="BD1883" t="s">
        <v>7528</v>
      </c>
      <c r="BF1883" t="s">
        <v>5721</v>
      </c>
      <c r="BG1883" t="s">
        <v>98</v>
      </c>
      <c r="BH1883" t="s">
        <v>98</v>
      </c>
      <c r="BI1883" t="s">
        <v>98</v>
      </c>
      <c r="BK1883" t="s">
        <v>7528</v>
      </c>
      <c r="BL1883" t="s">
        <v>7528</v>
      </c>
      <c r="CA1883" t="s">
        <v>5720</v>
      </c>
      <c r="CB1883" t="s">
        <v>7528</v>
      </c>
      <c r="CL1883" t="s">
        <v>98</v>
      </c>
      <c r="CM1883" t="s">
        <v>98</v>
      </c>
      <c r="CN1883" t="s">
        <v>7528</v>
      </c>
      <c r="CO1883" s="1">
        <v>40589</v>
      </c>
      <c r="CP1883" s="1">
        <v>43633</v>
      </c>
    </row>
    <row r="1884" spans="1:94" x14ac:dyDescent="0.25">
      <c r="A1884" t="s">
        <v>5722</v>
      </c>
      <c r="B1884" t="str">
        <f xml:space="preserve"> "" &amp; 747396070711</f>
        <v>747396070711</v>
      </c>
      <c r="C1884" t="s">
        <v>1501</v>
      </c>
      <c r="D1884" t="s">
        <v>7243</v>
      </c>
      <c r="E1884" t="s">
        <v>7528</v>
      </c>
      <c r="F1884" t="s">
        <v>627</v>
      </c>
      <c r="G1884">
        <v>1</v>
      </c>
      <c r="H1884">
        <v>1</v>
      </c>
      <c r="I1884" t="s">
        <v>97</v>
      </c>
      <c r="J1884" s="10">
        <v>35</v>
      </c>
      <c r="K1884" s="10">
        <v>105</v>
      </c>
      <c r="L1884" s="10">
        <v>0</v>
      </c>
      <c r="N1884" s="10">
        <v>0</v>
      </c>
      <c r="S1884">
        <v>9.5</v>
      </c>
      <c r="U1884">
        <v>5</v>
      </c>
      <c r="V1884">
        <v>2.75</v>
      </c>
      <c r="W1884">
        <v>1</v>
      </c>
      <c r="AB1884">
        <v>0.21299999999999999</v>
      </c>
      <c r="AC1884">
        <v>1.65</v>
      </c>
      <c r="AF1884" t="s">
        <v>7528</v>
      </c>
      <c r="AK1884" t="s">
        <v>98</v>
      </c>
      <c r="AM1884" t="s">
        <v>98</v>
      </c>
      <c r="AN1884" t="s">
        <v>98</v>
      </c>
      <c r="AO1884" t="s">
        <v>98</v>
      </c>
      <c r="AP1884" t="s">
        <v>100</v>
      </c>
      <c r="AQ1884" t="s">
        <v>101</v>
      </c>
      <c r="AV1884" t="s">
        <v>98</v>
      </c>
      <c r="AX1884" t="s">
        <v>7528</v>
      </c>
      <c r="AZ1884" t="s">
        <v>7528</v>
      </c>
      <c r="BB1884" t="s">
        <v>7528</v>
      </c>
      <c r="BC1884" t="s">
        <v>7528</v>
      </c>
      <c r="BD1884" t="s">
        <v>7528</v>
      </c>
      <c r="BF1884" t="s">
        <v>5723</v>
      </c>
      <c r="BG1884" t="s">
        <v>98</v>
      </c>
      <c r="BH1884" t="s">
        <v>98</v>
      </c>
      <c r="BI1884" t="s">
        <v>98</v>
      </c>
      <c r="BK1884" t="s">
        <v>7528</v>
      </c>
      <c r="BL1884" t="s">
        <v>7528</v>
      </c>
      <c r="CA1884" t="s">
        <v>5722</v>
      </c>
      <c r="CB1884" t="s">
        <v>7528</v>
      </c>
      <c r="CL1884" t="s">
        <v>98</v>
      </c>
      <c r="CM1884" t="s">
        <v>98</v>
      </c>
      <c r="CN1884" t="s">
        <v>7528</v>
      </c>
      <c r="CO1884" s="1">
        <v>40213</v>
      </c>
      <c r="CP1884" s="1">
        <v>43633</v>
      </c>
    </row>
    <row r="1885" spans="1:94" x14ac:dyDescent="0.25">
      <c r="A1885" t="s">
        <v>5724</v>
      </c>
      <c r="B1885" t="str">
        <f xml:space="preserve"> "" &amp; 747396070728</f>
        <v>747396070728</v>
      </c>
      <c r="C1885" t="s">
        <v>1501</v>
      </c>
      <c r="D1885" t="s">
        <v>7244</v>
      </c>
      <c r="E1885" t="s">
        <v>7528</v>
      </c>
      <c r="F1885" t="s">
        <v>627</v>
      </c>
      <c r="G1885">
        <v>1</v>
      </c>
      <c r="H1885">
        <v>1</v>
      </c>
      <c r="I1885" t="s">
        <v>97</v>
      </c>
      <c r="J1885" s="10">
        <v>45</v>
      </c>
      <c r="K1885" s="10">
        <v>135</v>
      </c>
      <c r="L1885" s="10">
        <v>0</v>
      </c>
      <c r="N1885" s="10">
        <v>0</v>
      </c>
      <c r="S1885">
        <v>12.5</v>
      </c>
      <c r="U1885">
        <v>6.75</v>
      </c>
      <c r="V1885">
        <v>2.75</v>
      </c>
      <c r="W1885">
        <v>1</v>
      </c>
      <c r="AB1885">
        <v>0.50639999999999996</v>
      </c>
      <c r="AC1885">
        <v>2.64</v>
      </c>
      <c r="AF1885" t="s">
        <v>7528</v>
      </c>
      <c r="AK1885" t="s">
        <v>98</v>
      </c>
      <c r="AM1885" t="s">
        <v>98</v>
      </c>
      <c r="AN1885" t="s">
        <v>98</v>
      </c>
      <c r="AO1885" t="s">
        <v>98</v>
      </c>
      <c r="AP1885" t="s">
        <v>100</v>
      </c>
      <c r="AQ1885" t="s">
        <v>101</v>
      </c>
      <c r="AV1885" t="s">
        <v>98</v>
      </c>
      <c r="AX1885" t="s">
        <v>7528</v>
      </c>
      <c r="AZ1885" t="s">
        <v>7528</v>
      </c>
      <c r="BB1885" t="s">
        <v>7528</v>
      </c>
      <c r="BC1885" t="s">
        <v>7528</v>
      </c>
      <c r="BD1885" t="s">
        <v>7528</v>
      </c>
      <c r="BF1885" t="s">
        <v>5725</v>
      </c>
      <c r="BG1885" t="s">
        <v>98</v>
      </c>
      <c r="BH1885" t="s">
        <v>98</v>
      </c>
      <c r="BI1885" t="s">
        <v>98</v>
      </c>
      <c r="BK1885" t="s">
        <v>7528</v>
      </c>
      <c r="BL1885" t="s">
        <v>7528</v>
      </c>
      <c r="CA1885" t="s">
        <v>5724</v>
      </c>
      <c r="CB1885" t="s">
        <v>7528</v>
      </c>
      <c r="CL1885" t="s">
        <v>98</v>
      </c>
      <c r="CM1885" t="s">
        <v>98</v>
      </c>
      <c r="CN1885" t="s">
        <v>7528</v>
      </c>
      <c r="CO1885" s="1">
        <v>40213</v>
      </c>
      <c r="CP1885" s="1">
        <v>43633</v>
      </c>
    </row>
    <row r="1886" spans="1:94" x14ac:dyDescent="0.25">
      <c r="A1886" t="s">
        <v>5726</v>
      </c>
      <c r="B1886" t="str">
        <f xml:space="preserve"> "" &amp; 747396070742</f>
        <v>747396070742</v>
      </c>
      <c r="C1886" t="s">
        <v>1501</v>
      </c>
      <c r="D1886" t="s">
        <v>7245</v>
      </c>
      <c r="E1886" t="s">
        <v>7528</v>
      </c>
      <c r="F1886" t="s">
        <v>627</v>
      </c>
      <c r="G1886">
        <v>1</v>
      </c>
      <c r="H1886">
        <v>1</v>
      </c>
      <c r="I1886" t="s">
        <v>97</v>
      </c>
      <c r="J1886" s="10">
        <v>50</v>
      </c>
      <c r="K1886" s="10">
        <v>150</v>
      </c>
      <c r="L1886" s="10">
        <v>0</v>
      </c>
      <c r="N1886" s="10">
        <v>0</v>
      </c>
      <c r="U1886">
        <v>6.75</v>
      </c>
      <c r="W1886">
        <v>1</v>
      </c>
      <c r="AB1886">
        <v>0.63749999999999996</v>
      </c>
      <c r="AC1886">
        <v>3.19</v>
      </c>
      <c r="AF1886" t="s">
        <v>7528</v>
      </c>
      <c r="AK1886" t="s">
        <v>98</v>
      </c>
      <c r="AM1886" t="s">
        <v>98</v>
      </c>
      <c r="AN1886" t="s">
        <v>98</v>
      </c>
      <c r="AO1886" t="s">
        <v>98</v>
      </c>
      <c r="AP1886" t="s">
        <v>100</v>
      </c>
      <c r="AQ1886" t="s">
        <v>101</v>
      </c>
      <c r="AV1886" t="s">
        <v>98</v>
      </c>
      <c r="AX1886" t="s">
        <v>7528</v>
      </c>
      <c r="AZ1886" t="s">
        <v>7528</v>
      </c>
      <c r="BB1886" t="s">
        <v>7528</v>
      </c>
      <c r="BC1886" t="s">
        <v>7528</v>
      </c>
      <c r="BD1886" t="s">
        <v>7528</v>
      </c>
      <c r="BF1886" t="s">
        <v>5727</v>
      </c>
      <c r="BG1886" t="s">
        <v>98</v>
      </c>
      <c r="BH1886" t="s">
        <v>98</v>
      </c>
      <c r="BI1886" t="s">
        <v>98</v>
      </c>
      <c r="BK1886" t="s">
        <v>7528</v>
      </c>
      <c r="BL1886" t="s">
        <v>7528</v>
      </c>
      <c r="CA1886" t="s">
        <v>5726</v>
      </c>
      <c r="CB1886" t="s">
        <v>7528</v>
      </c>
      <c r="CL1886" t="s">
        <v>98</v>
      </c>
      <c r="CM1886" t="s">
        <v>98</v>
      </c>
      <c r="CN1886" t="s">
        <v>7528</v>
      </c>
      <c r="CO1886" s="1">
        <v>40213</v>
      </c>
      <c r="CP1886" s="1">
        <v>43633</v>
      </c>
    </row>
    <row r="1887" spans="1:94" x14ac:dyDescent="0.25">
      <c r="A1887" t="s">
        <v>5728</v>
      </c>
      <c r="B1887" t="str">
        <f xml:space="preserve"> "" &amp; 747396070612</f>
        <v>747396070612</v>
      </c>
      <c r="C1887" t="s">
        <v>5729</v>
      </c>
      <c r="D1887" t="s">
        <v>7246</v>
      </c>
      <c r="E1887" t="s">
        <v>7528</v>
      </c>
      <c r="F1887" t="s">
        <v>627</v>
      </c>
      <c r="G1887">
        <v>1</v>
      </c>
      <c r="H1887">
        <v>1</v>
      </c>
      <c r="I1887" t="s">
        <v>97</v>
      </c>
      <c r="J1887" s="10">
        <v>7.5</v>
      </c>
      <c r="K1887" s="10">
        <v>22.5</v>
      </c>
      <c r="L1887" s="10">
        <v>0</v>
      </c>
      <c r="N1887" s="10">
        <v>0</v>
      </c>
      <c r="W1887">
        <v>0.26</v>
      </c>
      <c r="Y1887">
        <v>4.5</v>
      </c>
      <c r="Z1887">
        <v>13.75</v>
      </c>
      <c r="AA1887">
        <v>11</v>
      </c>
      <c r="AB1887">
        <v>0.39400000000000002</v>
      </c>
      <c r="AC1887">
        <v>0.33</v>
      </c>
      <c r="AF1887" t="s">
        <v>7528</v>
      </c>
      <c r="AK1887" t="s">
        <v>98</v>
      </c>
      <c r="AM1887" t="s">
        <v>98</v>
      </c>
      <c r="AN1887" t="s">
        <v>98</v>
      </c>
      <c r="AO1887" t="s">
        <v>98</v>
      </c>
      <c r="AP1887" t="s">
        <v>100</v>
      </c>
      <c r="AQ1887" t="s">
        <v>101</v>
      </c>
      <c r="AV1887" t="s">
        <v>98</v>
      </c>
      <c r="AX1887" t="s">
        <v>7528</v>
      </c>
      <c r="AZ1887" t="s">
        <v>7528</v>
      </c>
      <c r="BB1887" t="s">
        <v>7528</v>
      </c>
      <c r="BC1887" t="s">
        <v>7528</v>
      </c>
      <c r="BD1887" t="s">
        <v>7528</v>
      </c>
      <c r="BF1887" t="s">
        <v>5730</v>
      </c>
      <c r="BG1887" t="s">
        <v>98</v>
      </c>
      <c r="BH1887" t="s">
        <v>98</v>
      </c>
      <c r="BI1887" t="s">
        <v>98</v>
      </c>
      <c r="BK1887" t="s">
        <v>7528</v>
      </c>
      <c r="BL1887" t="s">
        <v>7528</v>
      </c>
      <c r="CA1887" t="s">
        <v>5728</v>
      </c>
      <c r="CB1887" t="s">
        <v>7528</v>
      </c>
      <c r="CL1887" t="s">
        <v>98</v>
      </c>
      <c r="CM1887" t="s">
        <v>98</v>
      </c>
      <c r="CN1887" t="s">
        <v>7528</v>
      </c>
      <c r="CO1887" s="1">
        <v>40708</v>
      </c>
      <c r="CP1887" s="1">
        <v>43633</v>
      </c>
    </row>
    <row r="1888" spans="1:94" x14ac:dyDescent="0.25">
      <c r="A1888" t="s">
        <v>5731</v>
      </c>
      <c r="B1888" t="str">
        <f xml:space="preserve"> "" &amp; 747396070629</f>
        <v>747396070629</v>
      </c>
      <c r="C1888" t="s">
        <v>5729</v>
      </c>
      <c r="D1888" t="s">
        <v>7247</v>
      </c>
      <c r="E1888" t="s">
        <v>7528</v>
      </c>
      <c r="F1888" t="s">
        <v>627</v>
      </c>
      <c r="G1888">
        <v>1</v>
      </c>
      <c r="H1888">
        <v>1</v>
      </c>
      <c r="I1888" t="s">
        <v>97</v>
      </c>
      <c r="J1888" s="10">
        <v>6</v>
      </c>
      <c r="K1888" s="10">
        <v>18</v>
      </c>
      <c r="L1888" s="10">
        <v>0</v>
      </c>
      <c r="N1888" s="10">
        <v>0</v>
      </c>
      <c r="W1888">
        <v>0.18</v>
      </c>
      <c r="Y1888">
        <v>4</v>
      </c>
      <c r="Z1888">
        <v>11.5</v>
      </c>
      <c r="AA1888">
        <v>11</v>
      </c>
      <c r="AB1888">
        <v>0.29299999999999998</v>
      </c>
      <c r="AC1888">
        <v>0.22</v>
      </c>
      <c r="AF1888" t="s">
        <v>7528</v>
      </c>
      <c r="AK1888" t="s">
        <v>98</v>
      </c>
      <c r="AM1888" t="s">
        <v>98</v>
      </c>
      <c r="AN1888" t="s">
        <v>98</v>
      </c>
      <c r="AO1888" t="s">
        <v>98</v>
      </c>
      <c r="AP1888" t="s">
        <v>100</v>
      </c>
      <c r="AQ1888" t="s">
        <v>101</v>
      </c>
      <c r="AV1888" t="s">
        <v>98</v>
      </c>
      <c r="AX1888" t="s">
        <v>7528</v>
      </c>
      <c r="AZ1888" t="s">
        <v>7528</v>
      </c>
      <c r="BB1888" t="s">
        <v>7528</v>
      </c>
      <c r="BC1888" t="s">
        <v>7528</v>
      </c>
      <c r="BD1888" t="s">
        <v>7528</v>
      </c>
      <c r="BF1888" t="s">
        <v>5732</v>
      </c>
      <c r="BG1888" t="s">
        <v>98</v>
      </c>
      <c r="BH1888" t="s">
        <v>98</v>
      </c>
      <c r="BI1888" t="s">
        <v>98</v>
      </c>
      <c r="BK1888" t="s">
        <v>7528</v>
      </c>
      <c r="BL1888" t="s">
        <v>7528</v>
      </c>
      <c r="CA1888" t="s">
        <v>5731</v>
      </c>
      <c r="CB1888" t="s">
        <v>7528</v>
      </c>
      <c r="CL1888" t="s">
        <v>98</v>
      </c>
      <c r="CM1888" t="s">
        <v>98</v>
      </c>
      <c r="CN1888" t="s">
        <v>7528</v>
      </c>
      <c r="CO1888" s="1">
        <v>40708</v>
      </c>
      <c r="CP1888" s="1">
        <v>43633</v>
      </c>
    </row>
    <row r="1889" spans="1:94" x14ac:dyDescent="0.25">
      <c r="A1889" t="s">
        <v>5733</v>
      </c>
      <c r="B1889" t="str">
        <f xml:space="preserve"> "" &amp; 747396070636</f>
        <v>747396070636</v>
      </c>
      <c r="C1889" t="s">
        <v>5729</v>
      </c>
      <c r="D1889" t="s">
        <v>7248</v>
      </c>
      <c r="E1889" t="s">
        <v>7528</v>
      </c>
      <c r="F1889" t="s">
        <v>627</v>
      </c>
      <c r="G1889">
        <v>1</v>
      </c>
      <c r="H1889">
        <v>1</v>
      </c>
      <c r="I1889" t="s">
        <v>97</v>
      </c>
      <c r="J1889" s="10">
        <v>8.5</v>
      </c>
      <c r="K1889" s="10">
        <v>25.5</v>
      </c>
      <c r="L1889" s="10">
        <v>0</v>
      </c>
      <c r="N1889" s="10">
        <v>0</v>
      </c>
      <c r="W1889">
        <v>0.42</v>
      </c>
      <c r="Y1889">
        <v>4.5</v>
      </c>
      <c r="Z1889">
        <v>19.75</v>
      </c>
      <c r="AA1889">
        <v>11</v>
      </c>
      <c r="AB1889">
        <v>0.56599999999999995</v>
      </c>
      <c r="AC1889">
        <v>0.51</v>
      </c>
      <c r="AF1889" t="s">
        <v>7528</v>
      </c>
      <c r="AK1889" t="s">
        <v>98</v>
      </c>
      <c r="AM1889" t="s">
        <v>98</v>
      </c>
      <c r="AN1889" t="s">
        <v>98</v>
      </c>
      <c r="AO1889" t="s">
        <v>98</v>
      </c>
      <c r="AP1889" t="s">
        <v>100</v>
      </c>
      <c r="AQ1889" t="s">
        <v>101</v>
      </c>
      <c r="AV1889" t="s">
        <v>98</v>
      </c>
      <c r="AX1889" t="s">
        <v>7528</v>
      </c>
      <c r="AZ1889" t="s">
        <v>7528</v>
      </c>
      <c r="BB1889" t="s">
        <v>7528</v>
      </c>
      <c r="BC1889" t="s">
        <v>7528</v>
      </c>
      <c r="BD1889" t="s">
        <v>7528</v>
      </c>
      <c r="BF1889" t="s">
        <v>5734</v>
      </c>
      <c r="BG1889" t="s">
        <v>98</v>
      </c>
      <c r="BH1889" t="s">
        <v>98</v>
      </c>
      <c r="BI1889" t="s">
        <v>98</v>
      </c>
      <c r="BK1889" t="s">
        <v>7528</v>
      </c>
      <c r="BL1889" t="s">
        <v>7528</v>
      </c>
      <c r="CA1889" t="s">
        <v>5733</v>
      </c>
      <c r="CB1889" t="s">
        <v>7528</v>
      </c>
      <c r="CL1889" t="s">
        <v>98</v>
      </c>
      <c r="CM1889" t="s">
        <v>98</v>
      </c>
      <c r="CN1889" t="s">
        <v>7528</v>
      </c>
      <c r="CO1889" s="1">
        <v>40708</v>
      </c>
      <c r="CP1889" s="1">
        <v>43633</v>
      </c>
    </row>
    <row r="1890" spans="1:94" x14ac:dyDescent="0.25">
      <c r="A1890" t="s">
        <v>5735</v>
      </c>
      <c r="B1890" t="str">
        <f xml:space="preserve"> "" &amp; 747396070643</f>
        <v>747396070643</v>
      </c>
      <c r="C1890" t="s">
        <v>5729</v>
      </c>
      <c r="D1890" t="s">
        <v>7248</v>
      </c>
      <c r="E1890" t="s">
        <v>7528</v>
      </c>
      <c r="F1890" t="s">
        <v>627</v>
      </c>
      <c r="G1890">
        <v>1</v>
      </c>
      <c r="H1890">
        <v>1</v>
      </c>
      <c r="I1890" t="s">
        <v>97</v>
      </c>
      <c r="J1890" s="10">
        <v>7.5</v>
      </c>
      <c r="K1890" s="10">
        <v>22.5</v>
      </c>
      <c r="L1890" s="10">
        <v>0</v>
      </c>
      <c r="N1890" s="10">
        <v>0</v>
      </c>
      <c r="W1890">
        <v>0.28999999999999998</v>
      </c>
      <c r="Y1890">
        <v>4</v>
      </c>
      <c r="Z1890">
        <v>15.25</v>
      </c>
      <c r="AA1890">
        <v>11</v>
      </c>
      <c r="AB1890">
        <v>0.38800000000000001</v>
      </c>
      <c r="AC1890">
        <v>0.37</v>
      </c>
      <c r="AF1890" t="s">
        <v>7528</v>
      </c>
      <c r="AK1890" t="s">
        <v>98</v>
      </c>
      <c r="AM1890" t="s">
        <v>98</v>
      </c>
      <c r="AN1890" t="s">
        <v>98</v>
      </c>
      <c r="AO1890" t="s">
        <v>98</v>
      </c>
      <c r="AP1890" t="s">
        <v>100</v>
      </c>
      <c r="AQ1890" t="s">
        <v>101</v>
      </c>
      <c r="AV1890" t="s">
        <v>98</v>
      </c>
      <c r="AX1890" t="s">
        <v>7528</v>
      </c>
      <c r="AZ1890" t="s">
        <v>7528</v>
      </c>
      <c r="BB1890" t="s">
        <v>7528</v>
      </c>
      <c r="BC1890" t="s">
        <v>7528</v>
      </c>
      <c r="BD1890" t="s">
        <v>7528</v>
      </c>
      <c r="BF1890" t="s">
        <v>5736</v>
      </c>
      <c r="BG1890" t="s">
        <v>98</v>
      </c>
      <c r="BH1890" t="s">
        <v>98</v>
      </c>
      <c r="BI1890" t="s">
        <v>98</v>
      </c>
      <c r="BK1890" t="s">
        <v>7528</v>
      </c>
      <c r="BL1890" t="s">
        <v>7528</v>
      </c>
      <c r="CA1890" t="s">
        <v>5735</v>
      </c>
      <c r="CB1890" t="s">
        <v>7528</v>
      </c>
      <c r="CL1890" t="s">
        <v>98</v>
      </c>
      <c r="CM1890" t="s">
        <v>98</v>
      </c>
      <c r="CN1890" t="s">
        <v>7528</v>
      </c>
      <c r="CO1890" s="1">
        <v>40708</v>
      </c>
      <c r="CP1890" s="1">
        <v>43633</v>
      </c>
    </row>
    <row r="1891" spans="1:94" x14ac:dyDescent="0.25">
      <c r="A1891" t="s">
        <v>5737</v>
      </c>
      <c r="B1891" t="str">
        <f xml:space="preserve"> "" &amp; 747396070377</f>
        <v>747396070377</v>
      </c>
      <c r="C1891" t="s">
        <v>5738</v>
      </c>
      <c r="D1891" t="s">
        <v>7249</v>
      </c>
      <c r="E1891" t="s">
        <v>7528</v>
      </c>
      <c r="F1891" t="s">
        <v>627</v>
      </c>
      <c r="G1891">
        <v>1</v>
      </c>
      <c r="H1891">
        <v>1</v>
      </c>
      <c r="I1891" t="s">
        <v>97</v>
      </c>
      <c r="J1891" s="10">
        <v>20</v>
      </c>
      <c r="K1891" s="10">
        <v>60</v>
      </c>
      <c r="L1891" s="10">
        <v>0</v>
      </c>
      <c r="N1891" s="10">
        <v>0</v>
      </c>
      <c r="S1891">
        <v>7</v>
      </c>
      <c r="U1891">
        <v>4.25</v>
      </c>
      <c r="V1891">
        <v>2.75</v>
      </c>
      <c r="W1891">
        <v>1</v>
      </c>
      <c r="AB1891">
        <v>0.2</v>
      </c>
      <c r="AC1891">
        <v>1.1599999999999999</v>
      </c>
      <c r="AF1891" t="s">
        <v>7528</v>
      </c>
      <c r="AK1891" t="s">
        <v>98</v>
      </c>
      <c r="AM1891" t="s">
        <v>98</v>
      </c>
      <c r="AN1891" t="s">
        <v>98</v>
      </c>
      <c r="AO1891" t="s">
        <v>98</v>
      </c>
      <c r="AP1891" t="s">
        <v>100</v>
      </c>
      <c r="AQ1891" t="s">
        <v>101</v>
      </c>
      <c r="AV1891" t="s">
        <v>98</v>
      </c>
      <c r="AX1891" t="s">
        <v>7528</v>
      </c>
      <c r="AZ1891" t="s">
        <v>7528</v>
      </c>
      <c r="BB1891" t="s">
        <v>7528</v>
      </c>
      <c r="BC1891" t="s">
        <v>7528</v>
      </c>
      <c r="BD1891" t="s">
        <v>7528</v>
      </c>
      <c r="BF1891" t="s">
        <v>5739</v>
      </c>
      <c r="BG1891" t="s">
        <v>98</v>
      </c>
      <c r="BH1891" t="s">
        <v>98</v>
      </c>
      <c r="BI1891" t="s">
        <v>98</v>
      </c>
      <c r="BK1891" t="s">
        <v>7528</v>
      </c>
      <c r="BL1891" t="s">
        <v>7528</v>
      </c>
      <c r="CA1891" t="s">
        <v>5737</v>
      </c>
      <c r="CB1891" t="s">
        <v>7528</v>
      </c>
      <c r="CL1891" t="s">
        <v>98</v>
      </c>
      <c r="CM1891" t="s">
        <v>98</v>
      </c>
      <c r="CN1891" t="s">
        <v>7528</v>
      </c>
      <c r="CO1891" s="1">
        <v>40213</v>
      </c>
      <c r="CP1891" s="1">
        <v>43633</v>
      </c>
    </row>
    <row r="1892" spans="1:94" x14ac:dyDescent="0.25">
      <c r="A1892" t="s">
        <v>5740</v>
      </c>
      <c r="B1892" t="str">
        <f xml:space="preserve"> "" &amp; 747396070384</f>
        <v>747396070384</v>
      </c>
      <c r="C1892" t="s">
        <v>5738</v>
      </c>
      <c r="D1892" t="s">
        <v>7250</v>
      </c>
      <c r="E1892" t="s">
        <v>7528</v>
      </c>
      <c r="F1892" t="s">
        <v>627</v>
      </c>
      <c r="G1892">
        <v>1</v>
      </c>
      <c r="H1892">
        <v>1</v>
      </c>
      <c r="I1892" t="s">
        <v>97</v>
      </c>
      <c r="J1892" s="10">
        <v>35</v>
      </c>
      <c r="K1892" s="10">
        <v>105</v>
      </c>
      <c r="L1892" s="10">
        <v>0</v>
      </c>
      <c r="N1892" s="10">
        <v>0</v>
      </c>
      <c r="S1892">
        <v>11</v>
      </c>
      <c r="U1892">
        <v>6.25</v>
      </c>
      <c r="V1892">
        <v>2.75</v>
      </c>
      <c r="W1892">
        <v>1</v>
      </c>
      <c r="AB1892">
        <v>0.36</v>
      </c>
      <c r="AC1892">
        <v>2.0499999999999998</v>
      </c>
      <c r="AF1892" t="s">
        <v>7528</v>
      </c>
      <c r="AK1892" t="s">
        <v>98</v>
      </c>
      <c r="AM1892" t="s">
        <v>98</v>
      </c>
      <c r="AN1892" t="s">
        <v>98</v>
      </c>
      <c r="AO1892" t="s">
        <v>98</v>
      </c>
      <c r="AP1892" t="s">
        <v>100</v>
      </c>
      <c r="AQ1892" t="s">
        <v>101</v>
      </c>
      <c r="AV1892" t="s">
        <v>98</v>
      </c>
      <c r="AX1892" t="s">
        <v>7528</v>
      </c>
      <c r="AZ1892" t="s">
        <v>7528</v>
      </c>
      <c r="BB1892" t="s">
        <v>7528</v>
      </c>
      <c r="BC1892" t="s">
        <v>7528</v>
      </c>
      <c r="BD1892" t="s">
        <v>7528</v>
      </c>
      <c r="BF1892" t="s">
        <v>5741</v>
      </c>
      <c r="BG1892" t="s">
        <v>98</v>
      </c>
      <c r="BH1892" t="s">
        <v>98</v>
      </c>
      <c r="BI1892" t="s">
        <v>98</v>
      </c>
      <c r="BK1892" t="s">
        <v>7528</v>
      </c>
      <c r="BL1892" t="s">
        <v>7528</v>
      </c>
      <c r="CA1892" t="s">
        <v>5740</v>
      </c>
      <c r="CB1892" t="s">
        <v>7528</v>
      </c>
      <c r="CL1892" t="s">
        <v>98</v>
      </c>
      <c r="CM1892" t="s">
        <v>98</v>
      </c>
      <c r="CN1892" t="s">
        <v>7528</v>
      </c>
      <c r="CO1892" s="1">
        <v>40213</v>
      </c>
      <c r="CP1892" s="1">
        <v>43633</v>
      </c>
    </row>
    <row r="1893" spans="1:94" x14ac:dyDescent="0.25">
      <c r="A1893" t="s">
        <v>5742</v>
      </c>
      <c r="B1893" t="str">
        <f xml:space="preserve"> "" &amp; 747396070391</f>
        <v>747396070391</v>
      </c>
      <c r="C1893" t="s">
        <v>5738</v>
      </c>
      <c r="D1893" t="s">
        <v>7251</v>
      </c>
      <c r="E1893" t="s">
        <v>7528</v>
      </c>
      <c r="F1893" t="s">
        <v>627</v>
      </c>
      <c r="G1893">
        <v>1</v>
      </c>
      <c r="H1893">
        <v>1</v>
      </c>
      <c r="I1893" t="s">
        <v>97</v>
      </c>
      <c r="J1893" s="10">
        <v>45</v>
      </c>
      <c r="K1893" s="10">
        <v>135</v>
      </c>
      <c r="L1893" s="10">
        <v>0</v>
      </c>
      <c r="N1893" s="10">
        <v>0</v>
      </c>
      <c r="S1893">
        <v>16.16</v>
      </c>
      <c r="U1893">
        <v>6.25</v>
      </c>
      <c r="V1893">
        <v>2.75</v>
      </c>
      <c r="W1893">
        <v>1</v>
      </c>
      <c r="AB1893">
        <v>0.49</v>
      </c>
      <c r="AC1893">
        <v>2.7</v>
      </c>
      <c r="AF1893" t="s">
        <v>7528</v>
      </c>
      <c r="AK1893" t="s">
        <v>98</v>
      </c>
      <c r="AM1893" t="s">
        <v>98</v>
      </c>
      <c r="AN1893" t="s">
        <v>98</v>
      </c>
      <c r="AO1893" t="s">
        <v>98</v>
      </c>
      <c r="AP1893" t="s">
        <v>100</v>
      </c>
      <c r="AQ1893" t="s">
        <v>101</v>
      </c>
      <c r="AV1893" t="s">
        <v>98</v>
      </c>
      <c r="AX1893" t="s">
        <v>7528</v>
      </c>
      <c r="AZ1893" t="s">
        <v>7528</v>
      </c>
      <c r="BB1893" t="s">
        <v>7528</v>
      </c>
      <c r="BC1893" t="s">
        <v>7528</v>
      </c>
      <c r="BD1893" t="s">
        <v>7528</v>
      </c>
      <c r="BF1893" t="s">
        <v>5743</v>
      </c>
      <c r="BG1893" t="s">
        <v>98</v>
      </c>
      <c r="BH1893" t="s">
        <v>98</v>
      </c>
      <c r="BI1893" t="s">
        <v>98</v>
      </c>
      <c r="BK1893" t="s">
        <v>7528</v>
      </c>
      <c r="BL1893" t="s">
        <v>7528</v>
      </c>
      <c r="CA1893" t="s">
        <v>5742</v>
      </c>
      <c r="CB1893" t="s">
        <v>7528</v>
      </c>
      <c r="CL1893" t="s">
        <v>98</v>
      </c>
      <c r="CM1893" t="s">
        <v>98</v>
      </c>
      <c r="CN1893" t="s">
        <v>7528</v>
      </c>
      <c r="CO1893" s="1">
        <v>40213</v>
      </c>
      <c r="CP1893" s="1">
        <v>43633</v>
      </c>
    </row>
    <row r="1894" spans="1:94" x14ac:dyDescent="0.25">
      <c r="A1894" t="s">
        <v>5744</v>
      </c>
      <c r="B1894" t="str">
        <f xml:space="preserve"> "" &amp; 747396070766</f>
        <v>747396070766</v>
      </c>
      <c r="C1894" t="s">
        <v>808</v>
      </c>
      <c r="D1894" t="s">
        <v>7252</v>
      </c>
      <c r="E1894" t="s">
        <v>7528</v>
      </c>
      <c r="F1894" t="s">
        <v>627</v>
      </c>
      <c r="G1894">
        <v>1</v>
      </c>
      <c r="H1894">
        <v>1</v>
      </c>
      <c r="I1894" t="s">
        <v>97</v>
      </c>
      <c r="J1894" s="10">
        <v>6.5</v>
      </c>
      <c r="K1894" s="10">
        <v>19.5</v>
      </c>
      <c r="L1894" s="10">
        <v>0</v>
      </c>
      <c r="N1894" s="10">
        <v>0</v>
      </c>
      <c r="S1894">
        <v>0.16</v>
      </c>
      <c r="T1894">
        <v>7.75</v>
      </c>
      <c r="U1894">
        <v>5</v>
      </c>
      <c r="W1894">
        <v>1</v>
      </c>
      <c r="AB1894">
        <v>6.7500000000000004E-2</v>
      </c>
      <c r="AC1894">
        <v>0.83</v>
      </c>
      <c r="AF1894" t="s">
        <v>7528</v>
      </c>
      <c r="AK1894" t="s">
        <v>98</v>
      </c>
      <c r="AM1894" t="s">
        <v>98</v>
      </c>
      <c r="AN1894" t="s">
        <v>98</v>
      </c>
      <c r="AO1894" t="s">
        <v>98</v>
      </c>
      <c r="AP1894" t="s">
        <v>100</v>
      </c>
      <c r="AQ1894" t="s">
        <v>101</v>
      </c>
      <c r="AV1894" t="s">
        <v>98</v>
      </c>
      <c r="AX1894" t="s">
        <v>7528</v>
      </c>
      <c r="AZ1894" t="s">
        <v>7528</v>
      </c>
      <c r="BB1894" t="s">
        <v>7528</v>
      </c>
      <c r="BC1894" t="s">
        <v>7528</v>
      </c>
      <c r="BD1894" t="s">
        <v>7528</v>
      </c>
      <c r="BF1894" t="s">
        <v>5745</v>
      </c>
      <c r="BG1894" t="s">
        <v>98</v>
      </c>
      <c r="BH1894" t="s">
        <v>98</v>
      </c>
      <c r="BI1894" t="s">
        <v>98</v>
      </c>
      <c r="BK1894" t="s">
        <v>7528</v>
      </c>
      <c r="BL1894" t="s">
        <v>7528</v>
      </c>
      <c r="CA1894" t="s">
        <v>5744</v>
      </c>
      <c r="CB1894" t="s">
        <v>7528</v>
      </c>
      <c r="CL1894" t="s">
        <v>98</v>
      </c>
      <c r="CM1894" t="s">
        <v>98</v>
      </c>
      <c r="CN1894" t="s">
        <v>7528</v>
      </c>
      <c r="CO1894" s="1">
        <v>40213</v>
      </c>
      <c r="CP1894" s="1">
        <v>43633</v>
      </c>
    </row>
    <row r="1895" spans="1:94" x14ac:dyDescent="0.25">
      <c r="A1895" t="s">
        <v>5746</v>
      </c>
      <c r="B1895" t="str">
        <f xml:space="preserve"> "" &amp; 747396070780</f>
        <v>747396070780</v>
      </c>
      <c r="C1895" t="s">
        <v>808</v>
      </c>
      <c r="D1895" t="s">
        <v>7253</v>
      </c>
      <c r="E1895" t="s">
        <v>7528</v>
      </c>
      <c r="F1895" t="s">
        <v>627</v>
      </c>
      <c r="G1895">
        <v>1</v>
      </c>
      <c r="H1895">
        <v>1</v>
      </c>
      <c r="I1895" t="s">
        <v>97</v>
      </c>
      <c r="J1895" s="10">
        <v>8.5</v>
      </c>
      <c r="K1895" s="10">
        <v>25.5</v>
      </c>
      <c r="L1895" s="10">
        <v>0</v>
      </c>
      <c r="N1895" s="10">
        <v>0</v>
      </c>
      <c r="S1895">
        <v>0.16</v>
      </c>
      <c r="T1895">
        <v>13.25</v>
      </c>
      <c r="U1895">
        <v>7</v>
      </c>
      <c r="W1895">
        <v>1</v>
      </c>
      <c r="AB1895">
        <v>0.13200000000000001</v>
      </c>
      <c r="AC1895">
        <v>1.94</v>
      </c>
      <c r="AF1895" t="s">
        <v>7528</v>
      </c>
      <c r="AK1895" t="s">
        <v>98</v>
      </c>
      <c r="AM1895" t="s">
        <v>98</v>
      </c>
      <c r="AN1895" t="s">
        <v>98</v>
      </c>
      <c r="AO1895" t="s">
        <v>98</v>
      </c>
      <c r="AP1895" t="s">
        <v>100</v>
      </c>
      <c r="AQ1895" t="s">
        <v>101</v>
      </c>
      <c r="AV1895" t="s">
        <v>98</v>
      </c>
      <c r="AX1895" t="s">
        <v>7528</v>
      </c>
      <c r="AZ1895" t="s">
        <v>7528</v>
      </c>
      <c r="BB1895" t="s">
        <v>7528</v>
      </c>
      <c r="BC1895" t="s">
        <v>7528</v>
      </c>
      <c r="BD1895" t="s">
        <v>7528</v>
      </c>
      <c r="BF1895" t="s">
        <v>5747</v>
      </c>
      <c r="BG1895" t="s">
        <v>98</v>
      </c>
      <c r="BH1895" t="s">
        <v>98</v>
      </c>
      <c r="BI1895" t="s">
        <v>98</v>
      </c>
      <c r="BK1895" t="s">
        <v>7528</v>
      </c>
      <c r="BL1895" t="s">
        <v>7528</v>
      </c>
      <c r="CA1895" t="s">
        <v>5746</v>
      </c>
      <c r="CB1895" t="s">
        <v>7528</v>
      </c>
      <c r="CL1895" t="s">
        <v>98</v>
      </c>
      <c r="CM1895" t="s">
        <v>98</v>
      </c>
      <c r="CN1895" t="s">
        <v>7528</v>
      </c>
      <c r="CO1895" s="1">
        <v>40213</v>
      </c>
      <c r="CP1895" s="1">
        <v>43633</v>
      </c>
    </row>
    <row r="1896" spans="1:94" x14ac:dyDescent="0.25">
      <c r="A1896" t="s">
        <v>5748</v>
      </c>
      <c r="B1896" t="str">
        <f xml:space="preserve"> "" &amp; 747396070803</f>
        <v>747396070803</v>
      </c>
      <c r="C1896" t="s">
        <v>808</v>
      </c>
      <c r="D1896" t="s">
        <v>7254</v>
      </c>
      <c r="E1896" t="s">
        <v>7528</v>
      </c>
      <c r="F1896" t="s">
        <v>627</v>
      </c>
      <c r="G1896">
        <v>1</v>
      </c>
      <c r="H1896">
        <v>1</v>
      </c>
      <c r="I1896" t="s">
        <v>97</v>
      </c>
      <c r="J1896" s="10">
        <v>12</v>
      </c>
      <c r="K1896" s="10">
        <v>36</v>
      </c>
      <c r="L1896" s="10">
        <v>0</v>
      </c>
      <c r="N1896" s="10">
        <v>0</v>
      </c>
      <c r="S1896">
        <v>0.13</v>
      </c>
      <c r="T1896">
        <v>17.5</v>
      </c>
      <c r="U1896">
        <v>8.3800000000000008</v>
      </c>
      <c r="W1896">
        <v>1</v>
      </c>
      <c r="AB1896">
        <v>0.191</v>
      </c>
      <c r="AC1896">
        <v>2.64</v>
      </c>
      <c r="AF1896" t="s">
        <v>7528</v>
      </c>
      <c r="AK1896" t="s">
        <v>98</v>
      </c>
      <c r="AM1896" t="s">
        <v>98</v>
      </c>
      <c r="AN1896" t="s">
        <v>98</v>
      </c>
      <c r="AO1896" t="s">
        <v>98</v>
      </c>
      <c r="AP1896" t="s">
        <v>100</v>
      </c>
      <c r="AQ1896" t="s">
        <v>101</v>
      </c>
      <c r="AV1896" t="s">
        <v>98</v>
      </c>
      <c r="AX1896" t="s">
        <v>7528</v>
      </c>
      <c r="AZ1896" t="s">
        <v>7528</v>
      </c>
      <c r="BB1896" t="s">
        <v>7528</v>
      </c>
      <c r="BC1896" t="s">
        <v>7528</v>
      </c>
      <c r="BD1896" t="s">
        <v>7528</v>
      </c>
      <c r="BF1896" t="s">
        <v>5749</v>
      </c>
      <c r="BG1896" t="s">
        <v>98</v>
      </c>
      <c r="BH1896" t="s">
        <v>98</v>
      </c>
      <c r="BI1896" t="s">
        <v>98</v>
      </c>
      <c r="BK1896" t="s">
        <v>7528</v>
      </c>
      <c r="BL1896" t="s">
        <v>7528</v>
      </c>
      <c r="CA1896" t="s">
        <v>5748</v>
      </c>
      <c r="CB1896" t="s">
        <v>7528</v>
      </c>
      <c r="CL1896" t="s">
        <v>98</v>
      </c>
      <c r="CM1896" t="s">
        <v>98</v>
      </c>
      <c r="CN1896" t="s">
        <v>7528</v>
      </c>
      <c r="CO1896" s="1">
        <v>40213</v>
      </c>
      <c r="CP1896" s="1">
        <v>43633</v>
      </c>
    </row>
    <row r="1897" spans="1:94" x14ac:dyDescent="0.25">
      <c r="A1897" t="s">
        <v>5750</v>
      </c>
      <c r="B1897" t="str">
        <f xml:space="preserve"> "" &amp; 747396070827</f>
        <v>747396070827</v>
      </c>
      <c r="C1897" t="s">
        <v>808</v>
      </c>
      <c r="D1897" t="s">
        <v>7255</v>
      </c>
      <c r="E1897" t="s">
        <v>7528</v>
      </c>
      <c r="F1897" t="s">
        <v>627</v>
      </c>
      <c r="G1897">
        <v>1</v>
      </c>
      <c r="H1897">
        <v>1</v>
      </c>
      <c r="I1897" t="s">
        <v>97</v>
      </c>
      <c r="J1897" s="10">
        <v>12</v>
      </c>
      <c r="K1897" s="10">
        <v>36</v>
      </c>
      <c r="L1897" s="10">
        <v>0</v>
      </c>
      <c r="N1897" s="10">
        <v>0</v>
      </c>
      <c r="S1897">
        <v>0.13</v>
      </c>
      <c r="T1897">
        <v>15.13</v>
      </c>
      <c r="U1897">
        <v>8.3800000000000008</v>
      </c>
      <c r="W1897">
        <v>1</v>
      </c>
      <c r="AB1897">
        <v>0.14030000000000001</v>
      </c>
      <c r="AC1897">
        <v>1.1000000000000001</v>
      </c>
      <c r="AF1897" t="s">
        <v>7528</v>
      </c>
      <c r="AK1897" t="s">
        <v>98</v>
      </c>
      <c r="AM1897" t="s">
        <v>98</v>
      </c>
      <c r="AN1897" t="s">
        <v>98</v>
      </c>
      <c r="AO1897" t="s">
        <v>98</v>
      </c>
      <c r="AP1897" t="s">
        <v>100</v>
      </c>
      <c r="AQ1897" t="s">
        <v>101</v>
      </c>
      <c r="AV1897" t="s">
        <v>98</v>
      </c>
      <c r="AX1897" t="s">
        <v>7528</v>
      </c>
      <c r="AZ1897" t="s">
        <v>7528</v>
      </c>
      <c r="BB1897" t="s">
        <v>7528</v>
      </c>
      <c r="BC1897" t="s">
        <v>7528</v>
      </c>
      <c r="BD1897" t="s">
        <v>7528</v>
      </c>
      <c r="BF1897" t="s">
        <v>5751</v>
      </c>
      <c r="BG1897" t="s">
        <v>98</v>
      </c>
      <c r="BH1897" t="s">
        <v>98</v>
      </c>
      <c r="BI1897" t="s">
        <v>98</v>
      </c>
      <c r="BK1897" t="s">
        <v>7528</v>
      </c>
      <c r="BL1897" t="s">
        <v>7528</v>
      </c>
      <c r="CA1897" t="s">
        <v>5750</v>
      </c>
      <c r="CB1897" t="s">
        <v>7528</v>
      </c>
      <c r="CL1897" t="s">
        <v>98</v>
      </c>
      <c r="CM1897" t="s">
        <v>98</v>
      </c>
      <c r="CN1897" t="s">
        <v>7528</v>
      </c>
      <c r="CO1897" s="1">
        <v>40213</v>
      </c>
      <c r="CP1897" s="1">
        <v>43633</v>
      </c>
    </row>
    <row r="1898" spans="1:94" x14ac:dyDescent="0.25">
      <c r="A1898" t="s">
        <v>5752</v>
      </c>
      <c r="B1898" t="str">
        <f xml:space="preserve"> "" &amp; 747396070834</f>
        <v>747396070834</v>
      </c>
      <c r="C1898" t="s">
        <v>808</v>
      </c>
      <c r="D1898" t="s">
        <v>7256</v>
      </c>
      <c r="E1898" t="s">
        <v>7528</v>
      </c>
      <c r="F1898" t="s">
        <v>627</v>
      </c>
      <c r="G1898">
        <v>1</v>
      </c>
      <c r="H1898">
        <v>1</v>
      </c>
      <c r="I1898" t="s">
        <v>97</v>
      </c>
      <c r="J1898" s="10">
        <v>10</v>
      </c>
      <c r="K1898" s="10">
        <v>30</v>
      </c>
      <c r="L1898" s="10">
        <v>0</v>
      </c>
      <c r="N1898" s="10">
        <v>0</v>
      </c>
      <c r="S1898">
        <v>0.13</v>
      </c>
      <c r="T1898">
        <v>13</v>
      </c>
      <c r="U1898">
        <v>6.88</v>
      </c>
      <c r="W1898">
        <v>1</v>
      </c>
      <c r="AB1898">
        <v>0.10199999999999999</v>
      </c>
      <c r="AC1898">
        <v>0.94</v>
      </c>
      <c r="AF1898" t="s">
        <v>7528</v>
      </c>
      <c r="AK1898" t="s">
        <v>98</v>
      </c>
      <c r="AM1898" t="s">
        <v>98</v>
      </c>
      <c r="AN1898" t="s">
        <v>98</v>
      </c>
      <c r="AO1898" t="s">
        <v>98</v>
      </c>
      <c r="AP1898" t="s">
        <v>100</v>
      </c>
      <c r="AQ1898" t="s">
        <v>101</v>
      </c>
      <c r="AV1898" t="s">
        <v>98</v>
      </c>
      <c r="AX1898" t="s">
        <v>7528</v>
      </c>
      <c r="AZ1898" t="s">
        <v>7528</v>
      </c>
      <c r="BB1898" t="s">
        <v>7528</v>
      </c>
      <c r="BC1898" t="s">
        <v>7528</v>
      </c>
      <c r="BD1898" t="s">
        <v>7528</v>
      </c>
      <c r="BF1898" t="s">
        <v>5753</v>
      </c>
      <c r="BG1898" t="s">
        <v>98</v>
      </c>
      <c r="BH1898" t="s">
        <v>98</v>
      </c>
      <c r="BI1898" t="s">
        <v>98</v>
      </c>
      <c r="BK1898" t="s">
        <v>7528</v>
      </c>
      <c r="BL1898" t="s">
        <v>7528</v>
      </c>
      <c r="CA1898" t="s">
        <v>5752</v>
      </c>
      <c r="CB1898" t="s">
        <v>7528</v>
      </c>
      <c r="CL1898" t="s">
        <v>98</v>
      </c>
      <c r="CM1898" t="s">
        <v>98</v>
      </c>
      <c r="CN1898" t="s">
        <v>7528</v>
      </c>
      <c r="CO1898" s="1">
        <v>40213</v>
      </c>
      <c r="CP1898" s="1">
        <v>43633</v>
      </c>
    </row>
    <row r="1899" spans="1:94" x14ac:dyDescent="0.25">
      <c r="A1899" t="s">
        <v>5754</v>
      </c>
      <c r="B1899" t="str">
        <f xml:space="preserve"> "" &amp; 747396070841</f>
        <v>747396070841</v>
      </c>
      <c r="C1899" t="s">
        <v>460</v>
      </c>
      <c r="D1899" t="s">
        <v>7257</v>
      </c>
      <c r="E1899" t="s">
        <v>7528</v>
      </c>
      <c r="F1899" t="s">
        <v>627</v>
      </c>
      <c r="G1899">
        <v>1</v>
      </c>
      <c r="H1899">
        <v>1</v>
      </c>
      <c r="I1899" t="s">
        <v>97</v>
      </c>
      <c r="J1899" s="10">
        <v>18.5</v>
      </c>
      <c r="K1899" s="10">
        <v>55.5</v>
      </c>
      <c r="L1899" s="10">
        <v>0</v>
      </c>
      <c r="N1899" s="10">
        <v>0</v>
      </c>
      <c r="S1899">
        <v>5.75</v>
      </c>
      <c r="U1899">
        <v>4.5</v>
      </c>
      <c r="V1899">
        <v>2.5</v>
      </c>
      <c r="W1899">
        <v>1</v>
      </c>
      <c r="AB1899">
        <v>0.1153</v>
      </c>
      <c r="AC1899">
        <v>1.37</v>
      </c>
      <c r="AF1899" t="s">
        <v>7528</v>
      </c>
      <c r="AK1899" t="s">
        <v>98</v>
      </c>
      <c r="AM1899" t="s">
        <v>98</v>
      </c>
      <c r="AN1899" t="s">
        <v>98</v>
      </c>
      <c r="AO1899" t="s">
        <v>98</v>
      </c>
      <c r="AP1899" t="s">
        <v>100</v>
      </c>
      <c r="AQ1899" t="s">
        <v>101</v>
      </c>
      <c r="AV1899" t="s">
        <v>98</v>
      </c>
      <c r="AX1899" t="s">
        <v>7528</v>
      </c>
      <c r="AZ1899" t="s">
        <v>7528</v>
      </c>
      <c r="BB1899" t="s">
        <v>7528</v>
      </c>
      <c r="BC1899" t="s">
        <v>7528</v>
      </c>
      <c r="BD1899" t="s">
        <v>7528</v>
      </c>
      <c r="BF1899" t="s">
        <v>5755</v>
      </c>
      <c r="BG1899" t="s">
        <v>98</v>
      </c>
      <c r="BH1899" t="s">
        <v>98</v>
      </c>
      <c r="BI1899" t="s">
        <v>98</v>
      </c>
      <c r="BK1899" t="s">
        <v>7528</v>
      </c>
      <c r="BL1899" t="s">
        <v>7528</v>
      </c>
      <c r="CA1899" t="s">
        <v>5754</v>
      </c>
      <c r="CB1899" t="s">
        <v>7528</v>
      </c>
      <c r="CL1899" t="s">
        <v>98</v>
      </c>
      <c r="CM1899" t="s">
        <v>98</v>
      </c>
      <c r="CN1899" t="s">
        <v>7528</v>
      </c>
      <c r="CO1899" s="1">
        <v>40318</v>
      </c>
      <c r="CP1899" s="1">
        <v>43633</v>
      </c>
    </row>
    <row r="1900" spans="1:94" x14ac:dyDescent="0.25">
      <c r="A1900" t="s">
        <v>5756</v>
      </c>
      <c r="B1900" t="str">
        <f xml:space="preserve"> "" &amp; 747396070407</f>
        <v>747396070407</v>
      </c>
      <c r="C1900" t="s">
        <v>1501</v>
      </c>
      <c r="D1900" t="s">
        <v>7258</v>
      </c>
      <c r="E1900" t="s">
        <v>7528</v>
      </c>
      <c r="F1900" t="s">
        <v>627</v>
      </c>
      <c r="G1900">
        <v>1</v>
      </c>
      <c r="H1900">
        <v>1</v>
      </c>
      <c r="I1900" t="s">
        <v>97</v>
      </c>
      <c r="J1900" s="10">
        <v>20</v>
      </c>
      <c r="K1900" s="10">
        <v>60</v>
      </c>
      <c r="L1900" s="10">
        <v>0</v>
      </c>
      <c r="N1900" s="10">
        <v>0</v>
      </c>
      <c r="S1900">
        <v>9</v>
      </c>
      <c r="T1900">
        <v>3.88</v>
      </c>
      <c r="V1900">
        <v>2.5</v>
      </c>
      <c r="W1900">
        <v>1</v>
      </c>
      <c r="AB1900">
        <v>0.19</v>
      </c>
      <c r="AC1900">
        <v>1.82</v>
      </c>
      <c r="AF1900" t="s">
        <v>7528</v>
      </c>
      <c r="AK1900" t="s">
        <v>98</v>
      </c>
      <c r="AM1900" t="s">
        <v>98</v>
      </c>
      <c r="AN1900" t="s">
        <v>98</v>
      </c>
      <c r="AO1900" t="s">
        <v>98</v>
      </c>
      <c r="AP1900" t="s">
        <v>100</v>
      </c>
      <c r="AQ1900" t="s">
        <v>101</v>
      </c>
      <c r="AV1900" t="s">
        <v>98</v>
      </c>
      <c r="AX1900" t="s">
        <v>7528</v>
      </c>
      <c r="AZ1900" t="s">
        <v>7528</v>
      </c>
      <c r="BB1900" t="s">
        <v>7528</v>
      </c>
      <c r="BC1900" t="s">
        <v>7528</v>
      </c>
      <c r="BD1900" t="s">
        <v>7528</v>
      </c>
      <c r="BF1900" t="s">
        <v>5757</v>
      </c>
      <c r="BG1900" t="s">
        <v>98</v>
      </c>
      <c r="BH1900" t="s">
        <v>98</v>
      </c>
      <c r="BI1900" t="s">
        <v>98</v>
      </c>
      <c r="BK1900" t="s">
        <v>7528</v>
      </c>
      <c r="BL1900" t="s">
        <v>7528</v>
      </c>
      <c r="CA1900" t="s">
        <v>5756</v>
      </c>
      <c r="CB1900" t="s">
        <v>7528</v>
      </c>
      <c r="CL1900" t="s">
        <v>98</v>
      </c>
      <c r="CM1900" t="s">
        <v>98</v>
      </c>
      <c r="CN1900" t="s">
        <v>7528</v>
      </c>
      <c r="CO1900" s="1">
        <v>40213</v>
      </c>
      <c r="CP1900" s="1">
        <v>43633</v>
      </c>
    </row>
    <row r="1901" spans="1:94" x14ac:dyDescent="0.25">
      <c r="A1901" t="s">
        <v>5758</v>
      </c>
      <c r="B1901" t="str">
        <f xml:space="preserve"> "" &amp; 747396070414</f>
        <v>747396070414</v>
      </c>
      <c r="C1901" t="s">
        <v>1501</v>
      </c>
      <c r="D1901" t="s">
        <v>7259</v>
      </c>
      <c r="E1901" t="s">
        <v>7528</v>
      </c>
      <c r="F1901" t="s">
        <v>627</v>
      </c>
      <c r="G1901">
        <v>1</v>
      </c>
      <c r="H1901">
        <v>1</v>
      </c>
      <c r="I1901" t="s">
        <v>97</v>
      </c>
      <c r="J1901" s="10">
        <v>30</v>
      </c>
      <c r="K1901" s="10">
        <v>90</v>
      </c>
      <c r="L1901" s="10">
        <v>0</v>
      </c>
      <c r="N1901" s="10">
        <v>0</v>
      </c>
      <c r="S1901">
        <v>16.38</v>
      </c>
      <c r="U1901">
        <v>3.88</v>
      </c>
      <c r="V1901">
        <v>2.5</v>
      </c>
      <c r="W1901">
        <v>1</v>
      </c>
      <c r="AB1901">
        <v>0.36</v>
      </c>
      <c r="AC1901">
        <v>2.77</v>
      </c>
      <c r="AF1901" t="s">
        <v>7528</v>
      </c>
      <c r="AK1901" t="s">
        <v>98</v>
      </c>
      <c r="AM1901" t="s">
        <v>98</v>
      </c>
      <c r="AN1901" t="s">
        <v>98</v>
      </c>
      <c r="AO1901" t="s">
        <v>98</v>
      </c>
      <c r="AP1901" t="s">
        <v>100</v>
      </c>
      <c r="AQ1901" t="s">
        <v>101</v>
      </c>
      <c r="AV1901" t="s">
        <v>98</v>
      </c>
      <c r="AX1901" t="s">
        <v>7528</v>
      </c>
      <c r="AZ1901" t="s">
        <v>7528</v>
      </c>
      <c r="BB1901" t="s">
        <v>7528</v>
      </c>
      <c r="BC1901" t="s">
        <v>7528</v>
      </c>
      <c r="BD1901" t="s">
        <v>7528</v>
      </c>
      <c r="BF1901" t="s">
        <v>5759</v>
      </c>
      <c r="BG1901" t="s">
        <v>98</v>
      </c>
      <c r="BH1901" t="s">
        <v>98</v>
      </c>
      <c r="BI1901" t="s">
        <v>98</v>
      </c>
      <c r="BK1901" t="s">
        <v>7528</v>
      </c>
      <c r="BL1901" t="s">
        <v>7528</v>
      </c>
      <c r="CA1901" t="s">
        <v>5758</v>
      </c>
      <c r="CB1901" t="s">
        <v>7528</v>
      </c>
      <c r="CL1901" t="s">
        <v>98</v>
      </c>
      <c r="CM1901" t="s">
        <v>98</v>
      </c>
      <c r="CN1901" t="s">
        <v>7528</v>
      </c>
      <c r="CO1901" s="1">
        <v>40213</v>
      </c>
      <c r="CP1901" s="1">
        <v>43633</v>
      </c>
    </row>
    <row r="1902" spans="1:94" x14ac:dyDescent="0.25">
      <c r="A1902" t="s">
        <v>5760</v>
      </c>
      <c r="B1902" t="str">
        <f xml:space="preserve"> "" &amp; 747396070421</f>
        <v>747396070421</v>
      </c>
      <c r="C1902" t="s">
        <v>808</v>
      </c>
      <c r="D1902" t="s">
        <v>7260</v>
      </c>
      <c r="E1902" t="s">
        <v>7528</v>
      </c>
      <c r="F1902" t="s">
        <v>627</v>
      </c>
      <c r="G1902">
        <v>1</v>
      </c>
      <c r="H1902">
        <v>1</v>
      </c>
      <c r="I1902" t="s">
        <v>97</v>
      </c>
      <c r="J1902" s="10">
        <v>10</v>
      </c>
      <c r="K1902" s="10">
        <v>30</v>
      </c>
      <c r="L1902" s="10">
        <v>0</v>
      </c>
      <c r="N1902" s="10">
        <v>0</v>
      </c>
      <c r="S1902">
        <v>14.13</v>
      </c>
      <c r="U1902">
        <v>5.13</v>
      </c>
      <c r="W1902">
        <v>1</v>
      </c>
      <c r="AB1902">
        <v>0.08</v>
      </c>
      <c r="AC1902">
        <v>1.06</v>
      </c>
      <c r="AF1902" t="s">
        <v>7528</v>
      </c>
      <c r="AK1902" t="s">
        <v>98</v>
      </c>
      <c r="AM1902" t="s">
        <v>98</v>
      </c>
      <c r="AN1902" t="s">
        <v>98</v>
      </c>
      <c r="AO1902" t="s">
        <v>98</v>
      </c>
      <c r="AP1902" t="s">
        <v>100</v>
      </c>
      <c r="AQ1902" t="s">
        <v>101</v>
      </c>
      <c r="AV1902" t="s">
        <v>98</v>
      </c>
      <c r="AX1902" t="s">
        <v>7528</v>
      </c>
      <c r="AZ1902" t="s">
        <v>7528</v>
      </c>
      <c r="BB1902" t="s">
        <v>7528</v>
      </c>
      <c r="BC1902" t="s">
        <v>7528</v>
      </c>
      <c r="BD1902" t="s">
        <v>7528</v>
      </c>
      <c r="BF1902" t="s">
        <v>5761</v>
      </c>
      <c r="BG1902" t="s">
        <v>98</v>
      </c>
      <c r="BH1902" t="s">
        <v>98</v>
      </c>
      <c r="BI1902" t="s">
        <v>98</v>
      </c>
      <c r="BK1902" t="s">
        <v>7528</v>
      </c>
      <c r="BL1902" t="s">
        <v>7528</v>
      </c>
      <c r="CA1902" t="s">
        <v>5760</v>
      </c>
      <c r="CB1902" t="s">
        <v>7528</v>
      </c>
      <c r="CL1902" t="s">
        <v>98</v>
      </c>
      <c r="CM1902" t="s">
        <v>98</v>
      </c>
      <c r="CN1902" t="s">
        <v>7528</v>
      </c>
      <c r="CO1902" s="1">
        <v>40213</v>
      </c>
      <c r="CP1902" s="1">
        <v>43633</v>
      </c>
    </row>
    <row r="1903" spans="1:94" x14ac:dyDescent="0.25">
      <c r="A1903" t="s">
        <v>5762</v>
      </c>
      <c r="B1903" t="str">
        <f xml:space="preserve"> "" &amp; 747396070438</f>
        <v>747396070438</v>
      </c>
      <c r="C1903" t="s">
        <v>808</v>
      </c>
      <c r="D1903" t="s">
        <v>7261</v>
      </c>
      <c r="E1903" t="s">
        <v>7528</v>
      </c>
      <c r="F1903" t="s">
        <v>627</v>
      </c>
      <c r="G1903">
        <v>1</v>
      </c>
      <c r="H1903">
        <v>1</v>
      </c>
      <c r="I1903" t="s">
        <v>97</v>
      </c>
      <c r="J1903" s="10">
        <v>6.5</v>
      </c>
      <c r="K1903" s="10">
        <v>19.5</v>
      </c>
      <c r="L1903" s="10">
        <v>0</v>
      </c>
      <c r="N1903" s="10">
        <v>0</v>
      </c>
      <c r="S1903">
        <v>8.6300000000000008</v>
      </c>
      <c r="U1903">
        <v>4.5</v>
      </c>
      <c r="W1903">
        <v>1</v>
      </c>
      <c r="AB1903">
        <v>0.05</v>
      </c>
      <c r="AC1903">
        <v>0.81</v>
      </c>
      <c r="AF1903" t="s">
        <v>7528</v>
      </c>
      <c r="AK1903" t="s">
        <v>98</v>
      </c>
      <c r="AM1903" t="s">
        <v>98</v>
      </c>
      <c r="AN1903" t="s">
        <v>98</v>
      </c>
      <c r="AO1903" t="s">
        <v>98</v>
      </c>
      <c r="AP1903" t="s">
        <v>100</v>
      </c>
      <c r="AQ1903" t="s">
        <v>101</v>
      </c>
      <c r="AV1903" t="s">
        <v>98</v>
      </c>
      <c r="AX1903" t="s">
        <v>7528</v>
      </c>
      <c r="AZ1903" t="s">
        <v>7528</v>
      </c>
      <c r="BB1903" t="s">
        <v>7528</v>
      </c>
      <c r="BC1903" t="s">
        <v>7528</v>
      </c>
      <c r="BD1903" t="s">
        <v>7528</v>
      </c>
      <c r="BF1903" t="s">
        <v>5763</v>
      </c>
      <c r="BG1903" t="s">
        <v>98</v>
      </c>
      <c r="BH1903" t="s">
        <v>98</v>
      </c>
      <c r="BI1903" t="s">
        <v>98</v>
      </c>
      <c r="BK1903" t="s">
        <v>7528</v>
      </c>
      <c r="BL1903" t="s">
        <v>7528</v>
      </c>
      <c r="CA1903" t="s">
        <v>5762</v>
      </c>
      <c r="CB1903" t="s">
        <v>7528</v>
      </c>
      <c r="CL1903" t="s">
        <v>98</v>
      </c>
      <c r="CM1903" t="s">
        <v>98</v>
      </c>
      <c r="CN1903" t="s">
        <v>7528</v>
      </c>
      <c r="CO1903" s="1">
        <v>40213</v>
      </c>
      <c r="CP1903" s="1">
        <v>43633</v>
      </c>
    </row>
    <row r="1904" spans="1:94" x14ac:dyDescent="0.25">
      <c r="A1904" t="s">
        <v>5764</v>
      </c>
      <c r="B1904" t="str">
        <f xml:space="preserve"> "" &amp; 747396070858</f>
        <v>747396070858</v>
      </c>
      <c r="C1904" t="s">
        <v>808</v>
      </c>
      <c r="D1904" t="s">
        <v>7262</v>
      </c>
      <c r="E1904" t="s">
        <v>7528</v>
      </c>
      <c r="F1904" t="s">
        <v>627</v>
      </c>
      <c r="G1904">
        <v>1</v>
      </c>
      <c r="H1904">
        <v>1</v>
      </c>
      <c r="I1904" t="s">
        <v>97</v>
      </c>
      <c r="J1904" s="10">
        <v>20</v>
      </c>
      <c r="K1904" s="10">
        <v>60</v>
      </c>
      <c r="L1904" s="10">
        <v>0</v>
      </c>
      <c r="N1904" s="10">
        <v>0</v>
      </c>
      <c r="S1904">
        <v>15.5</v>
      </c>
      <c r="U1904">
        <v>8.1300000000000008</v>
      </c>
      <c r="W1904">
        <v>1</v>
      </c>
      <c r="AB1904">
        <v>0.114</v>
      </c>
      <c r="AC1904">
        <v>1.24</v>
      </c>
      <c r="AF1904" t="s">
        <v>7528</v>
      </c>
      <c r="AK1904" t="s">
        <v>98</v>
      </c>
      <c r="AM1904" t="s">
        <v>98</v>
      </c>
      <c r="AN1904" t="s">
        <v>98</v>
      </c>
      <c r="AO1904" t="s">
        <v>98</v>
      </c>
      <c r="AP1904" t="s">
        <v>100</v>
      </c>
      <c r="AQ1904" t="s">
        <v>101</v>
      </c>
      <c r="AV1904" t="s">
        <v>98</v>
      </c>
      <c r="AX1904" t="s">
        <v>7528</v>
      </c>
      <c r="AZ1904" t="s">
        <v>7528</v>
      </c>
      <c r="BB1904" t="s">
        <v>7528</v>
      </c>
      <c r="BC1904" t="s">
        <v>7528</v>
      </c>
      <c r="BD1904" t="s">
        <v>7528</v>
      </c>
      <c r="BF1904" t="s">
        <v>5765</v>
      </c>
      <c r="BG1904" t="s">
        <v>98</v>
      </c>
      <c r="BH1904" t="s">
        <v>98</v>
      </c>
      <c r="BI1904" t="s">
        <v>98</v>
      </c>
      <c r="BK1904" t="s">
        <v>7528</v>
      </c>
      <c r="BL1904" t="s">
        <v>7528</v>
      </c>
      <c r="CA1904" t="s">
        <v>5764</v>
      </c>
      <c r="CB1904" t="s">
        <v>7528</v>
      </c>
      <c r="CL1904" t="s">
        <v>98</v>
      </c>
      <c r="CM1904" t="s">
        <v>98</v>
      </c>
      <c r="CN1904" t="s">
        <v>7528</v>
      </c>
      <c r="CO1904" s="1">
        <v>40213</v>
      </c>
      <c r="CP1904" s="1">
        <v>43633</v>
      </c>
    </row>
    <row r="1905" spans="1:94" x14ac:dyDescent="0.25">
      <c r="A1905" t="s">
        <v>5766</v>
      </c>
      <c r="B1905" t="str">
        <f xml:space="preserve"> "" &amp; 747396080864</f>
        <v>747396080864</v>
      </c>
      <c r="C1905" t="s">
        <v>1501</v>
      </c>
      <c r="D1905" t="s">
        <v>7263</v>
      </c>
      <c r="E1905" t="s">
        <v>7528</v>
      </c>
      <c r="F1905" t="s">
        <v>627</v>
      </c>
      <c r="G1905">
        <v>1</v>
      </c>
      <c r="H1905">
        <v>1</v>
      </c>
      <c r="I1905" t="s">
        <v>97</v>
      </c>
      <c r="J1905" s="10">
        <v>20</v>
      </c>
      <c r="K1905" s="10">
        <v>60</v>
      </c>
      <c r="L1905" s="10">
        <v>0</v>
      </c>
      <c r="N1905" s="10">
        <v>0</v>
      </c>
      <c r="W1905">
        <v>1.76</v>
      </c>
      <c r="Y1905">
        <v>9.5</v>
      </c>
      <c r="Z1905">
        <v>15.25</v>
      </c>
      <c r="AA1905">
        <v>12.5</v>
      </c>
      <c r="AB1905">
        <v>1.048</v>
      </c>
      <c r="AC1905">
        <v>1.87</v>
      </c>
      <c r="AF1905" t="s">
        <v>7528</v>
      </c>
      <c r="AK1905" t="s">
        <v>98</v>
      </c>
      <c r="AM1905" t="s">
        <v>98</v>
      </c>
      <c r="AN1905" t="s">
        <v>98</v>
      </c>
      <c r="AO1905" t="s">
        <v>98</v>
      </c>
      <c r="AP1905" t="s">
        <v>100</v>
      </c>
      <c r="AQ1905" t="s">
        <v>101</v>
      </c>
      <c r="AV1905" t="s">
        <v>98</v>
      </c>
      <c r="AX1905" t="s">
        <v>7528</v>
      </c>
      <c r="AZ1905" t="s">
        <v>7528</v>
      </c>
      <c r="BB1905" t="s">
        <v>7528</v>
      </c>
      <c r="BC1905" t="s">
        <v>7528</v>
      </c>
      <c r="BD1905" t="s">
        <v>7528</v>
      </c>
      <c r="BF1905" t="s">
        <v>5767</v>
      </c>
      <c r="BG1905" t="s">
        <v>98</v>
      </c>
      <c r="BH1905" t="s">
        <v>98</v>
      </c>
      <c r="BI1905" t="s">
        <v>98</v>
      </c>
      <c r="BK1905" t="s">
        <v>7528</v>
      </c>
      <c r="BL1905" t="s">
        <v>7528</v>
      </c>
      <c r="CA1905" t="s">
        <v>5766</v>
      </c>
      <c r="CB1905" t="s">
        <v>7528</v>
      </c>
      <c r="CL1905" t="s">
        <v>98</v>
      </c>
      <c r="CM1905" t="s">
        <v>98</v>
      </c>
      <c r="CN1905" t="s">
        <v>7528</v>
      </c>
      <c r="CO1905" s="1">
        <v>40708</v>
      </c>
      <c r="CP1905" s="1">
        <v>43633</v>
      </c>
    </row>
    <row r="1906" spans="1:94" x14ac:dyDescent="0.25">
      <c r="A1906" t="s">
        <v>5768</v>
      </c>
      <c r="B1906" t="str">
        <f xml:space="preserve"> "" &amp; 747396080871</f>
        <v>747396080871</v>
      </c>
      <c r="C1906" t="s">
        <v>1501</v>
      </c>
      <c r="D1906" t="s">
        <v>7264</v>
      </c>
      <c r="E1906" t="s">
        <v>7528</v>
      </c>
      <c r="F1906" t="s">
        <v>627</v>
      </c>
      <c r="G1906">
        <v>1</v>
      </c>
      <c r="H1906">
        <v>1</v>
      </c>
      <c r="I1906" t="s">
        <v>97</v>
      </c>
      <c r="J1906" s="10">
        <v>50</v>
      </c>
      <c r="K1906" s="10">
        <v>150</v>
      </c>
      <c r="L1906" s="10">
        <v>0</v>
      </c>
      <c r="N1906" s="10">
        <v>0</v>
      </c>
      <c r="W1906">
        <v>2.86</v>
      </c>
      <c r="X1906">
        <v>1</v>
      </c>
      <c r="Y1906">
        <v>13.5</v>
      </c>
      <c r="Z1906">
        <v>10.5</v>
      </c>
      <c r="AA1906">
        <v>8.5</v>
      </c>
      <c r="AB1906">
        <v>0.69699999999999995</v>
      </c>
      <c r="AC1906">
        <v>3.52</v>
      </c>
      <c r="AF1906" t="s">
        <v>7528</v>
      </c>
      <c r="AK1906" t="s">
        <v>98</v>
      </c>
      <c r="AM1906" t="s">
        <v>98</v>
      </c>
      <c r="AN1906" t="s">
        <v>98</v>
      </c>
      <c r="AO1906" t="s">
        <v>98</v>
      </c>
      <c r="AP1906" t="s">
        <v>100</v>
      </c>
      <c r="AQ1906" t="s">
        <v>101</v>
      </c>
      <c r="AV1906" t="s">
        <v>98</v>
      </c>
      <c r="AX1906" t="s">
        <v>7528</v>
      </c>
      <c r="AZ1906" t="s">
        <v>7528</v>
      </c>
      <c r="BB1906" t="s">
        <v>7528</v>
      </c>
      <c r="BC1906" t="s">
        <v>7528</v>
      </c>
      <c r="BD1906" t="s">
        <v>7528</v>
      </c>
      <c r="BF1906" t="s">
        <v>5769</v>
      </c>
      <c r="BG1906" t="s">
        <v>98</v>
      </c>
      <c r="BH1906" t="s">
        <v>98</v>
      </c>
      <c r="BI1906" t="s">
        <v>98</v>
      </c>
      <c r="BK1906" t="s">
        <v>7528</v>
      </c>
      <c r="BL1906" t="s">
        <v>7528</v>
      </c>
      <c r="CA1906" t="s">
        <v>5768</v>
      </c>
      <c r="CB1906" t="s">
        <v>7528</v>
      </c>
      <c r="CL1906" t="s">
        <v>98</v>
      </c>
      <c r="CM1906" t="s">
        <v>98</v>
      </c>
      <c r="CN1906" t="s">
        <v>7528</v>
      </c>
      <c r="CO1906" s="1">
        <v>40708</v>
      </c>
      <c r="CP1906" s="1">
        <v>43633</v>
      </c>
    </row>
    <row r="1907" spans="1:94" x14ac:dyDescent="0.25">
      <c r="A1907" t="s">
        <v>5770</v>
      </c>
      <c r="B1907" t="str">
        <f xml:space="preserve"> "" &amp; 747396080888</f>
        <v>747396080888</v>
      </c>
      <c r="C1907" t="s">
        <v>5771</v>
      </c>
      <c r="D1907" t="s">
        <v>7265</v>
      </c>
      <c r="E1907" t="s">
        <v>7528</v>
      </c>
      <c r="F1907" t="s">
        <v>627</v>
      </c>
      <c r="G1907">
        <v>1</v>
      </c>
      <c r="H1907">
        <v>1</v>
      </c>
      <c r="I1907" t="s">
        <v>97</v>
      </c>
      <c r="J1907" s="10">
        <v>18.5</v>
      </c>
      <c r="K1907" s="10">
        <v>55.5</v>
      </c>
      <c r="L1907" s="10">
        <v>0</v>
      </c>
      <c r="N1907" s="10">
        <v>0</v>
      </c>
      <c r="W1907">
        <v>3.96</v>
      </c>
      <c r="AB1907">
        <v>0.20580000000000001</v>
      </c>
      <c r="AC1907">
        <v>5.68</v>
      </c>
      <c r="AF1907" t="s">
        <v>7528</v>
      </c>
      <c r="AK1907" t="s">
        <v>98</v>
      </c>
      <c r="AM1907" t="s">
        <v>98</v>
      </c>
      <c r="AN1907" t="s">
        <v>98</v>
      </c>
      <c r="AO1907" t="s">
        <v>98</v>
      </c>
      <c r="AP1907" t="s">
        <v>100</v>
      </c>
      <c r="AQ1907" t="s">
        <v>101</v>
      </c>
      <c r="AV1907" t="s">
        <v>98</v>
      </c>
      <c r="AX1907" t="s">
        <v>7528</v>
      </c>
      <c r="AZ1907" t="s">
        <v>7528</v>
      </c>
      <c r="BB1907" t="s">
        <v>7528</v>
      </c>
      <c r="BC1907" t="s">
        <v>7528</v>
      </c>
      <c r="BD1907" t="s">
        <v>7528</v>
      </c>
      <c r="BF1907" t="s">
        <v>5772</v>
      </c>
      <c r="BG1907" t="s">
        <v>98</v>
      </c>
      <c r="BH1907" t="s">
        <v>98</v>
      </c>
      <c r="BI1907" t="s">
        <v>98</v>
      </c>
      <c r="BK1907" t="s">
        <v>7528</v>
      </c>
      <c r="BL1907" t="s">
        <v>7528</v>
      </c>
      <c r="CA1907" t="s">
        <v>5770</v>
      </c>
      <c r="CB1907" t="s">
        <v>7528</v>
      </c>
      <c r="CL1907" t="s">
        <v>98</v>
      </c>
      <c r="CM1907" t="s">
        <v>98</v>
      </c>
      <c r="CN1907" t="s">
        <v>7528</v>
      </c>
      <c r="CO1907" s="1">
        <v>40708</v>
      </c>
      <c r="CP1907" s="1">
        <v>43633</v>
      </c>
    </row>
    <row r="1908" spans="1:94" x14ac:dyDescent="0.25">
      <c r="A1908" t="s">
        <v>5773</v>
      </c>
      <c r="B1908" t="str">
        <f xml:space="preserve"> "" &amp; 747396080901</f>
        <v>747396080901</v>
      </c>
      <c r="C1908" t="s">
        <v>1446</v>
      </c>
      <c r="D1908" t="s">
        <v>7266</v>
      </c>
      <c r="E1908" t="s">
        <v>7528</v>
      </c>
      <c r="F1908" t="s">
        <v>627</v>
      </c>
      <c r="G1908">
        <v>1</v>
      </c>
      <c r="H1908">
        <v>1</v>
      </c>
      <c r="I1908" t="s">
        <v>97</v>
      </c>
      <c r="J1908" s="10">
        <v>12.5</v>
      </c>
      <c r="K1908" s="10">
        <v>37.5</v>
      </c>
      <c r="L1908" s="10">
        <v>0</v>
      </c>
      <c r="N1908" s="10">
        <v>0</v>
      </c>
      <c r="W1908">
        <v>0.73</v>
      </c>
      <c r="Y1908">
        <v>8.5</v>
      </c>
      <c r="Z1908">
        <v>18.5</v>
      </c>
      <c r="AA1908">
        <v>10.63</v>
      </c>
      <c r="AB1908">
        <v>0.96699999999999997</v>
      </c>
      <c r="AC1908">
        <v>1.06</v>
      </c>
      <c r="AF1908" t="s">
        <v>7528</v>
      </c>
      <c r="AK1908" t="s">
        <v>98</v>
      </c>
      <c r="AM1908" t="s">
        <v>98</v>
      </c>
      <c r="AN1908" t="s">
        <v>98</v>
      </c>
      <c r="AO1908" t="s">
        <v>98</v>
      </c>
      <c r="AP1908" t="s">
        <v>100</v>
      </c>
      <c r="AQ1908" t="s">
        <v>101</v>
      </c>
      <c r="AV1908" t="s">
        <v>98</v>
      </c>
      <c r="AX1908" t="s">
        <v>7528</v>
      </c>
      <c r="AZ1908" t="s">
        <v>7528</v>
      </c>
      <c r="BB1908" t="s">
        <v>7528</v>
      </c>
      <c r="BC1908" t="s">
        <v>7528</v>
      </c>
      <c r="BD1908" t="s">
        <v>7528</v>
      </c>
      <c r="BF1908" t="s">
        <v>5774</v>
      </c>
      <c r="BG1908" t="s">
        <v>98</v>
      </c>
      <c r="BH1908" t="s">
        <v>98</v>
      </c>
      <c r="BI1908" t="s">
        <v>98</v>
      </c>
      <c r="BK1908" t="s">
        <v>7528</v>
      </c>
      <c r="BL1908" t="s">
        <v>7528</v>
      </c>
      <c r="CA1908" t="s">
        <v>5773</v>
      </c>
      <c r="CB1908" t="s">
        <v>7528</v>
      </c>
      <c r="CL1908" t="s">
        <v>98</v>
      </c>
      <c r="CM1908" t="s">
        <v>98</v>
      </c>
      <c r="CN1908" t="s">
        <v>7528</v>
      </c>
      <c r="CO1908" s="1">
        <v>40708</v>
      </c>
      <c r="CP1908" s="1">
        <v>43633</v>
      </c>
    </row>
    <row r="1909" spans="1:94" x14ac:dyDescent="0.25">
      <c r="A1909" t="s">
        <v>5775</v>
      </c>
      <c r="B1909" t="str">
        <f xml:space="preserve"> "" &amp; 747396080925</f>
        <v>747396080925</v>
      </c>
      <c r="C1909" t="s">
        <v>1446</v>
      </c>
      <c r="D1909" t="s">
        <v>7267</v>
      </c>
      <c r="E1909" t="s">
        <v>7528</v>
      </c>
      <c r="F1909" t="s">
        <v>627</v>
      </c>
      <c r="G1909">
        <v>1</v>
      </c>
      <c r="H1909">
        <v>1</v>
      </c>
      <c r="I1909" t="s">
        <v>97</v>
      </c>
      <c r="J1909" s="10">
        <v>45</v>
      </c>
      <c r="K1909" s="10">
        <v>135</v>
      </c>
      <c r="L1909" s="10">
        <v>0</v>
      </c>
      <c r="N1909" s="10">
        <v>0</v>
      </c>
      <c r="W1909">
        <v>3.3</v>
      </c>
      <c r="Y1909">
        <v>8.6300000000000008</v>
      </c>
      <c r="Z1909">
        <v>22</v>
      </c>
      <c r="AA1909">
        <v>11.88</v>
      </c>
      <c r="AB1909">
        <v>1.3049999999999999</v>
      </c>
      <c r="AC1909">
        <v>4.51</v>
      </c>
      <c r="AF1909" t="s">
        <v>7528</v>
      </c>
      <c r="AK1909" t="s">
        <v>98</v>
      </c>
      <c r="AM1909" t="s">
        <v>98</v>
      </c>
      <c r="AN1909" t="s">
        <v>98</v>
      </c>
      <c r="AO1909" t="s">
        <v>98</v>
      </c>
      <c r="AP1909" t="s">
        <v>100</v>
      </c>
      <c r="AQ1909" t="s">
        <v>101</v>
      </c>
      <c r="AV1909" t="s">
        <v>98</v>
      </c>
      <c r="AX1909" t="s">
        <v>7528</v>
      </c>
      <c r="AZ1909" t="s">
        <v>7528</v>
      </c>
      <c r="BB1909" t="s">
        <v>7528</v>
      </c>
      <c r="BC1909" t="s">
        <v>7528</v>
      </c>
      <c r="BD1909" t="s">
        <v>7528</v>
      </c>
      <c r="BF1909" t="s">
        <v>5776</v>
      </c>
      <c r="BG1909" t="s">
        <v>98</v>
      </c>
      <c r="BH1909" t="s">
        <v>98</v>
      </c>
      <c r="BI1909" t="s">
        <v>98</v>
      </c>
      <c r="BK1909" t="s">
        <v>7528</v>
      </c>
      <c r="BL1909" t="s">
        <v>7528</v>
      </c>
      <c r="CA1909" t="s">
        <v>5775</v>
      </c>
      <c r="CB1909" t="s">
        <v>7528</v>
      </c>
      <c r="CL1909" t="s">
        <v>98</v>
      </c>
      <c r="CM1909" t="s">
        <v>98</v>
      </c>
      <c r="CN1909" t="s">
        <v>7528</v>
      </c>
      <c r="CO1909" s="1">
        <v>40708</v>
      </c>
      <c r="CP1909" s="1">
        <v>43633</v>
      </c>
    </row>
    <row r="1910" spans="1:94" x14ac:dyDescent="0.25">
      <c r="A1910" t="s">
        <v>5777</v>
      </c>
      <c r="B1910" t="str">
        <f xml:space="preserve"> "" &amp; 747396080932</f>
        <v>747396080932</v>
      </c>
      <c r="C1910" t="s">
        <v>5778</v>
      </c>
      <c r="D1910" t="s">
        <v>7268</v>
      </c>
      <c r="E1910" t="s">
        <v>7528</v>
      </c>
      <c r="F1910" t="s">
        <v>627</v>
      </c>
      <c r="G1910">
        <v>1</v>
      </c>
      <c r="H1910">
        <v>1</v>
      </c>
      <c r="I1910" t="s">
        <v>97</v>
      </c>
      <c r="J1910" s="10">
        <v>15</v>
      </c>
      <c r="K1910" s="10">
        <v>45</v>
      </c>
      <c r="L1910" s="10">
        <v>0</v>
      </c>
      <c r="N1910" s="10">
        <v>0</v>
      </c>
      <c r="W1910">
        <v>1.19</v>
      </c>
      <c r="Y1910">
        <v>17</v>
      </c>
      <c r="Z1910">
        <v>12.38</v>
      </c>
      <c r="AA1910">
        <v>7</v>
      </c>
      <c r="AB1910">
        <v>0.85299999999999998</v>
      </c>
      <c r="AC1910">
        <v>1.35</v>
      </c>
      <c r="AF1910" t="s">
        <v>7528</v>
      </c>
      <c r="AK1910" t="s">
        <v>98</v>
      </c>
      <c r="AM1910" t="s">
        <v>98</v>
      </c>
      <c r="AN1910" t="s">
        <v>98</v>
      </c>
      <c r="AO1910" t="s">
        <v>98</v>
      </c>
      <c r="AP1910" t="s">
        <v>100</v>
      </c>
      <c r="AQ1910" t="s">
        <v>101</v>
      </c>
      <c r="AV1910" t="s">
        <v>98</v>
      </c>
      <c r="AX1910" t="s">
        <v>7528</v>
      </c>
      <c r="AZ1910" t="s">
        <v>7528</v>
      </c>
      <c r="BB1910" t="s">
        <v>7528</v>
      </c>
      <c r="BC1910" t="s">
        <v>7528</v>
      </c>
      <c r="BD1910" t="s">
        <v>7528</v>
      </c>
      <c r="BF1910" t="s">
        <v>5779</v>
      </c>
      <c r="BG1910" t="s">
        <v>98</v>
      </c>
      <c r="BH1910" t="s">
        <v>98</v>
      </c>
      <c r="BI1910" t="s">
        <v>98</v>
      </c>
      <c r="BK1910" t="s">
        <v>7528</v>
      </c>
      <c r="BL1910" t="s">
        <v>7528</v>
      </c>
      <c r="CA1910" t="s">
        <v>5777</v>
      </c>
      <c r="CB1910" t="s">
        <v>7528</v>
      </c>
      <c r="CL1910" t="s">
        <v>98</v>
      </c>
      <c r="CM1910" t="s">
        <v>98</v>
      </c>
      <c r="CN1910" t="s">
        <v>7528</v>
      </c>
      <c r="CO1910" s="1">
        <v>40708</v>
      </c>
      <c r="CP1910" s="1">
        <v>43633</v>
      </c>
    </row>
    <row r="1911" spans="1:94" x14ac:dyDescent="0.25">
      <c r="A1911" t="s">
        <v>5780</v>
      </c>
      <c r="B1911" t="str">
        <f xml:space="preserve"> "" &amp; 747396080949</f>
        <v>747396080949</v>
      </c>
      <c r="C1911" t="s">
        <v>1446</v>
      </c>
      <c r="D1911" t="s">
        <v>7269</v>
      </c>
      <c r="E1911" t="s">
        <v>7528</v>
      </c>
      <c r="F1911" t="s">
        <v>627</v>
      </c>
      <c r="G1911">
        <v>1</v>
      </c>
      <c r="H1911">
        <v>1</v>
      </c>
      <c r="I1911" t="s">
        <v>97</v>
      </c>
      <c r="J1911" s="10">
        <v>20</v>
      </c>
      <c r="K1911" s="10">
        <v>60</v>
      </c>
      <c r="L1911" s="10">
        <v>0</v>
      </c>
      <c r="N1911" s="10">
        <v>0</v>
      </c>
      <c r="W1911">
        <v>1.97</v>
      </c>
      <c r="Y1911">
        <v>21.5</v>
      </c>
      <c r="Z1911">
        <v>16</v>
      </c>
      <c r="AA1911">
        <v>8.8800000000000008</v>
      </c>
      <c r="AB1911">
        <v>1.768</v>
      </c>
      <c r="AC1911">
        <v>2.2000000000000002</v>
      </c>
      <c r="AF1911" t="s">
        <v>7528</v>
      </c>
      <c r="AK1911" t="s">
        <v>98</v>
      </c>
      <c r="AM1911" t="s">
        <v>98</v>
      </c>
      <c r="AN1911" t="s">
        <v>98</v>
      </c>
      <c r="AO1911" t="s">
        <v>98</v>
      </c>
      <c r="AP1911" t="s">
        <v>100</v>
      </c>
      <c r="AQ1911" t="s">
        <v>101</v>
      </c>
      <c r="AV1911" t="s">
        <v>98</v>
      </c>
      <c r="AX1911" t="s">
        <v>7528</v>
      </c>
      <c r="AZ1911" t="s">
        <v>7528</v>
      </c>
      <c r="BB1911" t="s">
        <v>7528</v>
      </c>
      <c r="BC1911" t="s">
        <v>7528</v>
      </c>
      <c r="BD1911" t="s">
        <v>7528</v>
      </c>
      <c r="BF1911" t="s">
        <v>5781</v>
      </c>
      <c r="BG1911" t="s">
        <v>98</v>
      </c>
      <c r="BH1911" t="s">
        <v>98</v>
      </c>
      <c r="BI1911" t="s">
        <v>98</v>
      </c>
      <c r="BK1911" t="s">
        <v>7528</v>
      </c>
      <c r="BL1911" t="s">
        <v>7528</v>
      </c>
      <c r="CA1911" t="s">
        <v>5780</v>
      </c>
      <c r="CB1911" t="s">
        <v>7528</v>
      </c>
      <c r="CL1911" t="s">
        <v>98</v>
      </c>
      <c r="CM1911" t="s">
        <v>98</v>
      </c>
      <c r="CN1911" t="s">
        <v>7528</v>
      </c>
      <c r="CO1911" s="1">
        <v>40708</v>
      </c>
      <c r="CP1911" s="1">
        <v>43633</v>
      </c>
    </row>
    <row r="1912" spans="1:94" x14ac:dyDescent="0.25">
      <c r="A1912" t="s">
        <v>5782</v>
      </c>
      <c r="B1912" t="str">
        <f xml:space="preserve"> "" &amp; 747396080956</f>
        <v>747396080956</v>
      </c>
      <c r="C1912" t="s">
        <v>5783</v>
      </c>
      <c r="D1912" t="s">
        <v>7270</v>
      </c>
      <c r="E1912" t="s">
        <v>7528</v>
      </c>
      <c r="F1912" t="s">
        <v>627</v>
      </c>
      <c r="G1912">
        <v>1</v>
      </c>
      <c r="H1912">
        <v>1</v>
      </c>
      <c r="I1912" t="s">
        <v>97</v>
      </c>
      <c r="J1912" s="10">
        <v>4.5</v>
      </c>
      <c r="K1912" s="10">
        <v>13.5</v>
      </c>
      <c r="L1912" s="10">
        <v>0</v>
      </c>
      <c r="N1912" s="10">
        <v>0</v>
      </c>
      <c r="S1912">
        <v>3.5</v>
      </c>
      <c r="U1912">
        <v>7</v>
      </c>
      <c r="V1912">
        <v>0.13</v>
      </c>
      <c r="W1912">
        <v>0.31</v>
      </c>
      <c r="Y1912">
        <v>10.5</v>
      </c>
      <c r="Z1912">
        <v>12</v>
      </c>
      <c r="AA1912">
        <v>10.5</v>
      </c>
      <c r="AB1912">
        <v>0.76600000000000001</v>
      </c>
      <c r="AC1912">
        <v>0.6</v>
      </c>
      <c r="AF1912" t="s">
        <v>7528</v>
      </c>
      <c r="AK1912" t="s">
        <v>98</v>
      </c>
      <c r="AM1912" t="s">
        <v>98</v>
      </c>
      <c r="AN1912" t="s">
        <v>98</v>
      </c>
      <c r="AO1912" t="s">
        <v>98</v>
      </c>
      <c r="AP1912" t="s">
        <v>100</v>
      </c>
      <c r="AQ1912" t="s">
        <v>101</v>
      </c>
      <c r="AV1912" t="s">
        <v>98</v>
      </c>
      <c r="AX1912" t="s">
        <v>7528</v>
      </c>
      <c r="AZ1912" t="s">
        <v>7528</v>
      </c>
      <c r="BB1912" t="s">
        <v>7528</v>
      </c>
      <c r="BC1912" t="s">
        <v>7528</v>
      </c>
      <c r="BD1912" t="s">
        <v>7528</v>
      </c>
      <c r="BF1912" t="s">
        <v>5784</v>
      </c>
      <c r="BG1912" t="s">
        <v>98</v>
      </c>
      <c r="BH1912" t="s">
        <v>98</v>
      </c>
      <c r="BI1912" t="s">
        <v>98</v>
      </c>
      <c r="BK1912" t="s">
        <v>7528</v>
      </c>
      <c r="BL1912" t="s">
        <v>7528</v>
      </c>
      <c r="CA1912" t="s">
        <v>5782</v>
      </c>
      <c r="CB1912" t="s">
        <v>7528</v>
      </c>
      <c r="CL1912" t="s">
        <v>98</v>
      </c>
      <c r="CM1912" t="s">
        <v>98</v>
      </c>
      <c r="CN1912" t="s">
        <v>7528</v>
      </c>
      <c r="CO1912" s="1">
        <v>40708</v>
      </c>
      <c r="CP1912" s="1">
        <v>43633</v>
      </c>
    </row>
    <row r="1913" spans="1:94" x14ac:dyDescent="0.25">
      <c r="A1913" t="s">
        <v>5785</v>
      </c>
      <c r="B1913" t="str">
        <f xml:space="preserve"> "" &amp; 747396080963</f>
        <v>747396080963</v>
      </c>
      <c r="C1913" t="s">
        <v>5786</v>
      </c>
      <c r="D1913" t="s">
        <v>7271</v>
      </c>
      <c r="E1913" t="s">
        <v>7528</v>
      </c>
      <c r="F1913" t="s">
        <v>627</v>
      </c>
      <c r="G1913">
        <v>1</v>
      </c>
      <c r="H1913">
        <v>1</v>
      </c>
      <c r="I1913" t="s">
        <v>97</v>
      </c>
      <c r="J1913" s="10">
        <v>5.5</v>
      </c>
      <c r="K1913" s="10">
        <v>16.5</v>
      </c>
      <c r="L1913" s="10">
        <v>0</v>
      </c>
      <c r="N1913" s="10">
        <v>0</v>
      </c>
      <c r="S1913">
        <v>4.5</v>
      </c>
      <c r="U1913">
        <v>10</v>
      </c>
      <c r="V1913">
        <v>0.13</v>
      </c>
      <c r="W1913">
        <v>0.53</v>
      </c>
      <c r="Y1913">
        <v>14</v>
      </c>
      <c r="Z1913">
        <v>14</v>
      </c>
      <c r="AA1913">
        <v>10.25</v>
      </c>
      <c r="AB1913">
        <v>1.163</v>
      </c>
      <c r="AC1913">
        <v>1.05</v>
      </c>
      <c r="AF1913" t="s">
        <v>7528</v>
      </c>
      <c r="AK1913" t="s">
        <v>98</v>
      </c>
      <c r="AM1913" t="s">
        <v>98</v>
      </c>
      <c r="AN1913" t="s">
        <v>98</v>
      </c>
      <c r="AO1913" t="s">
        <v>98</v>
      </c>
      <c r="AP1913" t="s">
        <v>100</v>
      </c>
      <c r="AQ1913" t="s">
        <v>101</v>
      </c>
      <c r="AV1913" t="s">
        <v>98</v>
      </c>
      <c r="AX1913" t="s">
        <v>7528</v>
      </c>
      <c r="AZ1913" t="s">
        <v>7528</v>
      </c>
      <c r="BB1913" t="s">
        <v>7528</v>
      </c>
      <c r="BC1913" t="s">
        <v>7528</v>
      </c>
      <c r="BD1913" t="s">
        <v>7528</v>
      </c>
      <c r="BF1913" t="s">
        <v>5787</v>
      </c>
      <c r="BG1913" t="s">
        <v>98</v>
      </c>
      <c r="BH1913" t="s">
        <v>98</v>
      </c>
      <c r="BI1913" t="s">
        <v>98</v>
      </c>
      <c r="BK1913" t="s">
        <v>7528</v>
      </c>
      <c r="BL1913" t="s">
        <v>7528</v>
      </c>
      <c r="CA1913" t="s">
        <v>5785</v>
      </c>
      <c r="CB1913" t="s">
        <v>7528</v>
      </c>
      <c r="CL1913" t="s">
        <v>98</v>
      </c>
      <c r="CM1913" t="s">
        <v>98</v>
      </c>
      <c r="CN1913" t="s">
        <v>7528</v>
      </c>
      <c r="CO1913" s="1">
        <v>40708</v>
      </c>
      <c r="CP1913" s="1">
        <v>43633</v>
      </c>
    </row>
    <row r="1914" spans="1:94" x14ac:dyDescent="0.25">
      <c r="A1914" t="s">
        <v>5788</v>
      </c>
      <c r="B1914" t="str">
        <f xml:space="preserve"> "" &amp; 747396080970</f>
        <v>747396080970</v>
      </c>
      <c r="C1914" t="s">
        <v>1064</v>
      </c>
      <c r="D1914" t="s">
        <v>7272</v>
      </c>
      <c r="E1914" t="s">
        <v>7528</v>
      </c>
      <c r="F1914" t="s">
        <v>627</v>
      </c>
      <c r="G1914">
        <v>1</v>
      </c>
      <c r="H1914">
        <v>1</v>
      </c>
      <c r="I1914" t="s">
        <v>97</v>
      </c>
      <c r="J1914" s="10">
        <v>3.5</v>
      </c>
      <c r="K1914" s="10">
        <v>10.5</v>
      </c>
      <c r="L1914" s="10">
        <v>0</v>
      </c>
      <c r="N1914" s="10">
        <v>0</v>
      </c>
      <c r="W1914">
        <v>1</v>
      </c>
      <c r="AB1914">
        <v>1.4999999999999999E-2</v>
      </c>
      <c r="AC1914">
        <v>0.3</v>
      </c>
      <c r="AF1914" t="s">
        <v>7528</v>
      </c>
      <c r="AK1914" t="s">
        <v>98</v>
      </c>
      <c r="AM1914" t="s">
        <v>98</v>
      </c>
      <c r="AN1914" t="s">
        <v>98</v>
      </c>
      <c r="AO1914" t="s">
        <v>98</v>
      </c>
      <c r="AP1914" t="s">
        <v>100</v>
      </c>
      <c r="AQ1914" t="s">
        <v>101</v>
      </c>
      <c r="AV1914" t="s">
        <v>98</v>
      </c>
      <c r="AX1914" t="s">
        <v>7528</v>
      </c>
      <c r="AZ1914" t="s">
        <v>7528</v>
      </c>
      <c r="BB1914" t="s">
        <v>7528</v>
      </c>
      <c r="BC1914" t="s">
        <v>7528</v>
      </c>
      <c r="BD1914" t="s">
        <v>7528</v>
      </c>
      <c r="BF1914" t="s">
        <v>5789</v>
      </c>
      <c r="BG1914" t="s">
        <v>98</v>
      </c>
      <c r="BH1914" t="s">
        <v>98</v>
      </c>
      <c r="BI1914" t="s">
        <v>98</v>
      </c>
      <c r="BK1914" t="s">
        <v>7528</v>
      </c>
      <c r="BL1914" t="s">
        <v>7528</v>
      </c>
      <c r="CA1914" t="s">
        <v>5788</v>
      </c>
      <c r="CB1914" t="s">
        <v>7528</v>
      </c>
      <c r="CL1914" t="s">
        <v>98</v>
      </c>
      <c r="CM1914" t="s">
        <v>98</v>
      </c>
      <c r="CN1914" t="s">
        <v>7528</v>
      </c>
      <c r="CO1914" s="1">
        <v>40708</v>
      </c>
      <c r="CP1914" s="1">
        <v>43633</v>
      </c>
    </row>
    <row r="1915" spans="1:94" x14ac:dyDescent="0.25">
      <c r="A1915" t="s">
        <v>5790</v>
      </c>
      <c r="B1915" t="str">
        <f xml:space="preserve"> "" &amp; 747396080987</f>
        <v>747396080987</v>
      </c>
      <c r="C1915" t="s">
        <v>1064</v>
      </c>
      <c r="D1915" t="s">
        <v>7273</v>
      </c>
      <c r="E1915" t="s">
        <v>7528</v>
      </c>
      <c r="F1915" t="s">
        <v>627</v>
      </c>
      <c r="G1915">
        <v>1</v>
      </c>
      <c r="H1915">
        <v>1</v>
      </c>
      <c r="I1915" t="s">
        <v>97</v>
      </c>
      <c r="J1915" s="10">
        <v>4</v>
      </c>
      <c r="K1915" s="10">
        <v>12</v>
      </c>
      <c r="L1915" s="10">
        <v>0</v>
      </c>
      <c r="N1915" s="10">
        <v>0</v>
      </c>
      <c r="W1915">
        <v>1</v>
      </c>
      <c r="AC1915">
        <v>0.5</v>
      </c>
      <c r="AF1915" t="s">
        <v>7528</v>
      </c>
      <c r="AK1915" t="s">
        <v>98</v>
      </c>
      <c r="AM1915" t="s">
        <v>98</v>
      </c>
      <c r="AN1915" t="s">
        <v>98</v>
      </c>
      <c r="AO1915" t="s">
        <v>98</v>
      </c>
      <c r="AP1915" t="s">
        <v>100</v>
      </c>
      <c r="AQ1915" t="s">
        <v>101</v>
      </c>
      <c r="AV1915" t="s">
        <v>98</v>
      </c>
      <c r="AX1915" t="s">
        <v>7528</v>
      </c>
      <c r="AZ1915" t="s">
        <v>7528</v>
      </c>
      <c r="BB1915" t="s">
        <v>7528</v>
      </c>
      <c r="BC1915" t="s">
        <v>7528</v>
      </c>
      <c r="BD1915" t="s">
        <v>7528</v>
      </c>
      <c r="BF1915" t="s">
        <v>5791</v>
      </c>
      <c r="BG1915" t="s">
        <v>98</v>
      </c>
      <c r="BH1915" t="s">
        <v>98</v>
      </c>
      <c r="BI1915" t="s">
        <v>98</v>
      </c>
      <c r="BK1915" t="s">
        <v>7528</v>
      </c>
      <c r="BL1915" t="s">
        <v>7528</v>
      </c>
      <c r="CA1915" t="s">
        <v>5790</v>
      </c>
      <c r="CB1915" t="s">
        <v>7528</v>
      </c>
      <c r="CL1915" t="s">
        <v>98</v>
      </c>
      <c r="CM1915" t="s">
        <v>98</v>
      </c>
      <c r="CN1915" t="s">
        <v>7528</v>
      </c>
      <c r="CO1915" s="1">
        <v>40708</v>
      </c>
      <c r="CP1915" s="1">
        <v>43633</v>
      </c>
    </row>
    <row r="1916" spans="1:94" x14ac:dyDescent="0.25">
      <c r="A1916" t="s">
        <v>5792</v>
      </c>
      <c r="B1916" t="str">
        <f xml:space="preserve"> "" &amp; 747396081007</f>
        <v>747396081007</v>
      </c>
      <c r="C1916" t="s">
        <v>2569</v>
      </c>
      <c r="D1916" t="s">
        <v>7274</v>
      </c>
      <c r="E1916" t="s">
        <v>7528</v>
      </c>
      <c r="F1916" t="s">
        <v>627</v>
      </c>
      <c r="G1916">
        <v>1</v>
      </c>
      <c r="H1916">
        <v>1</v>
      </c>
      <c r="I1916" t="s">
        <v>97</v>
      </c>
      <c r="J1916" s="10">
        <v>8.5</v>
      </c>
      <c r="K1916" s="10">
        <v>25.5</v>
      </c>
      <c r="L1916" s="10">
        <v>0</v>
      </c>
      <c r="N1916" s="10">
        <v>0</v>
      </c>
      <c r="W1916">
        <v>0.73</v>
      </c>
      <c r="Y1916">
        <v>13.38</v>
      </c>
      <c r="Z1916">
        <v>12.25</v>
      </c>
      <c r="AA1916">
        <v>7.5</v>
      </c>
      <c r="AB1916">
        <v>0.71099999999999997</v>
      </c>
      <c r="AC1916">
        <v>0.79</v>
      </c>
      <c r="AF1916" t="s">
        <v>7528</v>
      </c>
      <c r="AK1916" t="s">
        <v>98</v>
      </c>
      <c r="AM1916" t="s">
        <v>98</v>
      </c>
      <c r="AN1916" t="s">
        <v>98</v>
      </c>
      <c r="AO1916" t="s">
        <v>98</v>
      </c>
      <c r="AP1916" t="s">
        <v>100</v>
      </c>
      <c r="AQ1916" t="s">
        <v>101</v>
      </c>
      <c r="AV1916" t="s">
        <v>98</v>
      </c>
      <c r="AX1916" t="s">
        <v>7528</v>
      </c>
      <c r="AZ1916" t="s">
        <v>7528</v>
      </c>
      <c r="BB1916" t="s">
        <v>7528</v>
      </c>
      <c r="BC1916" t="s">
        <v>7528</v>
      </c>
      <c r="BD1916" t="s">
        <v>7528</v>
      </c>
      <c r="BF1916" t="s">
        <v>5793</v>
      </c>
      <c r="BG1916" t="s">
        <v>98</v>
      </c>
      <c r="BH1916" t="s">
        <v>98</v>
      </c>
      <c r="BI1916" t="s">
        <v>98</v>
      </c>
      <c r="BK1916" t="s">
        <v>7528</v>
      </c>
      <c r="BL1916" t="s">
        <v>7528</v>
      </c>
      <c r="CA1916" t="s">
        <v>5792</v>
      </c>
      <c r="CB1916" t="s">
        <v>7528</v>
      </c>
      <c r="CL1916" t="s">
        <v>98</v>
      </c>
      <c r="CM1916" t="s">
        <v>98</v>
      </c>
      <c r="CN1916" t="s">
        <v>7528</v>
      </c>
      <c r="CO1916" s="1">
        <v>40708</v>
      </c>
      <c r="CP1916" s="1">
        <v>43633</v>
      </c>
    </row>
    <row r="1917" spans="1:94" x14ac:dyDescent="0.25">
      <c r="A1917" t="s">
        <v>5794</v>
      </c>
      <c r="B1917" t="str">
        <f xml:space="preserve"> "" &amp; 747396081014</f>
        <v>747396081014</v>
      </c>
      <c r="C1917" t="s">
        <v>1064</v>
      </c>
      <c r="D1917" t="s">
        <v>7275</v>
      </c>
      <c r="E1917" t="s">
        <v>7528</v>
      </c>
      <c r="F1917" t="s">
        <v>627</v>
      </c>
      <c r="G1917">
        <v>1</v>
      </c>
      <c r="H1917">
        <v>1</v>
      </c>
      <c r="I1917" t="s">
        <v>97</v>
      </c>
      <c r="J1917" s="10">
        <v>4.5</v>
      </c>
      <c r="K1917" s="10">
        <v>13.5</v>
      </c>
      <c r="L1917" s="10">
        <v>0</v>
      </c>
      <c r="N1917" s="10">
        <v>0</v>
      </c>
      <c r="W1917">
        <v>0.28999999999999998</v>
      </c>
      <c r="Y1917">
        <v>12</v>
      </c>
      <c r="Z1917">
        <v>8.25</v>
      </c>
      <c r="AA1917">
        <v>8.5</v>
      </c>
      <c r="AB1917">
        <v>0.48699999999999999</v>
      </c>
      <c r="AC1917">
        <v>0.39</v>
      </c>
      <c r="AF1917" t="s">
        <v>7528</v>
      </c>
      <c r="AK1917" t="s">
        <v>98</v>
      </c>
      <c r="AM1917" t="s">
        <v>98</v>
      </c>
      <c r="AN1917" t="s">
        <v>98</v>
      </c>
      <c r="AO1917" t="s">
        <v>98</v>
      </c>
      <c r="AP1917" t="s">
        <v>100</v>
      </c>
      <c r="AQ1917" t="s">
        <v>101</v>
      </c>
      <c r="AV1917" t="s">
        <v>98</v>
      </c>
      <c r="AX1917" t="s">
        <v>7528</v>
      </c>
      <c r="AZ1917" t="s">
        <v>7528</v>
      </c>
      <c r="BB1917" t="s">
        <v>7528</v>
      </c>
      <c r="BC1917" t="s">
        <v>7528</v>
      </c>
      <c r="BD1917" t="s">
        <v>7528</v>
      </c>
      <c r="BF1917" t="s">
        <v>5795</v>
      </c>
      <c r="BG1917" t="s">
        <v>98</v>
      </c>
      <c r="BH1917" t="s">
        <v>98</v>
      </c>
      <c r="BI1917" t="s">
        <v>98</v>
      </c>
      <c r="BK1917" t="s">
        <v>7528</v>
      </c>
      <c r="BL1917" t="s">
        <v>7528</v>
      </c>
      <c r="CA1917" t="s">
        <v>5794</v>
      </c>
      <c r="CB1917" t="s">
        <v>7528</v>
      </c>
      <c r="CL1917" t="s">
        <v>98</v>
      </c>
      <c r="CM1917" t="s">
        <v>98</v>
      </c>
      <c r="CN1917" t="s">
        <v>7528</v>
      </c>
      <c r="CO1917" s="1">
        <v>40708</v>
      </c>
      <c r="CP1917" s="1">
        <v>43633</v>
      </c>
    </row>
    <row r="1918" spans="1:94" x14ac:dyDescent="0.25">
      <c r="A1918" t="s">
        <v>5796</v>
      </c>
      <c r="B1918" t="str">
        <f xml:space="preserve"> "" &amp; 747396081021</f>
        <v>747396081021</v>
      </c>
      <c r="C1918" t="s">
        <v>1064</v>
      </c>
      <c r="D1918" t="s">
        <v>7276</v>
      </c>
      <c r="E1918" t="s">
        <v>7528</v>
      </c>
      <c r="F1918" t="s">
        <v>627</v>
      </c>
      <c r="G1918">
        <v>1</v>
      </c>
      <c r="H1918">
        <v>1</v>
      </c>
      <c r="I1918" t="s">
        <v>97</v>
      </c>
      <c r="J1918" s="10">
        <v>6.5</v>
      </c>
      <c r="K1918" s="10">
        <v>19.5</v>
      </c>
      <c r="L1918" s="10">
        <v>0</v>
      </c>
      <c r="N1918" s="10">
        <v>0</v>
      </c>
      <c r="W1918">
        <v>0.34</v>
      </c>
      <c r="Y1918">
        <v>17.3</v>
      </c>
      <c r="Z1918">
        <v>13.4</v>
      </c>
      <c r="AA1918">
        <v>15.4</v>
      </c>
      <c r="AB1918">
        <v>2.0659999999999998</v>
      </c>
      <c r="AC1918">
        <v>0.41</v>
      </c>
      <c r="AF1918" t="s">
        <v>7528</v>
      </c>
      <c r="AK1918" t="s">
        <v>98</v>
      </c>
      <c r="AM1918" t="s">
        <v>98</v>
      </c>
      <c r="AN1918" t="s">
        <v>98</v>
      </c>
      <c r="AO1918" t="s">
        <v>98</v>
      </c>
      <c r="AP1918" t="s">
        <v>100</v>
      </c>
      <c r="AQ1918" t="s">
        <v>101</v>
      </c>
      <c r="AV1918" t="s">
        <v>98</v>
      </c>
      <c r="AX1918" t="s">
        <v>7528</v>
      </c>
      <c r="AZ1918" t="s">
        <v>7528</v>
      </c>
      <c r="BB1918" t="s">
        <v>7528</v>
      </c>
      <c r="BC1918" t="s">
        <v>7528</v>
      </c>
      <c r="BD1918" t="s">
        <v>7528</v>
      </c>
      <c r="BF1918" t="s">
        <v>5797</v>
      </c>
      <c r="BG1918" t="s">
        <v>98</v>
      </c>
      <c r="BH1918" t="s">
        <v>98</v>
      </c>
      <c r="BI1918" t="s">
        <v>98</v>
      </c>
      <c r="BK1918" t="s">
        <v>7528</v>
      </c>
      <c r="BL1918" t="s">
        <v>7528</v>
      </c>
      <c r="CA1918" t="s">
        <v>5796</v>
      </c>
      <c r="CB1918" t="s">
        <v>7528</v>
      </c>
      <c r="CL1918" t="s">
        <v>98</v>
      </c>
      <c r="CM1918" t="s">
        <v>98</v>
      </c>
      <c r="CN1918" t="s">
        <v>7528</v>
      </c>
      <c r="CO1918" s="1">
        <v>40708</v>
      </c>
      <c r="CP1918" s="1">
        <v>43633</v>
      </c>
    </row>
    <row r="1919" spans="1:94" x14ac:dyDescent="0.25">
      <c r="A1919" t="s">
        <v>5798</v>
      </c>
      <c r="B1919" t="str">
        <f xml:space="preserve"> "" &amp; 747396064147</f>
        <v>747396064147</v>
      </c>
      <c r="C1919" t="s">
        <v>3224</v>
      </c>
      <c r="D1919" t="s">
        <v>7277</v>
      </c>
      <c r="E1919" t="s">
        <v>7528</v>
      </c>
      <c r="F1919" t="s">
        <v>627</v>
      </c>
      <c r="G1919">
        <v>1</v>
      </c>
      <c r="H1919">
        <v>1</v>
      </c>
      <c r="I1919" t="s">
        <v>97</v>
      </c>
      <c r="J1919" s="10">
        <v>30</v>
      </c>
      <c r="K1919" s="10">
        <v>90</v>
      </c>
      <c r="L1919" s="10">
        <v>0</v>
      </c>
      <c r="N1919" s="10">
        <v>0</v>
      </c>
      <c r="S1919">
        <v>14</v>
      </c>
      <c r="U1919">
        <v>7</v>
      </c>
      <c r="W1919">
        <v>2.97</v>
      </c>
      <c r="X1919">
        <v>1</v>
      </c>
      <c r="Y1919">
        <v>17.25</v>
      </c>
      <c r="Z1919">
        <v>17.75</v>
      </c>
      <c r="AA1919">
        <v>17.75</v>
      </c>
      <c r="AB1919">
        <v>3.145</v>
      </c>
      <c r="AC1919">
        <v>4.4000000000000004</v>
      </c>
      <c r="AF1919" t="s">
        <v>7528</v>
      </c>
      <c r="AK1919" t="s">
        <v>98</v>
      </c>
      <c r="AM1919" t="s">
        <v>98</v>
      </c>
      <c r="AN1919" t="s">
        <v>98</v>
      </c>
      <c r="AO1919" t="s">
        <v>98</v>
      </c>
      <c r="AP1919" t="s">
        <v>100</v>
      </c>
      <c r="AQ1919" t="s">
        <v>101</v>
      </c>
      <c r="AV1919" t="s">
        <v>98</v>
      </c>
      <c r="AX1919" t="s">
        <v>7528</v>
      </c>
      <c r="AZ1919" t="s">
        <v>7528</v>
      </c>
      <c r="BB1919" t="s">
        <v>7528</v>
      </c>
      <c r="BC1919" t="s">
        <v>7528</v>
      </c>
      <c r="BD1919" t="s">
        <v>7528</v>
      </c>
      <c r="BF1919" t="s">
        <v>5799</v>
      </c>
      <c r="BG1919" t="s">
        <v>98</v>
      </c>
      <c r="BH1919" t="s">
        <v>98</v>
      </c>
      <c r="BI1919" t="s">
        <v>98</v>
      </c>
      <c r="BK1919" t="s">
        <v>7528</v>
      </c>
      <c r="BL1919" t="s">
        <v>7528</v>
      </c>
      <c r="CA1919" t="s">
        <v>5798</v>
      </c>
      <c r="CB1919" t="s">
        <v>7528</v>
      </c>
      <c r="CL1919" t="s">
        <v>98</v>
      </c>
      <c r="CM1919" t="s">
        <v>98</v>
      </c>
      <c r="CN1919" t="s">
        <v>7528</v>
      </c>
      <c r="CO1919" s="1">
        <v>40478</v>
      </c>
      <c r="CP1919" s="1">
        <v>43633</v>
      </c>
    </row>
    <row r="1920" spans="1:94" x14ac:dyDescent="0.25">
      <c r="A1920" t="s">
        <v>5800</v>
      </c>
      <c r="B1920" t="str">
        <f xml:space="preserve"> "" &amp; 747396054841</f>
        <v>747396054841</v>
      </c>
      <c r="C1920" t="s">
        <v>5801</v>
      </c>
      <c r="D1920" t="s">
        <v>7278</v>
      </c>
      <c r="E1920" t="s">
        <v>7528</v>
      </c>
      <c r="F1920" t="s">
        <v>627</v>
      </c>
      <c r="G1920">
        <v>1</v>
      </c>
      <c r="H1920">
        <v>1</v>
      </c>
      <c r="I1920" t="s">
        <v>97</v>
      </c>
      <c r="J1920" s="10">
        <v>5.5</v>
      </c>
      <c r="K1920" s="10">
        <v>16.5</v>
      </c>
      <c r="L1920" s="10">
        <v>0</v>
      </c>
      <c r="N1920" s="10">
        <v>0</v>
      </c>
      <c r="W1920">
        <v>0.5</v>
      </c>
      <c r="X1920">
        <v>1</v>
      </c>
      <c r="AC1920">
        <v>0.63</v>
      </c>
      <c r="AF1920" t="s">
        <v>7528</v>
      </c>
      <c r="AK1920" t="s">
        <v>98</v>
      </c>
      <c r="AM1920" t="s">
        <v>98</v>
      </c>
      <c r="AN1920" t="s">
        <v>98</v>
      </c>
      <c r="AO1920" t="s">
        <v>98</v>
      </c>
      <c r="AP1920" t="s">
        <v>100</v>
      </c>
      <c r="AQ1920" t="s">
        <v>101</v>
      </c>
      <c r="AV1920" t="s">
        <v>98</v>
      </c>
      <c r="AX1920" t="s">
        <v>7528</v>
      </c>
      <c r="AZ1920" t="s">
        <v>7528</v>
      </c>
      <c r="BB1920" t="s">
        <v>7528</v>
      </c>
      <c r="BC1920" t="s">
        <v>7528</v>
      </c>
      <c r="BD1920" t="s">
        <v>7528</v>
      </c>
      <c r="BF1920" t="s">
        <v>5802</v>
      </c>
      <c r="BG1920" t="s">
        <v>98</v>
      </c>
      <c r="BH1920" t="s">
        <v>98</v>
      </c>
      <c r="BI1920" t="s">
        <v>98</v>
      </c>
      <c r="BK1920" t="s">
        <v>7528</v>
      </c>
      <c r="BL1920" t="s">
        <v>7528</v>
      </c>
      <c r="CA1920" t="s">
        <v>5800</v>
      </c>
      <c r="CB1920" t="s">
        <v>7528</v>
      </c>
      <c r="CL1920" t="s">
        <v>98</v>
      </c>
      <c r="CM1920" t="s">
        <v>98</v>
      </c>
      <c r="CN1920" t="s">
        <v>7528</v>
      </c>
      <c r="CO1920" s="1">
        <v>40498</v>
      </c>
      <c r="CP1920" s="1">
        <v>43633</v>
      </c>
    </row>
    <row r="1921" spans="1:94" x14ac:dyDescent="0.25">
      <c r="A1921" t="s">
        <v>5803</v>
      </c>
      <c r="B1921" t="str">
        <f xml:space="preserve"> "" &amp; 747396051499</f>
        <v>747396051499</v>
      </c>
      <c r="C1921" t="s">
        <v>5804</v>
      </c>
      <c r="D1921" t="s">
        <v>7279</v>
      </c>
      <c r="E1921" t="s">
        <v>7528</v>
      </c>
      <c r="F1921" t="s">
        <v>627</v>
      </c>
      <c r="G1921">
        <v>1</v>
      </c>
      <c r="H1921">
        <v>1</v>
      </c>
      <c r="I1921" t="s">
        <v>97</v>
      </c>
      <c r="J1921" s="10">
        <v>19.95</v>
      </c>
      <c r="K1921" s="10">
        <v>59.85</v>
      </c>
      <c r="L1921" s="10">
        <v>0</v>
      </c>
      <c r="N1921" s="10">
        <v>0</v>
      </c>
      <c r="S1921">
        <v>6</v>
      </c>
      <c r="U1921">
        <v>6</v>
      </c>
      <c r="W1921">
        <v>1.1499999999999999</v>
      </c>
      <c r="X1921">
        <v>1</v>
      </c>
      <c r="Y1921">
        <v>23</v>
      </c>
      <c r="Z1921">
        <v>15.75</v>
      </c>
      <c r="AA1921">
        <v>15.75</v>
      </c>
      <c r="AB1921">
        <v>3.302</v>
      </c>
      <c r="AC1921">
        <v>1.53</v>
      </c>
      <c r="AF1921" t="s">
        <v>7528</v>
      </c>
      <c r="AK1921" t="s">
        <v>98</v>
      </c>
      <c r="AM1921" t="s">
        <v>98</v>
      </c>
      <c r="AN1921" t="s">
        <v>98</v>
      </c>
      <c r="AO1921" t="s">
        <v>98</v>
      </c>
      <c r="AP1921" t="s">
        <v>100</v>
      </c>
      <c r="AQ1921" t="s">
        <v>101</v>
      </c>
      <c r="AV1921" t="s">
        <v>98</v>
      </c>
      <c r="AX1921" t="s">
        <v>7528</v>
      </c>
      <c r="AZ1921" t="s">
        <v>7528</v>
      </c>
      <c r="BB1921" t="s">
        <v>7528</v>
      </c>
      <c r="BC1921" t="s">
        <v>7528</v>
      </c>
      <c r="BD1921" t="s">
        <v>7528</v>
      </c>
      <c r="BF1921" t="s">
        <v>5805</v>
      </c>
      <c r="BG1921" t="s">
        <v>98</v>
      </c>
      <c r="BH1921" t="s">
        <v>98</v>
      </c>
      <c r="BI1921" t="s">
        <v>98</v>
      </c>
      <c r="BK1921" t="s">
        <v>7528</v>
      </c>
      <c r="BL1921" t="s">
        <v>7528</v>
      </c>
      <c r="CA1921" t="s">
        <v>5803</v>
      </c>
      <c r="CB1921" t="s">
        <v>7528</v>
      </c>
      <c r="CL1921" t="s">
        <v>98</v>
      </c>
      <c r="CM1921" t="s">
        <v>98</v>
      </c>
      <c r="CN1921" t="s">
        <v>7528</v>
      </c>
      <c r="CO1921" s="1">
        <v>40498</v>
      </c>
      <c r="CP1921" s="1">
        <v>43633</v>
      </c>
    </row>
    <row r="1922" spans="1:94" x14ac:dyDescent="0.25">
      <c r="A1922" t="s">
        <v>5806</v>
      </c>
      <c r="B1922" t="str">
        <f xml:space="preserve"> "" &amp; 747396064505</f>
        <v>747396064505</v>
      </c>
      <c r="C1922" t="s">
        <v>5804</v>
      </c>
      <c r="D1922" t="s">
        <v>7280</v>
      </c>
      <c r="E1922" t="s">
        <v>7528</v>
      </c>
      <c r="F1922" t="s">
        <v>627</v>
      </c>
      <c r="G1922">
        <v>1</v>
      </c>
      <c r="H1922">
        <v>1</v>
      </c>
      <c r="I1922" t="s">
        <v>97</v>
      </c>
      <c r="J1922" s="10">
        <v>20</v>
      </c>
      <c r="K1922" s="10">
        <v>60</v>
      </c>
      <c r="L1922" s="10">
        <v>0</v>
      </c>
      <c r="N1922" s="10">
        <v>0</v>
      </c>
      <c r="S1922">
        <v>3.88</v>
      </c>
      <c r="U1922">
        <v>10.5</v>
      </c>
      <c r="W1922">
        <v>2.2000000000000002</v>
      </c>
      <c r="X1922">
        <v>1</v>
      </c>
      <c r="Y1922">
        <v>17</v>
      </c>
      <c r="Z1922">
        <v>24.75</v>
      </c>
      <c r="AA1922">
        <v>24.75</v>
      </c>
      <c r="AB1922">
        <v>6.0259999999999998</v>
      </c>
      <c r="AC1922">
        <v>3.37</v>
      </c>
      <c r="AF1922" t="s">
        <v>7528</v>
      </c>
      <c r="AK1922" t="s">
        <v>98</v>
      </c>
      <c r="AM1922" t="s">
        <v>98</v>
      </c>
      <c r="AN1922" t="s">
        <v>98</v>
      </c>
      <c r="AO1922" t="s">
        <v>98</v>
      </c>
      <c r="AP1922" t="s">
        <v>100</v>
      </c>
      <c r="AQ1922" t="s">
        <v>101</v>
      </c>
      <c r="AV1922" t="s">
        <v>98</v>
      </c>
      <c r="AX1922" t="s">
        <v>7528</v>
      </c>
      <c r="AZ1922" t="s">
        <v>7528</v>
      </c>
      <c r="BB1922" t="s">
        <v>7528</v>
      </c>
      <c r="BC1922" t="s">
        <v>7528</v>
      </c>
      <c r="BD1922" t="s">
        <v>7528</v>
      </c>
      <c r="BF1922" t="s">
        <v>5807</v>
      </c>
      <c r="BG1922" t="s">
        <v>98</v>
      </c>
      <c r="BH1922" t="s">
        <v>98</v>
      </c>
      <c r="BI1922" t="s">
        <v>98</v>
      </c>
      <c r="BK1922" t="s">
        <v>7528</v>
      </c>
      <c r="BL1922" t="s">
        <v>7528</v>
      </c>
      <c r="CA1922" t="s">
        <v>5806</v>
      </c>
      <c r="CB1922" t="s">
        <v>7528</v>
      </c>
      <c r="CL1922" t="s">
        <v>98</v>
      </c>
      <c r="CM1922" t="s">
        <v>98</v>
      </c>
      <c r="CN1922" t="s">
        <v>7528</v>
      </c>
      <c r="CO1922" s="1">
        <v>40679</v>
      </c>
      <c r="CP1922" s="1">
        <v>43633</v>
      </c>
    </row>
    <row r="1923" spans="1:94" x14ac:dyDescent="0.25">
      <c r="A1923" t="s">
        <v>5808</v>
      </c>
      <c r="B1923" t="str">
        <f xml:space="preserve"> "" &amp; 747396042213</f>
        <v>747396042213</v>
      </c>
      <c r="C1923" t="s">
        <v>5809</v>
      </c>
      <c r="D1923" t="s">
        <v>5810</v>
      </c>
      <c r="E1923" t="s">
        <v>7528</v>
      </c>
      <c r="F1923" t="s">
        <v>627</v>
      </c>
      <c r="G1923">
        <v>1</v>
      </c>
      <c r="H1923">
        <v>1</v>
      </c>
      <c r="I1923" t="s">
        <v>97</v>
      </c>
      <c r="J1923" s="10">
        <v>7.5</v>
      </c>
      <c r="K1923" s="10">
        <v>22.5</v>
      </c>
      <c r="L1923" s="10">
        <v>0</v>
      </c>
      <c r="N1923" s="10">
        <v>0</v>
      </c>
      <c r="W1923">
        <v>1.27</v>
      </c>
      <c r="X1923">
        <v>1</v>
      </c>
      <c r="Y1923">
        <v>10</v>
      </c>
      <c r="Z1923">
        <v>16.5</v>
      </c>
      <c r="AA1923">
        <v>16.5</v>
      </c>
      <c r="AB1923">
        <v>1.5760000000000001</v>
      </c>
      <c r="AC1923">
        <v>2.13</v>
      </c>
      <c r="AF1923" t="s">
        <v>7528</v>
      </c>
      <c r="AK1923" t="s">
        <v>98</v>
      </c>
      <c r="AM1923" t="s">
        <v>98</v>
      </c>
      <c r="AN1923" t="s">
        <v>98</v>
      </c>
      <c r="AO1923" t="s">
        <v>98</v>
      </c>
      <c r="AP1923" t="s">
        <v>100</v>
      </c>
      <c r="AQ1923" t="s">
        <v>101</v>
      </c>
      <c r="AV1923" t="s">
        <v>98</v>
      </c>
      <c r="AX1923" t="s">
        <v>7528</v>
      </c>
      <c r="AZ1923" t="s">
        <v>7528</v>
      </c>
      <c r="BB1923" t="s">
        <v>7528</v>
      </c>
      <c r="BC1923" t="s">
        <v>7528</v>
      </c>
      <c r="BD1923" t="s">
        <v>7528</v>
      </c>
      <c r="BF1923" t="s">
        <v>5811</v>
      </c>
      <c r="BG1923" t="s">
        <v>98</v>
      </c>
      <c r="BH1923" t="s">
        <v>98</v>
      </c>
      <c r="BI1923" t="s">
        <v>98</v>
      </c>
      <c r="BK1923" t="s">
        <v>7528</v>
      </c>
      <c r="BL1923" t="s">
        <v>7528</v>
      </c>
      <c r="CA1923" t="s">
        <v>5808</v>
      </c>
      <c r="CB1923" t="s">
        <v>7528</v>
      </c>
      <c r="CL1923" t="s">
        <v>98</v>
      </c>
      <c r="CM1923" t="s">
        <v>98</v>
      </c>
      <c r="CN1923" t="s">
        <v>7528</v>
      </c>
      <c r="CO1923" s="1">
        <v>40498</v>
      </c>
      <c r="CP1923" s="1">
        <v>43633</v>
      </c>
    </row>
    <row r="1924" spans="1:94" x14ac:dyDescent="0.25">
      <c r="A1924" t="s">
        <v>5812</v>
      </c>
      <c r="B1924" t="str">
        <f xml:space="preserve"> "" &amp; 747396050683</f>
        <v>747396050683</v>
      </c>
      <c r="C1924" t="s">
        <v>5813</v>
      </c>
      <c r="D1924" t="s">
        <v>7281</v>
      </c>
      <c r="E1924" t="s">
        <v>7528</v>
      </c>
      <c r="F1924" t="s">
        <v>627</v>
      </c>
      <c r="G1924">
        <v>1</v>
      </c>
      <c r="H1924">
        <v>1</v>
      </c>
      <c r="I1924" t="s">
        <v>97</v>
      </c>
      <c r="J1924" s="10">
        <v>8.5</v>
      </c>
      <c r="K1924" s="10">
        <v>25.5</v>
      </c>
      <c r="L1924" s="10">
        <v>0</v>
      </c>
      <c r="N1924" s="10">
        <v>0</v>
      </c>
      <c r="W1924">
        <v>1.27</v>
      </c>
      <c r="X1924">
        <v>1</v>
      </c>
      <c r="Y1924">
        <v>7.75</v>
      </c>
      <c r="Z1924">
        <v>12.5</v>
      </c>
      <c r="AA1924">
        <v>12.5</v>
      </c>
      <c r="AB1924">
        <v>0.70099999999999996</v>
      </c>
      <c r="AC1924">
        <v>1.78</v>
      </c>
      <c r="AF1924" t="s">
        <v>7528</v>
      </c>
      <c r="AK1924" t="s">
        <v>98</v>
      </c>
      <c r="AM1924" t="s">
        <v>98</v>
      </c>
      <c r="AN1924" t="s">
        <v>98</v>
      </c>
      <c r="AO1924" t="s">
        <v>98</v>
      </c>
      <c r="AP1924" t="s">
        <v>100</v>
      </c>
      <c r="AQ1924" t="s">
        <v>101</v>
      </c>
      <c r="AV1924" t="s">
        <v>98</v>
      </c>
      <c r="AX1924" t="s">
        <v>7528</v>
      </c>
      <c r="AZ1924" t="s">
        <v>7528</v>
      </c>
      <c r="BB1924" t="s">
        <v>7528</v>
      </c>
      <c r="BC1924" t="s">
        <v>7528</v>
      </c>
      <c r="BD1924" t="s">
        <v>7528</v>
      </c>
      <c r="BF1924" t="s">
        <v>5814</v>
      </c>
      <c r="BG1924" t="s">
        <v>98</v>
      </c>
      <c r="BH1924" t="s">
        <v>98</v>
      </c>
      <c r="BI1924" t="s">
        <v>98</v>
      </c>
      <c r="BK1924" t="s">
        <v>7528</v>
      </c>
      <c r="BL1924" t="s">
        <v>7528</v>
      </c>
      <c r="CA1924" t="s">
        <v>5812</v>
      </c>
      <c r="CB1924" t="s">
        <v>7528</v>
      </c>
      <c r="CL1924" t="s">
        <v>98</v>
      </c>
      <c r="CM1924" t="s">
        <v>98</v>
      </c>
      <c r="CN1924" t="s">
        <v>7528</v>
      </c>
      <c r="CO1924" s="1">
        <v>40498</v>
      </c>
      <c r="CP1924" s="1">
        <v>43633</v>
      </c>
    </row>
    <row r="1925" spans="1:94" x14ac:dyDescent="0.25">
      <c r="A1925" t="s">
        <v>5815</v>
      </c>
      <c r="B1925" t="str">
        <f xml:space="preserve"> "" &amp; 747396042220</f>
        <v>747396042220</v>
      </c>
      <c r="C1925" t="s">
        <v>5809</v>
      </c>
      <c r="D1925" t="s">
        <v>5816</v>
      </c>
      <c r="E1925" t="s">
        <v>7528</v>
      </c>
      <c r="F1925" t="s">
        <v>627</v>
      </c>
      <c r="G1925">
        <v>1</v>
      </c>
      <c r="H1925">
        <v>1</v>
      </c>
      <c r="I1925" t="s">
        <v>97</v>
      </c>
      <c r="J1925" s="10">
        <v>11</v>
      </c>
      <c r="K1925" s="10">
        <v>33</v>
      </c>
      <c r="L1925" s="10">
        <v>0</v>
      </c>
      <c r="N1925" s="10">
        <v>0</v>
      </c>
      <c r="W1925">
        <v>2.5099999999999998</v>
      </c>
      <c r="X1925">
        <v>1</v>
      </c>
      <c r="Y1925">
        <v>15.55</v>
      </c>
      <c r="Z1925">
        <v>15.35</v>
      </c>
      <c r="AA1925">
        <v>15.35</v>
      </c>
      <c r="AB1925">
        <v>2.12</v>
      </c>
      <c r="AC1925">
        <v>3.25</v>
      </c>
      <c r="AF1925" t="s">
        <v>7528</v>
      </c>
      <c r="AK1925" t="s">
        <v>98</v>
      </c>
      <c r="AM1925" t="s">
        <v>98</v>
      </c>
      <c r="AN1925" t="s">
        <v>98</v>
      </c>
      <c r="AO1925" t="s">
        <v>98</v>
      </c>
      <c r="AP1925" t="s">
        <v>100</v>
      </c>
      <c r="AQ1925" t="s">
        <v>101</v>
      </c>
      <c r="AV1925" t="s">
        <v>98</v>
      </c>
      <c r="AX1925" t="s">
        <v>7528</v>
      </c>
      <c r="AZ1925" t="s">
        <v>7528</v>
      </c>
      <c r="BB1925" t="s">
        <v>7528</v>
      </c>
      <c r="BC1925" t="s">
        <v>7528</v>
      </c>
      <c r="BD1925" t="s">
        <v>7528</v>
      </c>
      <c r="BF1925" t="s">
        <v>5817</v>
      </c>
      <c r="BG1925" t="s">
        <v>98</v>
      </c>
      <c r="BH1925" t="s">
        <v>98</v>
      </c>
      <c r="BI1925" t="s">
        <v>98</v>
      </c>
      <c r="BK1925" t="s">
        <v>7528</v>
      </c>
      <c r="BL1925" t="s">
        <v>7528</v>
      </c>
      <c r="CA1925" t="s">
        <v>5815</v>
      </c>
      <c r="CB1925" t="s">
        <v>7528</v>
      </c>
      <c r="CL1925" t="s">
        <v>98</v>
      </c>
      <c r="CM1925" t="s">
        <v>98</v>
      </c>
      <c r="CN1925" t="s">
        <v>7528</v>
      </c>
      <c r="CO1925" s="1">
        <v>40498</v>
      </c>
      <c r="CP1925" s="1">
        <v>43633</v>
      </c>
    </row>
    <row r="1926" spans="1:94" x14ac:dyDescent="0.25">
      <c r="A1926" t="s">
        <v>5818</v>
      </c>
      <c r="B1926" t="str">
        <f xml:space="preserve"> "" &amp; 747396050690</f>
        <v>747396050690</v>
      </c>
      <c r="C1926" t="s">
        <v>5637</v>
      </c>
      <c r="D1926" t="s">
        <v>7282</v>
      </c>
      <c r="E1926" t="s">
        <v>7528</v>
      </c>
      <c r="F1926" t="s">
        <v>627</v>
      </c>
      <c r="G1926">
        <v>1</v>
      </c>
      <c r="H1926">
        <v>1</v>
      </c>
      <c r="I1926" t="s">
        <v>97</v>
      </c>
      <c r="J1926" s="10">
        <v>12</v>
      </c>
      <c r="K1926" s="10">
        <v>36</v>
      </c>
      <c r="L1926" s="10">
        <v>0</v>
      </c>
      <c r="N1926" s="10">
        <v>0</v>
      </c>
      <c r="W1926">
        <v>1.32</v>
      </c>
      <c r="X1926">
        <v>1</v>
      </c>
      <c r="Y1926">
        <v>17.5</v>
      </c>
      <c r="Z1926">
        <v>15</v>
      </c>
      <c r="AA1926">
        <v>15</v>
      </c>
      <c r="AB1926">
        <v>2.2789999999999999</v>
      </c>
      <c r="AC1926">
        <v>1.71</v>
      </c>
      <c r="AF1926" t="s">
        <v>7528</v>
      </c>
      <c r="AK1926" t="s">
        <v>98</v>
      </c>
      <c r="AM1926" t="s">
        <v>98</v>
      </c>
      <c r="AN1926" t="s">
        <v>98</v>
      </c>
      <c r="AO1926" t="s">
        <v>98</v>
      </c>
      <c r="AP1926" t="s">
        <v>100</v>
      </c>
      <c r="AQ1926" t="s">
        <v>101</v>
      </c>
      <c r="AV1926" t="s">
        <v>98</v>
      </c>
      <c r="AX1926" t="s">
        <v>7528</v>
      </c>
      <c r="AZ1926" t="s">
        <v>7528</v>
      </c>
      <c r="BB1926" t="s">
        <v>7528</v>
      </c>
      <c r="BC1926" t="s">
        <v>7528</v>
      </c>
      <c r="BD1926" t="s">
        <v>7528</v>
      </c>
      <c r="BF1926" t="s">
        <v>5819</v>
      </c>
      <c r="BG1926" t="s">
        <v>98</v>
      </c>
      <c r="BH1926" t="s">
        <v>98</v>
      </c>
      <c r="BI1926" t="s">
        <v>98</v>
      </c>
      <c r="BK1926" t="s">
        <v>7528</v>
      </c>
      <c r="BL1926" t="s">
        <v>7528</v>
      </c>
      <c r="CA1926" t="s">
        <v>5818</v>
      </c>
      <c r="CB1926" t="s">
        <v>7528</v>
      </c>
      <c r="CL1926" t="s">
        <v>98</v>
      </c>
      <c r="CM1926" t="s">
        <v>98</v>
      </c>
      <c r="CN1926" t="s">
        <v>7528</v>
      </c>
      <c r="CO1926" s="1">
        <v>40498</v>
      </c>
      <c r="CP1926" s="1">
        <v>43633</v>
      </c>
    </row>
    <row r="1927" spans="1:94" x14ac:dyDescent="0.25">
      <c r="A1927" t="s">
        <v>5820</v>
      </c>
      <c r="B1927" t="str">
        <f xml:space="preserve"> "" &amp; 747396064512</f>
        <v>747396064512</v>
      </c>
      <c r="C1927" t="s">
        <v>5821</v>
      </c>
      <c r="D1927" t="s">
        <v>7283</v>
      </c>
      <c r="E1927" t="s">
        <v>7528</v>
      </c>
      <c r="F1927" t="s">
        <v>627</v>
      </c>
      <c r="G1927">
        <v>1</v>
      </c>
      <c r="H1927">
        <v>1</v>
      </c>
      <c r="I1927" t="s">
        <v>97</v>
      </c>
      <c r="J1927" s="10">
        <v>25</v>
      </c>
      <c r="K1927" s="10">
        <v>75</v>
      </c>
      <c r="L1927" s="10">
        <v>0</v>
      </c>
      <c r="N1927" s="10">
        <v>0</v>
      </c>
      <c r="W1927">
        <v>5.39</v>
      </c>
      <c r="X1927">
        <v>1</v>
      </c>
      <c r="AC1927">
        <v>6.13</v>
      </c>
      <c r="AF1927" t="s">
        <v>7528</v>
      </c>
      <c r="AK1927" t="s">
        <v>98</v>
      </c>
      <c r="AM1927" t="s">
        <v>98</v>
      </c>
      <c r="AN1927" t="s">
        <v>98</v>
      </c>
      <c r="AO1927" t="s">
        <v>98</v>
      </c>
      <c r="AP1927" t="s">
        <v>100</v>
      </c>
      <c r="AQ1927" t="s">
        <v>101</v>
      </c>
      <c r="AV1927" t="s">
        <v>98</v>
      </c>
      <c r="AX1927" t="s">
        <v>7528</v>
      </c>
      <c r="AZ1927" t="s">
        <v>7528</v>
      </c>
      <c r="BB1927" t="s">
        <v>7528</v>
      </c>
      <c r="BC1927" t="s">
        <v>7528</v>
      </c>
      <c r="BD1927" t="s">
        <v>7528</v>
      </c>
      <c r="BF1927" t="s">
        <v>5822</v>
      </c>
      <c r="BG1927" t="s">
        <v>98</v>
      </c>
      <c r="BH1927" t="s">
        <v>98</v>
      </c>
      <c r="BI1927" t="s">
        <v>98</v>
      </c>
      <c r="BK1927" t="s">
        <v>7528</v>
      </c>
      <c r="BL1927" t="s">
        <v>7528</v>
      </c>
      <c r="CA1927" t="s">
        <v>5820</v>
      </c>
      <c r="CB1927" t="s">
        <v>7528</v>
      </c>
      <c r="CL1927" t="s">
        <v>98</v>
      </c>
      <c r="CM1927" t="s">
        <v>98</v>
      </c>
      <c r="CN1927" t="s">
        <v>7528</v>
      </c>
      <c r="CO1927" s="1">
        <v>40514</v>
      </c>
      <c r="CP1927" s="1">
        <v>43633</v>
      </c>
    </row>
    <row r="1928" spans="1:94" x14ac:dyDescent="0.25">
      <c r="A1928" t="s">
        <v>5823</v>
      </c>
      <c r="B1928" t="str">
        <f xml:space="preserve"> "" &amp; 747396064529</f>
        <v>747396064529</v>
      </c>
      <c r="C1928" t="s">
        <v>5813</v>
      </c>
      <c r="D1928" t="s">
        <v>7284</v>
      </c>
      <c r="E1928" t="s">
        <v>7528</v>
      </c>
      <c r="F1928" t="s">
        <v>627</v>
      </c>
      <c r="G1928">
        <v>1</v>
      </c>
      <c r="H1928">
        <v>1</v>
      </c>
      <c r="I1928" t="s">
        <v>97</v>
      </c>
      <c r="J1928" s="10">
        <v>30</v>
      </c>
      <c r="K1928" s="10">
        <v>90</v>
      </c>
      <c r="L1928" s="10">
        <v>0</v>
      </c>
      <c r="N1928" s="10">
        <v>0</v>
      </c>
      <c r="W1928">
        <v>5.28</v>
      </c>
      <c r="X1928">
        <v>1</v>
      </c>
      <c r="AC1928">
        <v>6.2</v>
      </c>
      <c r="AF1928" t="s">
        <v>7528</v>
      </c>
      <c r="AK1928" t="s">
        <v>98</v>
      </c>
      <c r="AM1928" t="s">
        <v>98</v>
      </c>
      <c r="AN1928" t="s">
        <v>98</v>
      </c>
      <c r="AO1928" t="s">
        <v>98</v>
      </c>
      <c r="AP1928" t="s">
        <v>100</v>
      </c>
      <c r="AQ1928" t="s">
        <v>101</v>
      </c>
      <c r="AV1928" t="s">
        <v>98</v>
      </c>
      <c r="AX1928" t="s">
        <v>7528</v>
      </c>
      <c r="AZ1928" t="s">
        <v>7528</v>
      </c>
      <c r="BB1928" t="s">
        <v>7528</v>
      </c>
      <c r="BC1928" t="s">
        <v>7528</v>
      </c>
      <c r="BD1928" t="s">
        <v>7528</v>
      </c>
      <c r="BF1928" t="s">
        <v>5824</v>
      </c>
      <c r="BG1928" t="s">
        <v>98</v>
      </c>
      <c r="BH1928" t="s">
        <v>98</v>
      </c>
      <c r="BI1928" t="s">
        <v>98</v>
      </c>
      <c r="BK1928" t="s">
        <v>7528</v>
      </c>
      <c r="BL1928" t="s">
        <v>7528</v>
      </c>
      <c r="CA1928" t="s">
        <v>5823</v>
      </c>
      <c r="CB1928" t="s">
        <v>7528</v>
      </c>
      <c r="CL1928" t="s">
        <v>98</v>
      </c>
      <c r="CM1928" t="s">
        <v>98</v>
      </c>
      <c r="CN1928" t="s">
        <v>7528</v>
      </c>
      <c r="CO1928" s="1">
        <v>40514</v>
      </c>
      <c r="CP1928" s="1">
        <v>43633</v>
      </c>
    </row>
    <row r="1929" spans="1:94" x14ac:dyDescent="0.25">
      <c r="A1929" t="s">
        <v>5825</v>
      </c>
      <c r="B1929" t="str">
        <f xml:space="preserve"> "" &amp; 747396054384</f>
        <v>747396054384</v>
      </c>
      <c r="C1929" t="s">
        <v>5826</v>
      </c>
      <c r="D1929" t="s">
        <v>7285</v>
      </c>
      <c r="E1929" t="s">
        <v>7528</v>
      </c>
      <c r="F1929" t="s">
        <v>627</v>
      </c>
      <c r="G1929">
        <v>1</v>
      </c>
      <c r="H1929">
        <v>1</v>
      </c>
      <c r="I1929" t="s">
        <v>97</v>
      </c>
      <c r="J1929" s="10">
        <v>6.5</v>
      </c>
      <c r="K1929" s="10">
        <v>19.5</v>
      </c>
      <c r="L1929" s="10">
        <v>0</v>
      </c>
      <c r="N1929" s="10">
        <v>0</v>
      </c>
      <c r="W1929">
        <v>0.27</v>
      </c>
      <c r="X1929">
        <v>1</v>
      </c>
      <c r="AC1929">
        <v>0.3</v>
      </c>
      <c r="AF1929" t="s">
        <v>7528</v>
      </c>
      <c r="AK1929" t="s">
        <v>98</v>
      </c>
      <c r="AM1929" t="s">
        <v>98</v>
      </c>
      <c r="AN1929" t="s">
        <v>98</v>
      </c>
      <c r="AO1929" t="s">
        <v>98</v>
      </c>
      <c r="AP1929" t="s">
        <v>100</v>
      </c>
      <c r="AQ1929" t="s">
        <v>101</v>
      </c>
      <c r="AV1929" t="s">
        <v>98</v>
      </c>
      <c r="AX1929" t="s">
        <v>7528</v>
      </c>
      <c r="AZ1929" t="s">
        <v>7528</v>
      </c>
      <c r="BB1929" t="s">
        <v>7528</v>
      </c>
      <c r="BC1929" t="s">
        <v>7528</v>
      </c>
      <c r="BD1929" t="s">
        <v>7528</v>
      </c>
      <c r="BF1929" t="s">
        <v>5827</v>
      </c>
      <c r="BG1929" t="s">
        <v>98</v>
      </c>
      <c r="BH1929" t="s">
        <v>98</v>
      </c>
      <c r="BI1929" t="s">
        <v>98</v>
      </c>
      <c r="BK1929" t="s">
        <v>7528</v>
      </c>
      <c r="BL1929" t="s">
        <v>7528</v>
      </c>
      <c r="CA1929" t="s">
        <v>5825</v>
      </c>
      <c r="CB1929" t="s">
        <v>7528</v>
      </c>
      <c r="CL1929" t="s">
        <v>98</v>
      </c>
      <c r="CM1929" t="s">
        <v>98</v>
      </c>
      <c r="CN1929" t="s">
        <v>7528</v>
      </c>
      <c r="CO1929" s="1">
        <v>40514</v>
      </c>
      <c r="CP1929" s="1">
        <v>43633</v>
      </c>
    </row>
    <row r="1930" spans="1:94" x14ac:dyDescent="0.25">
      <c r="A1930" t="s">
        <v>5828</v>
      </c>
      <c r="B1930" t="str">
        <f xml:space="preserve"> "" &amp; 747396054407</f>
        <v>747396054407</v>
      </c>
      <c r="C1930" t="s">
        <v>5649</v>
      </c>
      <c r="D1930" t="s">
        <v>7286</v>
      </c>
      <c r="E1930" t="s">
        <v>7528</v>
      </c>
      <c r="F1930" t="s">
        <v>627</v>
      </c>
      <c r="G1930">
        <v>1</v>
      </c>
      <c r="H1930">
        <v>1</v>
      </c>
      <c r="I1930" t="s">
        <v>97</v>
      </c>
      <c r="J1930" s="10">
        <v>4</v>
      </c>
      <c r="K1930" s="10">
        <v>12</v>
      </c>
      <c r="L1930" s="10">
        <v>0</v>
      </c>
      <c r="N1930" s="10">
        <v>0</v>
      </c>
      <c r="W1930">
        <v>0.17</v>
      </c>
      <c r="X1930">
        <v>1</v>
      </c>
      <c r="AC1930">
        <v>0.2</v>
      </c>
      <c r="AF1930" t="s">
        <v>7528</v>
      </c>
      <c r="AK1930" t="s">
        <v>98</v>
      </c>
      <c r="AM1930" t="s">
        <v>98</v>
      </c>
      <c r="AN1930" t="s">
        <v>98</v>
      </c>
      <c r="AO1930" t="s">
        <v>98</v>
      </c>
      <c r="AP1930" t="s">
        <v>100</v>
      </c>
      <c r="AQ1930" t="s">
        <v>101</v>
      </c>
      <c r="AV1930" t="s">
        <v>98</v>
      </c>
      <c r="AX1930" t="s">
        <v>7528</v>
      </c>
      <c r="AZ1930" t="s">
        <v>7528</v>
      </c>
      <c r="BB1930" t="s">
        <v>7528</v>
      </c>
      <c r="BC1930" t="s">
        <v>7528</v>
      </c>
      <c r="BD1930" t="s">
        <v>7528</v>
      </c>
      <c r="BF1930" t="s">
        <v>5829</v>
      </c>
      <c r="BG1930" t="s">
        <v>98</v>
      </c>
      <c r="BH1930" t="s">
        <v>98</v>
      </c>
      <c r="BI1930" t="s">
        <v>98</v>
      </c>
      <c r="BK1930" t="s">
        <v>7528</v>
      </c>
      <c r="BL1930" t="s">
        <v>7528</v>
      </c>
      <c r="CA1930" t="s">
        <v>5828</v>
      </c>
      <c r="CB1930" t="s">
        <v>7528</v>
      </c>
      <c r="CL1930" t="s">
        <v>98</v>
      </c>
      <c r="CM1930" t="s">
        <v>98</v>
      </c>
      <c r="CN1930" t="s">
        <v>7528</v>
      </c>
      <c r="CO1930" s="1">
        <v>40514</v>
      </c>
      <c r="CP1930" s="1">
        <v>43633</v>
      </c>
    </row>
    <row r="1931" spans="1:94" x14ac:dyDescent="0.25">
      <c r="A1931" t="s">
        <v>5830</v>
      </c>
      <c r="B1931" t="str">
        <f xml:space="preserve"> "" &amp; 747396064536</f>
        <v>747396064536</v>
      </c>
      <c r="C1931" t="s">
        <v>5649</v>
      </c>
      <c r="D1931" t="s">
        <v>7287</v>
      </c>
      <c r="E1931" t="s">
        <v>7528</v>
      </c>
      <c r="F1931" t="s">
        <v>627</v>
      </c>
      <c r="G1931">
        <v>1</v>
      </c>
      <c r="H1931">
        <v>1</v>
      </c>
      <c r="I1931" t="s">
        <v>97</v>
      </c>
      <c r="J1931" s="10">
        <v>5.5</v>
      </c>
      <c r="K1931" s="10">
        <v>16.5</v>
      </c>
      <c r="L1931" s="10">
        <v>0</v>
      </c>
      <c r="N1931" s="10">
        <v>0</v>
      </c>
      <c r="W1931">
        <v>1</v>
      </c>
      <c r="AB1931">
        <v>0.04</v>
      </c>
      <c r="AC1931">
        <v>0.34</v>
      </c>
      <c r="AF1931" t="s">
        <v>7528</v>
      </c>
      <c r="AK1931" t="s">
        <v>98</v>
      </c>
      <c r="AM1931" t="s">
        <v>98</v>
      </c>
      <c r="AN1931" t="s">
        <v>98</v>
      </c>
      <c r="AO1931" t="s">
        <v>98</v>
      </c>
      <c r="AP1931" t="s">
        <v>100</v>
      </c>
      <c r="AQ1931" t="s">
        <v>101</v>
      </c>
      <c r="AV1931" t="s">
        <v>98</v>
      </c>
      <c r="AX1931" t="s">
        <v>7528</v>
      </c>
      <c r="AZ1931" t="s">
        <v>7528</v>
      </c>
      <c r="BB1931" t="s">
        <v>7528</v>
      </c>
      <c r="BC1931" t="s">
        <v>7528</v>
      </c>
      <c r="BD1931" t="s">
        <v>7528</v>
      </c>
      <c r="BF1931" t="s">
        <v>5831</v>
      </c>
      <c r="BG1931" t="s">
        <v>98</v>
      </c>
      <c r="BH1931" t="s">
        <v>98</v>
      </c>
      <c r="BI1931" t="s">
        <v>98</v>
      </c>
      <c r="BK1931" t="s">
        <v>7528</v>
      </c>
      <c r="BL1931" t="s">
        <v>7528</v>
      </c>
      <c r="CA1931" t="s">
        <v>5830</v>
      </c>
      <c r="CB1931" t="s">
        <v>7528</v>
      </c>
      <c r="CL1931" t="s">
        <v>98</v>
      </c>
      <c r="CM1931" t="s">
        <v>98</v>
      </c>
      <c r="CN1931" t="s">
        <v>7528</v>
      </c>
      <c r="CO1931" s="1">
        <v>40514</v>
      </c>
      <c r="CP1931" s="1">
        <v>43633</v>
      </c>
    </row>
    <row r="1932" spans="1:94" x14ac:dyDescent="0.25">
      <c r="A1932" t="s">
        <v>5832</v>
      </c>
      <c r="B1932" t="str">
        <f xml:space="preserve"> "" &amp; 747396050706</f>
        <v>747396050706</v>
      </c>
      <c r="C1932" t="s">
        <v>5833</v>
      </c>
      <c r="D1932" t="s">
        <v>7288</v>
      </c>
      <c r="E1932" t="s">
        <v>7528</v>
      </c>
      <c r="F1932" t="s">
        <v>627</v>
      </c>
      <c r="G1932">
        <v>1</v>
      </c>
      <c r="H1932">
        <v>1</v>
      </c>
      <c r="I1932" t="s">
        <v>97</v>
      </c>
      <c r="J1932" s="10">
        <v>6.95</v>
      </c>
      <c r="K1932" s="10">
        <v>20.85</v>
      </c>
      <c r="L1932" s="10">
        <v>0</v>
      </c>
      <c r="N1932" s="10">
        <v>0</v>
      </c>
      <c r="W1932">
        <v>1</v>
      </c>
      <c r="X1932">
        <v>1</v>
      </c>
      <c r="AB1932">
        <v>0.14000000000000001</v>
      </c>
      <c r="AC1932">
        <v>0.18</v>
      </c>
      <c r="AF1932" t="s">
        <v>7528</v>
      </c>
      <c r="AK1932" t="s">
        <v>98</v>
      </c>
      <c r="AM1932" t="s">
        <v>98</v>
      </c>
      <c r="AN1932" t="s">
        <v>98</v>
      </c>
      <c r="AO1932" t="s">
        <v>98</v>
      </c>
      <c r="AP1932" t="s">
        <v>100</v>
      </c>
      <c r="AQ1932" t="s">
        <v>101</v>
      </c>
      <c r="AV1932" t="s">
        <v>98</v>
      </c>
      <c r="AX1932" t="s">
        <v>7528</v>
      </c>
      <c r="AZ1932" t="s">
        <v>7528</v>
      </c>
      <c r="BB1932" t="s">
        <v>7528</v>
      </c>
      <c r="BC1932" t="s">
        <v>7528</v>
      </c>
      <c r="BD1932" t="s">
        <v>7528</v>
      </c>
      <c r="BF1932" t="s">
        <v>5834</v>
      </c>
      <c r="BG1932" t="s">
        <v>98</v>
      </c>
      <c r="BH1932" t="s">
        <v>98</v>
      </c>
      <c r="BI1932" t="s">
        <v>98</v>
      </c>
      <c r="BK1932" t="s">
        <v>7528</v>
      </c>
      <c r="BL1932" t="s">
        <v>7528</v>
      </c>
      <c r="CA1932" t="s">
        <v>5832</v>
      </c>
      <c r="CB1932" t="s">
        <v>7528</v>
      </c>
      <c r="CL1932" t="s">
        <v>98</v>
      </c>
      <c r="CM1932" t="s">
        <v>98</v>
      </c>
      <c r="CN1932" t="s">
        <v>7528</v>
      </c>
      <c r="CO1932" s="1">
        <v>40514</v>
      </c>
      <c r="CP1932" s="1">
        <v>43633</v>
      </c>
    </row>
    <row r="1933" spans="1:94" x14ac:dyDescent="0.25">
      <c r="A1933" t="s">
        <v>5835</v>
      </c>
      <c r="B1933" t="str">
        <f xml:space="preserve"> "" &amp; 747396051697</f>
        <v>747396051697</v>
      </c>
      <c r="C1933" t="s">
        <v>5836</v>
      </c>
      <c r="D1933" t="s">
        <v>7289</v>
      </c>
      <c r="E1933" t="s">
        <v>7528</v>
      </c>
      <c r="F1933" t="s">
        <v>627</v>
      </c>
      <c r="G1933">
        <v>1</v>
      </c>
      <c r="H1933">
        <v>1</v>
      </c>
      <c r="I1933" t="s">
        <v>97</v>
      </c>
      <c r="J1933" s="10">
        <v>8.5</v>
      </c>
      <c r="K1933" s="10">
        <v>25.5</v>
      </c>
      <c r="L1933" s="10">
        <v>0</v>
      </c>
      <c r="N1933" s="10">
        <v>0</v>
      </c>
      <c r="W1933">
        <v>1.76</v>
      </c>
      <c r="X1933">
        <v>1</v>
      </c>
      <c r="Y1933">
        <v>12.63</v>
      </c>
      <c r="Z1933">
        <v>13.38</v>
      </c>
      <c r="AA1933">
        <v>11.88</v>
      </c>
      <c r="AB1933">
        <v>1.1619999999999999</v>
      </c>
      <c r="AC1933">
        <v>2.02</v>
      </c>
      <c r="AF1933" t="s">
        <v>7528</v>
      </c>
      <c r="AK1933" t="s">
        <v>98</v>
      </c>
      <c r="AM1933" t="s">
        <v>98</v>
      </c>
      <c r="AN1933" t="s">
        <v>98</v>
      </c>
      <c r="AO1933" t="s">
        <v>98</v>
      </c>
      <c r="AP1933" t="s">
        <v>100</v>
      </c>
      <c r="AQ1933" t="s">
        <v>101</v>
      </c>
      <c r="AV1933" t="s">
        <v>98</v>
      </c>
      <c r="AX1933" t="s">
        <v>7528</v>
      </c>
      <c r="AZ1933" t="s">
        <v>7528</v>
      </c>
      <c r="BB1933" t="s">
        <v>7528</v>
      </c>
      <c r="BC1933" t="s">
        <v>7528</v>
      </c>
      <c r="BD1933" t="s">
        <v>7528</v>
      </c>
      <c r="BF1933" t="s">
        <v>5837</v>
      </c>
      <c r="BG1933" t="s">
        <v>98</v>
      </c>
      <c r="BH1933" t="s">
        <v>98</v>
      </c>
      <c r="BI1933" t="s">
        <v>98</v>
      </c>
      <c r="BK1933" t="s">
        <v>7528</v>
      </c>
      <c r="BL1933" t="s">
        <v>7528</v>
      </c>
      <c r="CA1933" t="s">
        <v>5835</v>
      </c>
      <c r="CB1933" t="s">
        <v>7528</v>
      </c>
      <c r="CL1933" t="s">
        <v>98</v>
      </c>
      <c r="CM1933" t="s">
        <v>98</v>
      </c>
      <c r="CN1933" t="s">
        <v>7528</v>
      </c>
      <c r="CO1933" s="1">
        <v>40514</v>
      </c>
      <c r="CP1933" s="1">
        <v>43633</v>
      </c>
    </row>
    <row r="1934" spans="1:94" x14ac:dyDescent="0.25">
      <c r="A1934" t="s">
        <v>5838</v>
      </c>
      <c r="B1934" t="str">
        <f xml:space="preserve"> "" &amp; 747396050720</f>
        <v>747396050720</v>
      </c>
      <c r="C1934" t="s">
        <v>5833</v>
      </c>
      <c r="D1934" t="s">
        <v>7290</v>
      </c>
      <c r="E1934" t="s">
        <v>7528</v>
      </c>
      <c r="F1934" t="s">
        <v>627</v>
      </c>
      <c r="G1934">
        <v>1</v>
      </c>
      <c r="H1934">
        <v>1</v>
      </c>
      <c r="I1934" t="s">
        <v>97</v>
      </c>
      <c r="J1934" s="10">
        <v>14.95</v>
      </c>
      <c r="K1934" s="10">
        <v>44.85</v>
      </c>
      <c r="L1934" s="10">
        <v>0</v>
      </c>
      <c r="N1934" s="10">
        <v>0</v>
      </c>
      <c r="W1934">
        <v>14.43</v>
      </c>
      <c r="X1934">
        <v>1</v>
      </c>
      <c r="AC1934">
        <v>20.02</v>
      </c>
      <c r="AF1934" t="s">
        <v>7528</v>
      </c>
      <c r="AK1934" t="s">
        <v>98</v>
      </c>
      <c r="AM1934" t="s">
        <v>98</v>
      </c>
      <c r="AN1934" t="s">
        <v>98</v>
      </c>
      <c r="AO1934" t="s">
        <v>98</v>
      </c>
      <c r="AP1934" t="s">
        <v>100</v>
      </c>
      <c r="AQ1934" t="s">
        <v>101</v>
      </c>
      <c r="AV1934" t="s">
        <v>98</v>
      </c>
      <c r="AX1934" t="s">
        <v>7528</v>
      </c>
      <c r="AZ1934" t="s">
        <v>7528</v>
      </c>
      <c r="BB1934" t="s">
        <v>7528</v>
      </c>
      <c r="BC1934" t="s">
        <v>7528</v>
      </c>
      <c r="BD1934" t="s">
        <v>7528</v>
      </c>
      <c r="BF1934" t="s">
        <v>5839</v>
      </c>
      <c r="BG1934" t="s">
        <v>98</v>
      </c>
      <c r="BH1934" t="s">
        <v>98</v>
      </c>
      <c r="BI1934" t="s">
        <v>98</v>
      </c>
      <c r="BK1934" t="s">
        <v>7528</v>
      </c>
      <c r="BL1934" t="s">
        <v>7528</v>
      </c>
      <c r="CA1934" t="s">
        <v>5838</v>
      </c>
      <c r="CB1934" t="s">
        <v>7528</v>
      </c>
      <c r="CL1934" t="s">
        <v>98</v>
      </c>
      <c r="CM1934" t="s">
        <v>98</v>
      </c>
      <c r="CN1934" t="s">
        <v>7528</v>
      </c>
      <c r="CO1934" s="1">
        <v>40514</v>
      </c>
      <c r="CP1934" s="1">
        <v>43633</v>
      </c>
    </row>
    <row r="1935" spans="1:94" x14ac:dyDescent="0.25">
      <c r="A1935" t="s">
        <v>5840</v>
      </c>
      <c r="B1935" t="str">
        <f xml:space="preserve"> "" &amp; 747396051710</f>
        <v>747396051710</v>
      </c>
      <c r="C1935" t="s">
        <v>5836</v>
      </c>
      <c r="D1935" t="s">
        <v>7291</v>
      </c>
      <c r="E1935" t="s">
        <v>7528</v>
      </c>
      <c r="F1935" t="s">
        <v>627</v>
      </c>
      <c r="G1935">
        <v>1</v>
      </c>
      <c r="H1935">
        <v>1</v>
      </c>
      <c r="I1935" t="s">
        <v>97</v>
      </c>
      <c r="J1935" s="10">
        <v>16.95</v>
      </c>
      <c r="K1935" s="10">
        <v>50.85</v>
      </c>
      <c r="L1935" s="10">
        <v>0</v>
      </c>
      <c r="N1935" s="10">
        <v>0</v>
      </c>
      <c r="W1935">
        <v>1</v>
      </c>
      <c r="X1935">
        <v>1</v>
      </c>
      <c r="AB1935">
        <v>0.48599999999999999</v>
      </c>
      <c r="AC1935">
        <v>0.64</v>
      </c>
      <c r="AF1935" t="s">
        <v>7528</v>
      </c>
      <c r="AK1935" t="s">
        <v>98</v>
      </c>
      <c r="AM1935" t="s">
        <v>98</v>
      </c>
      <c r="AN1935" t="s">
        <v>98</v>
      </c>
      <c r="AO1935" t="s">
        <v>98</v>
      </c>
      <c r="AP1935" t="s">
        <v>100</v>
      </c>
      <c r="AQ1935" t="s">
        <v>101</v>
      </c>
      <c r="AV1935" t="s">
        <v>98</v>
      </c>
      <c r="AX1935" t="s">
        <v>7528</v>
      </c>
      <c r="AZ1935" t="s">
        <v>7528</v>
      </c>
      <c r="BB1935" t="s">
        <v>7528</v>
      </c>
      <c r="BC1935" t="s">
        <v>7528</v>
      </c>
      <c r="BD1935" t="s">
        <v>7528</v>
      </c>
      <c r="BF1935" t="s">
        <v>5841</v>
      </c>
      <c r="BG1935" t="s">
        <v>98</v>
      </c>
      <c r="BH1935" t="s">
        <v>98</v>
      </c>
      <c r="BI1935" t="s">
        <v>98</v>
      </c>
      <c r="BK1935" t="s">
        <v>7528</v>
      </c>
      <c r="BL1935" t="s">
        <v>7528</v>
      </c>
      <c r="CA1935" t="s">
        <v>5840</v>
      </c>
      <c r="CB1935" t="s">
        <v>7528</v>
      </c>
      <c r="CL1935" t="s">
        <v>98</v>
      </c>
      <c r="CM1935" t="s">
        <v>98</v>
      </c>
      <c r="CN1935" t="s">
        <v>7528</v>
      </c>
      <c r="CO1935" s="1">
        <v>40514</v>
      </c>
      <c r="CP1935" s="1">
        <v>43633</v>
      </c>
    </row>
    <row r="1936" spans="1:94" x14ac:dyDescent="0.25">
      <c r="A1936" t="s">
        <v>5842</v>
      </c>
      <c r="B1936" t="str">
        <f xml:space="preserve"> "" &amp; 747396050744</f>
        <v>747396050744</v>
      </c>
      <c r="C1936" t="s">
        <v>5843</v>
      </c>
      <c r="D1936" t="s">
        <v>7292</v>
      </c>
      <c r="E1936" t="s">
        <v>7528</v>
      </c>
      <c r="F1936" t="s">
        <v>627</v>
      </c>
      <c r="G1936">
        <v>1</v>
      </c>
      <c r="H1936">
        <v>1</v>
      </c>
      <c r="I1936" t="s">
        <v>97</v>
      </c>
      <c r="J1936" s="10">
        <v>6.95</v>
      </c>
      <c r="K1936" s="10">
        <v>20.85</v>
      </c>
      <c r="L1936" s="10">
        <v>0</v>
      </c>
      <c r="N1936" s="10">
        <v>0</v>
      </c>
      <c r="W1936">
        <v>1.38</v>
      </c>
      <c r="X1936">
        <v>1</v>
      </c>
      <c r="Y1936">
        <v>11.88</v>
      </c>
      <c r="Z1936">
        <v>16.25</v>
      </c>
      <c r="AA1936">
        <v>11</v>
      </c>
      <c r="AB1936">
        <v>1.2290000000000001</v>
      </c>
      <c r="AC1936">
        <v>1.58</v>
      </c>
      <c r="AF1936" t="s">
        <v>7528</v>
      </c>
      <c r="AK1936" t="s">
        <v>98</v>
      </c>
      <c r="AM1936" t="s">
        <v>98</v>
      </c>
      <c r="AN1936" t="s">
        <v>98</v>
      </c>
      <c r="AO1936" t="s">
        <v>98</v>
      </c>
      <c r="AP1936" t="s">
        <v>100</v>
      </c>
      <c r="AQ1936" t="s">
        <v>101</v>
      </c>
      <c r="AV1936" t="s">
        <v>98</v>
      </c>
      <c r="AX1936" t="s">
        <v>7528</v>
      </c>
      <c r="AZ1936" t="s">
        <v>7528</v>
      </c>
      <c r="BB1936" t="s">
        <v>7528</v>
      </c>
      <c r="BC1936" t="s">
        <v>7528</v>
      </c>
      <c r="BD1936" t="s">
        <v>7528</v>
      </c>
      <c r="BF1936" t="s">
        <v>5844</v>
      </c>
      <c r="BG1936" t="s">
        <v>98</v>
      </c>
      <c r="BH1936" t="s">
        <v>98</v>
      </c>
      <c r="BI1936" t="s">
        <v>98</v>
      </c>
      <c r="BK1936" t="s">
        <v>7528</v>
      </c>
      <c r="BL1936" t="s">
        <v>7528</v>
      </c>
      <c r="CA1936" t="s">
        <v>5842</v>
      </c>
      <c r="CB1936" t="s">
        <v>7528</v>
      </c>
      <c r="CL1936" t="s">
        <v>98</v>
      </c>
      <c r="CM1936" t="s">
        <v>98</v>
      </c>
      <c r="CN1936" t="s">
        <v>7528</v>
      </c>
      <c r="CO1936" s="1">
        <v>40555</v>
      </c>
      <c r="CP1936" s="1">
        <v>43633</v>
      </c>
    </row>
    <row r="1937" spans="1:94" x14ac:dyDescent="0.25">
      <c r="A1937" t="s">
        <v>5846</v>
      </c>
      <c r="B1937" t="str">
        <f xml:space="preserve"> "" &amp; 747396050768</f>
        <v>747396050768</v>
      </c>
      <c r="C1937" t="s">
        <v>5843</v>
      </c>
      <c r="D1937" t="s">
        <v>7293</v>
      </c>
      <c r="E1937" t="s">
        <v>7528</v>
      </c>
      <c r="F1937" t="s">
        <v>627</v>
      </c>
      <c r="G1937">
        <v>1</v>
      </c>
      <c r="H1937">
        <v>1</v>
      </c>
      <c r="I1937" t="s">
        <v>97</v>
      </c>
      <c r="J1937" s="10">
        <v>12</v>
      </c>
      <c r="K1937" s="10">
        <v>36</v>
      </c>
      <c r="L1937" s="10">
        <v>0</v>
      </c>
      <c r="N1937" s="10">
        <v>0</v>
      </c>
      <c r="W1937">
        <v>1.63</v>
      </c>
      <c r="X1937">
        <v>1</v>
      </c>
      <c r="Y1937">
        <v>18</v>
      </c>
      <c r="Z1937">
        <v>26</v>
      </c>
      <c r="AA1937">
        <v>21.5</v>
      </c>
      <c r="AB1937">
        <v>5.8230000000000004</v>
      </c>
      <c r="AC1937">
        <v>2.5</v>
      </c>
      <c r="AF1937" t="s">
        <v>7528</v>
      </c>
      <c r="AK1937" t="s">
        <v>98</v>
      </c>
      <c r="AM1937" t="s">
        <v>98</v>
      </c>
      <c r="AN1937" t="s">
        <v>98</v>
      </c>
      <c r="AO1937" t="s">
        <v>98</v>
      </c>
      <c r="AP1937" t="s">
        <v>100</v>
      </c>
      <c r="AQ1937" t="s">
        <v>101</v>
      </c>
      <c r="AV1937" t="s">
        <v>98</v>
      </c>
      <c r="AX1937" t="s">
        <v>7528</v>
      </c>
      <c r="AZ1937" t="s">
        <v>7528</v>
      </c>
      <c r="BB1937" t="s">
        <v>7528</v>
      </c>
      <c r="BC1937" t="s">
        <v>7528</v>
      </c>
      <c r="BD1937" t="s">
        <v>7528</v>
      </c>
      <c r="BF1937" t="s">
        <v>5847</v>
      </c>
      <c r="BG1937" t="s">
        <v>98</v>
      </c>
      <c r="BH1937" t="s">
        <v>98</v>
      </c>
      <c r="BI1937" t="s">
        <v>98</v>
      </c>
      <c r="BK1937" t="s">
        <v>7528</v>
      </c>
      <c r="BL1937" t="s">
        <v>7528</v>
      </c>
      <c r="CA1937" t="s">
        <v>5846</v>
      </c>
      <c r="CB1937" t="s">
        <v>7528</v>
      </c>
      <c r="CL1937" t="s">
        <v>98</v>
      </c>
      <c r="CM1937" t="s">
        <v>98</v>
      </c>
      <c r="CN1937" t="s">
        <v>7528</v>
      </c>
      <c r="CO1937" s="1">
        <v>40514</v>
      </c>
      <c r="CP1937" s="1">
        <v>43633</v>
      </c>
    </row>
    <row r="1938" spans="1:94" x14ac:dyDescent="0.25">
      <c r="A1938" t="s">
        <v>5848</v>
      </c>
      <c r="B1938" t="str">
        <f xml:space="preserve"> "" &amp; 747396051734</f>
        <v>747396051734</v>
      </c>
      <c r="C1938" t="s">
        <v>5845</v>
      </c>
      <c r="D1938" t="s">
        <v>7294</v>
      </c>
      <c r="E1938" t="s">
        <v>7528</v>
      </c>
      <c r="F1938" t="s">
        <v>627</v>
      </c>
      <c r="G1938">
        <v>1</v>
      </c>
      <c r="H1938">
        <v>1</v>
      </c>
      <c r="I1938" t="s">
        <v>97</v>
      </c>
      <c r="J1938" s="10">
        <v>16.95</v>
      </c>
      <c r="K1938" s="10">
        <v>50.85</v>
      </c>
      <c r="L1938" s="10">
        <v>0</v>
      </c>
      <c r="N1938" s="10">
        <v>0</v>
      </c>
      <c r="W1938">
        <v>1</v>
      </c>
      <c r="X1938">
        <v>1</v>
      </c>
      <c r="AB1938">
        <v>0.35</v>
      </c>
      <c r="AC1938">
        <v>2.8</v>
      </c>
      <c r="AF1938" t="s">
        <v>7528</v>
      </c>
      <c r="AK1938" t="s">
        <v>98</v>
      </c>
      <c r="AM1938" t="s">
        <v>98</v>
      </c>
      <c r="AN1938" t="s">
        <v>98</v>
      </c>
      <c r="AO1938" t="s">
        <v>98</v>
      </c>
      <c r="AP1938" t="s">
        <v>100</v>
      </c>
      <c r="AQ1938" t="s">
        <v>101</v>
      </c>
      <c r="AV1938" t="s">
        <v>98</v>
      </c>
      <c r="AX1938" t="s">
        <v>7528</v>
      </c>
      <c r="AZ1938" t="s">
        <v>7528</v>
      </c>
      <c r="BB1938" t="s">
        <v>7528</v>
      </c>
      <c r="BC1938" t="s">
        <v>7528</v>
      </c>
      <c r="BD1938" t="s">
        <v>7528</v>
      </c>
      <c r="BF1938" t="s">
        <v>5849</v>
      </c>
      <c r="BG1938" t="s">
        <v>98</v>
      </c>
      <c r="BH1938" t="s">
        <v>98</v>
      </c>
      <c r="BI1938" t="s">
        <v>98</v>
      </c>
      <c r="BK1938" t="s">
        <v>7528</v>
      </c>
      <c r="BL1938" t="s">
        <v>7528</v>
      </c>
      <c r="CA1938" t="s">
        <v>5848</v>
      </c>
      <c r="CB1938" t="s">
        <v>7528</v>
      </c>
      <c r="CL1938" t="s">
        <v>98</v>
      </c>
      <c r="CM1938" t="s">
        <v>98</v>
      </c>
      <c r="CN1938" t="s">
        <v>7528</v>
      </c>
      <c r="CO1938" s="1">
        <v>40555</v>
      </c>
      <c r="CP1938" s="1">
        <v>43633</v>
      </c>
    </row>
    <row r="1939" spans="1:94" x14ac:dyDescent="0.25">
      <c r="A1939" t="s">
        <v>5850</v>
      </c>
      <c r="B1939" t="str">
        <f xml:space="preserve"> "" &amp; 747396051680</f>
        <v>747396051680</v>
      </c>
      <c r="C1939" t="s">
        <v>5843</v>
      </c>
      <c r="D1939" t="s">
        <v>7295</v>
      </c>
      <c r="E1939" t="s">
        <v>7528</v>
      </c>
      <c r="F1939" t="s">
        <v>627</v>
      </c>
      <c r="G1939">
        <v>1</v>
      </c>
      <c r="H1939">
        <v>1</v>
      </c>
      <c r="I1939" t="s">
        <v>97</v>
      </c>
      <c r="J1939" s="10">
        <v>17.95</v>
      </c>
      <c r="K1939" s="10">
        <v>53.85</v>
      </c>
      <c r="L1939" s="10">
        <v>0</v>
      </c>
      <c r="N1939" s="10">
        <v>0</v>
      </c>
      <c r="W1939">
        <v>1</v>
      </c>
      <c r="X1939">
        <v>1</v>
      </c>
      <c r="AB1939">
        <v>0.35</v>
      </c>
      <c r="AC1939">
        <v>2.8</v>
      </c>
      <c r="AF1939" t="s">
        <v>7528</v>
      </c>
      <c r="AK1939" t="s">
        <v>98</v>
      </c>
      <c r="AM1939" t="s">
        <v>98</v>
      </c>
      <c r="AN1939" t="s">
        <v>98</v>
      </c>
      <c r="AO1939" t="s">
        <v>98</v>
      </c>
      <c r="AP1939" t="s">
        <v>100</v>
      </c>
      <c r="AQ1939" t="s">
        <v>101</v>
      </c>
      <c r="AV1939" t="s">
        <v>98</v>
      </c>
      <c r="AX1939" t="s">
        <v>7528</v>
      </c>
      <c r="AZ1939" t="s">
        <v>7528</v>
      </c>
      <c r="BB1939" t="s">
        <v>7528</v>
      </c>
      <c r="BC1939" t="s">
        <v>7528</v>
      </c>
      <c r="BD1939" t="s">
        <v>7528</v>
      </c>
      <c r="BF1939" t="s">
        <v>5851</v>
      </c>
      <c r="BG1939" t="s">
        <v>98</v>
      </c>
      <c r="BH1939" t="s">
        <v>98</v>
      </c>
      <c r="BI1939" t="s">
        <v>98</v>
      </c>
      <c r="BK1939" t="s">
        <v>7528</v>
      </c>
      <c r="BL1939" t="s">
        <v>7528</v>
      </c>
      <c r="CA1939" t="s">
        <v>5850</v>
      </c>
      <c r="CB1939" t="s">
        <v>7528</v>
      </c>
      <c r="CL1939" t="s">
        <v>98</v>
      </c>
      <c r="CM1939" t="s">
        <v>98</v>
      </c>
      <c r="CN1939" t="s">
        <v>7528</v>
      </c>
      <c r="CO1939" s="1">
        <v>40555</v>
      </c>
      <c r="CP1939" s="1">
        <v>43633</v>
      </c>
    </row>
    <row r="1940" spans="1:94" x14ac:dyDescent="0.25">
      <c r="A1940" t="s">
        <v>5852</v>
      </c>
      <c r="B1940" t="str">
        <f xml:space="preserve"> "" &amp; 747396050775</f>
        <v>747396050775</v>
      </c>
      <c r="C1940" t="s">
        <v>5853</v>
      </c>
      <c r="D1940" t="s">
        <v>7296</v>
      </c>
      <c r="E1940" t="s">
        <v>7528</v>
      </c>
      <c r="F1940" t="s">
        <v>627</v>
      </c>
      <c r="G1940">
        <v>1</v>
      </c>
      <c r="H1940">
        <v>1</v>
      </c>
      <c r="I1940" t="s">
        <v>97</v>
      </c>
      <c r="J1940" s="10">
        <v>1.95</v>
      </c>
      <c r="K1940" s="10">
        <v>5.85</v>
      </c>
      <c r="L1940" s="10">
        <v>0</v>
      </c>
      <c r="N1940" s="10">
        <v>0</v>
      </c>
      <c r="W1940">
        <v>0.11</v>
      </c>
      <c r="X1940">
        <v>1</v>
      </c>
      <c r="Y1940">
        <v>10.5</v>
      </c>
      <c r="Z1940">
        <v>9</v>
      </c>
      <c r="AA1940">
        <v>7</v>
      </c>
      <c r="AB1940">
        <v>0.38300000000000001</v>
      </c>
      <c r="AC1940">
        <v>0.15</v>
      </c>
      <c r="AF1940" t="s">
        <v>7528</v>
      </c>
      <c r="AK1940" t="s">
        <v>98</v>
      </c>
      <c r="AM1940" t="s">
        <v>98</v>
      </c>
      <c r="AN1940" t="s">
        <v>98</v>
      </c>
      <c r="AO1940" t="s">
        <v>98</v>
      </c>
      <c r="AP1940" t="s">
        <v>100</v>
      </c>
      <c r="AQ1940" t="s">
        <v>101</v>
      </c>
      <c r="AV1940" t="s">
        <v>98</v>
      </c>
      <c r="AX1940" t="s">
        <v>7528</v>
      </c>
      <c r="AZ1940" t="s">
        <v>7528</v>
      </c>
      <c r="BB1940" t="s">
        <v>7528</v>
      </c>
      <c r="BC1940" t="s">
        <v>7528</v>
      </c>
      <c r="BD1940" t="s">
        <v>7528</v>
      </c>
      <c r="BF1940" t="s">
        <v>5854</v>
      </c>
      <c r="BG1940" t="s">
        <v>98</v>
      </c>
      <c r="BH1940" t="s">
        <v>98</v>
      </c>
      <c r="BI1940" t="s">
        <v>98</v>
      </c>
      <c r="BK1940" t="s">
        <v>7528</v>
      </c>
      <c r="BL1940" t="s">
        <v>7528</v>
      </c>
      <c r="CA1940" t="s">
        <v>5852</v>
      </c>
      <c r="CB1940" t="s">
        <v>7528</v>
      </c>
      <c r="CL1940" t="s">
        <v>98</v>
      </c>
      <c r="CM1940" t="s">
        <v>98</v>
      </c>
      <c r="CN1940" t="s">
        <v>7528</v>
      </c>
      <c r="CO1940" s="1">
        <v>40555</v>
      </c>
      <c r="CP1940" s="1">
        <v>43633</v>
      </c>
    </row>
    <row r="1941" spans="1:94" x14ac:dyDescent="0.25">
      <c r="A1941" t="s">
        <v>5855</v>
      </c>
      <c r="B1941" t="str">
        <f xml:space="preserve"> "" &amp; 747396050782</f>
        <v>747396050782</v>
      </c>
      <c r="C1941" t="s">
        <v>1064</v>
      </c>
      <c r="D1941" t="s">
        <v>7297</v>
      </c>
      <c r="E1941" t="s">
        <v>7528</v>
      </c>
      <c r="F1941" t="s">
        <v>627</v>
      </c>
      <c r="G1941">
        <v>1</v>
      </c>
      <c r="H1941">
        <v>1</v>
      </c>
      <c r="I1941" t="s">
        <v>97</v>
      </c>
      <c r="J1941" s="10">
        <v>2.95</v>
      </c>
      <c r="K1941" s="10">
        <v>8.85</v>
      </c>
      <c r="L1941" s="10">
        <v>0</v>
      </c>
      <c r="N1941" s="10">
        <v>0</v>
      </c>
      <c r="W1941">
        <v>0.3</v>
      </c>
      <c r="X1941">
        <v>1</v>
      </c>
      <c r="Y1941">
        <v>7</v>
      </c>
      <c r="Z1941">
        <v>9</v>
      </c>
      <c r="AA1941">
        <v>5.5</v>
      </c>
      <c r="AB1941">
        <v>0.20100000000000001</v>
      </c>
      <c r="AC1941">
        <v>0.35</v>
      </c>
      <c r="AF1941" t="s">
        <v>7528</v>
      </c>
      <c r="AK1941" t="s">
        <v>98</v>
      </c>
      <c r="AM1941" t="s">
        <v>98</v>
      </c>
      <c r="AN1941" t="s">
        <v>98</v>
      </c>
      <c r="AO1941" t="s">
        <v>98</v>
      </c>
      <c r="AP1941" t="s">
        <v>100</v>
      </c>
      <c r="AQ1941" t="s">
        <v>101</v>
      </c>
      <c r="AV1941" t="s">
        <v>98</v>
      </c>
      <c r="AX1941" t="s">
        <v>7528</v>
      </c>
      <c r="AZ1941" t="s">
        <v>7528</v>
      </c>
      <c r="BB1941" t="s">
        <v>7528</v>
      </c>
      <c r="BC1941" t="s">
        <v>7528</v>
      </c>
      <c r="BD1941" t="s">
        <v>7528</v>
      </c>
      <c r="BF1941" t="s">
        <v>5856</v>
      </c>
      <c r="BG1941" t="s">
        <v>98</v>
      </c>
      <c r="BH1941" t="s">
        <v>98</v>
      </c>
      <c r="BI1941" t="s">
        <v>98</v>
      </c>
      <c r="BK1941" t="s">
        <v>7528</v>
      </c>
      <c r="BL1941" t="s">
        <v>7528</v>
      </c>
      <c r="CA1941" t="s">
        <v>5855</v>
      </c>
      <c r="CB1941" t="s">
        <v>7528</v>
      </c>
      <c r="CL1941" t="s">
        <v>98</v>
      </c>
      <c r="CM1941" t="s">
        <v>98</v>
      </c>
      <c r="CN1941" t="s">
        <v>7528</v>
      </c>
      <c r="CO1941" s="1">
        <v>40555</v>
      </c>
      <c r="CP1941" s="1">
        <v>43633</v>
      </c>
    </row>
    <row r="1942" spans="1:94" x14ac:dyDescent="0.25">
      <c r="A1942" t="s">
        <v>5857</v>
      </c>
      <c r="B1942" t="str">
        <f xml:space="preserve"> "" &amp; 747396050799</f>
        <v>747396050799</v>
      </c>
      <c r="C1942" t="s">
        <v>5853</v>
      </c>
      <c r="D1942" t="s">
        <v>7298</v>
      </c>
      <c r="E1942" t="s">
        <v>7528</v>
      </c>
      <c r="F1942" t="s">
        <v>627</v>
      </c>
      <c r="G1942">
        <v>1</v>
      </c>
      <c r="H1942">
        <v>1</v>
      </c>
      <c r="I1942" t="s">
        <v>97</v>
      </c>
      <c r="J1942" s="10">
        <v>3.95</v>
      </c>
      <c r="K1942" s="10">
        <v>11.85</v>
      </c>
      <c r="L1942" s="10">
        <v>0</v>
      </c>
      <c r="N1942" s="10">
        <v>0</v>
      </c>
      <c r="W1942">
        <v>0.23</v>
      </c>
      <c r="X1942">
        <v>1</v>
      </c>
      <c r="Y1942">
        <v>9.75</v>
      </c>
      <c r="Z1942">
        <v>10.5</v>
      </c>
      <c r="AA1942">
        <v>5.25</v>
      </c>
      <c r="AB1942">
        <v>0.311</v>
      </c>
      <c r="AC1942">
        <v>0.27</v>
      </c>
      <c r="AF1942" t="s">
        <v>7528</v>
      </c>
      <c r="AK1942" t="s">
        <v>98</v>
      </c>
      <c r="AM1942" t="s">
        <v>98</v>
      </c>
      <c r="AN1942" t="s">
        <v>98</v>
      </c>
      <c r="AO1942" t="s">
        <v>98</v>
      </c>
      <c r="AP1942" t="s">
        <v>100</v>
      </c>
      <c r="AQ1942" t="s">
        <v>101</v>
      </c>
      <c r="AV1942" t="s">
        <v>98</v>
      </c>
      <c r="AX1942" t="s">
        <v>7528</v>
      </c>
      <c r="AZ1942" t="s">
        <v>7528</v>
      </c>
      <c r="BB1942" t="s">
        <v>7528</v>
      </c>
      <c r="BC1942" t="s">
        <v>7528</v>
      </c>
      <c r="BD1942" t="s">
        <v>7528</v>
      </c>
      <c r="BF1942" t="s">
        <v>5858</v>
      </c>
      <c r="BG1942" t="s">
        <v>98</v>
      </c>
      <c r="BH1942" t="s">
        <v>98</v>
      </c>
      <c r="BI1942" t="s">
        <v>98</v>
      </c>
      <c r="BK1942" t="s">
        <v>7528</v>
      </c>
      <c r="BL1942" t="s">
        <v>7528</v>
      </c>
      <c r="CA1942" t="s">
        <v>5857</v>
      </c>
      <c r="CB1942" t="s">
        <v>7528</v>
      </c>
      <c r="CL1942" t="s">
        <v>98</v>
      </c>
      <c r="CM1942" t="s">
        <v>98</v>
      </c>
      <c r="CN1942" t="s">
        <v>7528</v>
      </c>
      <c r="CO1942" s="1">
        <v>40555</v>
      </c>
      <c r="CP1942" s="1">
        <v>43633</v>
      </c>
    </row>
    <row r="1943" spans="1:94" x14ac:dyDescent="0.25">
      <c r="A1943" t="s">
        <v>5859</v>
      </c>
      <c r="B1943" t="str">
        <f xml:space="preserve"> "" &amp; 747396064581</f>
        <v>747396064581</v>
      </c>
      <c r="C1943" t="s">
        <v>1064</v>
      </c>
      <c r="D1943" t="s">
        <v>7299</v>
      </c>
      <c r="E1943" t="s">
        <v>7528</v>
      </c>
      <c r="F1943" t="s">
        <v>627</v>
      </c>
      <c r="G1943">
        <v>1</v>
      </c>
      <c r="H1943">
        <v>1</v>
      </c>
      <c r="I1943" t="s">
        <v>97</v>
      </c>
      <c r="J1943" s="10">
        <v>4</v>
      </c>
      <c r="K1943" s="10">
        <v>12</v>
      </c>
      <c r="L1943" s="10">
        <v>0</v>
      </c>
      <c r="N1943" s="10">
        <v>0</v>
      </c>
      <c r="W1943">
        <v>1.1399999999999999</v>
      </c>
      <c r="X1943">
        <v>1</v>
      </c>
      <c r="Y1943">
        <v>11.5</v>
      </c>
      <c r="Z1943">
        <v>12.63</v>
      </c>
      <c r="AA1943">
        <v>3.88</v>
      </c>
      <c r="AB1943">
        <v>0.32600000000000001</v>
      </c>
      <c r="AC1943">
        <v>1.27</v>
      </c>
      <c r="AF1943" t="s">
        <v>7528</v>
      </c>
      <c r="AK1943" t="s">
        <v>98</v>
      </c>
      <c r="AM1943" t="s">
        <v>98</v>
      </c>
      <c r="AN1943" t="s">
        <v>98</v>
      </c>
      <c r="AO1943" t="s">
        <v>98</v>
      </c>
      <c r="AP1943" t="s">
        <v>100</v>
      </c>
      <c r="AQ1943" t="s">
        <v>101</v>
      </c>
      <c r="AV1943" t="s">
        <v>98</v>
      </c>
      <c r="AX1943" t="s">
        <v>7528</v>
      </c>
      <c r="AZ1943" t="s">
        <v>7528</v>
      </c>
      <c r="BB1943" t="s">
        <v>7528</v>
      </c>
      <c r="BC1943" t="s">
        <v>7528</v>
      </c>
      <c r="BD1943" t="s">
        <v>7528</v>
      </c>
      <c r="BF1943" t="s">
        <v>5860</v>
      </c>
      <c r="BG1943" t="s">
        <v>98</v>
      </c>
      <c r="BH1943" t="s">
        <v>98</v>
      </c>
      <c r="BI1943" t="s">
        <v>98</v>
      </c>
      <c r="BK1943" t="s">
        <v>7528</v>
      </c>
      <c r="BL1943" t="s">
        <v>7528</v>
      </c>
      <c r="CA1943" t="s">
        <v>5859</v>
      </c>
      <c r="CB1943" t="s">
        <v>7528</v>
      </c>
      <c r="CL1943" t="s">
        <v>98</v>
      </c>
      <c r="CM1943" t="s">
        <v>98</v>
      </c>
      <c r="CN1943" t="s">
        <v>7528</v>
      </c>
      <c r="CO1943" s="1">
        <v>40555</v>
      </c>
      <c r="CP1943" s="1">
        <v>43633</v>
      </c>
    </row>
    <row r="1944" spans="1:94" x14ac:dyDescent="0.25">
      <c r="A1944" t="s">
        <v>5861</v>
      </c>
      <c r="B1944" t="str">
        <f xml:space="preserve"> "" &amp; 747396050607</f>
        <v>747396050607</v>
      </c>
      <c r="C1944" t="s">
        <v>3416</v>
      </c>
      <c r="D1944" t="s">
        <v>7300</v>
      </c>
      <c r="E1944" t="s">
        <v>7528</v>
      </c>
      <c r="F1944" t="s">
        <v>627</v>
      </c>
      <c r="G1944">
        <v>1</v>
      </c>
      <c r="H1944">
        <v>1</v>
      </c>
      <c r="I1944" t="s">
        <v>97</v>
      </c>
      <c r="J1944" s="10">
        <v>7.95</v>
      </c>
      <c r="K1944" s="10">
        <v>23.85</v>
      </c>
      <c r="L1944" s="10">
        <v>0</v>
      </c>
      <c r="N1944" s="10">
        <v>0</v>
      </c>
      <c r="W1944">
        <v>0.15</v>
      </c>
      <c r="X1944">
        <v>1</v>
      </c>
      <c r="Y1944">
        <v>8.5</v>
      </c>
      <c r="Z1944">
        <v>11</v>
      </c>
      <c r="AA1944">
        <v>11</v>
      </c>
      <c r="AB1944">
        <v>0.59499999999999997</v>
      </c>
      <c r="AC1944">
        <v>0.19</v>
      </c>
      <c r="AF1944" t="s">
        <v>7528</v>
      </c>
      <c r="AK1944" t="s">
        <v>98</v>
      </c>
      <c r="AM1944" t="s">
        <v>98</v>
      </c>
      <c r="AN1944" t="s">
        <v>98</v>
      </c>
      <c r="AO1944" t="s">
        <v>98</v>
      </c>
      <c r="AP1944" t="s">
        <v>100</v>
      </c>
      <c r="AQ1944" t="s">
        <v>101</v>
      </c>
      <c r="AV1944" t="s">
        <v>98</v>
      </c>
      <c r="AX1944" t="s">
        <v>7528</v>
      </c>
      <c r="AZ1944" t="s">
        <v>7528</v>
      </c>
      <c r="BB1944" t="s">
        <v>7528</v>
      </c>
      <c r="BC1944" t="s">
        <v>7528</v>
      </c>
      <c r="BD1944" t="s">
        <v>7528</v>
      </c>
      <c r="BF1944" t="s">
        <v>5862</v>
      </c>
      <c r="BG1944" t="s">
        <v>98</v>
      </c>
      <c r="BH1944" t="s">
        <v>98</v>
      </c>
      <c r="BI1944" t="s">
        <v>98</v>
      </c>
      <c r="BK1944" t="s">
        <v>7528</v>
      </c>
      <c r="BL1944" t="s">
        <v>7528</v>
      </c>
      <c r="CA1944" t="s">
        <v>5861</v>
      </c>
      <c r="CB1944" t="s">
        <v>7528</v>
      </c>
      <c r="CL1944" t="s">
        <v>98</v>
      </c>
      <c r="CM1944" t="s">
        <v>98</v>
      </c>
      <c r="CN1944" t="s">
        <v>7528</v>
      </c>
      <c r="CO1944" s="1">
        <v>40555</v>
      </c>
      <c r="CP1944" s="1">
        <v>43633</v>
      </c>
    </row>
    <row r="1945" spans="1:94" x14ac:dyDescent="0.25">
      <c r="A1945" t="s">
        <v>5863</v>
      </c>
      <c r="B1945" t="str">
        <f xml:space="preserve"> "" &amp; 747396050614</f>
        <v>747396050614</v>
      </c>
      <c r="C1945" t="s">
        <v>3416</v>
      </c>
      <c r="D1945" t="s">
        <v>7301</v>
      </c>
      <c r="E1945" t="s">
        <v>7528</v>
      </c>
      <c r="F1945" t="s">
        <v>627</v>
      </c>
      <c r="G1945">
        <v>1</v>
      </c>
      <c r="H1945">
        <v>1</v>
      </c>
      <c r="I1945" t="s">
        <v>97</v>
      </c>
      <c r="J1945" s="10">
        <v>8</v>
      </c>
      <c r="K1945" s="10">
        <v>24</v>
      </c>
      <c r="L1945" s="10">
        <v>0</v>
      </c>
      <c r="N1945" s="10">
        <v>0</v>
      </c>
      <c r="W1945">
        <v>0.33</v>
      </c>
      <c r="X1945">
        <v>1</v>
      </c>
      <c r="Y1945">
        <v>11.25</v>
      </c>
      <c r="Z1945">
        <v>11</v>
      </c>
      <c r="AA1945">
        <v>11</v>
      </c>
      <c r="AB1945">
        <v>0.78800000000000003</v>
      </c>
      <c r="AC1945">
        <v>0.33</v>
      </c>
      <c r="AF1945" t="s">
        <v>7528</v>
      </c>
      <c r="AK1945" t="s">
        <v>98</v>
      </c>
      <c r="AM1945" t="s">
        <v>98</v>
      </c>
      <c r="AN1945" t="s">
        <v>98</v>
      </c>
      <c r="AO1945" t="s">
        <v>98</v>
      </c>
      <c r="AP1945" t="s">
        <v>100</v>
      </c>
      <c r="AQ1945" t="s">
        <v>101</v>
      </c>
      <c r="AV1945" t="s">
        <v>98</v>
      </c>
      <c r="AX1945" t="s">
        <v>7528</v>
      </c>
      <c r="AZ1945" t="s">
        <v>7528</v>
      </c>
      <c r="BB1945" t="s">
        <v>7528</v>
      </c>
      <c r="BC1945" t="s">
        <v>7528</v>
      </c>
      <c r="BD1945" t="s">
        <v>7528</v>
      </c>
      <c r="BF1945" t="s">
        <v>5864</v>
      </c>
      <c r="BG1945" t="s">
        <v>98</v>
      </c>
      <c r="BH1945" t="s">
        <v>98</v>
      </c>
      <c r="BI1945" t="s">
        <v>98</v>
      </c>
      <c r="BK1945" t="s">
        <v>7528</v>
      </c>
      <c r="BL1945" t="s">
        <v>7528</v>
      </c>
      <c r="CA1945" t="s">
        <v>5863</v>
      </c>
      <c r="CB1945" t="s">
        <v>7528</v>
      </c>
      <c r="CL1945" t="s">
        <v>98</v>
      </c>
      <c r="CM1945" t="s">
        <v>98</v>
      </c>
      <c r="CN1945" t="s">
        <v>7528</v>
      </c>
      <c r="CO1945" s="1">
        <v>40555</v>
      </c>
      <c r="CP1945" s="1">
        <v>43633</v>
      </c>
    </row>
    <row r="1946" spans="1:94" x14ac:dyDescent="0.25">
      <c r="A1946" t="s">
        <v>5865</v>
      </c>
      <c r="B1946" t="str">
        <f xml:space="preserve"> "" &amp; 747396033945</f>
        <v>747396033945</v>
      </c>
      <c r="C1946" t="s">
        <v>5866</v>
      </c>
      <c r="D1946" t="s">
        <v>7302</v>
      </c>
      <c r="E1946" t="s">
        <v>7528</v>
      </c>
      <c r="F1946" t="s">
        <v>627</v>
      </c>
      <c r="G1946">
        <v>1</v>
      </c>
      <c r="H1946">
        <v>1</v>
      </c>
      <c r="I1946" t="s">
        <v>97</v>
      </c>
      <c r="J1946" s="10">
        <v>5.5</v>
      </c>
      <c r="K1946" s="10">
        <v>16.5</v>
      </c>
      <c r="L1946" s="10">
        <v>0</v>
      </c>
      <c r="N1946" s="10">
        <v>0</v>
      </c>
      <c r="U1946">
        <v>8.6300000000000008</v>
      </c>
      <c r="V1946">
        <v>3.63</v>
      </c>
      <c r="W1946">
        <v>1.61</v>
      </c>
      <c r="X1946">
        <v>1</v>
      </c>
      <c r="Y1946">
        <v>16</v>
      </c>
      <c r="Z1946">
        <v>11</v>
      </c>
      <c r="AA1946">
        <v>11</v>
      </c>
      <c r="AB1946">
        <v>1.1200000000000001</v>
      </c>
      <c r="AC1946">
        <v>2.64</v>
      </c>
      <c r="AF1946" t="s">
        <v>7528</v>
      </c>
      <c r="AK1946" t="s">
        <v>98</v>
      </c>
      <c r="AM1946" t="s">
        <v>98</v>
      </c>
      <c r="AN1946" t="s">
        <v>98</v>
      </c>
      <c r="AO1946" t="s">
        <v>98</v>
      </c>
      <c r="AP1946" t="s">
        <v>100</v>
      </c>
      <c r="AQ1946" t="s">
        <v>101</v>
      </c>
      <c r="AV1946" t="s">
        <v>98</v>
      </c>
      <c r="AX1946" t="s">
        <v>7528</v>
      </c>
      <c r="AZ1946" t="s">
        <v>7528</v>
      </c>
      <c r="BB1946" t="s">
        <v>7528</v>
      </c>
      <c r="BC1946" t="s">
        <v>7528</v>
      </c>
      <c r="BD1946" t="s">
        <v>7528</v>
      </c>
      <c r="BF1946" t="s">
        <v>5867</v>
      </c>
      <c r="BG1946" t="s">
        <v>98</v>
      </c>
      <c r="BH1946" t="s">
        <v>98</v>
      </c>
      <c r="BI1946" t="s">
        <v>98</v>
      </c>
      <c r="BK1946" t="s">
        <v>7528</v>
      </c>
      <c r="BL1946" t="s">
        <v>7528</v>
      </c>
      <c r="CA1946" t="s">
        <v>5865</v>
      </c>
      <c r="CB1946" t="s">
        <v>7528</v>
      </c>
      <c r="CL1946" t="s">
        <v>98</v>
      </c>
      <c r="CM1946" t="s">
        <v>98</v>
      </c>
      <c r="CN1946" t="s">
        <v>7528</v>
      </c>
      <c r="CO1946" s="1">
        <v>40242</v>
      </c>
      <c r="CP1946" s="1">
        <v>43633</v>
      </c>
    </row>
    <row r="1947" spans="1:94" x14ac:dyDescent="0.25">
      <c r="A1947" t="s">
        <v>5868</v>
      </c>
      <c r="B1947" t="str">
        <f xml:space="preserve"> "" &amp; 747396042251</f>
        <v>747396042251</v>
      </c>
      <c r="C1947" t="s">
        <v>1446</v>
      </c>
      <c r="D1947" t="s">
        <v>7303</v>
      </c>
      <c r="E1947" t="s">
        <v>7528</v>
      </c>
      <c r="F1947" t="s">
        <v>627</v>
      </c>
      <c r="G1947">
        <v>1</v>
      </c>
      <c r="H1947">
        <v>1</v>
      </c>
      <c r="I1947" t="s">
        <v>97</v>
      </c>
      <c r="J1947" s="10">
        <v>7.5</v>
      </c>
      <c r="K1947" s="10">
        <v>22.5</v>
      </c>
      <c r="L1947" s="10">
        <v>0</v>
      </c>
      <c r="N1947" s="10">
        <v>0</v>
      </c>
      <c r="W1947">
        <v>0.64</v>
      </c>
      <c r="X1947">
        <v>1</v>
      </c>
      <c r="Y1947">
        <v>11.75</v>
      </c>
      <c r="Z1947">
        <v>11.5</v>
      </c>
      <c r="AA1947">
        <v>9.75</v>
      </c>
      <c r="AB1947">
        <v>0.76200000000000001</v>
      </c>
      <c r="AC1947">
        <v>0.69</v>
      </c>
      <c r="AF1947" t="s">
        <v>7528</v>
      </c>
      <c r="AK1947" t="s">
        <v>98</v>
      </c>
      <c r="AM1947" t="s">
        <v>98</v>
      </c>
      <c r="AN1947" t="s">
        <v>98</v>
      </c>
      <c r="AO1947" t="s">
        <v>98</v>
      </c>
      <c r="AP1947" t="s">
        <v>100</v>
      </c>
      <c r="AQ1947" t="s">
        <v>101</v>
      </c>
      <c r="AV1947" t="s">
        <v>98</v>
      </c>
      <c r="AX1947" t="s">
        <v>7528</v>
      </c>
      <c r="AZ1947" t="s">
        <v>7528</v>
      </c>
      <c r="BB1947" t="s">
        <v>7528</v>
      </c>
      <c r="BC1947" t="s">
        <v>7528</v>
      </c>
      <c r="BD1947" t="s">
        <v>7528</v>
      </c>
      <c r="BF1947" t="s">
        <v>5869</v>
      </c>
      <c r="BG1947" t="s">
        <v>98</v>
      </c>
      <c r="BH1947" t="s">
        <v>98</v>
      </c>
      <c r="BI1947" t="s">
        <v>98</v>
      </c>
      <c r="BK1947" t="s">
        <v>7528</v>
      </c>
      <c r="BL1947" t="s">
        <v>7528</v>
      </c>
      <c r="CA1947" t="s">
        <v>5868</v>
      </c>
      <c r="CB1947" t="s">
        <v>7528</v>
      </c>
      <c r="CL1947" t="s">
        <v>98</v>
      </c>
      <c r="CM1947" t="s">
        <v>98</v>
      </c>
      <c r="CN1947" t="s">
        <v>7528</v>
      </c>
      <c r="CO1947" s="1">
        <v>40555</v>
      </c>
      <c r="CP1947" s="1">
        <v>43633</v>
      </c>
    </row>
    <row r="1948" spans="1:94" x14ac:dyDescent="0.25">
      <c r="A1948" t="s">
        <v>5870</v>
      </c>
      <c r="B1948" t="str">
        <f xml:space="preserve"> "" &amp; 747396033976</f>
        <v>747396033976</v>
      </c>
      <c r="C1948" t="s">
        <v>5154</v>
      </c>
      <c r="D1948" t="s">
        <v>7304</v>
      </c>
      <c r="E1948" t="s">
        <v>472</v>
      </c>
      <c r="F1948" t="s">
        <v>627</v>
      </c>
      <c r="G1948">
        <v>1</v>
      </c>
      <c r="H1948">
        <v>1</v>
      </c>
      <c r="I1948" t="s">
        <v>97</v>
      </c>
      <c r="J1948" s="10">
        <v>375</v>
      </c>
      <c r="K1948" s="10">
        <v>1125</v>
      </c>
      <c r="L1948" s="10">
        <v>0</v>
      </c>
      <c r="N1948" s="10">
        <v>0</v>
      </c>
      <c r="U1948">
        <v>23.25</v>
      </c>
      <c r="W1948">
        <v>39.6</v>
      </c>
      <c r="X1948">
        <v>1</v>
      </c>
      <c r="Y1948">
        <v>12.75</v>
      </c>
      <c r="Z1948">
        <v>44</v>
      </c>
      <c r="AA1948">
        <v>44</v>
      </c>
      <c r="AB1948">
        <v>14.285</v>
      </c>
      <c r="AC1948">
        <v>57.42</v>
      </c>
      <c r="AF1948" t="s">
        <v>7528</v>
      </c>
      <c r="AK1948" t="s">
        <v>98</v>
      </c>
      <c r="AM1948" t="s">
        <v>98</v>
      </c>
      <c r="AN1948" t="s">
        <v>98</v>
      </c>
      <c r="AO1948" t="s">
        <v>98</v>
      </c>
      <c r="AP1948" t="s">
        <v>100</v>
      </c>
      <c r="AQ1948" t="s">
        <v>101</v>
      </c>
      <c r="AV1948" t="s">
        <v>98</v>
      </c>
      <c r="AX1948" t="s">
        <v>7528</v>
      </c>
      <c r="AZ1948" t="s">
        <v>7528</v>
      </c>
      <c r="BB1948" t="s">
        <v>7528</v>
      </c>
      <c r="BC1948" t="s">
        <v>7528</v>
      </c>
      <c r="BD1948" t="s">
        <v>7528</v>
      </c>
      <c r="BF1948" t="s">
        <v>5871</v>
      </c>
      <c r="BG1948" t="s">
        <v>98</v>
      </c>
      <c r="BH1948" t="s">
        <v>98</v>
      </c>
      <c r="BI1948" t="s">
        <v>98</v>
      </c>
      <c r="BK1948" t="s">
        <v>7528</v>
      </c>
      <c r="BL1948" t="s">
        <v>7528</v>
      </c>
      <c r="CA1948" t="s">
        <v>5870</v>
      </c>
      <c r="CB1948" t="s">
        <v>7528</v>
      </c>
      <c r="CL1948" t="s">
        <v>98</v>
      </c>
      <c r="CM1948" t="s">
        <v>98</v>
      </c>
      <c r="CN1948" t="s">
        <v>7528</v>
      </c>
      <c r="CO1948" s="1">
        <v>40247</v>
      </c>
      <c r="CP1948" s="1">
        <v>43633</v>
      </c>
    </row>
    <row r="1949" spans="1:94" x14ac:dyDescent="0.25">
      <c r="A1949" t="s">
        <v>5872</v>
      </c>
      <c r="B1949" t="str">
        <f xml:space="preserve"> "" &amp; 747396033983</f>
        <v>747396033983</v>
      </c>
      <c r="C1949" t="s">
        <v>5866</v>
      </c>
      <c r="D1949" t="s">
        <v>7305</v>
      </c>
      <c r="E1949" t="s">
        <v>7528</v>
      </c>
      <c r="F1949" t="s">
        <v>627</v>
      </c>
      <c r="G1949">
        <v>1</v>
      </c>
      <c r="H1949">
        <v>1</v>
      </c>
      <c r="I1949" t="s">
        <v>97</v>
      </c>
      <c r="J1949" s="10">
        <v>10.5</v>
      </c>
      <c r="K1949" s="10">
        <v>31.5</v>
      </c>
      <c r="L1949" s="10">
        <v>0</v>
      </c>
      <c r="N1949" s="10">
        <v>0</v>
      </c>
      <c r="U1949">
        <v>11.88</v>
      </c>
      <c r="V1949">
        <v>3.63</v>
      </c>
      <c r="W1949">
        <v>3.03</v>
      </c>
      <c r="X1949">
        <v>1</v>
      </c>
      <c r="Y1949">
        <v>22.75</v>
      </c>
      <c r="Z1949">
        <v>14</v>
      </c>
      <c r="AA1949">
        <v>14</v>
      </c>
      <c r="AB1949">
        <v>2.58</v>
      </c>
      <c r="AC1949">
        <v>4.74</v>
      </c>
      <c r="AF1949" t="s">
        <v>7528</v>
      </c>
      <c r="AK1949" t="s">
        <v>98</v>
      </c>
      <c r="AM1949" t="s">
        <v>98</v>
      </c>
      <c r="AN1949" t="s">
        <v>98</v>
      </c>
      <c r="AO1949" t="s">
        <v>98</v>
      </c>
      <c r="AP1949" t="s">
        <v>100</v>
      </c>
      <c r="AQ1949" t="s">
        <v>101</v>
      </c>
      <c r="AV1949" t="s">
        <v>98</v>
      </c>
      <c r="AX1949" t="s">
        <v>7528</v>
      </c>
      <c r="AZ1949" t="s">
        <v>7528</v>
      </c>
      <c r="BB1949" t="s">
        <v>7528</v>
      </c>
      <c r="BC1949" t="s">
        <v>7528</v>
      </c>
      <c r="BD1949" t="s">
        <v>7528</v>
      </c>
      <c r="BF1949" t="s">
        <v>5873</v>
      </c>
      <c r="BG1949" t="s">
        <v>98</v>
      </c>
      <c r="BH1949" t="s">
        <v>98</v>
      </c>
      <c r="BI1949" t="s">
        <v>98</v>
      </c>
      <c r="BK1949" t="s">
        <v>7528</v>
      </c>
      <c r="BL1949" t="s">
        <v>7528</v>
      </c>
      <c r="CA1949" t="s">
        <v>5872</v>
      </c>
      <c r="CB1949" t="s">
        <v>7528</v>
      </c>
      <c r="CL1949" t="s">
        <v>98</v>
      </c>
      <c r="CM1949" t="s">
        <v>98</v>
      </c>
      <c r="CN1949" t="s">
        <v>7528</v>
      </c>
      <c r="CO1949" s="1">
        <v>40245</v>
      </c>
      <c r="CP1949" s="1">
        <v>43633</v>
      </c>
    </row>
    <row r="1950" spans="1:94" x14ac:dyDescent="0.25">
      <c r="A1950" t="s">
        <v>5874</v>
      </c>
      <c r="B1950" t="str">
        <f xml:space="preserve"> "" &amp; 747396034041</f>
        <v>747396034041</v>
      </c>
      <c r="C1950" t="s">
        <v>5177</v>
      </c>
      <c r="D1950" t="s">
        <v>5875</v>
      </c>
      <c r="E1950" t="s">
        <v>7528</v>
      </c>
      <c r="F1950" t="s">
        <v>627</v>
      </c>
      <c r="G1950">
        <v>1</v>
      </c>
      <c r="H1950">
        <v>1</v>
      </c>
      <c r="I1950" t="s">
        <v>97</v>
      </c>
      <c r="J1950" s="10">
        <v>10</v>
      </c>
      <c r="K1950" s="10">
        <v>30</v>
      </c>
      <c r="L1950" s="10">
        <v>0</v>
      </c>
      <c r="N1950" s="10">
        <v>0</v>
      </c>
      <c r="S1950">
        <v>4.25</v>
      </c>
      <c r="U1950">
        <v>8</v>
      </c>
      <c r="W1950">
        <v>0.78</v>
      </c>
      <c r="X1950">
        <v>1</v>
      </c>
      <c r="Y1950">
        <v>12.25</v>
      </c>
      <c r="Z1950">
        <v>19.75</v>
      </c>
      <c r="AA1950">
        <v>11.75</v>
      </c>
      <c r="AB1950">
        <v>1.645</v>
      </c>
      <c r="AC1950">
        <v>1.38</v>
      </c>
      <c r="AF1950" t="s">
        <v>7528</v>
      </c>
      <c r="AK1950" t="s">
        <v>98</v>
      </c>
      <c r="AM1950" t="s">
        <v>98</v>
      </c>
      <c r="AN1950" t="s">
        <v>98</v>
      </c>
      <c r="AO1950" t="s">
        <v>98</v>
      </c>
      <c r="AP1950" t="s">
        <v>100</v>
      </c>
      <c r="AQ1950" t="s">
        <v>101</v>
      </c>
      <c r="AV1950" t="s">
        <v>98</v>
      </c>
      <c r="AX1950" t="s">
        <v>7528</v>
      </c>
      <c r="AZ1950" t="s">
        <v>7528</v>
      </c>
      <c r="BB1950" t="s">
        <v>7528</v>
      </c>
      <c r="BC1950" t="s">
        <v>7528</v>
      </c>
      <c r="BD1950" t="s">
        <v>7528</v>
      </c>
      <c r="BF1950" t="s">
        <v>5876</v>
      </c>
      <c r="BG1950" t="s">
        <v>98</v>
      </c>
      <c r="BH1950" t="s">
        <v>98</v>
      </c>
      <c r="BI1950" t="s">
        <v>98</v>
      </c>
      <c r="BK1950" t="s">
        <v>7528</v>
      </c>
      <c r="BL1950" t="s">
        <v>7528</v>
      </c>
      <c r="CA1950" t="s">
        <v>5874</v>
      </c>
      <c r="CB1950" t="s">
        <v>7528</v>
      </c>
      <c r="CL1950" t="s">
        <v>98</v>
      </c>
      <c r="CM1950" t="s">
        <v>98</v>
      </c>
      <c r="CN1950" t="s">
        <v>7528</v>
      </c>
      <c r="CO1950" s="1">
        <v>40248</v>
      </c>
      <c r="CP1950" s="1">
        <v>40248</v>
      </c>
    </row>
    <row r="1951" spans="1:94" x14ac:dyDescent="0.25">
      <c r="A1951" t="s">
        <v>5877</v>
      </c>
      <c r="B1951" t="str">
        <f xml:space="preserve"> "" &amp; 747396034119</f>
        <v>747396034119</v>
      </c>
      <c r="C1951" t="s">
        <v>5177</v>
      </c>
      <c r="D1951" t="s">
        <v>7306</v>
      </c>
      <c r="E1951" t="s">
        <v>7528</v>
      </c>
      <c r="F1951" t="s">
        <v>627</v>
      </c>
      <c r="G1951">
        <v>1</v>
      </c>
      <c r="H1951">
        <v>1</v>
      </c>
      <c r="I1951" t="s">
        <v>97</v>
      </c>
      <c r="J1951" s="10">
        <v>9</v>
      </c>
      <c r="K1951" s="10">
        <v>27</v>
      </c>
      <c r="L1951" s="10">
        <v>0</v>
      </c>
      <c r="N1951" s="10">
        <v>0</v>
      </c>
      <c r="S1951">
        <v>14.25</v>
      </c>
      <c r="U1951">
        <v>14.5</v>
      </c>
      <c r="V1951">
        <v>0.38</v>
      </c>
      <c r="W1951">
        <v>1</v>
      </c>
      <c r="X1951">
        <v>1</v>
      </c>
      <c r="AB1951">
        <v>0.57379999999999998</v>
      </c>
      <c r="AC1951">
        <v>1.21</v>
      </c>
      <c r="AF1951" t="s">
        <v>7528</v>
      </c>
      <c r="AK1951" t="s">
        <v>98</v>
      </c>
      <c r="AM1951" t="s">
        <v>98</v>
      </c>
      <c r="AN1951" t="s">
        <v>98</v>
      </c>
      <c r="AO1951" t="s">
        <v>98</v>
      </c>
      <c r="AP1951" t="s">
        <v>100</v>
      </c>
      <c r="AQ1951" t="s">
        <v>101</v>
      </c>
      <c r="AV1951" t="s">
        <v>98</v>
      </c>
      <c r="AX1951" t="s">
        <v>7528</v>
      </c>
      <c r="AZ1951" t="s">
        <v>7528</v>
      </c>
      <c r="BB1951" t="s">
        <v>7528</v>
      </c>
      <c r="BC1951" t="s">
        <v>7528</v>
      </c>
      <c r="BD1951" t="s">
        <v>7528</v>
      </c>
      <c r="BF1951" t="s">
        <v>5878</v>
      </c>
      <c r="BG1951" t="s">
        <v>98</v>
      </c>
      <c r="BH1951" t="s">
        <v>98</v>
      </c>
      <c r="BI1951" t="s">
        <v>98</v>
      </c>
      <c r="BK1951" t="s">
        <v>7528</v>
      </c>
      <c r="BL1951" t="s">
        <v>7528</v>
      </c>
      <c r="CA1951" t="s">
        <v>5877</v>
      </c>
      <c r="CB1951" t="s">
        <v>7528</v>
      </c>
      <c r="CL1951" t="s">
        <v>98</v>
      </c>
      <c r="CM1951" t="s">
        <v>98</v>
      </c>
      <c r="CN1951" t="s">
        <v>7528</v>
      </c>
      <c r="CO1951" s="1">
        <v>40248</v>
      </c>
      <c r="CP1951" s="1">
        <v>43633</v>
      </c>
    </row>
    <row r="1952" spans="1:94" x14ac:dyDescent="0.25">
      <c r="A1952" t="s">
        <v>5879</v>
      </c>
      <c r="B1952" t="str">
        <f xml:space="preserve"> "" &amp; 747396051581</f>
        <v>747396051581</v>
      </c>
      <c r="C1952" t="s">
        <v>1446</v>
      </c>
      <c r="D1952" t="s">
        <v>7307</v>
      </c>
      <c r="E1952" t="s">
        <v>7528</v>
      </c>
      <c r="F1952" t="s">
        <v>627</v>
      </c>
      <c r="G1952">
        <v>1</v>
      </c>
      <c r="H1952">
        <v>1</v>
      </c>
      <c r="I1952" t="s">
        <v>97</v>
      </c>
      <c r="J1952" s="10">
        <v>8.5</v>
      </c>
      <c r="K1952" s="10">
        <v>25.5</v>
      </c>
      <c r="L1952" s="10">
        <v>0</v>
      </c>
      <c r="N1952" s="10">
        <v>0</v>
      </c>
      <c r="W1952">
        <v>0.37</v>
      </c>
      <c r="X1952">
        <v>1</v>
      </c>
      <c r="Y1952">
        <v>11.25</v>
      </c>
      <c r="Z1952">
        <v>16.875</v>
      </c>
      <c r="AA1952">
        <v>12.125</v>
      </c>
      <c r="AB1952">
        <v>1.3320000000000001</v>
      </c>
      <c r="AC1952">
        <v>0.5</v>
      </c>
      <c r="AF1952" t="s">
        <v>7528</v>
      </c>
      <c r="AK1952" t="s">
        <v>98</v>
      </c>
      <c r="AM1952" t="s">
        <v>98</v>
      </c>
      <c r="AN1952" t="s">
        <v>98</v>
      </c>
      <c r="AO1952" t="s">
        <v>98</v>
      </c>
      <c r="AP1952" t="s">
        <v>100</v>
      </c>
      <c r="AQ1952" t="s">
        <v>101</v>
      </c>
      <c r="AV1952" t="s">
        <v>98</v>
      </c>
      <c r="AX1952" t="s">
        <v>7528</v>
      </c>
      <c r="AZ1952" t="s">
        <v>7528</v>
      </c>
      <c r="BB1952" t="s">
        <v>7528</v>
      </c>
      <c r="BC1952" t="s">
        <v>7528</v>
      </c>
      <c r="BD1952" t="s">
        <v>7528</v>
      </c>
      <c r="BF1952" t="s">
        <v>5880</v>
      </c>
      <c r="BG1952" t="s">
        <v>98</v>
      </c>
      <c r="BH1952" t="s">
        <v>98</v>
      </c>
      <c r="BI1952" t="s">
        <v>98</v>
      </c>
      <c r="BK1952" t="s">
        <v>7528</v>
      </c>
      <c r="BL1952" t="s">
        <v>7528</v>
      </c>
      <c r="CA1952" t="s">
        <v>5879</v>
      </c>
      <c r="CB1952" t="s">
        <v>7528</v>
      </c>
      <c r="CL1952" t="s">
        <v>98</v>
      </c>
      <c r="CM1952" t="s">
        <v>98</v>
      </c>
      <c r="CN1952" t="s">
        <v>7528</v>
      </c>
      <c r="CO1952" s="1">
        <v>40555</v>
      </c>
      <c r="CP1952" s="1">
        <v>43633</v>
      </c>
    </row>
    <row r="1953" spans="1:94" x14ac:dyDescent="0.25">
      <c r="A1953" t="s">
        <v>5881</v>
      </c>
      <c r="B1953" t="str">
        <f xml:space="preserve"> "" &amp; 747396051598</f>
        <v>747396051598</v>
      </c>
      <c r="C1953" t="s">
        <v>3224</v>
      </c>
      <c r="D1953" t="s">
        <v>7308</v>
      </c>
      <c r="E1953" t="s">
        <v>7528</v>
      </c>
      <c r="F1953" t="s">
        <v>627</v>
      </c>
      <c r="G1953">
        <v>1</v>
      </c>
      <c r="H1953">
        <v>1</v>
      </c>
      <c r="I1953" t="s">
        <v>97</v>
      </c>
      <c r="J1953" s="10">
        <v>6.5</v>
      </c>
      <c r="K1953" s="10">
        <v>19.5</v>
      </c>
      <c r="L1953" s="10">
        <v>0</v>
      </c>
      <c r="N1953" s="10">
        <v>0</v>
      </c>
      <c r="W1953">
        <v>0.22</v>
      </c>
      <c r="X1953">
        <v>1</v>
      </c>
      <c r="Y1953">
        <v>6.5</v>
      </c>
      <c r="Z1953">
        <v>21</v>
      </c>
      <c r="AA1953">
        <v>8.25</v>
      </c>
      <c r="AB1953">
        <v>0.65200000000000002</v>
      </c>
      <c r="AC1953">
        <v>0.28999999999999998</v>
      </c>
      <c r="AF1953" t="s">
        <v>7528</v>
      </c>
      <c r="AK1953" t="s">
        <v>98</v>
      </c>
      <c r="AM1953" t="s">
        <v>98</v>
      </c>
      <c r="AN1953" t="s">
        <v>98</v>
      </c>
      <c r="AO1953" t="s">
        <v>98</v>
      </c>
      <c r="AP1953" t="s">
        <v>100</v>
      </c>
      <c r="AQ1953" t="s">
        <v>101</v>
      </c>
      <c r="AV1953" t="s">
        <v>98</v>
      </c>
      <c r="AX1953" t="s">
        <v>7528</v>
      </c>
      <c r="AZ1953" t="s">
        <v>7528</v>
      </c>
      <c r="BB1953" t="s">
        <v>7528</v>
      </c>
      <c r="BC1953" t="s">
        <v>7528</v>
      </c>
      <c r="BD1953" t="s">
        <v>7528</v>
      </c>
      <c r="BF1953" t="s">
        <v>5882</v>
      </c>
      <c r="BG1953" t="s">
        <v>98</v>
      </c>
      <c r="BH1953" t="s">
        <v>98</v>
      </c>
      <c r="BI1953" t="s">
        <v>98</v>
      </c>
      <c r="BK1953" t="s">
        <v>7528</v>
      </c>
      <c r="BL1953" t="s">
        <v>7528</v>
      </c>
      <c r="CA1953" t="s">
        <v>5881</v>
      </c>
      <c r="CB1953" t="s">
        <v>7528</v>
      </c>
      <c r="CL1953" t="s">
        <v>98</v>
      </c>
      <c r="CM1953" t="s">
        <v>98</v>
      </c>
      <c r="CN1953" t="s">
        <v>7528</v>
      </c>
      <c r="CO1953" s="1">
        <v>40555</v>
      </c>
      <c r="CP1953" s="1">
        <v>43633</v>
      </c>
    </row>
    <row r="1954" spans="1:94" x14ac:dyDescent="0.25">
      <c r="A1954" t="s">
        <v>5883</v>
      </c>
      <c r="B1954" t="str">
        <f xml:space="preserve"> "" &amp; 747396034386</f>
        <v>747396034386</v>
      </c>
      <c r="C1954" t="s">
        <v>7309</v>
      </c>
      <c r="D1954" t="s">
        <v>7309</v>
      </c>
      <c r="E1954" t="s">
        <v>7528</v>
      </c>
      <c r="F1954" t="s">
        <v>627</v>
      </c>
      <c r="G1954">
        <v>1</v>
      </c>
      <c r="H1954">
        <v>1</v>
      </c>
      <c r="I1954" t="s">
        <v>97</v>
      </c>
      <c r="J1954" s="10">
        <v>8.5</v>
      </c>
      <c r="K1954" s="10">
        <v>25.5</v>
      </c>
      <c r="L1954" s="10">
        <v>0</v>
      </c>
      <c r="N1954" s="10">
        <v>0</v>
      </c>
      <c r="W1954">
        <v>1</v>
      </c>
      <c r="X1954">
        <v>1</v>
      </c>
      <c r="AB1954">
        <v>0</v>
      </c>
      <c r="AC1954">
        <v>0.42</v>
      </c>
      <c r="AF1954" t="s">
        <v>7528</v>
      </c>
      <c r="AK1954" t="s">
        <v>98</v>
      </c>
      <c r="AM1954" t="s">
        <v>98</v>
      </c>
      <c r="AN1954" t="s">
        <v>98</v>
      </c>
      <c r="AO1954" t="s">
        <v>98</v>
      </c>
      <c r="AP1954" t="s">
        <v>100</v>
      </c>
      <c r="AQ1954" t="s">
        <v>101</v>
      </c>
      <c r="AV1954" t="s">
        <v>98</v>
      </c>
      <c r="AX1954" t="s">
        <v>7528</v>
      </c>
      <c r="AZ1954" t="s">
        <v>7528</v>
      </c>
      <c r="BB1954" t="s">
        <v>7528</v>
      </c>
      <c r="BC1954" t="s">
        <v>7528</v>
      </c>
      <c r="BD1954" t="s">
        <v>7528</v>
      </c>
      <c r="BF1954" t="s">
        <v>5884</v>
      </c>
      <c r="BG1954" t="s">
        <v>98</v>
      </c>
      <c r="BH1954" t="s">
        <v>98</v>
      </c>
      <c r="BI1954" t="s">
        <v>98</v>
      </c>
      <c r="BK1954" t="s">
        <v>7528</v>
      </c>
      <c r="BL1954" t="s">
        <v>7528</v>
      </c>
      <c r="CA1954" t="s">
        <v>5883</v>
      </c>
      <c r="CB1954" t="s">
        <v>7528</v>
      </c>
      <c r="CL1954" t="s">
        <v>98</v>
      </c>
      <c r="CM1954" t="s">
        <v>98</v>
      </c>
      <c r="CN1954" t="s">
        <v>7528</v>
      </c>
      <c r="CO1954" s="1">
        <v>40555</v>
      </c>
      <c r="CP1954" s="1">
        <v>43633</v>
      </c>
    </row>
    <row r="1955" spans="1:94" x14ac:dyDescent="0.25">
      <c r="A1955" t="s">
        <v>5885</v>
      </c>
      <c r="B1955" t="str">
        <f xml:space="preserve"> "" &amp; 747396051604</f>
        <v>747396051604</v>
      </c>
      <c r="C1955" t="s">
        <v>3224</v>
      </c>
      <c r="D1955" t="s">
        <v>7310</v>
      </c>
      <c r="E1955" t="s">
        <v>7528</v>
      </c>
      <c r="F1955" t="s">
        <v>627</v>
      </c>
      <c r="G1955">
        <v>1</v>
      </c>
      <c r="H1955">
        <v>1</v>
      </c>
      <c r="I1955" t="s">
        <v>97</v>
      </c>
      <c r="J1955" s="10">
        <v>8.5</v>
      </c>
      <c r="K1955" s="10">
        <v>25.5</v>
      </c>
      <c r="L1955" s="10">
        <v>0</v>
      </c>
      <c r="N1955" s="10">
        <v>0</v>
      </c>
      <c r="W1955">
        <v>0.44</v>
      </c>
      <c r="X1955">
        <v>1</v>
      </c>
      <c r="Y1955">
        <v>10.75</v>
      </c>
      <c r="Z1955">
        <v>21</v>
      </c>
      <c r="AA1955">
        <v>8.25</v>
      </c>
      <c r="AB1955">
        <v>1.0780000000000001</v>
      </c>
      <c r="AC1955">
        <v>0.56999999999999995</v>
      </c>
      <c r="AF1955" t="s">
        <v>7528</v>
      </c>
      <c r="AK1955" t="s">
        <v>98</v>
      </c>
      <c r="AM1955" t="s">
        <v>98</v>
      </c>
      <c r="AN1955" t="s">
        <v>98</v>
      </c>
      <c r="AO1955" t="s">
        <v>98</v>
      </c>
      <c r="AP1955" t="s">
        <v>100</v>
      </c>
      <c r="AQ1955" t="s">
        <v>101</v>
      </c>
      <c r="AV1955" t="s">
        <v>98</v>
      </c>
      <c r="AX1955" t="s">
        <v>7528</v>
      </c>
      <c r="AZ1955" t="s">
        <v>7528</v>
      </c>
      <c r="BB1955" t="s">
        <v>7528</v>
      </c>
      <c r="BC1955" t="s">
        <v>7528</v>
      </c>
      <c r="BD1955" t="s">
        <v>7528</v>
      </c>
      <c r="BF1955" t="s">
        <v>5886</v>
      </c>
      <c r="BG1955" t="s">
        <v>98</v>
      </c>
      <c r="BH1955" t="s">
        <v>98</v>
      </c>
      <c r="BI1955" t="s">
        <v>98</v>
      </c>
      <c r="BK1955" t="s">
        <v>7528</v>
      </c>
      <c r="BL1955" t="s">
        <v>7528</v>
      </c>
      <c r="CA1955" t="s">
        <v>5885</v>
      </c>
      <c r="CB1955" t="s">
        <v>7528</v>
      </c>
      <c r="CL1955" t="s">
        <v>98</v>
      </c>
      <c r="CM1955" t="s">
        <v>98</v>
      </c>
      <c r="CN1955" t="s">
        <v>7528</v>
      </c>
      <c r="CO1955" s="1">
        <v>40555</v>
      </c>
      <c r="CP1955" s="1">
        <v>43633</v>
      </c>
    </row>
    <row r="1956" spans="1:94" x14ac:dyDescent="0.25">
      <c r="A1956" t="s">
        <v>5887</v>
      </c>
      <c r="B1956" t="str">
        <f xml:space="preserve"> "" &amp; 747396034393</f>
        <v>747396034393</v>
      </c>
      <c r="C1956" t="s">
        <v>4770</v>
      </c>
      <c r="D1956" t="s">
        <v>7311</v>
      </c>
      <c r="E1956" t="s">
        <v>7528</v>
      </c>
      <c r="F1956" t="s">
        <v>627</v>
      </c>
      <c r="G1956">
        <v>1</v>
      </c>
      <c r="H1956">
        <v>1</v>
      </c>
      <c r="I1956" t="s">
        <v>97</v>
      </c>
      <c r="J1956" s="10">
        <v>12</v>
      </c>
      <c r="K1956" s="10">
        <v>36</v>
      </c>
      <c r="L1956" s="10">
        <v>0</v>
      </c>
      <c r="N1956" s="10">
        <v>0</v>
      </c>
      <c r="W1956">
        <v>0.63</v>
      </c>
      <c r="X1956">
        <v>1</v>
      </c>
      <c r="Y1956">
        <v>10</v>
      </c>
      <c r="Z1956">
        <v>12.5</v>
      </c>
      <c r="AA1956">
        <v>10</v>
      </c>
      <c r="AB1956">
        <v>0.72299999999999998</v>
      </c>
      <c r="AC1956">
        <v>0.99</v>
      </c>
      <c r="AF1956" t="s">
        <v>7528</v>
      </c>
      <c r="AK1956" t="s">
        <v>98</v>
      </c>
      <c r="AM1956" t="s">
        <v>98</v>
      </c>
      <c r="AN1956" t="s">
        <v>98</v>
      </c>
      <c r="AO1956" t="s">
        <v>98</v>
      </c>
      <c r="AP1956" t="s">
        <v>100</v>
      </c>
      <c r="AQ1956" t="s">
        <v>101</v>
      </c>
      <c r="AV1956" t="s">
        <v>98</v>
      </c>
      <c r="AX1956" t="s">
        <v>7528</v>
      </c>
      <c r="AZ1956" t="s">
        <v>7528</v>
      </c>
      <c r="BB1956" t="s">
        <v>7528</v>
      </c>
      <c r="BC1956" t="s">
        <v>7528</v>
      </c>
      <c r="BD1956" t="s">
        <v>7528</v>
      </c>
      <c r="BF1956" t="s">
        <v>5888</v>
      </c>
      <c r="BG1956" t="s">
        <v>98</v>
      </c>
      <c r="BH1956" t="s">
        <v>98</v>
      </c>
      <c r="BI1956" t="s">
        <v>98</v>
      </c>
      <c r="BK1956" t="s">
        <v>7528</v>
      </c>
      <c r="BL1956" t="s">
        <v>7528</v>
      </c>
      <c r="CA1956" t="s">
        <v>5887</v>
      </c>
      <c r="CB1956" t="s">
        <v>7528</v>
      </c>
      <c r="CL1956" t="s">
        <v>98</v>
      </c>
      <c r="CM1956" t="s">
        <v>98</v>
      </c>
      <c r="CN1956" t="s">
        <v>7528</v>
      </c>
      <c r="CO1956" s="1">
        <v>40555</v>
      </c>
      <c r="CP1956" s="1">
        <v>43633</v>
      </c>
    </row>
    <row r="1957" spans="1:94" x14ac:dyDescent="0.25">
      <c r="A1957" t="s">
        <v>5889</v>
      </c>
      <c r="B1957" t="str">
        <f xml:space="preserve"> "" &amp; 747396051574</f>
        <v>747396051574</v>
      </c>
      <c r="C1957" t="s">
        <v>1446</v>
      </c>
      <c r="D1957" t="s">
        <v>7312</v>
      </c>
      <c r="E1957" t="s">
        <v>7528</v>
      </c>
      <c r="F1957" t="s">
        <v>627</v>
      </c>
      <c r="G1957">
        <v>1</v>
      </c>
      <c r="H1957">
        <v>1</v>
      </c>
      <c r="I1957" t="s">
        <v>97</v>
      </c>
      <c r="J1957" s="10">
        <v>12</v>
      </c>
      <c r="K1957" s="10">
        <v>36</v>
      </c>
      <c r="L1957" s="10">
        <v>0</v>
      </c>
      <c r="N1957" s="10">
        <v>0</v>
      </c>
      <c r="W1957">
        <v>0.73</v>
      </c>
      <c r="X1957">
        <v>1</v>
      </c>
      <c r="Y1957">
        <v>16</v>
      </c>
      <c r="Z1957">
        <v>22.75</v>
      </c>
      <c r="AA1957">
        <v>17.25</v>
      </c>
      <c r="AB1957">
        <v>3.6339999999999999</v>
      </c>
      <c r="AC1957">
        <v>0.79</v>
      </c>
      <c r="AF1957" t="s">
        <v>7528</v>
      </c>
      <c r="AK1957" t="s">
        <v>98</v>
      </c>
      <c r="AM1957" t="s">
        <v>98</v>
      </c>
      <c r="AN1957" t="s">
        <v>98</v>
      </c>
      <c r="AO1957" t="s">
        <v>98</v>
      </c>
      <c r="AP1957" t="s">
        <v>100</v>
      </c>
      <c r="AQ1957" t="s">
        <v>101</v>
      </c>
      <c r="AV1957" t="s">
        <v>98</v>
      </c>
      <c r="AX1957" t="s">
        <v>7528</v>
      </c>
      <c r="AZ1957" t="s">
        <v>7528</v>
      </c>
      <c r="BB1957" t="s">
        <v>7528</v>
      </c>
      <c r="BC1957" t="s">
        <v>7528</v>
      </c>
      <c r="BD1957" t="s">
        <v>7528</v>
      </c>
      <c r="BF1957" t="s">
        <v>5890</v>
      </c>
      <c r="BG1957" t="s">
        <v>98</v>
      </c>
      <c r="BH1957" t="s">
        <v>98</v>
      </c>
      <c r="BI1957" t="s">
        <v>98</v>
      </c>
      <c r="BK1957" t="s">
        <v>7528</v>
      </c>
      <c r="BL1957" t="s">
        <v>7528</v>
      </c>
      <c r="CA1957" t="s">
        <v>5889</v>
      </c>
      <c r="CB1957" t="s">
        <v>7528</v>
      </c>
      <c r="CL1957" t="s">
        <v>98</v>
      </c>
      <c r="CM1957" t="s">
        <v>98</v>
      </c>
      <c r="CN1957" t="s">
        <v>7528</v>
      </c>
      <c r="CO1957" s="1">
        <v>40555</v>
      </c>
      <c r="CP1957" s="1">
        <v>43633</v>
      </c>
    </row>
    <row r="1958" spans="1:94" x14ac:dyDescent="0.25">
      <c r="A1958" t="s">
        <v>5891</v>
      </c>
      <c r="B1958" t="str">
        <f xml:space="preserve"> "" &amp; 747396034492</f>
        <v>747396034492</v>
      </c>
      <c r="C1958" t="s">
        <v>5892</v>
      </c>
      <c r="D1958" t="s">
        <v>5893</v>
      </c>
      <c r="E1958" t="s">
        <v>7528</v>
      </c>
      <c r="F1958" t="s">
        <v>627</v>
      </c>
      <c r="G1958">
        <v>1</v>
      </c>
      <c r="H1958">
        <v>1</v>
      </c>
      <c r="I1958" t="s">
        <v>97</v>
      </c>
      <c r="J1958" s="10">
        <v>4.5</v>
      </c>
      <c r="K1958" s="10">
        <v>13.5</v>
      </c>
      <c r="L1958" s="10">
        <v>0</v>
      </c>
      <c r="N1958" s="10">
        <v>0</v>
      </c>
      <c r="W1958">
        <v>0.28000000000000003</v>
      </c>
      <c r="X1958">
        <v>1</v>
      </c>
      <c r="Y1958">
        <v>10</v>
      </c>
      <c r="Z1958">
        <v>11.5</v>
      </c>
      <c r="AA1958">
        <v>9.1300000000000008</v>
      </c>
      <c r="AB1958">
        <v>0.60799999999999998</v>
      </c>
      <c r="AC1958">
        <v>0.32</v>
      </c>
      <c r="AF1958" t="s">
        <v>7528</v>
      </c>
      <c r="AK1958" t="s">
        <v>98</v>
      </c>
      <c r="AM1958" t="s">
        <v>98</v>
      </c>
      <c r="AN1958" t="s">
        <v>98</v>
      </c>
      <c r="AO1958" t="s">
        <v>98</v>
      </c>
      <c r="AP1958" t="s">
        <v>100</v>
      </c>
      <c r="AQ1958" t="s">
        <v>101</v>
      </c>
      <c r="AV1958" t="s">
        <v>98</v>
      </c>
      <c r="AX1958" t="s">
        <v>7528</v>
      </c>
      <c r="AZ1958" t="s">
        <v>7528</v>
      </c>
      <c r="BB1958" t="s">
        <v>7528</v>
      </c>
      <c r="BC1958" t="s">
        <v>7528</v>
      </c>
      <c r="BD1958" t="s">
        <v>7528</v>
      </c>
      <c r="BF1958" t="s">
        <v>5894</v>
      </c>
      <c r="BG1958" t="s">
        <v>98</v>
      </c>
      <c r="BH1958" t="s">
        <v>98</v>
      </c>
      <c r="BI1958" t="s">
        <v>98</v>
      </c>
      <c r="BK1958" t="s">
        <v>7528</v>
      </c>
      <c r="BL1958" t="s">
        <v>7528</v>
      </c>
      <c r="CA1958" t="s">
        <v>5891</v>
      </c>
      <c r="CB1958" t="s">
        <v>7528</v>
      </c>
      <c r="CL1958" t="s">
        <v>98</v>
      </c>
      <c r="CM1958" t="s">
        <v>98</v>
      </c>
      <c r="CN1958" t="s">
        <v>7528</v>
      </c>
      <c r="CO1958" s="1">
        <v>40556</v>
      </c>
      <c r="CP1958" s="1">
        <v>43633</v>
      </c>
    </row>
    <row r="1959" spans="1:94" x14ac:dyDescent="0.25">
      <c r="A1959" t="s">
        <v>5895</v>
      </c>
      <c r="B1959" t="str">
        <f xml:space="preserve"> "" &amp; 747396034508</f>
        <v>747396034508</v>
      </c>
      <c r="C1959" t="s">
        <v>5892</v>
      </c>
      <c r="D1959" t="s">
        <v>7313</v>
      </c>
      <c r="E1959" t="s">
        <v>7528</v>
      </c>
      <c r="F1959" t="s">
        <v>627</v>
      </c>
      <c r="G1959">
        <v>1</v>
      </c>
      <c r="H1959">
        <v>1</v>
      </c>
      <c r="I1959" t="s">
        <v>97</v>
      </c>
      <c r="J1959" s="10">
        <v>4</v>
      </c>
      <c r="K1959" s="10">
        <v>12</v>
      </c>
      <c r="L1959" s="10">
        <v>0</v>
      </c>
      <c r="N1959" s="10">
        <v>0</v>
      </c>
      <c r="W1959">
        <v>0.22</v>
      </c>
      <c r="X1959">
        <v>1</v>
      </c>
      <c r="Y1959">
        <v>10</v>
      </c>
      <c r="Z1959">
        <v>10.5</v>
      </c>
      <c r="AA1959">
        <v>9.1300000000000008</v>
      </c>
      <c r="AB1959">
        <v>0.55500000000000005</v>
      </c>
      <c r="AC1959">
        <v>0.26</v>
      </c>
      <c r="AF1959" t="s">
        <v>7528</v>
      </c>
      <c r="AK1959" t="s">
        <v>98</v>
      </c>
      <c r="AM1959" t="s">
        <v>98</v>
      </c>
      <c r="AN1959" t="s">
        <v>98</v>
      </c>
      <c r="AO1959" t="s">
        <v>98</v>
      </c>
      <c r="AP1959" t="s">
        <v>100</v>
      </c>
      <c r="AQ1959" t="s">
        <v>101</v>
      </c>
      <c r="AV1959" t="s">
        <v>98</v>
      </c>
      <c r="AX1959" t="s">
        <v>7528</v>
      </c>
      <c r="AZ1959" t="s">
        <v>7528</v>
      </c>
      <c r="BB1959" t="s">
        <v>7528</v>
      </c>
      <c r="BC1959" t="s">
        <v>7528</v>
      </c>
      <c r="BD1959" t="s">
        <v>7528</v>
      </c>
      <c r="BF1959" t="s">
        <v>5896</v>
      </c>
      <c r="BG1959" t="s">
        <v>98</v>
      </c>
      <c r="BH1959" t="s">
        <v>98</v>
      </c>
      <c r="BI1959" t="s">
        <v>98</v>
      </c>
      <c r="BK1959" t="s">
        <v>7528</v>
      </c>
      <c r="BL1959" t="s">
        <v>7528</v>
      </c>
      <c r="CA1959" t="s">
        <v>5895</v>
      </c>
      <c r="CB1959" t="s">
        <v>7528</v>
      </c>
      <c r="CL1959" t="s">
        <v>98</v>
      </c>
      <c r="CM1959" t="s">
        <v>98</v>
      </c>
      <c r="CN1959" t="s">
        <v>7528</v>
      </c>
      <c r="CO1959" s="1">
        <v>40556</v>
      </c>
      <c r="CP1959" s="1">
        <v>43633</v>
      </c>
    </row>
    <row r="1960" spans="1:94" x14ac:dyDescent="0.25">
      <c r="A1960" t="s">
        <v>5897</v>
      </c>
      <c r="B1960" t="str">
        <f xml:space="preserve"> "" &amp; 747396034522</f>
        <v>747396034522</v>
      </c>
      <c r="C1960" t="s">
        <v>4617</v>
      </c>
      <c r="D1960" t="s">
        <v>7314</v>
      </c>
      <c r="E1960" t="s">
        <v>7528</v>
      </c>
      <c r="F1960" t="s">
        <v>627</v>
      </c>
      <c r="G1960">
        <v>1</v>
      </c>
      <c r="H1960">
        <v>1</v>
      </c>
      <c r="I1960" t="s">
        <v>97</v>
      </c>
      <c r="J1960" s="10">
        <v>10</v>
      </c>
      <c r="K1960" s="10">
        <v>30</v>
      </c>
      <c r="L1960" s="10">
        <v>0</v>
      </c>
      <c r="N1960" s="10">
        <v>0</v>
      </c>
      <c r="W1960">
        <v>0.95</v>
      </c>
      <c r="X1960">
        <v>1</v>
      </c>
      <c r="Y1960">
        <v>10</v>
      </c>
      <c r="Z1960">
        <v>15</v>
      </c>
      <c r="AA1960">
        <v>10</v>
      </c>
      <c r="AB1960">
        <v>0.86799999999999999</v>
      </c>
      <c r="AC1960">
        <v>1.08</v>
      </c>
      <c r="AF1960" t="s">
        <v>7528</v>
      </c>
      <c r="AK1960" t="s">
        <v>98</v>
      </c>
      <c r="AM1960" t="s">
        <v>98</v>
      </c>
      <c r="AN1960" t="s">
        <v>98</v>
      </c>
      <c r="AO1960" t="s">
        <v>98</v>
      </c>
      <c r="AP1960" t="s">
        <v>100</v>
      </c>
      <c r="AQ1960" t="s">
        <v>101</v>
      </c>
      <c r="AV1960" t="s">
        <v>98</v>
      </c>
      <c r="AX1960" t="s">
        <v>7528</v>
      </c>
      <c r="AZ1960" t="s">
        <v>7528</v>
      </c>
      <c r="BB1960" t="s">
        <v>7528</v>
      </c>
      <c r="BC1960" t="s">
        <v>7528</v>
      </c>
      <c r="BD1960" t="s">
        <v>7528</v>
      </c>
      <c r="BF1960" t="s">
        <v>5898</v>
      </c>
      <c r="BG1960" t="s">
        <v>98</v>
      </c>
      <c r="BH1960" t="s">
        <v>98</v>
      </c>
      <c r="BI1960" t="s">
        <v>98</v>
      </c>
      <c r="BK1960" t="s">
        <v>7528</v>
      </c>
      <c r="BL1960" t="s">
        <v>7528</v>
      </c>
      <c r="CA1960" t="s">
        <v>5897</v>
      </c>
      <c r="CB1960" t="s">
        <v>7528</v>
      </c>
      <c r="CL1960" t="s">
        <v>98</v>
      </c>
      <c r="CM1960" t="s">
        <v>98</v>
      </c>
      <c r="CN1960" t="s">
        <v>7528</v>
      </c>
      <c r="CO1960" s="1">
        <v>40556</v>
      </c>
      <c r="CP1960" s="1">
        <v>43633</v>
      </c>
    </row>
    <row r="1961" spans="1:94" x14ac:dyDescent="0.25">
      <c r="A1961" t="s">
        <v>5899</v>
      </c>
      <c r="B1961" t="str">
        <f xml:space="preserve"> "" &amp; 747396042787</f>
        <v>747396042787</v>
      </c>
      <c r="C1961" t="s">
        <v>5900</v>
      </c>
      <c r="D1961" t="s">
        <v>7315</v>
      </c>
      <c r="E1961" t="s">
        <v>7528</v>
      </c>
      <c r="F1961" t="s">
        <v>627</v>
      </c>
      <c r="G1961">
        <v>1</v>
      </c>
      <c r="H1961">
        <v>1</v>
      </c>
      <c r="I1961" t="s">
        <v>97</v>
      </c>
      <c r="J1961" s="10">
        <v>7.5</v>
      </c>
      <c r="K1961" s="10">
        <v>22.5</v>
      </c>
      <c r="L1961" s="10">
        <v>0</v>
      </c>
      <c r="N1961" s="10">
        <v>0</v>
      </c>
      <c r="S1961">
        <v>9.25</v>
      </c>
      <c r="U1961">
        <v>5</v>
      </c>
      <c r="W1961">
        <v>0.46</v>
      </c>
      <c r="X1961">
        <v>1</v>
      </c>
      <c r="Y1961">
        <v>10</v>
      </c>
      <c r="Z1961">
        <v>11.75</v>
      </c>
      <c r="AA1961">
        <v>7</v>
      </c>
      <c r="AB1961">
        <v>0.47599999999999998</v>
      </c>
      <c r="AC1961">
        <v>0.52</v>
      </c>
      <c r="AF1961" t="s">
        <v>7528</v>
      </c>
      <c r="AK1961" t="s">
        <v>98</v>
      </c>
      <c r="AM1961" t="s">
        <v>98</v>
      </c>
      <c r="AN1961" t="s">
        <v>98</v>
      </c>
      <c r="AO1961" t="s">
        <v>98</v>
      </c>
      <c r="AP1961" t="s">
        <v>100</v>
      </c>
      <c r="AQ1961" t="s">
        <v>101</v>
      </c>
      <c r="AV1961" t="s">
        <v>98</v>
      </c>
      <c r="AX1961" t="s">
        <v>7528</v>
      </c>
      <c r="AZ1961" t="s">
        <v>7528</v>
      </c>
      <c r="BB1961" t="s">
        <v>7528</v>
      </c>
      <c r="BC1961" t="s">
        <v>7528</v>
      </c>
      <c r="BD1961" t="s">
        <v>7528</v>
      </c>
      <c r="BF1961" t="s">
        <v>5901</v>
      </c>
      <c r="BG1961" t="s">
        <v>98</v>
      </c>
      <c r="BH1961" t="s">
        <v>98</v>
      </c>
      <c r="BI1961" t="s">
        <v>98</v>
      </c>
      <c r="BK1961" t="s">
        <v>7528</v>
      </c>
      <c r="BL1961" t="s">
        <v>7528</v>
      </c>
      <c r="CA1961" t="s">
        <v>5899</v>
      </c>
      <c r="CB1961" t="s">
        <v>7528</v>
      </c>
      <c r="CL1961" t="s">
        <v>98</v>
      </c>
      <c r="CM1961" t="s">
        <v>98</v>
      </c>
      <c r="CN1961" t="s">
        <v>7528</v>
      </c>
      <c r="CO1961" s="1">
        <v>40556</v>
      </c>
      <c r="CP1961" s="1">
        <v>43633</v>
      </c>
    </row>
    <row r="1962" spans="1:94" x14ac:dyDescent="0.25">
      <c r="A1962" t="s">
        <v>5902</v>
      </c>
      <c r="B1962" t="str">
        <f xml:space="preserve"> "" &amp; 747396034553</f>
        <v>747396034553</v>
      </c>
      <c r="C1962" t="s">
        <v>4617</v>
      </c>
      <c r="D1962" t="s">
        <v>7316</v>
      </c>
      <c r="E1962" t="s">
        <v>7528</v>
      </c>
      <c r="F1962" t="s">
        <v>627</v>
      </c>
      <c r="G1962">
        <v>1</v>
      </c>
      <c r="H1962">
        <v>1</v>
      </c>
      <c r="I1962" t="s">
        <v>97</v>
      </c>
      <c r="J1962" s="10">
        <v>7.5</v>
      </c>
      <c r="K1962" s="10">
        <v>22.5</v>
      </c>
      <c r="L1962" s="10">
        <v>0</v>
      </c>
      <c r="N1962" s="10">
        <v>0</v>
      </c>
      <c r="W1962">
        <v>0.38</v>
      </c>
      <c r="X1962">
        <v>1</v>
      </c>
      <c r="Y1962">
        <v>10</v>
      </c>
      <c r="Z1962">
        <v>9.6300000000000008</v>
      </c>
      <c r="AA1962">
        <v>7.88</v>
      </c>
      <c r="AB1962">
        <v>0.439</v>
      </c>
      <c r="AC1962">
        <v>0.44</v>
      </c>
      <c r="AF1962" t="s">
        <v>7528</v>
      </c>
      <c r="AK1962" t="s">
        <v>98</v>
      </c>
      <c r="AM1962" t="s">
        <v>98</v>
      </c>
      <c r="AN1962" t="s">
        <v>98</v>
      </c>
      <c r="AO1962" t="s">
        <v>98</v>
      </c>
      <c r="AP1962" t="s">
        <v>100</v>
      </c>
      <c r="AQ1962" t="s">
        <v>101</v>
      </c>
      <c r="AV1962" t="s">
        <v>98</v>
      </c>
      <c r="AX1962" t="s">
        <v>7528</v>
      </c>
      <c r="AZ1962" t="s">
        <v>7528</v>
      </c>
      <c r="BB1962" t="s">
        <v>7528</v>
      </c>
      <c r="BC1962" t="s">
        <v>7528</v>
      </c>
      <c r="BD1962" t="s">
        <v>7528</v>
      </c>
      <c r="BF1962" t="s">
        <v>5903</v>
      </c>
      <c r="BG1962" t="s">
        <v>98</v>
      </c>
      <c r="BH1962" t="s">
        <v>98</v>
      </c>
      <c r="BI1962" t="s">
        <v>98</v>
      </c>
      <c r="BK1962" t="s">
        <v>7528</v>
      </c>
      <c r="BL1962" t="s">
        <v>7528</v>
      </c>
      <c r="CA1962" t="s">
        <v>5902</v>
      </c>
      <c r="CB1962" t="s">
        <v>7528</v>
      </c>
      <c r="CL1962" t="s">
        <v>98</v>
      </c>
      <c r="CM1962" t="s">
        <v>98</v>
      </c>
      <c r="CN1962" t="s">
        <v>7528</v>
      </c>
      <c r="CO1962" s="1">
        <v>40556</v>
      </c>
      <c r="CP1962" s="1">
        <v>43633</v>
      </c>
    </row>
    <row r="1963" spans="1:94" x14ac:dyDescent="0.25">
      <c r="A1963" t="s">
        <v>5904</v>
      </c>
      <c r="B1963" t="str">
        <f xml:space="preserve"> "" &amp; 747396042305</f>
        <v>747396042305</v>
      </c>
      <c r="C1963" t="s">
        <v>1446</v>
      </c>
      <c r="D1963" t="s">
        <v>7317</v>
      </c>
      <c r="E1963" t="s">
        <v>7528</v>
      </c>
      <c r="F1963" t="s">
        <v>627</v>
      </c>
      <c r="G1963">
        <v>1</v>
      </c>
      <c r="H1963">
        <v>1</v>
      </c>
      <c r="I1963" t="s">
        <v>97</v>
      </c>
      <c r="J1963" s="10">
        <v>4</v>
      </c>
      <c r="K1963" s="10">
        <v>12</v>
      </c>
      <c r="L1963" s="10">
        <v>0</v>
      </c>
      <c r="N1963" s="10">
        <v>0</v>
      </c>
      <c r="W1963">
        <v>0.17</v>
      </c>
      <c r="X1963">
        <v>1</v>
      </c>
      <c r="Y1963">
        <v>6.75</v>
      </c>
      <c r="Z1963">
        <v>6.75</v>
      </c>
      <c r="AA1963">
        <v>6.5</v>
      </c>
      <c r="AB1963">
        <v>0.17100000000000001</v>
      </c>
      <c r="AC1963">
        <v>0.41</v>
      </c>
      <c r="AF1963" t="s">
        <v>7528</v>
      </c>
      <c r="AK1963" t="s">
        <v>98</v>
      </c>
      <c r="AM1963" t="s">
        <v>98</v>
      </c>
      <c r="AN1963" t="s">
        <v>98</v>
      </c>
      <c r="AO1963" t="s">
        <v>98</v>
      </c>
      <c r="AP1963" t="s">
        <v>100</v>
      </c>
      <c r="AQ1963" t="s">
        <v>101</v>
      </c>
      <c r="AV1963" t="s">
        <v>98</v>
      </c>
      <c r="AX1963" t="s">
        <v>7528</v>
      </c>
      <c r="AZ1963" t="s">
        <v>7528</v>
      </c>
      <c r="BB1963" t="s">
        <v>7528</v>
      </c>
      <c r="BC1963" t="s">
        <v>7528</v>
      </c>
      <c r="BD1963" t="s">
        <v>7528</v>
      </c>
      <c r="BF1963" t="s">
        <v>5905</v>
      </c>
      <c r="BG1963" t="s">
        <v>98</v>
      </c>
      <c r="BH1963" t="s">
        <v>98</v>
      </c>
      <c r="BI1963" t="s">
        <v>98</v>
      </c>
      <c r="BK1963" t="s">
        <v>7528</v>
      </c>
      <c r="BL1963" t="s">
        <v>7528</v>
      </c>
      <c r="CA1963" t="s">
        <v>5904</v>
      </c>
      <c r="CB1963" t="s">
        <v>7528</v>
      </c>
      <c r="CL1963" t="s">
        <v>98</v>
      </c>
      <c r="CM1963" t="s">
        <v>98</v>
      </c>
      <c r="CN1963" t="s">
        <v>7528</v>
      </c>
      <c r="CO1963" s="1">
        <v>40556</v>
      </c>
      <c r="CP1963" s="1">
        <v>43633</v>
      </c>
    </row>
    <row r="1964" spans="1:94" x14ac:dyDescent="0.25">
      <c r="A1964" t="s">
        <v>5906</v>
      </c>
      <c r="B1964" t="str">
        <f xml:space="preserve"> "" &amp; 747396051857</f>
        <v>747396051857</v>
      </c>
      <c r="C1964" t="s">
        <v>5649</v>
      </c>
      <c r="D1964" t="s">
        <v>5907</v>
      </c>
      <c r="E1964" t="s">
        <v>7528</v>
      </c>
      <c r="F1964" t="s">
        <v>627</v>
      </c>
      <c r="G1964">
        <v>1</v>
      </c>
      <c r="H1964">
        <v>1</v>
      </c>
      <c r="I1964" t="s">
        <v>97</v>
      </c>
      <c r="J1964" s="10">
        <v>4</v>
      </c>
      <c r="K1964" s="10">
        <v>12</v>
      </c>
      <c r="L1964" s="10">
        <v>0</v>
      </c>
      <c r="N1964" s="10">
        <v>0</v>
      </c>
      <c r="W1964">
        <v>0.27</v>
      </c>
      <c r="X1964">
        <v>1</v>
      </c>
      <c r="Y1964">
        <v>8.25</v>
      </c>
      <c r="Z1964">
        <v>11</v>
      </c>
      <c r="AA1964">
        <v>9</v>
      </c>
      <c r="AB1964">
        <v>0.47299999999999998</v>
      </c>
      <c r="AC1964">
        <v>0.3</v>
      </c>
      <c r="AF1964" t="s">
        <v>7528</v>
      </c>
      <c r="AK1964" t="s">
        <v>98</v>
      </c>
      <c r="AM1964" t="s">
        <v>98</v>
      </c>
      <c r="AN1964" t="s">
        <v>98</v>
      </c>
      <c r="AO1964" t="s">
        <v>98</v>
      </c>
      <c r="AP1964" t="s">
        <v>100</v>
      </c>
      <c r="AQ1964" t="s">
        <v>101</v>
      </c>
      <c r="AV1964" t="s">
        <v>98</v>
      </c>
      <c r="AX1964" t="s">
        <v>7528</v>
      </c>
      <c r="AZ1964" t="s">
        <v>7528</v>
      </c>
      <c r="BB1964" t="s">
        <v>7528</v>
      </c>
      <c r="BC1964" t="s">
        <v>7528</v>
      </c>
      <c r="BD1964" t="s">
        <v>7528</v>
      </c>
      <c r="BF1964" t="s">
        <v>5908</v>
      </c>
      <c r="BG1964" t="s">
        <v>98</v>
      </c>
      <c r="BH1964" t="s">
        <v>98</v>
      </c>
      <c r="BI1964" t="s">
        <v>98</v>
      </c>
      <c r="BK1964" t="s">
        <v>7528</v>
      </c>
      <c r="BL1964" t="s">
        <v>7528</v>
      </c>
      <c r="CA1964" t="s">
        <v>5906</v>
      </c>
      <c r="CB1964" t="s">
        <v>7528</v>
      </c>
      <c r="CL1964" t="s">
        <v>98</v>
      </c>
      <c r="CM1964" t="s">
        <v>98</v>
      </c>
      <c r="CN1964" t="s">
        <v>7528</v>
      </c>
      <c r="CO1964" s="1">
        <v>40514</v>
      </c>
      <c r="CP1964" s="1">
        <v>43633</v>
      </c>
    </row>
    <row r="1965" spans="1:94" x14ac:dyDescent="0.25">
      <c r="A1965" t="s">
        <v>5909</v>
      </c>
      <c r="B1965" t="str">
        <f xml:space="preserve"> "" &amp; 747396042312</f>
        <v>747396042312</v>
      </c>
      <c r="C1965" t="s">
        <v>1446</v>
      </c>
      <c r="D1965" t="s">
        <v>5910</v>
      </c>
      <c r="E1965" t="s">
        <v>7528</v>
      </c>
      <c r="F1965" t="s">
        <v>627</v>
      </c>
      <c r="G1965">
        <v>1</v>
      </c>
      <c r="H1965">
        <v>1</v>
      </c>
      <c r="I1965" t="s">
        <v>97</v>
      </c>
      <c r="J1965" s="10">
        <v>2.75</v>
      </c>
      <c r="K1965" s="10">
        <v>8.25</v>
      </c>
      <c r="L1965" s="10">
        <v>0</v>
      </c>
      <c r="N1965" s="10">
        <v>0</v>
      </c>
      <c r="W1965">
        <v>0.17</v>
      </c>
      <c r="X1965">
        <v>1</v>
      </c>
      <c r="Y1965">
        <v>7.25</v>
      </c>
      <c r="Z1965">
        <v>5</v>
      </c>
      <c r="AA1965">
        <v>4.5</v>
      </c>
      <c r="AB1965">
        <v>9.4E-2</v>
      </c>
      <c r="AC1965">
        <v>0.47</v>
      </c>
      <c r="AF1965" t="s">
        <v>7528</v>
      </c>
      <c r="AK1965" t="s">
        <v>98</v>
      </c>
      <c r="AM1965" t="s">
        <v>98</v>
      </c>
      <c r="AN1965" t="s">
        <v>98</v>
      </c>
      <c r="AO1965" t="s">
        <v>98</v>
      </c>
      <c r="AP1965" t="s">
        <v>100</v>
      </c>
      <c r="AQ1965" t="s">
        <v>101</v>
      </c>
      <c r="AV1965" t="s">
        <v>98</v>
      </c>
      <c r="AX1965" t="s">
        <v>7528</v>
      </c>
      <c r="AZ1965" t="s">
        <v>7528</v>
      </c>
      <c r="BB1965" t="s">
        <v>7528</v>
      </c>
      <c r="BC1965" t="s">
        <v>7528</v>
      </c>
      <c r="BD1965" t="s">
        <v>7528</v>
      </c>
      <c r="BF1965" t="s">
        <v>5911</v>
      </c>
      <c r="BG1965" t="s">
        <v>98</v>
      </c>
      <c r="BH1965" t="s">
        <v>98</v>
      </c>
      <c r="BI1965" t="s">
        <v>98</v>
      </c>
      <c r="BK1965" t="s">
        <v>7528</v>
      </c>
      <c r="BL1965" t="s">
        <v>7528</v>
      </c>
      <c r="CA1965" t="s">
        <v>5909</v>
      </c>
      <c r="CB1965" t="s">
        <v>7528</v>
      </c>
      <c r="CL1965" t="s">
        <v>98</v>
      </c>
      <c r="CM1965" t="s">
        <v>98</v>
      </c>
      <c r="CN1965" t="s">
        <v>7528</v>
      </c>
      <c r="CO1965" s="1">
        <v>40556</v>
      </c>
      <c r="CP1965" s="1">
        <v>43633</v>
      </c>
    </row>
    <row r="1966" spans="1:94" x14ac:dyDescent="0.25">
      <c r="A1966" t="s">
        <v>5912</v>
      </c>
      <c r="B1966" t="str">
        <f xml:space="preserve"> "" &amp; 747396042329</f>
        <v>747396042329</v>
      </c>
      <c r="C1966" t="s">
        <v>1446</v>
      </c>
      <c r="D1966" t="s">
        <v>5913</v>
      </c>
      <c r="E1966" t="s">
        <v>7528</v>
      </c>
      <c r="F1966" t="s">
        <v>627</v>
      </c>
      <c r="G1966">
        <v>1</v>
      </c>
      <c r="H1966">
        <v>1</v>
      </c>
      <c r="I1966" t="s">
        <v>97</v>
      </c>
      <c r="J1966" s="10">
        <v>4</v>
      </c>
      <c r="K1966" s="10">
        <v>12</v>
      </c>
      <c r="L1966" s="10">
        <v>0</v>
      </c>
      <c r="N1966" s="10">
        <v>0</v>
      </c>
      <c r="W1966">
        <v>0.23</v>
      </c>
      <c r="X1966">
        <v>1</v>
      </c>
      <c r="Y1966">
        <v>8.5</v>
      </c>
      <c r="Z1966">
        <v>6</v>
      </c>
      <c r="AA1966">
        <v>4.5</v>
      </c>
      <c r="AB1966">
        <v>0.13300000000000001</v>
      </c>
      <c r="AC1966">
        <v>0.52</v>
      </c>
      <c r="AF1966" t="s">
        <v>7528</v>
      </c>
      <c r="AK1966" t="s">
        <v>98</v>
      </c>
      <c r="AM1966" t="s">
        <v>98</v>
      </c>
      <c r="AN1966" t="s">
        <v>98</v>
      </c>
      <c r="AO1966" t="s">
        <v>98</v>
      </c>
      <c r="AP1966" t="s">
        <v>100</v>
      </c>
      <c r="AQ1966" t="s">
        <v>101</v>
      </c>
      <c r="AV1966" t="s">
        <v>98</v>
      </c>
      <c r="AX1966" t="s">
        <v>7528</v>
      </c>
      <c r="AZ1966" t="s">
        <v>7528</v>
      </c>
      <c r="BB1966" t="s">
        <v>7528</v>
      </c>
      <c r="BC1966" t="s">
        <v>7528</v>
      </c>
      <c r="BD1966" t="s">
        <v>7528</v>
      </c>
      <c r="BF1966" t="s">
        <v>5914</v>
      </c>
      <c r="BG1966" t="s">
        <v>98</v>
      </c>
      <c r="BH1966" t="s">
        <v>98</v>
      </c>
      <c r="BI1966" t="s">
        <v>98</v>
      </c>
      <c r="BK1966" t="s">
        <v>7528</v>
      </c>
      <c r="BL1966" t="s">
        <v>7528</v>
      </c>
      <c r="CA1966" t="s">
        <v>5912</v>
      </c>
      <c r="CB1966" t="s">
        <v>7528</v>
      </c>
      <c r="CL1966" t="s">
        <v>98</v>
      </c>
      <c r="CM1966" t="s">
        <v>98</v>
      </c>
      <c r="CN1966" t="s">
        <v>7528</v>
      </c>
      <c r="CO1966" s="1">
        <v>40556</v>
      </c>
      <c r="CP1966" s="1">
        <v>43633</v>
      </c>
    </row>
    <row r="1967" spans="1:94" x14ac:dyDescent="0.25">
      <c r="A1967" t="s">
        <v>5915</v>
      </c>
      <c r="B1967" t="str">
        <f xml:space="preserve"> "" &amp; 747396064659</f>
        <v>747396064659</v>
      </c>
      <c r="C1967" t="s">
        <v>1446</v>
      </c>
      <c r="D1967" t="s">
        <v>7318</v>
      </c>
      <c r="E1967" t="s">
        <v>7528</v>
      </c>
      <c r="F1967" t="s">
        <v>627</v>
      </c>
      <c r="G1967">
        <v>1</v>
      </c>
      <c r="H1967">
        <v>1</v>
      </c>
      <c r="I1967" t="s">
        <v>97</v>
      </c>
      <c r="J1967" s="10">
        <v>6.5</v>
      </c>
      <c r="K1967" s="10">
        <v>19.5</v>
      </c>
      <c r="L1967" s="10">
        <v>0</v>
      </c>
      <c r="N1967" s="10">
        <v>0</v>
      </c>
      <c r="W1967">
        <v>1</v>
      </c>
      <c r="AC1967">
        <v>0.34</v>
      </c>
      <c r="AF1967" t="s">
        <v>7528</v>
      </c>
      <c r="AK1967" t="s">
        <v>98</v>
      </c>
      <c r="AM1967" t="s">
        <v>98</v>
      </c>
      <c r="AN1967" t="s">
        <v>98</v>
      </c>
      <c r="AO1967" t="s">
        <v>98</v>
      </c>
      <c r="AP1967" t="s">
        <v>100</v>
      </c>
      <c r="AQ1967" t="s">
        <v>101</v>
      </c>
      <c r="AV1967" t="s">
        <v>98</v>
      </c>
      <c r="AX1967" t="s">
        <v>7528</v>
      </c>
      <c r="AZ1967" t="s">
        <v>7528</v>
      </c>
      <c r="BB1967" t="s">
        <v>7528</v>
      </c>
      <c r="BC1967" t="s">
        <v>7528</v>
      </c>
      <c r="BD1967" t="s">
        <v>7528</v>
      </c>
      <c r="BF1967" t="s">
        <v>5916</v>
      </c>
      <c r="BG1967" t="s">
        <v>98</v>
      </c>
      <c r="BH1967" t="s">
        <v>98</v>
      </c>
      <c r="BI1967" t="s">
        <v>98</v>
      </c>
      <c r="BK1967" t="s">
        <v>7528</v>
      </c>
      <c r="BL1967" t="s">
        <v>7528</v>
      </c>
      <c r="CA1967" t="s">
        <v>5915</v>
      </c>
      <c r="CB1967" t="s">
        <v>7528</v>
      </c>
      <c r="CL1967" t="s">
        <v>98</v>
      </c>
      <c r="CM1967" t="s">
        <v>98</v>
      </c>
      <c r="CN1967" t="s">
        <v>7528</v>
      </c>
      <c r="CO1967" s="1">
        <v>40556</v>
      </c>
      <c r="CP1967" s="1">
        <v>43633</v>
      </c>
    </row>
    <row r="1968" spans="1:94" x14ac:dyDescent="0.25">
      <c r="A1968" t="s">
        <v>5917</v>
      </c>
      <c r="B1968" t="str">
        <f xml:space="preserve"> "" &amp; 747396042794</f>
        <v>747396042794</v>
      </c>
      <c r="C1968" t="s">
        <v>1446</v>
      </c>
      <c r="D1968" t="s">
        <v>7319</v>
      </c>
      <c r="E1968" t="s">
        <v>7528</v>
      </c>
      <c r="F1968" t="s">
        <v>627</v>
      </c>
      <c r="G1968">
        <v>1</v>
      </c>
      <c r="H1968">
        <v>1</v>
      </c>
      <c r="I1968" t="s">
        <v>97</v>
      </c>
      <c r="J1968" s="10">
        <v>18.5</v>
      </c>
      <c r="K1968" s="10">
        <v>55.5</v>
      </c>
      <c r="L1968" s="10">
        <v>0</v>
      </c>
      <c r="N1968" s="10">
        <v>0</v>
      </c>
      <c r="S1968">
        <v>4</v>
      </c>
      <c r="U1968">
        <v>8.5</v>
      </c>
      <c r="W1968">
        <v>1.73</v>
      </c>
      <c r="X1968">
        <v>1</v>
      </c>
      <c r="Y1968">
        <v>14.37</v>
      </c>
      <c r="Z1968">
        <v>22</v>
      </c>
      <c r="AA1968">
        <v>20.5</v>
      </c>
      <c r="AB1968">
        <v>3.7509999999999999</v>
      </c>
      <c r="AC1968">
        <v>2.2599999999999998</v>
      </c>
      <c r="AF1968" t="s">
        <v>7528</v>
      </c>
      <c r="AK1968" t="s">
        <v>98</v>
      </c>
      <c r="AM1968" t="s">
        <v>98</v>
      </c>
      <c r="AN1968" t="s">
        <v>98</v>
      </c>
      <c r="AO1968" t="s">
        <v>98</v>
      </c>
      <c r="AP1968" t="s">
        <v>100</v>
      </c>
      <c r="AQ1968" t="s">
        <v>101</v>
      </c>
      <c r="AV1968" t="s">
        <v>98</v>
      </c>
      <c r="AX1968" t="s">
        <v>7528</v>
      </c>
      <c r="AZ1968" t="s">
        <v>7528</v>
      </c>
      <c r="BB1968" t="s">
        <v>7528</v>
      </c>
      <c r="BC1968" t="s">
        <v>7528</v>
      </c>
      <c r="BD1968" t="s">
        <v>7528</v>
      </c>
      <c r="BF1968" t="s">
        <v>5918</v>
      </c>
      <c r="BG1968" t="s">
        <v>98</v>
      </c>
      <c r="BH1968" t="s">
        <v>98</v>
      </c>
      <c r="BI1968" t="s">
        <v>98</v>
      </c>
      <c r="BK1968" t="s">
        <v>7528</v>
      </c>
      <c r="BL1968" t="s">
        <v>7528</v>
      </c>
      <c r="CA1968" t="s">
        <v>5917</v>
      </c>
      <c r="CB1968" t="s">
        <v>7528</v>
      </c>
      <c r="CL1968" t="s">
        <v>98</v>
      </c>
      <c r="CM1968" t="s">
        <v>98</v>
      </c>
      <c r="CN1968" t="s">
        <v>7528</v>
      </c>
      <c r="CO1968" s="1">
        <v>40304</v>
      </c>
      <c r="CP1968" s="1">
        <v>43633</v>
      </c>
    </row>
    <row r="1969" spans="1:94" x14ac:dyDescent="0.25">
      <c r="A1969" t="s">
        <v>5919</v>
      </c>
      <c r="B1969" t="str">
        <f xml:space="preserve"> "" &amp; 747396034959</f>
        <v>747396034959</v>
      </c>
      <c r="C1969" t="s">
        <v>4679</v>
      </c>
      <c r="D1969" t="s">
        <v>7320</v>
      </c>
      <c r="E1969" t="s">
        <v>7528</v>
      </c>
      <c r="F1969" t="s">
        <v>627</v>
      </c>
      <c r="G1969">
        <v>1</v>
      </c>
      <c r="H1969">
        <v>1</v>
      </c>
      <c r="I1969" t="s">
        <v>97</v>
      </c>
      <c r="J1969" s="10">
        <v>2.75</v>
      </c>
      <c r="K1969" s="10">
        <v>8.25</v>
      </c>
      <c r="L1969" s="10">
        <v>0</v>
      </c>
      <c r="N1969" s="10">
        <v>0</v>
      </c>
      <c r="W1969">
        <v>0.26</v>
      </c>
      <c r="X1969">
        <v>1</v>
      </c>
      <c r="AC1969">
        <v>0.28000000000000003</v>
      </c>
      <c r="AF1969" t="s">
        <v>7528</v>
      </c>
      <c r="AK1969" t="s">
        <v>98</v>
      </c>
      <c r="AM1969" t="s">
        <v>98</v>
      </c>
      <c r="AN1969" t="s">
        <v>98</v>
      </c>
      <c r="AO1969" t="s">
        <v>98</v>
      </c>
      <c r="AP1969" t="s">
        <v>100</v>
      </c>
      <c r="AQ1969" t="s">
        <v>101</v>
      </c>
      <c r="AV1969" t="s">
        <v>98</v>
      </c>
      <c r="AX1969" t="s">
        <v>7528</v>
      </c>
      <c r="AZ1969" t="s">
        <v>7528</v>
      </c>
      <c r="BB1969" t="s">
        <v>7528</v>
      </c>
      <c r="BC1969" t="s">
        <v>7528</v>
      </c>
      <c r="BD1969" t="s">
        <v>7528</v>
      </c>
      <c r="BF1969" t="s">
        <v>5920</v>
      </c>
      <c r="BG1969" t="s">
        <v>98</v>
      </c>
      <c r="BH1969" t="s">
        <v>98</v>
      </c>
      <c r="BI1969" t="s">
        <v>98</v>
      </c>
      <c r="BK1969" t="s">
        <v>7528</v>
      </c>
      <c r="BL1969" t="s">
        <v>7528</v>
      </c>
      <c r="CA1969" t="s">
        <v>5919</v>
      </c>
      <c r="CB1969" t="s">
        <v>7528</v>
      </c>
      <c r="CL1969" t="s">
        <v>98</v>
      </c>
      <c r="CM1969" t="s">
        <v>98</v>
      </c>
      <c r="CN1969" t="s">
        <v>7528</v>
      </c>
      <c r="CO1969" s="1">
        <v>40556</v>
      </c>
      <c r="CP1969" s="1">
        <v>43633</v>
      </c>
    </row>
    <row r="1970" spans="1:94" x14ac:dyDescent="0.25">
      <c r="A1970" t="s">
        <v>5921</v>
      </c>
      <c r="B1970" t="str">
        <f xml:space="preserve"> "" &amp; 747396034966</f>
        <v>747396034966</v>
      </c>
      <c r="C1970" t="s">
        <v>4679</v>
      </c>
      <c r="D1970" t="s">
        <v>7320</v>
      </c>
      <c r="E1970" t="s">
        <v>7528</v>
      </c>
      <c r="F1970" t="s">
        <v>627</v>
      </c>
      <c r="G1970">
        <v>1</v>
      </c>
      <c r="H1970">
        <v>1</v>
      </c>
      <c r="I1970" t="s">
        <v>97</v>
      </c>
      <c r="J1970" s="10">
        <v>2</v>
      </c>
      <c r="K1970" s="10">
        <v>6</v>
      </c>
      <c r="L1970" s="10">
        <v>0</v>
      </c>
      <c r="N1970" s="10">
        <v>0</v>
      </c>
      <c r="W1970">
        <v>0.15</v>
      </c>
      <c r="X1970">
        <v>1</v>
      </c>
      <c r="AB1970">
        <v>6.3E-3</v>
      </c>
      <c r="AC1970">
        <v>0.17</v>
      </c>
      <c r="AF1970" t="s">
        <v>7528</v>
      </c>
      <c r="AK1970" t="s">
        <v>98</v>
      </c>
      <c r="AM1970" t="s">
        <v>98</v>
      </c>
      <c r="AN1970" t="s">
        <v>98</v>
      </c>
      <c r="AO1970" t="s">
        <v>98</v>
      </c>
      <c r="AP1970" t="s">
        <v>100</v>
      </c>
      <c r="AQ1970" t="s">
        <v>101</v>
      </c>
      <c r="AV1970" t="s">
        <v>98</v>
      </c>
      <c r="AX1970" t="s">
        <v>7528</v>
      </c>
      <c r="AZ1970" t="s">
        <v>7528</v>
      </c>
      <c r="BB1970" t="s">
        <v>7528</v>
      </c>
      <c r="BC1970" t="s">
        <v>7528</v>
      </c>
      <c r="BD1970" t="s">
        <v>7528</v>
      </c>
      <c r="BF1970" t="s">
        <v>5922</v>
      </c>
      <c r="BG1970" t="s">
        <v>98</v>
      </c>
      <c r="BH1970" t="s">
        <v>98</v>
      </c>
      <c r="BI1970" t="s">
        <v>98</v>
      </c>
      <c r="BK1970" t="s">
        <v>7528</v>
      </c>
      <c r="BL1970" t="s">
        <v>7528</v>
      </c>
      <c r="CA1970" t="s">
        <v>5921</v>
      </c>
      <c r="CB1970" t="s">
        <v>7528</v>
      </c>
      <c r="CL1970" t="s">
        <v>98</v>
      </c>
      <c r="CM1970" t="s">
        <v>98</v>
      </c>
      <c r="CN1970" t="s">
        <v>7528</v>
      </c>
      <c r="CO1970" s="1">
        <v>40669</v>
      </c>
      <c r="CP1970" s="1">
        <v>43633</v>
      </c>
    </row>
    <row r="1971" spans="1:94" x14ac:dyDescent="0.25">
      <c r="A1971" t="s">
        <v>5923</v>
      </c>
      <c r="B1971" t="str">
        <f xml:space="preserve"> "" &amp; 747396034973</f>
        <v>747396034973</v>
      </c>
      <c r="C1971" t="s">
        <v>5924</v>
      </c>
      <c r="D1971" t="s">
        <v>7321</v>
      </c>
      <c r="E1971" t="s">
        <v>7528</v>
      </c>
      <c r="F1971" t="s">
        <v>627</v>
      </c>
      <c r="G1971">
        <v>1</v>
      </c>
      <c r="H1971">
        <v>1</v>
      </c>
      <c r="I1971" t="s">
        <v>97</v>
      </c>
      <c r="J1971" s="10">
        <v>4.5</v>
      </c>
      <c r="K1971" s="10">
        <v>13.5</v>
      </c>
      <c r="L1971" s="10">
        <v>0</v>
      </c>
      <c r="N1971" s="10">
        <v>0</v>
      </c>
      <c r="W1971">
        <v>0.3</v>
      </c>
      <c r="X1971">
        <v>1</v>
      </c>
      <c r="Y1971">
        <v>10.24</v>
      </c>
      <c r="Z1971">
        <v>9.06</v>
      </c>
      <c r="AA1971">
        <v>6.5</v>
      </c>
      <c r="AB1971">
        <v>0.34899999999999998</v>
      </c>
      <c r="AC1971">
        <v>0.32</v>
      </c>
      <c r="AF1971" t="s">
        <v>7528</v>
      </c>
      <c r="AK1971" t="s">
        <v>98</v>
      </c>
      <c r="AM1971" t="s">
        <v>98</v>
      </c>
      <c r="AN1971" t="s">
        <v>98</v>
      </c>
      <c r="AO1971" t="s">
        <v>98</v>
      </c>
      <c r="AP1971" t="s">
        <v>100</v>
      </c>
      <c r="AQ1971" t="s">
        <v>101</v>
      </c>
      <c r="AV1971" t="s">
        <v>98</v>
      </c>
      <c r="AX1971" t="s">
        <v>7528</v>
      </c>
      <c r="AZ1971" t="s">
        <v>7528</v>
      </c>
      <c r="BB1971" t="s">
        <v>7528</v>
      </c>
      <c r="BC1971" t="s">
        <v>7528</v>
      </c>
      <c r="BD1971" t="s">
        <v>7528</v>
      </c>
      <c r="BF1971" t="s">
        <v>5925</v>
      </c>
      <c r="BG1971" t="s">
        <v>98</v>
      </c>
      <c r="BH1971" t="s">
        <v>98</v>
      </c>
      <c r="BI1971" t="s">
        <v>98</v>
      </c>
      <c r="BK1971" t="s">
        <v>7528</v>
      </c>
      <c r="BL1971" t="s">
        <v>7528</v>
      </c>
      <c r="CA1971" t="s">
        <v>5923</v>
      </c>
      <c r="CB1971" t="s">
        <v>7528</v>
      </c>
      <c r="CL1971" t="s">
        <v>98</v>
      </c>
      <c r="CM1971" t="s">
        <v>98</v>
      </c>
      <c r="CN1971" t="s">
        <v>7528</v>
      </c>
      <c r="CO1971" s="1">
        <v>40556</v>
      </c>
      <c r="CP1971" s="1">
        <v>43633</v>
      </c>
    </row>
    <row r="1972" spans="1:94" x14ac:dyDescent="0.25">
      <c r="A1972" t="s">
        <v>5926</v>
      </c>
      <c r="B1972" t="str">
        <f xml:space="preserve"> "" &amp; 747396063508</f>
        <v>747396063508</v>
      </c>
      <c r="C1972" t="s">
        <v>5927</v>
      </c>
      <c r="D1972" t="s">
        <v>7322</v>
      </c>
      <c r="E1972" t="s">
        <v>7528</v>
      </c>
      <c r="F1972" t="s">
        <v>627</v>
      </c>
      <c r="G1972">
        <v>1</v>
      </c>
      <c r="H1972">
        <v>1</v>
      </c>
      <c r="I1972" t="s">
        <v>97</v>
      </c>
      <c r="J1972" s="10">
        <v>2.75</v>
      </c>
      <c r="K1972" s="10">
        <v>8.25</v>
      </c>
      <c r="L1972" s="10">
        <v>0</v>
      </c>
      <c r="N1972" s="10">
        <v>0</v>
      </c>
      <c r="W1972">
        <v>0.25</v>
      </c>
      <c r="X1972">
        <v>1</v>
      </c>
      <c r="Y1972">
        <v>6.25</v>
      </c>
      <c r="Z1972">
        <v>8.6300000000000008</v>
      </c>
      <c r="AA1972">
        <v>5.5</v>
      </c>
      <c r="AB1972">
        <v>0.17199999999999999</v>
      </c>
      <c r="AC1972">
        <v>0.27</v>
      </c>
      <c r="AF1972" t="s">
        <v>7528</v>
      </c>
      <c r="AK1972" t="s">
        <v>98</v>
      </c>
      <c r="AM1972" t="s">
        <v>98</v>
      </c>
      <c r="AN1972" t="s">
        <v>98</v>
      </c>
      <c r="AO1972" t="s">
        <v>98</v>
      </c>
      <c r="AP1972" t="s">
        <v>100</v>
      </c>
      <c r="AQ1972" t="s">
        <v>101</v>
      </c>
      <c r="AV1972" t="s">
        <v>98</v>
      </c>
      <c r="AX1972" t="s">
        <v>7528</v>
      </c>
      <c r="AZ1972" t="s">
        <v>7528</v>
      </c>
      <c r="BB1972" t="s">
        <v>7528</v>
      </c>
      <c r="BC1972" t="s">
        <v>7528</v>
      </c>
      <c r="BD1972" t="s">
        <v>7528</v>
      </c>
      <c r="BF1972" t="s">
        <v>5928</v>
      </c>
      <c r="BG1972" t="s">
        <v>98</v>
      </c>
      <c r="BH1972" t="s">
        <v>98</v>
      </c>
      <c r="BI1972" t="s">
        <v>98</v>
      </c>
      <c r="BK1972" t="s">
        <v>7528</v>
      </c>
      <c r="BL1972" t="s">
        <v>7528</v>
      </c>
      <c r="CA1972" t="s">
        <v>5926</v>
      </c>
      <c r="CB1972" t="s">
        <v>7528</v>
      </c>
      <c r="CL1972" t="s">
        <v>98</v>
      </c>
      <c r="CM1972" t="s">
        <v>98</v>
      </c>
      <c r="CN1972" t="s">
        <v>7528</v>
      </c>
      <c r="CO1972" s="1">
        <v>40556</v>
      </c>
      <c r="CP1972" s="1">
        <v>43633</v>
      </c>
    </row>
    <row r="1973" spans="1:94" x14ac:dyDescent="0.25">
      <c r="A1973" t="s">
        <v>5929</v>
      </c>
      <c r="B1973" t="str">
        <f xml:space="preserve"> "" &amp; 747396034980</f>
        <v>747396034980</v>
      </c>
      <c r="C1973" t="s">
        <v>4679</v>
      </c>
      <c r="D1973" t="s">
        <v>7323</v>
      </c>
      <c r="E1973" t="s">
        <v>7528</v>
      </c>
      <c r="F1973" t="s">
        <v>627</v>
      </c>
      <c r="G1973">
        <v>1</v>
      </c>
      <c r="H1973">
        <v>1</v>
      </c>
      <c r="I1973" t="s">
        <v>97</v>
      </c>
      <c r="J1973" s="10">
        <v>3</v>
      </c>
      <c r="K1973" s="10">
        <v>9</v>
      </c>
      <c r="L1973" s="10">
        <v>0</v>
      </c>
      <c r="N1973" s="10">
        <v>0</v>
      </c>
      <c r="W1973">
        <v>0.11</v>
      </c>
      <c r="X1973">
        <v>1</v>
      </c>
      <c r="Y1973">
        <v>11</v>
      </c>
      <c r="Z1973">
        <v>8.25</v>
      </c>
      <c r="AA1973">
        <v>6.25</v>
      </c>
      <c r="AB1973">
        <v>0.32800000000000001</v>
      </c>
      <c r="AC1973">
        <v>0.12</v>
      </c>
      <c r="AF1973" t="s">
        <v>7528</v>
      </c>
      <c r="AK1973" t="s">
        <v>98</v>
      </c>
      <c r="AM1973" t="s">
        <v>98</v>
      </c>
      <c r="AN1973" t="s">
        <v>98</v>
      </c>
      <c r="AO1973" t="s">
        <v>98</v>
      </c>
      <c r="AP1973" t="s">
        <v>100</v>
      </c>
      <c r="AQ1973" t="s">
        <v>101</v>
      </c>
      <c r="AV1973" t="s">
        <v>98</v>
      </c>
      <c r="AX1973" t="s">
        <v>7528</v>
      </c>
      <c r="AZ1973" t="s">
        <v>7528</v>
      </c>
      <c r="BB1973" t="s">
        <v>7528</v>
      </c>
      <c r="BC1973" t="s">
        <v>7528</v>
      </c>
      <c r="BD1973" t="s">
        <v>7528</v>
      </c>
      <c r="BF1973" t="s">
        <v>5930</v>
      </c>
      <c r="BG1973" t="s">
        <v>98</v>
      </c>
      <c r="BH1973" t="s">
        <v>98</v>
      </c>
      <c r="BI1973" t="s">
        <v>98</v>
      </c>
      <c r="BK1973" t="s">
        <v>7528</v>
      </c>
      <c r="BL1973" t="s">
        <v>7528</v>
      </c>
      <c r="CA1973" t="s">
        <v>5929</v>
      </c>
      <c r="CB1973" t="s">
        <v>7528</v>
      </c>
      <c r="CL1973" t="s">
        <v>98</v>
      </c>
      <c r="CM1973" t="s">
        <v>98</v>
      </c>
      <c r="CN1973" t="s">
        <v>7528</v>
      </c>
      <c r="CO1973" s="1">
        <v>40556</v>
      </c>
      <c r="CP1973" s="1">
        <v>43633</v>
      </c>
    </row>
    <row r="1974" spans="1:94" x14ac:dyDescent="0.25">
      <c r="A1974" t="s">
        <v>5931</v>
      </c>
      <c r="B1974" t="str">
        <f xml:space="preserve"> "" &amp; 747396063515</f>
        <v>747396063515</v>
      </c>
      <c r="C1974" t="s">
        <v>5927</v>
      </c>
      <c r="D1974" t="s">
        <v>7324</v>
      </c>
      <c r="E1974" t="s">
        <v>7528</v>
      </c>
      <c r="F1974" t="s">
        <v>627</v>
      </c>
      <c r="G1974">
        <v>1</v>
      </c>
      <c r="H1974">
        <v>1</v>
      </c>
      <c r="I1974" t="s">
        <v>97</v>
      </c>
      <c r="J1974" s="10">
        <v>2.75</v>
      </c>
      <c r="K1974" s="10">
        <v>8.25</v>
      </c>
      <c r="L1974" s="10">
        <v>0</v>
      </c>
      <c r="N1974" s="10">
        <v>0</v>
      </c>
      <c r="W1974">
        <v>0.09</v>
      </c>
      <c r="X1974">
        <v>1</v>
      </c>
      <c r="Y1974">
        <v>3.5</v>
      </c>
      <c r="Z1974">
        <v>8.6300000000000008</v>
      </c>
      <c r="AA1974">
        <v>5.5</v>
      </c>
      <c r="AB1974">
        <v>9.6000000000000002E-2</v>
      </c>
      <c r="AC1974">
        <v>0.1</v>
      </c>
      <c r="AF1974" t="s">
        <v>7528</v>
      </c>
      <c r="AK1974" t="s">
        <v>98</v>
      </c>
      <c r="AM1974" t="s">
        <v>98</v>
      </c>
      <c r="AN1974" t="s">
        <v>98</v>
      </c>
      <c r="AO1974" t="s">
        <v>98</v>
      </c>
      <c r="AP1974" t="s">
        <v>100</v>
      </c>
      <c r="AQ1974" t="s">
        <v>101</v>
      </c>
      <c r="AV1974" t="s">
        <v>98</v>
      </c>
      <c r="AX1974" t="s">
        <v>7528</v>
      </c>
      <c r="AZ1974" t="s">
        <v>7528</v>
      </c>
      <c r="BB1974" t="s">
        <v>7528</v>
      </c>
      <c r="BC1974" t="s">
        <v>7528</v>
      </c>
      <c r="BD1974" t="s">
        <v>7528</v>
      </c>
      <c r="BF1974" t="s">
        <v>5932</v>
      </c>
      <c r="BG1974" t="s">
        <v>98</v>
      </c>
      <c r="BH1974" t="s">
        <v>98</v>
      </c>
      <c r="BI1974" t="s">
        <v>98</v>
      </c>
      <c r="BK1974" t="s">
        <v>7528</v>
      </c>
      <c r="BL1974" t="s">
        <v>7528</v>
      </c>
      <c r="CA1974" t="s">
        <v>5931</v>
      </c>
      <c r="CB1974" t="s">
        <v>7528</v>
      </c>
      <c r="CL1974" t="s">
        <v>98</v>
      </c>
      <c r="CM1974" t="s">
        <v>98</v>
      </c>
      <c r="CN1974" t="s">
        <v>7528</v>
      </c>
      <c r="CO1974" s="1">
        <v>40556</v>
      </c>
      <c r="CP1974" s="1">
        <v>43633</v>
      </c>
    </row>
    <row r="1975" spans="1:94" x14ac:dyDescent="0.25">
      <c r="A1975" t="s">
        <v>5933</v>
      </c>
      <c r="B1975" t="str">
        <f xml:space="preserve"> "" &amp; 747396034997</f>
        <v>747396034997</v>
      </c>
      <c r="C1975" t="s">
        <v>5927</v>
      </c>
      <c r="D1975" t="s">
        <v>5934</v>
      </c>
      <c r="E1975" t="s">
        <v>7528</v>
      </c>
      <c r="F1975" t="s">
        <v>627</v>
      </c>
      <c r="G1975">
        <v>1</v>
      </c>
      <c r="H1975">
        <v>1</v>
      </c>
      <c r="I1975" t="s">
        <v>97</v>
      </c>
      <c r="J1975" s="10">
        <v>5.5</v>
      </c>
      <c r="K1975" s="10">
        <v>16.5</v>
      </c>
      <c r="L1975" s="10">
        <v>0</v>
      </c>
      <c r="N1975" s="10">
        <v>0</v>
      </c>
      <c r="W1975">
        <v>0.53</v>
      </c>
      <c r="X1975">
        <v>1</v>
      </c>
      <c r="Y1975">
        <v>13.25</v>
      </c>
      <c r="Z1975">
        <v>11</v>
      </c>
      <c r="AA1975">
        <v>11</v>
      </c>
      <c r="AB1975">
        <v>0.92800000000000005</v>
      </c>
      <c r="AC1975">
        <v>0.56999999999999995</v>
      </c>
      <c r="AF1975" t="s">
        <v>7528</v>
      </c>
      <c r="AK1975" t="s">
        <v>98</v>
      </c>
      <c r="AM1975" t="s">
        <v>98</v>
      </c>
      <c r="AN1975" t="s">
        <v>98</v>
      </c>
      <c r="AO1975" t="s">
        <v>98</v>
      </c>
      <c r="AP1975" t="s">
        <v>100</v>
      </c>
      <c r="AQ1975" t="s">
        <v>101</v>
      </c>
      <c r="AV1975" t="s">
        <v>98</v>
      </c>
      <c r="AX1975" t="s">
        <v>7528</v>
      </c>
      <c r="AZ1975" t="s">
        <v>7528</v>
      </c>
      <c r="BB1975" t="s">
        <v>7528</v>
      </c>
      <c r="BC1975" t="s">
        <v>7528</v>
      </c>
      <c r="BD1975" t="s">
        <v>7528</v>
      </c>
      <c r="BF1975" t="s">
        <v>5935</v>
      </c>
      <c r="BG1975" t="s">
        <v>98</v>
      </c>
      <c r="BH1975" t="s">
        <v>98</v>
      </c>
      <c r="BI1975" t="s">
        <v>98</v>
      </c>
      <c r="BK1975" t="s">
        <v>7528</v>
      </c>
      <c r="BL1975" t="s">
        <v>7528</v>
      </c>
      <c r="CA1975" t="s">
        <v>5933</v>
      </c>
      <c r="CB1975" t="s">
        <v>7528</v>
      </c>
      <c r="CL1975" t="s">
        <v>98</v>
      </c>
      <c r="CM1975" t="s">
        <v>98</v>
      </c>
      <c r="CN1975" t="s">
        <v>7528</v>
      </c>
      <c r="CO1975" s="1">
        <v>40556</v>
      </c>
      <c r="CP1975" s="1">
        <v>40556</v>
      </c>
    </row>
    <row r="1976" spans="1:94" x14ac:dyDescent="0.25">
      <c r="A1976" t="s">
        <v>5936</v>
      </c>
      <c r="B1976" t="str">
        <f xml:space="preserve"> "" &amp; 747396063522</f>
        <v>747396063522</v>
      </c>
      <c r="C1976" t="s">
        <v>5927</v>
      </c>
      <c r="D1976" t="s">
        <v>5937</v>
      </c>
      <c r="E1976" t="s">
        <v>7528</v>
      </c>
      <c r="F1976" t="s">
        <v>627</v>
      </c>
      <c r="G1976">
        <v>1</v>
      </c>
      <c r="H1976">
        <v>1</v>
      </c>
      <c r="I1976" t="s">
        <v>97</v>
      </c>
      <c r="J1976" s="10">
        <v>5.5</v>
      </c>
      <c r="K1976" s="10">
        <v>16.5</v>
      </c>
      <c r="L1976" s="10">
        <v>0</v>
      </c>
      <c r="N1976" s="10">
        <v>0</v>
      </c>
      <c r="W1976">
        <v>0.37</v>
      </c>
      <c r="Y1976">
        <v>5.31</v>
      </c>
      <c r="Z1976">
        <v>11.22</v>
      </c>
      <c r="AA1976">
        <v>7.48</v>
      </c>
      <c r="AB1976">
        <v>0.25800000000000001</v>
      </c>
      <c r="AC1976">
        <v>0.47</v>
      </c>
      <c r="AF1976" t="s">
        <v>7528</v>
      </c>
      <c r="AK1976" t="s">
        <v>98</v>
      </c>
      <c r="AM1976" t="s">
        <v>98</v>
      </c>
      <c r="AN1976" t="s">
        <v>98</v>
      </c>
      <c r="AO1976" t="s">
        <v>98</v>
      </c>
      <c r="AP1976" t="s">
        <v>100</v>
      </c>
      <c r="AQ1976" t="s">
        <v>101</v>
      </c>
      <c r="AV1976" t="s">
        <v>98</v>
      </c>
      <c r="AX1976" t="s">
        <v>7528</v>
      </c>
      <c r="AZ1976" t="s">
        <v>7528</v>
      </c>
      <c r="BB1976" t="s">
        <v>7528</v>
      </c>
      <c r="BC1976" t="s">
        <v>7528</v>
      </c>
      <c r="BD1976" t="s">
        <v>7528</v>
      </c>
      <c r="BF1976" t="s">
        <v>5938</v>
      </c>
      <c r="BG1976" t="s">
        <v>98</v>
      </c>
      <c r="BH1976" t="s">
        <v>98</v>
      </c>
      <c r="BI1976" t="s">
        <v>98</v>
      </c>
      <c r="BK1976" t="s">
        <v>7528</v>
      </c>
      <c r="BL1976" t="s">
        <v>7528</v>
      </c>
      <c r="CA1976" t="s">
        <v>5936</v>
      </c>
      <c r="CB1976" t="s">
        <v>7528</v>
      </c>
      <c r="CL1976" t="s">
        <v>98</v>
      </c>
      <c r="CM1976" t="s">
        <v>98</v>
      </c>
      <c r="CN1976" t="s">
        <v>7528</v>
      </c>
      <c r="CO1976" s="1">
        <v>40556</v>
      </c>
      <c r="CP1976" s="1">
        <v>43633</v>
      </c>
    </row>
    <row r="1977" spans="1:94" x14ac:dyDescent="0.25">
      <c r="A1977" t="s">
        <v>5939</v>
      </c>
      <c r="B1977" t="str">
        <f xml:space="preserve"> "" &amp; 747396035000</f>
        <v>747396035000</v>
      </c>
      <c r="C1977" t="s">
        <v>5927</v>
      </c>
      <c r="D1977" t="s">
        <v>5940</v>
      </c>
      <c r="E1977" t="s">
        <v>7528</v>
      </c>
      <c r="F1977" t="s">
        <v>627</v>
      </c>
      <c r="G1977">
        <v>1</v>
      </c>
      <c r="H1977">
        <v>1</v>
      </c>
      <c r="I1977" t="s">
        <v>97</v>
      </c>
      <c r="J1977" s="10">
        <v>4.5</v>
      </c>
      <c r="K1977" s="10">
        <v>13.5</v>
      </c>
      <c r="L1977" s="10">
        <v>0</v>
      </c>
      <c r="N1977" s="10">
        <v>0</v>
      </c>
      <c r="W1977">
        <v>0.21</v>
      </c>
      <c r="X1977">
        <v>1</v>
      </c>
      <c r="Y1977">
        <v>11.88</v>
      </c>
      <c r="Z1977">
        <v>11.5</v>
      </c>
      <c r="AA1977">
        <v>4.13</v>
      </c>
      <c r="AB1977">
        <v>0.32700000000000001</v>
      </c>
      <c r="AC1977">
        <v>0.22</v>
      </c>
      <c r="AF1977" t="s">
        <v>7528</v>
      </c>
      <c r="AK1977" t="s">
        <v>98</v>
      </c>
      <c r="AM1977" t="s">
        <v>98</v>
      </c>
      <c r="AN1977" t="s">
        <v>98</v>
      </c>
      <c r="AO1977" t="s">
        <v>98</v>
      </c>
      <c r="AP1977" t="s">
        <v>100</v>
      </c>
      <c r="AQ1977" t="s">
        <v>101</v>
      </c>
      <c r="AV1977" t="s">
        <v>98</v>
      </c>
      <c r="AX1977" t="s">
        <v>7528</v>
      </c>
      <c r="AZ1977" t="s">
        <v>7528</v>
      </c>
      <c r="BB1977" t="s">
        <v>7528</v>
      </c>
      <c r="BC1977" t="s">
        <v>7528</v>
      </c>
      <c r="BD1977" t="s">
        <v>7528</v>
      </c>
      <c r="BF1977" t="s">
        <v>5941</v>
      </c>
      <c r="BG1977" t="s">
        <v>98</v>
      </c>
      <c r="BH1977" t="s">
        <v>98</v>
      </c>
      <c r="BI1977" t="s">
        <v>98</v>
      </c>
      <c r="BK1977" t="s">
        <v>7528</v>
      </c>
      <c r="BL1977" t="s">
        <v>7528</v>
      </c>
      <c r="CA1977" t="s">
        <v>5939</v>
      </c>
      <c r="CB1977" t="s">
        <v>7528</v>
      </c>
      <c r="CL1977" t="s">
        <v>98</v>
      </c>
      <c r="CM1977" t="s">
        <v>98</v>
      </c>
      <c r="CN1977" t="s">
        <v>7528</v>
      </c>
      <c r="CO1977" s="1">
        <v>40556</v>
      </c>
      <c r="CP1977" s="1">
        <v>40556</v>
      </c>
    </row>
    <row r="1978" spans="1:94" x14ac:dyDescent="0.25">
      <c r="A1978" t="s">
        <v>5942</v>
      </c>
      <c r="B1978" t="str">
        <f xml:space="preserve"> "" &amp; 747396035017</f>
        <v>747396035017</v>
      </c>
      <c r="C1978" t="s">
        <v>4679</v>
      </c>
      <c r="D1978" t="s">
        <v>5943</v>
      </c>
      <c r="E1978" t="s">
        <v>7528</v>
      </c>
      <c r="F1978" t="s">
        <v>627</v>
      </c>
      <c r="G1978">
        <v>1</v>
      </c>
      <c r="H1978">
        <v>1</v>
      </c>
      <c r="I1978" t="s">
        <v>97</v>
      </c>
      <c r="J1978" s="10">
        <v>7.5</v>
      </c>
      <c r="K1978" s="10">
        <v>22.5</v>
      </c>
      <c r="L1978" s="10">
        <v>0</v>
      </c>
      <c r="N1978" s="10">
        <v>0</v>
      </c>
      <c r="W1978">
        <v>0.78</v>
      </c>
      <c r="X1978">
        <v>1</v>
      </c>
      <c r="Y1978">
        <v>13.25</v>
      </c>
      <c r="Z1978">
        <v>10.25</v>
      </c>
      <c r="AA1978">
        <v>9.25</v>
      </c>
      <c r="AB1978">
        <v>0.72699999999999998</v>
      </c>
      <c r="AC1978">
        <v>0.83</v>
      </c>
      <c r="AF1978" t="s">
        <v>7528</v>
      </c>
      <c r="AK1978" t="s">
        <v>98</v>
      </c>
      <c r="AM1978" t="s">
        <v>98</v>
      </c>
      <c r="AN1978" t="s">
        <v>98</v>
      </c>
      <c r="AO1978" t="s">
        <v>98</v>
      </c>
      <c r="AP1978" t="s">
        <v>100</v>
      </c>
      <c r="AQ1978" t="s">
        <v>101</v>
      </c>
      <c r="AV1978" t="s">
        <v>98</v>
      </c>
      <c r="AX1978" t="s">
        <v>7528</v>
      </c>
      <c r="AZ1978" t="s">
        <v>7528</v>
      </c>
      <c r="BB1978" t="s">
        <v>7528</v>
      </c>
      <c r="BC1978" t="s">
        <v>7528</v>
      </c>
      <c r="BD1978" t="s">
        <v>7528</v>
      </c>
      <c r="BF1978" t="s">
        <v>5944</v>
      </c>
      <c r="BG1978" t="s">
        <v>98</v>
      </c>
      <c r="BH1978" t="s">
        <v>98</v>
      </c>
      <c r="BI1978" t="s">
        <v>98</v>
      </c>
      <c r="BK1978" t="s">
        <v>7528</v>
      </c>
      <c r="BL1978" t="s">
        <v>7528</v>
      </c>
      <c r="CA1978" t="s">
        <v>5942</v>
      </c>
      <c r="CB1978" t="s">
        <v>7528</v>
      </c>
      <c r="CL1978" t="s">
        <v>98</v>
      </c>
      <c r="CM1978" t="s">
        <v>98</v>
      </c>
      <c r="CN1978" t="s">
        <v>7528</v>
      </c>
      <c r="CO1978" s="1">
        <v>40556</v>
      </c>
      <c r="CP1978" s="1">
        <v>40556</v>
      </c>
    </row>
    <row r="1979" spans="1:94" x14ac:dyDescent="0.25">
      <c r="A1979" t="s">
        <v>5945</v>
      </c>
      <c r="B1979" t="str">
        <f xml:space="preserve"> "" &amp; 747396035024</f>
        <v>747396035024</v>
      </c>
      <c r="C1979" t="s">
        <v>4679</v>
      </c>
      <c r="D1979" t="s">
        <v>5943</v>
      </c>
      <c r="E1979" t="s">
        <v>7528</v>
      </c>
      <c r="F1979" t="s">
        <v>627</v>
      </c>
      <c r="G1979">
        <v>1</v>
      </c>
      <c r="H1979">
        <v>1</v>
      </c>
      <c r="I1979" t="s">
        <v>97</v>
      </c>
      <c r="J1979" s="10">
        <v>6</v>
      </c>
      <c r="K1979" s="10">
        <v>18</v>
      </c>
      <c r="L1979" s="10">
        <v>0</v>
      </c>
      <c r="N1979" s="10">
        <v>0</v>
      </c>
      <c r="W1979">
        <v>0.26</v>
      </c>
      <c r="X1979">
        <v>1</v>
      </c>
      <c r="Y1979">
        <v>7.13</v>
      </c>
      <c r="Z1979">
        <v>12.5</v>
      </c>
      <c r="AA1979">
        <v>5</v>
      </c>
      <c r="AB1979">
        <v>0.25800000000000001</v>
      </c>
      <c r="AC1979">
        <v>0.28999999999999998</v>
      </c>
      <c r="AF1979" t="s">
        <v>7528</v>
      </c>
      <c r="AK1979" t="s">
        <v>98</v>
      </c>
      <c r="AM1979" t="s">
        <v>98</v>
      </c>
      <c r="AN1979" t="s">
        <v>98</v>
      </c>
      <c r="AO1979" t="s">
        <v>98</v>
      </c>
      <c r="AP1979" t="s">
        <v>100</v>
      </c>
      <c r="AQ1979" t="s">
        <v>101</v>
      </c>
      <c r="AV1979" t="s">
        <v>98</v>
      </c>
      <c r="AX1979" t="s">
        <v>7528</v>
      </c>
      <c r="AZ1979" t="s">
        <v>7528</v>
      </c>
      <c r="BB1979" t="s">
        <v>7528</v>
      </c>
      <c r="BC1979" t="s">
        <v>7528</v>
      </c>
      <c r="BD1979" t="s">
        <v>7528</v>
      </c>
      <c r="BF1979" t="s">
        <v>5946</v>
      </c>
      <c r="BG1979" t="s">
        <v>98</v>
      </c>
      <c r="BH1979" t="s">
        <v>98</v>
      </c>
      <c r="BI1979" t="s">
        <v>98</v>
      </c>
      <c r="BK1979" t="s">
        <v>7528</v>
      </c>
      <c r="BL1979" t="s">
        <v>7528</v>
      </c>
      <c r="CA1979" t="s">
        <v>5945</v>
      </c>
      <c r="CB1979" t="s">
        <v>7528</v>
      </c>
      <c r="CL1979" t="s">
        <v>98</v>
      </c>
      <c r="CM1979" t="s">
        <v>98</v>
      </c>
      <c r="CN1979" t="s">
        <v>7528</v>
      </c>
      <c r="CO1979" s="1">
        <v>40556</v>
      </c>
      <c r="CP1979" s="1">
        <v>40556</v>
      </c>
    </row>
    <row r="1980" spans="1:94" x14ac:dyDescent="0.25">
      <c r="A1980" t="s">
        <v>5947</v>
      </c>
      <c r="B1980" t="str">
        <f xml:space="preserve"> "" &amp; 747396035031</f>
        <v>747396035031</v>
      </c>
      <c r="C1980" t="s">
        <v>4679</v>
      </c>
      <c r="D1980" t="s">
        <v>7325</v>
      </c>
      <c r="E1980" t="s">
        <v>7528</v>
      </c>
      <c r="F1980" t="s">
        <v>627</v>
      </c>
      <c r="G1980">
        <v>1</v>
      </c>
      <c r="H1980">
        <v>1</v>
      </c>
      <c r="I1980" t="s">
        <v>97</v>
      </c>
      <c r="J1980" s="10">
        <v>4.5</v>
      </c>
      <c r="K1980" s="10">
        <v>13.5</v>
      </c>
      <c r="L1980" s="10">
        <v>0</v>
      </c>
      <c r="N1980" s="10">
        <v>0</v>
      </c>
      <c r="W1980">
        <v>0.34</v>
      </c>
      <c r="X1980">
        <v>1</v>
      </c>
      <c r="Y1980">
        <v>6</v>
      </c>
      <c r="Z1980">
        <v>7.88</v>
      </c>
      <c r="AA1980">
        <v>5</v>
      </c>
      <c r="AB1980">
        <v>0.13700000000000001</v>
      </c>
      <c r="AC1980">
        <v>0.41</v>
      </c>
      <c r="AF1980" t="s">
        <v>7528</v>
      </c>
      <c r="AK1980" t="s">
        <v>98</v>
      </c>
      <c r="AM1980" t="s">
        <v>98</v>
      </c>
      <c r="AN1980" t="s">
        <v>98</v>
      </c>
      <c r="AO1980" t="s">
        <v>98</v>
      </c>
      <c r="AP1980" t="s">
        <v>100</v>
      </c>
      <c r="AQ1980" t="s">
        <v>101</v>
      </c>
      <c r="AV1980" t="s">
        <v>98</v>
      </c>
      <c r="AX1980" t="s">
        <v>7528</v>
      </c>
      <c r="AZ1980" t="s">
        <v>7528</v>
      </c>
      <c r="BB1980" t="s">
        <v>7528</v>
      </c>
      <c r="BC1980" t="s">
        <v>7528</v>
      </c>
      <c r="BD1980" t="s">
        <v>7528</v>
      </c>
      <c r="BF1980" t="s">
        <v>5948</v>
      </c>
      <c r="BG1980" t="s">
        <v>98</v>
      </c>
      <c r="BH1980" t="s">
        <v>98</v>
      </c>
      <c r="BI1980" t="s">
        <v>98</v>
      </c>
      <c r="BK1980" t="s">
        <v>7528</v>
      </c>
      <c r="BL1980" t="s">
        <v>7528</v>
      </c>
      <c r="CA1980" t="s">
        <v>5947</v>
      </c>
      <c r="CB1980" t="s">
        <v>7528</v>
      </c>
      <c r="CL1980" t="s">
        <v>98</v>
      </c>
      <c r="CM1980" t="s">
        <v>98</v>
      </c>
      <c r="CN1980" t="s">
        <v>7528</v>
      </c>
      <c r="CO1980" s="1">
        <v>40556</v>
      </c>
      <c r="CP1980" s="1">
        <v>43633</v>
      </c>
    </row>
    <row r="1981" spans="1:94" x14ac:dyDescent="0.25">
      <c r="A1981" t="s">
        <v>5949</v>
      </c>
      <c r="B1981" t="str">
        <f xml:space="preserve"> "" &amp; 747396063560</f>
        <v>747396063560</v>
      </c>
      <c r="C1981" t="s">
        <v>3224</v>
      </c>
      <c r="D1981" t="s">
        <v>5950</v>
      </c>
      <c r="E1981" t="s">
        <v>7528</v>
      </c>
      <c r="F1981" t="s">
        <v>627</v>
      </c>
      <c r="G1981">
        <v>1</v>
      </c>
      <c r="H1981">
        <v>1</v>
      </c>
      <c r="I1981" t="s">
        <v>97</v>
      </c>
      <c r="J1981" s="10">
        <v>4.5</v>
      </c>
      <c r="K1981" s="10">
        <v>13.5</v>
      </c>
      <c r="L1981" s="10">
        <v>0</v>
      </c>
      <c r="N1981" s="10">
        <v>0</v>
      </c>
      <c r="W1981">
        <v>0.21</v>
      </c>
      <c r="X1981">
        <v>1</v>
      </c>
      <c r="Y1981">
        <v>6</v>
      </c>
      <c r="Z1981">
        <v>7.88</v>
      </c>
      <c r="AA1981">
        <v>5</v>
      </c>
      <c r="AB1981">
        <v>0.13700000000000001</v>
      </c>
      <c r="AC1981">
        <v>0.24</v>
      </c>
      <c r="AF1981" t="s">
        <v>7528</v>
      </c>
      <c r="AK1981" t="s">
        <v>98</v>
      </c>
      <c r="AM1981" t="s">
        <v>98</v>
      </c>
      <c r="AN1981" t="s">
        <v>98</v>
      </c>
      <c r="AO1981" t="s">
        <v>98</v>
      </c>
      <c r="AP1981" t="s">
        <v>100</v>
      </c>
      <c r="AQ1981" t="s">
        <v>101</v>
      </c>
      <c r="AV1981" t="s">
        <v>98</v>
      </c>
      <c r="AX1981" t="s">
        <v>7528</v>
      </c>
      <c r="AZ1981" t="s">
        <v>7528</v>
      </c>
      <c r="BB1981" t="s">
        <v>7528</v>
      </c>
      <c r="BC1981" t="s">
        <v>7528</v>
      </c>
      <c r="BD1981" t="s">
        <v>7528</v>
      </c>
      <c r="BF1981" t="s">
        <v>5951</v>
      </c>
      <c r="BG1981" t="s">
        <v>98</v>
      </c>
      <c r="BH1981" t="s">
        <v>98</v>
      </c>
      <c r="BI1981" t="s">
        <v>98</v>
      </c>
      <c r="BK1981" t="s">
        <v>7528</v>
      </c>
      <c r="BL1981" t="s">
        <v>7528</v>
      </c>
      <c r="CA1981" t="s">
        <v>5949</v>
      </c>
      <c r="CB1981" t="s">
        <v>7528</v>
      </c>
      <c r="CL1981" t="s">
        <v>98</v>
      </c>
      <c r="CM1981" t="s">
        <v>98</v>
      </c>
      <c r="CN1981" t="s">
        <v>7528</v>
      </c>
      <c r="CO1981" s="1">
        <v>40556</v>
      </c>
      <c r="CP1981" s="1">
        <v>43633</v>
      </c>
    </row>
    <row r="1982" spans="1:94" x14ac:dyDescent="0.25">
      <c r="A1982" t="s">
        <v>5952</v>
      </c>
      <c r="B1982" t="str">
        <f xml:space="preserve"> "" &amp; 747396035048</f>
        <v>747396035048</v>
      </c>
      <c r="C1982" t="s">
        <v>4679</v>
      </c>
      <c r="D1982" t="s">
        <v>7326</v>
      </c>
      <c r="E1982" t="s">
        <v>7528</v>
      </c>
      <c r="F1982" t="s">
        <v>627</v>
      </c>
      <c r="G1982">
        <v>1</v>
      </c>
      <c r="H1982">
        <v>1</v>
      </c>
      <c r="I1982" t="s">
        <v>97</v>
      </c>
      <c r="J1982" s="10">
        <v>3.5</v>
      </c>
      <c r="K1982" s="10">
        <v>10.5</v>
      </c>
      <c r="L1982" s="10">
        <v>0</v>
      </c>
      <c r="N1982" s="10">
        <v>0</v>
      </c>
      <c r="W1982">
        <v>0.09</v>
      </c>
      <c r="X1982">
        <v>1</v>
      </c>
      <c r="Y1982">
        <v>5</v>
      </c>
      <c r="Z1982">
        <v>9</v>
      </c>
      <c r="AA1982">
        <v>6.13</v>
      </c>
      <c r="AB1982">
        <v>0.16</v>
      </c>
      <c r="AC1982">
        <v>0.1</v>
      </c>
      <c r="AF1982" t="s">
        <v>7528</v>
      </c>
      <c r="AK1982" t="s">
        <v>98</v>
      </c>
      <c r="AM1982" t="s">
        <v>98</v>
      </c>
      <c r="AN1982" t="s">
        <v>98</v>
      </c>
      <c r="AO1982" t="s">
        <v>98</v>
      </c>
      <c r="AP1982" t="s">
        <v>100</v>
      </c>
      <c r="AQ1982" t="s">
        <v>101</v>
      </c>
      <c r="AV1982" t="s">
        <v>98</v>
      </c>
      <c r="AX1982" t="s">
        <v>7528</v>
      </c>
      <c r="AZ1982" t="s">
        <v>7528</v>
      </c>
      <c r="BB1982" t="s">
        <v>7528</v>
      </c>
      <c r="BC1982" t="s">
        <v>7528</v>
      </c>
      <c r="BD1982" t="s">
        <v>7528</v>
      </c>
      <c r="BF1982" t="s">
        <v>5953</v>
      </c>
      <c r="BG1982" t="s">
        <v>98</v>
      </c>
      <c r="BH1982" t="s">
        <v>98</v>
      </c>
      <c r="BI1982" t="s">
        <v>98</v>
      </c>
      <c r="BK1982" t="s">
        <v>7528</v>
      </c>
      <c r="BL1982" t="s">
        <v>7528</v>
      </c>
      <c r="CA1982" t="s">
        <v>5952</v>
      </c>
      <c r="CB1982" t="s">
        <v>7528</v>
      </c>
      <c r="CL1982" t="s">
        <v>98</v>
      </c>
      <c r="CM1982" t="s">
        <v>98</v>
      </c>
      <c r="CN1982" t="s">
        <v>7528</v>
      </c>
      <c r="CO1982" s="1">
        <v>40556</v>
      </c>
      <c r="CP1982" s="1">
        <v>43633</v>
      </c>
    </row>
    <row r="1983" spans="1:94" x14ac:dyDescent="0.25">
      <c r="A1983" t="s">
        <v>5954</v>
      </c>
      <c r="B1983" t="str">
        <f xml:space="preserve"> "" &amp; 747396063577</f>
        <v>747396063577</v>
      </c>
      <c r="C1983" t="s">
        <v>3224</v>
      </c>
      <c r="D1983" t="s">
        <v>7327</v>
      </c>
      <c r="E1983" t="s">
        <v>7528</v>
      </c>
      <c r="F1983" t="s">
        <v>627</v>
      </c>
      <c r="G1983">
        <v>1</v>
      </c>
      <c r="H1983">
        <v>1</v>
      </c>
      <c r="I1983" t="s">
        <v>97</v>
      </c>
      <c r="J1983" s="10">
        <v>3.5</v>
      </c>
      <c r="K1983" s="10">
        <v>10.5</v>
      </c>
      <c r="L1983" s="10">
        <v>0</v>
      </c>
      <c r="N1983" s="10">
        <v>0</v>
      </c>
      <c r="W1983">
        <v>0.19</v>
      </c>
      <c r="X1983">
        <v>1</v>
      </c>
      <c r="Y1983">
        <v>4.5</v>
      </c>
      <c r="Z1983">
        <v>9</v>
      </c>
      <c r="AA1983">
        <v>5</v>
      </c>
      <c r="AB1983">
        <v>0.11700000000000001</v>
      </c>
      <c r="AC1983">
        <v>0.22</v>
      </c>
      <c r="AF1983" t="s">
        <v>7528</v>
      </c>
      <c r="AK1983" t="s">
        <v>98</v>
      </c>
      <c r="AM1983" t="s">
        <v>98</v>
      </c>
      <c r="AN1983" t="s">
        <v>98</v>
      </c>
      <c r="AO1983" t="s">
        <v>98</v>
      </c>
      <c r="AP1983" t="s">
        <v>100</v>
      </c>
      <c r="AQ1983" t="s">
        <v>101</v>
      </c>
      <c r="AV1983" t="s">
        <v>98</v>
      </c>
      <c r="AX1983" t="s">
        <v>7528</v>
      </c>
      <c r="AZ1983" t="s">
        <v>7528</v>
      </c>
      <c r="BB1983" t="s">
        <v>7528</v>
      </c>
      <c r="BC1983" t="s">
        <v>7528</v>
      </c>
      <c r="BD1983" t="s">
        <v>7528</v>
      </c>
      <c r="BF1983" t="s">
        <v>5955</v>
      </c>
      <c r="BG1983" t="s">
        <v>98</v>
      </c>
      <c r="BH1983" t="s">
        <v>98</v>
      </c>
      <c r="BI1983" t="s">
        <v>98</v>
      </c>
      <c r="BK1983" t="s">
        <v>7528</v>
      </c>
      <c r="BL1983" t="s">
        <v>7528</v>
      </c>
      <c r="CA1983" t="s">
        <v>5954</v>
      </c>
      <c r="CB1983" t="s">
        <v>7528</v>
      </c>
      <c r="CL1983" t="s">
        <v>98</v>
      </c>
      <c r="CM1983" t="s">
        <v>98</v>
      </c>
      <c r="CN1983" t="s">
        <v>7528</v>
      </c>
      <c r="CO1983" s="1">
        <v>40556</v>
      </c>
      <c r="CP1983" s="1">
        <v>43633</v>
      </c>
    </row>
    <row r="1984" spans="1:94" x14ac:dyDescent="0.25">
      <c r="A1984" t="s">
        <v>5956</v>
      </c>
      <c r="B1984" t="str">
        <f xml:space="preserve"> "" &amp; 747396035055</f>
        <v>747396035055</v>
      </c>
      <c r="C1984" t="s">
        <v>4682</v>
      </c>
      <c r="D1984" t="s">
        <v>7328</v>
      </c>
      <c r="E1984" t="s">
        <v>7528</v>
      </c>
      <c r="F1984" t="s">
        <v>627</v>
      </c>
      <c r="G1984">
        <v>1</v>
      </c>
      <c r="H1984">
        <v>1</v>
      </c>
      <c r="I1984" t="s">
        <v>97</v>
      </c>
      <c r="J1984" s="10">
        <v>2.5</v>
      </c>
      <c r="K1984" s="10">
        <v>7.5</v>
      </c>
      <c r="L1984" s="10">
        <v>0</v>
      </c>
      <c r="N1984" s="10">
        <v>0</v>
      </c>
      <c r="W1984">
        <v>0.09</v>
      </c>
      <c r="X1984">
        <v>1</v>
      </c>
      <c r="Y1984">
        <v>5.33</v>
      </c>
      <c r="Z1984">
        <v>8.66</v>
      </c>
      <c r="AA1984">
        <v>6</v>
      </c>
      <c r="AB1984">
        <v>0.16</v>
      </c>
      <c r="AC1984">
        <v>0.11</v>
      </c>
      <c r="AF1984" t="s">
        <v>7528</v>
      </c>
      <c r="AK1984" t="s">
        <v>98</v>
      </c>
      <c r="AM1984" t="s">
        <v>98</v>
      </c>
      <c r="AN1984" t="s">
        <v>98</v>
      </c>
      <c r="AO1984" t="s">
        <v>98</v>
      </c>
      <c r="AP1984" t="s">
        <v>100</v>
      </c>
      <c r="AQ1984" t="s">
        <v>101</v>
      </c>
      <c r="AV1984" t="s">
        <v>98</v>
      </c>
      <c r="AX1984" t="s">
        <v>7528</v>
      </c>
      <c r="AZ1984" t="s">
        <v>7528</v>
      </c>
      <c r="BB1984" t="s">
        <v>7528</v>
      </c>
      <c r="BC1984" t="s">
        <v>7528</v>
      </c>
      <c r="BD1984" t="s">
        <v>7528</v>
      </c>
      <c r="BF1984" t="s">
        <v>5957</v>
      </c>
      <c r="BG1984" t="s">
        <v>98</v>
      </c>
      <c r="BH1984" t="s">
        <v>98</v>
      </c>
      <c r="BI1984" t="s">
        <v>98</v>
      </c>
      <c r="BK1984" t="s">
        <v>7528</v>
      </c>
      <c r="BL1984" t="s">
        <v>7528</v>
      </c>
      <c r="CA1984" t="s">
        <v>5956</v>
      </c>
      <c r="CB1984" t="s">
        <v>7528</v>
      </c>
      <c r="CL1984" t="s">
        <v>98</v>
      </c>
      <c r="CM1984" t="s">
        <v>98</v>
      </c>
      <c r="CN1984" t="s">
        <v>7528</v>
      </c>
      <c r="CO1984" s="1">
        <v>40669</v>
      </c>
      <c r="CP1984" s="1">
        <v>43633</v>
      </c>
    </row>
    <row r="1985" spans="1:94" x14ac:dyDescent="0.25">
      <c r="A1985" t="s">
        <v>5958</v>
      </c>
      <c r="B1985" t="str">
        <f xml:space="preserve"> "" &amp; 747396063584</f>
        <v>747396063584</v>
      </c>
      <c r="C1985" t="s">
        <v>5927</v>
      </c>
      <c r="D1985" t="s">
        <v>7329</v>
      </c>
      <c r="E1985" t="s">
        <v>7528</v>
      </c>
      <c r="F1985" t="s">
        <v>627</v>
      </c>
      <c r="G1985">
        <v>1</v>
      </c>
      <c r="H1985">
        <v>1</v>
      </c>
      <c r="I1985" t="s">
        <v>97</v>
      </c>
      <c r="J1985" s="10">
        <v>2.5</v>
      </c>
      <c r="K1985" s="10">
        <v>7.5</v>
      </c>
      <c r="L1985" s="10">
        <v>0</v>
      </c>
      <c r="N1985" s="10">
        <v>0</v>
      </c>
      <c r="W1985">
        <v>0.03</v>
      </c>
      <c r="X1985">
        <v>1</v>
      </c>
      <c r="Y1985">
        <v>7</v>
      </c>
      <c r="Z1985">
        <v>8.75</v>
      </c>
      <c r="AA1985">
        <v>5</v>
      </c>
      <c r="AB1985">
        <v>0.17699999999999999</v>
      </c>
      <c r="AC1985">
        <v>0.05</v>
      </c>
      <c r="AF1985" t="s">
        <v>7528</v>
      </c>
      <c r="AK1985" t="s">
        <v>98</v>
      </c>
      <c r="AM1985" t="s">
        <v>98</v>
      </c>
      <c r="AN1985" t="s">
        <v>98</v>
      </c>
      <c r="AO1985" t="s">
        <v>98</v>
      </c>
      <c r="AP1985" t="s">
        <v>100</v>
      </c>
      <c r="AQ1985" t="s">
        <v>101</v>
      </c>
      <c r="AV1985" t="s">
        <v>98</v>
      </c>
      <c r="AX1985" t="s">
        <v>7528</v>
      </c>
      <c r="AZ1985" t="s">
        <v>7528</v>
      </c>
      <c r="BB1985" t="s">
        <v>7528</v>
      </c>
      <c r="BC1985" t="s">
        <v>7528</v>
      </c>
      <c r="BD1985" t="s">
        <v>7528</v>
      </c>
      <c r="BF1985" t="s">
        <v>5959</v>
      </c>
      <c r="BG1985" t="s">
        <v>98</v>
      </c>
      <c r="BH1985" t="s">
        <v>98</v>
      </c>
      <c r="BI1985" t="s">
        <v>98</v>
      </c>
      <c r="BK1985" t="s">
        <v>7528</v>
      </c>
      <c r="BL1985" t="s">
        <v>7528</v>
      </c>
      <c r="CA1985" t="s">
        <v>5958</v>
      </c>
      <c r="CB1985" t="s">
        <v>7528</v>
      </c>
      <c r="CL1985" t="s">
        <v>98</v>
      </c>
      <c r="CM1985" t="s">
        <v>98</v>
      </c>
      <c r="CN1985" t="s">
        <v>7528</v>
      </c>
      <c r="CO1985" s="1">
        <v>40556</v>
      </c>
      <c r="CP1985" s="1">
        <v>43633</v>
      </c>
    </row>
    <row r="1986" spans="1:94" x14ac:dyDescent="0.25">
      <c r="A1986" t="s">
        <v>5960</v>
      </c>
      <c r="B1986" t="str">
        <f xml:space="preserve"> "" &amp; 747396035062</f>
        <v>747396035062</v>
      </c>
      <c r="C1986" t="s">
        <v>4679</v>
      </c>
      <c r="D1986" t="s">
        <v>7330</v>
      </c>
      <c r="E1986" t="s">
        <v>7528</v>
      </c>
      <c r="F1986" t="s">
        <v>627</v>
      </c>
      <c r="G1986">
        <v>1</v>
      </c>
      <c r="H1986">
        <v>1</v>
      </c>
      <c r="I1986" t="s">
        <v>97</v>
      </c>
      <c r="J1986" s="10">
        <v>5.5</v>
      </c>
      <c r="K1986" s="10">
        <v>16.5</v>
      </c>
      <c r="L1986" s="10">
        <v>0</v>
      </c>
      <c r="N1986" s="10">
        <v>0</v>
      </c>
      <c r="W1986">
        <v>0.5</v>
      </c>
      <c r="X1986">
        <v>1</v>
      </c>
      <c r="Y1986">
        <v>5</v>
      </c>
      <c r="Z1986">
        <v>11.25</v>
      </c>
      <c r="AA1986">
        <v>6</v>
      </c>
      <c r="AB1986">
        <v>0.19500000000000001</v>
      </c>
      <c r="AC1986">
        <v>0.57999999999999996</v>
      </c>
      <c r="AF1986" t="s">
        <v>7528</v>
      </c>
      <c r="AK1986" t="s">
        <v>98</v>
      </c>
      <c r="AM1986" t="s">
        <v>98</v>
      </c>
      <c r="AN1986" t="s">
        <v>98</v>
      </c>
      <c r="AO1986" t="s">
        <v>98</v>
      </c>
      <c r="AP1986" t="s">
        <v>100</v>
      </c>
      <c r="AQ1986" t="s">
        <v>101</v>
      </c>
      <c r="AV1986" t="s">
        <v>98</v>
      </c>
      <c r="AX1986" t="s">
        <v>7528</v>
      </c>
      <c r="AZ1986" t="s">
        <v>7528</v>
      </c>
      <c r="BB1986" t="s">
        <v>7528</v>
      </c>
      <c r="BC1986" t="s">
        <v>7528</v>
      </c>
      <c r="BD1986" t="s">
        <v>7528</v>
      </c>
      <c r="BF1986" t="s">
        <v>5961</v>
      </c>
      <c r="BG1986" t="s">
        <v>98</v>
      </c>
      <c r="BH1986" t="s">
        <v>98</v>
      </c>
      <c r="BI1986" t="s">
        <v>98</v>
      </c>
      <c r="BK1986" t="s">
        <v>7528</v>
      </c>
      <c r="BL1986" t="s">
        <v>7528</v>
      </c>
      <c r="CA1986" t="s">
        <v>5960</v>
      </c>
      <c r="CB1986" t="s">
        <v>7528</v>
      </c>
      <c r="CL1986" t="s">
        <v>98</v>
      </c>
      <c r="CM1986" t="s">
        <v>98</v>
      </c>
      <c r="CN1986" t="s">
        <v>7528</v>
      </c>
      <c r="CO1986" s="1">
        <v>40564</v>
      </c>
      <c r="CP1986" s="1">
        <v>43633</v>
      </c>
    </row>
    <row r="1987" spans="1:94" x14ac:dyDescent="0.25">
      <c r="A1987" t="s">
        <v>5962</v>
      </c>
      <c r="B1987" t="str">
        <f xml:space="preserve"> "" &amp; 747396035079</f>
        <v>747396035079</v>
      </c>
      <c r="C1987" t="s">
        <v>4679</v>
      </c>
      <c r="D1987" t="s">
        <v>7331</v>
      </c>
      <c r="E1987" t="s">
        <v>7528</v>
      </c>
      <c r="F1987" t="s">
        <v>627</v>
      </c>
      <c r="G1987">
        <v>1</v>
      </c>
      <c r="H1987">
        <v>1</v>
      </c>
      <c r="I1987" t="s">
        <v>97</v>
      </c>
      <c r="J1987" s="10">
        <v>4.5</v>
      </c>
      <c r="K1987" s="10">
        <v>13.5</v>
      </c>
      <c r="L1987" s="10">
        <v>0</v>
      </c>
      <c r="N1987" s="10">
        <v>0</v>
      </c>
      <c r="W1987">
        <v>0.4</v>
      </c>
      <c r="X1987">
        <v>1</v>
      </c>
      <c r="Y1987">
        <v>5</v>
      </c>
      <c r="Z1987">
        <v>11.25</v>
      </c>
      <c r="AA1987">
        <v>6</v>
      </c>
      <c r="AB1987">
        <v>0.19500000000000001</v>
      </c>
      <c r="AC1987">
        <v>0.46</v>
      </c>
      <c r="AF1987" t="s">
        <v>7528</v>
      </c>
      <c r="AK1987" t="s">
        <v>98</v>
      </c>
      <c r="AM1987" t="s">
        <v>98</v>
      </c>
      <c r="AN1987" t="s">
        <v>98</v>
      </c>
      <c r="AO1987" t="s">
        <v>98</v>
      </c>
      <c r="AP1987" t="s">
        <v>100</v>
      </c>
      <c r="AQ1987" t="s">
        <v>101</v>
      </c>
      <c r="AV1987" t="s">
        <v>98</v>
      </c>
      <c r="AX1987" t="s">
        <v>7528</v>
      </c>
      <c r="AZ1987" t="s">
        <v>7528</v>
      </c>
      <c r="BB1987" t="s">
        <v>7528</v>
      </c>
      <c r="BC1987" t="s">
        <v>7528</v>
      </c>
      <c r="BD1987" t="s">
        <v>7528</v>
      </c>
      <c r="BF1987" t="s">
        <v>5963</v>
      </c>
      <c r="BG1987" t="s">
        <v>98</v>
      </c>
      <c r="BH1987" t="s">
        <v>98</v>
      </c>
      <c r="BI1987" t="s">
        <v>98</v>
      </c>
      <c r="BK1987" t="s">
        <v>7528</v>
      </c>
      <c r="BL1987" t="s">
        <v>7528</v>
      </c>
      <c r="CA1987" t="s">
        <v>5962</v>
      </c>
      <c r="CB1987" t="s">
        <v>7528</v>
      </c>
      <c r="CL1987" t="s">
        <v>98</v>
      </c>
      <c r="CM1987" t="s">
        <v>98</v>
      </c>
      <c r="CN1987" t="s">
        <v>7528</v>
      </c>
      <c r="CO1987" s="1">
        <v>40564</v>
      </c>
      <c r="CP1987" s="1">
        <v>43633</v>
      </c>
    </row>
    <row r="1988" spans="1:94" x14ac:dyDescent="0.25">
      <c r="A1988" t="s">
        <v>5964</v>
      </c>
      <c r="B1988" t="str">
        <f xml:space="preserve"> "" &amp; 747396035086</f>
        <v>747396035086</v>
      </c>
      <c r="C1988" t="s">
        <v>4679</v>
      </c>
      <c r="D1988" t="s">
        <v>7332</v>
      </c>
      <c r="E1988" t="s">
        <v>7528</v>
      </c>
      <c r="F1988" t="s">
        <v>627</v>
      </c>
      <c r="G1988">
        <v>1</v>
      </c>
      <c r="H1988">
        <v>1</v>
      </c>
      <c r="I1988" t="s">
        <v>97</v>
      </c>
      <c r="J1988" s="10">
        <v>3.5</v>
      </c>
      <c r="K1988" s="10">
        <v>10.5</v>
      </c>
      <c r="L1988" s="10">
        <v>0</v>
      </c>
      <c r="N1988" s="10">
        <v>0</v>
      </c>
      <c r="W1988">
        <v>0.14000000000000001</v>
      </c>
      <c r="X1988">
        <v>1</v>
      </c>
      <c r="Y1988">
        <v>9.66</v>
      </c>
      <c r="Z1988">
        <v>8.66</v>
      </c>
      <c r="AA1988">
        <v>6</v>
      </c>
      <c r="AB1988">
        <v>0.28999999999999998</v>
      </c>
      <c r="AC1988">
        <v>0.16</v>
      </c>
      <c r="AF1988" t="s">
        <v>7528</v>
      </c>
      <c r="AK1988" t="s">
        <v>98</v>
      </c>
      <c r="AM1988" t="s">
        <v>98</v>
      </c>
      <c r="AN1988" t="s">
        <v>98</v>
      </c>
      <c r="AO1988" t="s">
        <v>98</v>
      </c>
      <c r="AP1988" t="s">
        <v>100</v>
      </c>
      <c r="AQ1988" t="s">
        <v>101</v>
      </c>
      <c r="AV1988" t="s">
        <v>98</v>
      </c>
      <c r="AX1988" t="s">
        <v>7528</v>
      </c>
      <c r="AZ1988" t="s">
        <v>7528</v>
      </c>
      <c r="BB1988" t="s">
        <v>7528</v>
      </c>
      <c r="BC1988" t="s">
        <v>7528</v>
      </c>
      <c r="BD1988" t="s">
        <v>7528</v>
      </c>
      <c r="BF1988" t="s">
        <v>5965</v>
      </c>
      <c r="BG1988" t="s">
        <v>98</v>
      </c>
      <c r="BH1988" t="s">
        <v>98</v>
      </c>
      <c r="BI1988" t="s">
        <v>98</v>
      </c>
      <c r="BK1988" t="s">
        <v>7528</v>
      </c>
      <c r="BL1988" t="s">
        <v>7528</v>
      </c>
      <c r="CA1988" t="s">
        <v>5964</v>
      </c>
      <c r="CB1988" t="s">
        <v>7528</v>
      </c>
      <c r="CL1988" t="s">
        <v>98</v>
      </c>
      <c r="CM1988" t="s">
        <v>98</v>
      </c>
      <c r="CN1988" t="s">
        <v>7528</v>
      </c>
      <c r="CO1988" s="1">
        <v>40564</v>
      </c>
      <c r="CP1988" s="1">
        <v>43633</v>
      </c>
    </row>
    <row r="1989" spans="1:94" x14ac:dyDescent="0.25">
      <c r="A1989" t="s">
        <v>5966</v>
      </c>
      <c r="B1989" t="str">
        <f xml:space="preserve"> "" &amp; 747396063614</f>
        <v>747396063614</v>
      </c>
      <c r="C1989" t="s">
        <v>3224</v>
      </c>
      <c r="D1989" t="s">
        <v>5967</v>
      </c>
      <c r="E1989" t="s">
        <v>7528</v>
      </c>
      <c r="F1989" t="s">
        <v>627</v>
      </c>
      <c r="G1989">
        <v>1</v>
      </c>
      <c r="H1989">
        <v>1</v>
      </c>
      <c r="I1989" t="s">
        <v>97</v>
      </c>
      <c r="J1989" s="10">
        <v>3.5</v>
      </c>
      <c r="K1989" s="10">
        <v>10.5</v>
      </c>
      <c r="L1989" s="10">
        <v>0</v>
      </c>
      <c r="N1989" s="10">
        <v>0</v>
      </c>
      <c r="W1989">
        <v>0.11</v>
      </c>
      <c r="Y1989">
        <v>4.5</v>
      </c>
      <c r="Z1989">
        <v>11</v>
      </c>
      <c r="AA1989">
        <v>5</v>
      </c>
      <c r="AB1989">
        <v>0.14299999999999999</v>
      </c>
      <c r="AC1989">
        <v>0.15</v>
      </c>
      <c r="AF1989" t="s">
        <v>7528</v>
      </c>
      <c r="AK1989" t="s">
        <v>98</v>
      </c>
      <c r="AM1989" t="s">
        <v>98</v>
      </c>
      <c r="AN1989" t="s">
        <v>98</v>
      </c>
      <c r="AO1989" t="s">
        <v>98</v>
      </c>
      <c r="AP1989" t="s">
        <v>100</v>
      </c>
      <c r="AQ1989" t="s">
        <v>101</v>
      </c>
      <c r="AV1989" t="s">
        <v>98</v>
      </c>
      <c r="AX1989" t="s">
        <v>7528</v>
      </c>
      <c r="AZ1989" t="s">
        <v>7528</v>
      </c>
      <c r="BB1989" t="s">
        <v>7528</v>
      </c>
      <c r="BC1989" t="s">
        <v>7528</v>
      </c>
      <c r="BD1989" t="s">
        <v>7528</v>
      </c>
      <c r="BF1989" t="s">
        <v>5968</v>
      </c>
      <c r="BG1989" t="s">
        <v>98</v>
      </c>
      <c r="BH1989" t="s">
        <v>98</v>
      </c>
      <c r="BI1989" t="s">
        <v>98</v>
      </c>
      <c r="BK1989" t="s">
        <v>7528</v>
      </c>
      <c r="BL1989" t="s">
        <v>7528</v>
      </c>
      <c r="CA1989" t="s">
        <v>5966</v>
      </c>
      <c r="CB1989" t="s">
        <v>7528</v>
      </c>
      <c r="CL1989" t="s">
        <v>98</v>
      </c>
      <c r="CM1989" t="s">
        <v>98</v>
      </c>
      <c r="CN1989" t="s">
        <v>7528</v>
      </c>
      <c r="CO1989" s="1">
        <v>40564</v>
      </c>
      <c r="CP1989" s="1">
        <v>43633</v>
      </c>
    </row>
    <row r="1990" spans="1:94" x14ac:dyDescent="0.25">
      <c r="A1990" t="s">
        <v>5969</v>
      </c>
      <c r="B1990" t="str">
        <f xml:space="preserve"> "" &amp; 747396035109</f>
        <v>747396035109</v>
      </c>
      <c r="C1990" t="s">
        <v>1304</v>
      </c>
      <c r="D1990" t="s">
        <v>7333</v>
      </c>
      <c r="E1990" t="s">
        <v>7528</v>
      </c>
      <c r="F1990" t="s">
        <v>627</v>
      </c>
      <c r="G1990">
        <v>1</v>
      </c>
      <c r="H1990">
        <v>1</v>
      </c>
      <c r="I1990" t="s">
        <v>97</v>
      </c>
      <c r="J1990" s="10">
        <v>2</v>
      </c>
      <c r="K1990" s="10">
        <v>6</v>
      </c>
      <c r="L1990" s="10">
        <v>0</v>
      </c>
      <c r="N1990" s="10">
        <v>0</v>
      </c>
      <c r="S1990">
        <v>0.12</v>
      </c>
      <c r="T1990">
        <v>7.25</v>
      </c>
      <c r="U1990">
        <v>2.88</v>
      </c>
      <c r="W1990">
        <v>0.09</v>
      </c>
      <c r="X1990">
        <v>1</v>
      </c>
      <c r="Y1990">
        <v>8</v>
      </c>
      <c r="Z1990">
        <v>13</v>
      </c>
      <c r="AA1990">
        <v>10</v>
      </c>
      <c r="AB1990">
        <v>0.60199999999999998</v>
      </c>
      <c r="AC1990">
        <v>0.14000000000000001</v>
      </c>
      <c r="AF1990" t="s">
        <v>7528</v>
      </c>
      <c r="AK1990" t="s">
        <v>98</v>
      </c>
      <c r="AM1990" t="s">
        <v>98</v>
      </c>
      <c r="AN1990" t="s">
        <v>98</v>
      </c>
      <c r="AO1990" t="s">
        <v>98</v>
      </c>
      <c r="AP1990" t="s">
        <v>100</v>
      </c>
      <c r="AQ1990" t="s">
        <v>101</v>
      </c>
      <c r="AV1990" t="s">
        <v>98</v>
      </c>
      <c r="AX1990" t="s">
        <v>7528</v>
      </c>
      <c r="AZ1990" t="s">
        <v>7528</v>
      </c>
      <c r="BB1990" t="s">
        <v>7528</v>
      </c>
      <c r="BC1990" t="s">
        <v>7528</v>
      </c>
      <c r="BD1990" t="s">
        <v>7528</v>
      </c>
      <c r="BF1990" t="s">
        <v>5970</v>
      </c>
      <c r="BG1990" t="s">
        <v>98</v>
      </c>
      <c r="BH1990" t="s">
        <v>98</v>
      </c>
      <c r="BI1990" t="s">
        <v>98</v>
      </c>
      <c r="BK1990" t="s">
        <v>7528</v>
      </c>
      <c r="BL1990" t="s">
        <v>7528</v>
      </c>
      <c r="CA1990" t="s">
        <v>5969</v>
      </c>
      <c r="CB1990" t="s">
        <v>7528</v>
      </c>
      <c r="CL1990" t="s">
        <v>98</v>
      </c>
      <c r="CM1990" t="s">
        <v>98</v>
      </c>
      <c r="CN1990" t="s">
        <v>7528</v>
      </c>
      <c r="CO1990" s="1">
        <v>40564</v>
      </c>
      <c r="CP1990" s="1">
        <v>43633</v>
      </c>
    </row>
    <row r="1991" spans="1:94" x14ac:dyDescent="0.25">
      <c r="A1991" t="s">
        <v>5971</v>
      </c>
      <c r="B1991" t="str">
        <f xml:space="preserve"> "" &amp; 747396035116</f>
        <v>747396035116</v>
      </c>
      <c r="C1991" t="s">
        <v>1304</v>
      </c>
      <c r="D1991" t="s">
        <v>7334</v>
      </c>
      <c r="E1991" t="s">
        <v>7528</v>
      </c>
      <c r="F1991" t="s">
        <v>627</v>
      </c>
      <c r="G1991">
        <v>1</v>
      </c>
      <c r="H1991">
        <v>1</v>
      </c>
      <c r="I1991" t="s">
        <v>97</v>
      </c>
      <c r="J1991" s="10">
        <v>2</v>
      </c>
      <c r="K1991" s="10">
        <v>6</v>
      </c>
      <c r="L1991" s="10">
        <v>0</v>
      </c>
      <c r="N1991" s="10">
        <v>0</v>
      </c>
      <c r="S1991">
        <v>0.12</v>
      </c>
      <c r="T1991">
        <v>7.25</v>
      </c>
      <c r="U1991">
        <v>2.88</v>
      </c>
      <c r="W1991">
        <v>0.09</v>
      </c>
      <c r="X1991">
        <v>1</v>
      </c>
      <c r="Y1991">
        <v>8</v>
      </c>
      <c r="Z1991">
        <v>13</v>
      </c>
      <c r="AA1991">
        <v>10</v>
      </c>
      <c r="AB1991">
        <v>0.60199999999999998</v>
      </c>
      <c r="AC1991">
        <v>0.14000000000000001</v>
      </c>
      <c r="AF1991" t="s">
        <v>7528</v>
      </c>
      <c r="AK1991" t="s">
        <v>98</v>
      </c>
      <c r="AM1991" t="s">
        <v>98</v>
      </c>
      <c r="AN1991" t="s">
        <v>98</v>
      </c>
      <c r="AO1991" t="s">
        <v>98</v>
      </c>
      <c r="AP1991" t="s">
        <v>100</v>
      </c>
      <c r="AQ1991" t="s">
        <v>101</v>
      </c>
      <c r="AV1991" t="s">
        <v>98</v>
      </c>
      <c r="AX1991" t="s">
        <v>7528</v>
      </c>
      <c r="AZ1991" t="s">
        <v>7528</v>
      </c>
      <c r="BB1991" t="s">
        <v>7528</v>
      </c>
      <c r="BC1991" t="s">
        <v>7528</v>
      </c>
      <c r="BD1991" t="s">
        <v>7528</v>
      </c>
      <c r="BF1991" t="s">
        <v>5972</v>
      </c>
      <c r="BG1991" t="s">
        <v>98</v>
      </c>
      <c r="BH1991" t="s">
        <v>98</v>
      </c>
      <c r="BI1991" t="s">
        <v>98</v>
      </c>
      <c r="BK1991" t="s">
        <v>7528</v>
      </c>
      <c r="BL1991" t="s">
        <v>7528</v>
      </c>
      <c r="CA1991" t="s">
        <v>5971</v>
      </c>
      <c r="CB1991" t="s">
        <v>7528</v>
      </c>
      <c r="CL1991" t="s">
        <v>98</v>
      </c>
      <c r="CM1991" t="s">
        <v>98</v>
      </c>
      <c r="CN1991" t="s">
        <v>7528</v>
      </c>
      <c r="CO1991" s="1">
        <v>40564</v>
      </c>
      <c r="CP1991" s="1">
        <v>43633</v>
      </c>
    </row>
    <row r="1992" spans="1:94" x14ac:dyDescent="0.25">
      <c r="A1992" t="s">
        <v>5973</v>
      </c>
      <c r="B1992" t="str">
        <f xml:space="preserve"> "" &amp; 747396035123</f>
        <v>747396035123</v>
      </c>
      <c r="C1992" t="s">
        <v>5974</v>
      </c>
      <c r="D1992" t="s">
        <v>7335</v>
      </c>
      <c r="E1992" t="s">
        <v>7528</v>
      </c>
      <c r="F1992" t="s">
        <v>627</v>
      </c>
      <c r="G1992">
        <v>1</v>
      </c>
      <c r="H1992">
        <v>1</v>
      </c>
      <c r="I1992" t="s">
        <v>97</v>
      </c>
      <c r="J1992" s="10">
        <v>3</v>
      </c>
      <c r="K1992" s="10">
        <v>9</v>
      </c>
      <c r="L1992" s="10">
        <v>0</v>
      </c>
      <c r="N1992" s="10">
        <v>0</v>
      </c>
      <c r="W1992">
        <v>1</v>
      </c>
      <c r="X1992">
        <v>1</v>
      </c>
      <c r="AB1992">
        <v>0.02</v>
      </c>
      <c r="AC1992">
        <v>0.09</v>
      </c>
      <c r="AF1992" t="s">
        <v>7528</v>
      </c>
      <c r="AK1992" t="s">
        <v>98</v>
      </c>
      <c r="AM1992" t="s">
        <v>98</v>
      </c>
      <c r="AN1992" t="s">
        <v>98</v>
      </c>
      <c r="AO1992" t="s">
        <v>98</v>
      </c>
      <c r="AP1992" t="s">
        <v>100</v>
      </c>
      <c r="AQ1992" t="s">
        <v>101</v>
      </c>
      <c r="AV1992" t="s">
        <v>98</v>
      </c>
      <c r="AX1992" t="s">
        <v>7528</v>
      </c>
      <c r="AZ1992" t="s">
        <v>7528</v>
      </c>
      <c r="BB1992" t="s">
        <v>7528</v>
      </c>
      <c r="BC1992" t="s">
        <v>7528</v>
      </c>
      <c r="BD1992" t="s">
        <v>7528</v>
      </c>
      <c r="BF1992" t="s">
        <v>5975</v>
      </c>
      <c r="BG1992" t="s">
        <v>98</v>
      </c>
      <c r="BH1992" t="s">
        <v>98</v>
      </c>
      <c r="BI1992" t="s">
        <v>98</v>
      </c>
      <c r="BK1992" t="s">
        <v>7528</v>
      </c>
      <c r="BL1992" t="s">
        <v>7528</v>
      </c>
      <c r="CA1992" t="s">
        <v>5973</v>
      </c>
      <c r="CB1992" t="s">
        <v>7528</v>
      </c>
      <c r="CL1992" t="s">
        <v>98</v>
      </c>
      <c r="CM1992" t="s">
        <v>98</v>
      </c>
      <c r="CN1992" t="s">
        <v>7528</v>
      </c>
      <c r="CO1992" s="1">
        <v>40564</v>
      </c>
      <c r="CP1992" s="1">
        <v>43633</v>
      </c>
    </row>
    <row r="1993" spans="1:94" x14ac:dyDescent="0.25">
      <c r="A1993" t="s">
        <v>5976</v>
      </c>
      <c r="B1993" t="str">
        <f xml:space="preserve"> "" &amp; 747396035130</f>
        <v>747396035130</v>
      </c>
      <c r="C1993" t="s">
        <v>1304</v>
      </c>
      <c r="D1993" t="s">
        <v>7336</v>
      </c>
      <c r="E1993" t="s">
        <v>7528</v>
      </c>
      <c r="F1993" t="s">
        <v>627</v>
      </c>
      <c r="G1993">
        <v>1</v>
      </c>
      <c r="H1993">
        <v>1</v>
      </c>
      <c r="I1993" t="s">
        <v>97</v>
      </c>
      <c r="J1993" s="10">
        <v>3.5</v>
      </c>
      <c r="K1993" s="10">
        <v>10.5</v>
      </c>
      <c r="L1993" s="10">
        <v>0</v>
      </c>
      <c r="N1993" s="10">
        <v>0</v>
      </c>
      <c r="S1993">
        <v>0.12</v>
      </c>
      <c r="T1993">
        <v>7.24</v>
      </c>
      <c r="U1993">
        <v>2.88</v>
      </c>
      <c r="W1993">
        <v>0.17</v>
      </c>
      <c r="X1993">
        <v>1</v>
      </c>
      <c r="Y1993">
        <v>14.5</v>
      </c>
      <c r="Z1993">
        <v>9.75</v>
      </c>
      <c r="AA1993">
        <v>9.25</v>
      </c>
      <c r="AB1993">
        <v>0.75700000000000001</v>
      </c>
      <c r="AC1993">
        <v>0.23</v>
      </c>
      <c r="AF1993" t="s">
        <v>7528</v>
      </c>
      <c r="AK1993" t="s">
        <v>98</v>
      </c>
      <c r="AM1993" t="s">
        <v>98</v>
      </c>
      <c r="AN1993" t="s">
        <v>98</v>
      </c>
      <c r="AO1993" t="s">
        <v>98</v>
      </c>
      <c r="AP1993" t="s">
        <v>100</v>
      </c>
      <c r="AQ1993" t="s">
        <v>101</v>
      </c>
      <c r="AV1993" t="s">
        <v>98</v>
      </c>
      <c r="AX1993" t="s">
        <v>7528</v>
      </c>
      <c r="AZ1993" t="s">
        <v>7528</v>
      </c>
      <c r="BB1993" t="s">
        <v>7528</v>
      </c>
      <c r="BC1993" t="s">
        <v>7528</v>
      </c>
      <c r="BD1993" t="s">
        <v>7528</v>
      </c>
      <c r="BF1993" t="s">
        <v>5977</v>
      </c>
      <c r="BG1993" t="s">
        <v>98</v>
      </c>
      <c r="BH1993" t="s">
        <v>98</v>
      </c>
      <c r="BI1993" t="s">
        <v>98</v>
      </c>
      <c r="BK1993" t="s">
        <v>7528</v>
      </c>
      <c r="BL1993" t="s">
        <v>7528</v>
      </c>
      <c r="CA1993" t="s">
        <v>5976</v>
      </c>
      <c r="CB1993" t="s">
        <v>7528</v>
      </c>
      <c r="CL1993" t="s">
        <v>98</v>
      </c>
      <c r="CM1993" t="s">
        <v>98</v>
      </c>
      <c r="CN1993" t="s">
        <v>7528</v>
      </c>
      <c r="CO1993" s="1">
        <v>40564</v>
      </c>
      <c r="CP1993" s="1">
        <v>43633</v>
      </c>
    </row>
    <row r="1994" spans="1:94" x14ac:dyDescent="0.25">
      <c r="A1994" t="s">
        <v>5978</v>
      </c>
      <c r="B1994" t="str">
        <f xml:space="preserve"> "" &amp; 747396035147</f>
        <v>747396035147</v>
      </c>
      <c r="C1994" t="s">
        <v>2569</v>
      </c>
      <c r="D1994" t="s">
        <v>7337</v>
      </c>
      <c r="E1994" t="s">
        <v>7528</v>
      </c>
      <c r="F1994" t="s">
        <v>627</v>
      </c>
      <c r="G1994">
        <v>1</v>
      </c>
      <c r="H1994">
        <v>1</v>
      </c>
      <c r="I1994" t="s">
        <v>97</v>
      </c>
      <c r="J1994" s="10">
        <v>3.5</v>
      </c>
      <c r="K1994" s="10">
        <v>10.5</v>
      </c>
      <c r="L1994" s="10">
        <v>0</v>
      </c>
      <c r="N1994" s="10">
        <v>0</v>
      </c>
      <c r="S1994">
        <v>7.25</v>
      </c>
      <c r="U1994">
        <v>2.88</v>
      </c>
      <c r="W1994">
        <v>7.0000000000000007E-2</v>
      </c>
      <c r="X1994">
        <v>1</v>
      </c>
      <c r="Y1994">
        <v>9.25</v>
      </c>
      <c r="Z1994">
        <v>6</v>
      </c>
      <c r="AA1994">
        <v>7.5</v>
      </c>
      <c r="AB1994">
        <v>0.24099999999999999</v>
      </c>
      <c r="AC1994">
        <v>0.15</v>
      </c>
      <c r="AF1994" t="s">
        <v>7528</v>
      </c>
      <c r="AK1994" t="s">
        <v>98</v>
      </c>
      <c r="AM1994" t="s">
        <v>98</v>
      </c>
      <c r="AN1994" t="s">
        <v>98</v>
      </c>
      <c r="AO1994" t="s">
        <v>98</v>
      </c>
      <c r="AP1994" t="s">
        <v>100</v>
      </c>
      <c r="AQ1994" t="s">
        <v>101</v>
      </c>
      <c r="AV1994" t="s">
        <v>98</v>
      </c>
      <c r="AX1994" t="s">
        <v>7528</v>
      </c>
      <c r="AZ1994" t="s">
        <v>7528</v>
      </c>
      <c r="BB1994" t="s">
        <v>7528</v>
      </c>
      <c r="BC1994" t="s">
        <v>7528</v>
      </c>
      <c r="BD1994" t="s">
        <v>7528</v>
      </c>
      <c r="BF1994" t="s">
        <v>5979</v>
      </c>
      <c r="BG1994" t="s">
        <v>98</v>
      </c>
      <c r="BH1994" t="s">
        <v>98</v>
      </c>
      <c r="BI1994" t="s">
        <v>98</v>
      </c>
      <c r="BK1994" t="s">
        <v>7528</v>
      </c>
      <c r="BL1994" t="s">
        <v>7528</v>
      </c>
      <c r="CA1994" t="s">
        <v>5978</v>
      </c>
      <c r="CB1994" t="s">
        <v>7528</v>
      </c>
      <c r="CL1994" t="s">
        <v>98</v>
      </c>
      <c r="CM1994" t="s">
        <v>98</v>
      </c>
      <c r="CN1994" t="s">
        <v>7528</v>
      </c>
      <c r="CO1994" s="1">
        <v>40564</v>
      </c>
      <c r="CP1994" s="1">
        <v>43633</v>
      </c>
    </row>
    <row r="1995" spans="1:94" x14ac:dyDescent="0.25">
      <c r="A1995" t="s">
        <v>5980</v>
      </c>
      <c r="B1995" t="str">
        <f xml:space="preserve"> "" &amp; 747396035154</f>
        <v>747396035154</v>
      </c>
      <c r="C1995" t="s">
        <v>2581</v>
      </c>
      <c r="D1995" t="s">
        <v>5981</v>
      </c>
      <c r="E1995" t="s">
        <v>7528</v>
      </c>
      <c r="F1995" t="s">
        <v>627</v>
      </c>
      <c r="G1995">
        <v>1</v>
      </c>
      <c r="H1995">
        <v>1</v>
      </c>
      <c r="I1995" t="s">
        <v>97</v>
      </c>
      <c r="J1995" s="10">
        <v>4</v>
      </c>
      <c r="K1995" s="10">
        <v>12</v>
      </c>
      <c r="L1995" s="10">
        <v>0</v>
      </c>
      <c r="N1995" s="10">
        <v>0</v>
      </c>
      <c r="W1995">
        <v>0.28999999999999998</v>
      </c>
      <c r="X1995">
        <v>1</v>
      </c>
      <c r="Y1995">
        <v>6</v>
      </c>
      <c r="Z1995">
        <v>12.5</v>
      </c>
      <c r="AA1995">
        <v>9.5</v>
      </c>
      <c r="AB1995">
        <v>0.41199999999999998</v>
      </c>
      <c r="AC1995">
        <v>0.4</v>
      </c>
      <c r="AF1995" t="s">
        <v>7528</v>
      </c>
      <c r="AK1995" t="s">
        <v>98</v>
      </c>
      <c r="AM1995" t="s">
        <v>98</v>
      </c>
      <c r="AN1995" t="s">
        <v>98</v>
      </c>
      <c r="AO1995" t="s">
        <v>98</v>
      </c>
      <c r="AP1995" t="s">
        <v>100</v>
      </c>
      <c r="AQ1995" t="s">
        <v>101</v>
      </c>
      <c r="AV1995" t="s">
        <v>98</v>
      </c>
      <c r="AX1995" t="s">
        <v>7528</v>
      </c>
      <c r="AZ1995" t="s">
        <v>7528</v>
      </c>
      <c r="BB1995" t="s">
        <v>7528</v>
      </c>
      <c r="BC1995" t="s">
        <v>7528</v>
      </c>
      <c r="BD1995" t="s">
        <v>7528</v>
      </c>
      <c r="BF1995" t="s">
        <v>5982</v>
      </c>
      <c r="BG1995" t="s">
        <v>98</v>
      </c>
      <c r="BH1995" t="s">
        <v>98</v>
      </c>
      <c r="BI1995" t="s">
        <v>98</v>
      </c>
      <c r="BK1995" t="s">
        <v>7528</v>
      </c>
      <c r="BL1995" t="s">
        <v>7528</v>
      </c>
      <c r="CA1995" t="s">
        <v>5980</v>
      </c>
      <c r="CB1995" t="s">
        <v>7528</v>
      </c>
      <c r="CL1995" t="s">
        <v>98</v>
      </c>
      <c r="CM1995" t="s">
        <v>98</v>
      </c>
      <c r="CN1995" t="s">
        <v>7528</v>
      </c>
      <c r="CO1995" s="1">
        <v>40564</v>
      </c>
      <c r="CP1995" s="1">
        <v>40564</v>
      </c>
    </row>
    <row r="1996" spans="1:94" x14ac:dyDescent="0.25">
      <c r="A1996" t="s">
        <v>5983</v>
      </c>
      <c r="B1996" t="str">
        <f xml:space="preserve"> "" &amp; 747396035161</f>
        <v>747396035161</v>
      </c>
      <c r="C1996" t="s">
        <v>2581</v>
      </c>
      <c r="D1996" t="s">
        <v>7338</v>
      </c>
      <c r="E1996" t="s">
        <v>7528</v>
      </c>
      <c r="F1996" t="s">
        <v>627</v>
      </c>
      <c r="G1996">
        <v>1</v>
      </c>
      <c r="H1996">
        <v>1</v>
      </c>
      <c r="I1996" t="s">
        <v>97</v>
      </c>
      <c r="J1996" s="10">
        <v>4</v>
      </c>
      <c r="K1996" s="10">
        <v>12</v>
      </c>
      <c r="L1996" s="10">
        <v>0</v>
      </c>
      <c r="N1996" s="10">
        <v>0</v>
      </c>
      <c r="W1996">
        <v>0.22</v>
      </c>
      <c r="X1996">
        <v>1</v>
      </c>
      <c r="Y1996">
        <v>8</v>
      </c>
      <c r="Z1996">
        <v>11</v>
      </c>
      <c r="AA1996">
        <v>10</v>
      </c>
      <c r="AB1996">
        <v>0.50900000000000001</v>
      </c>
      <c r="AC1996">
        <v>0.44</v>
      </c>
      <c r="AF1996" t="s">
        <v>7528</v>
      </c>
      <c r="AK1996" t="s">
        <v>98</v>
      </c>
      <c r="AM1996" t="s">
        <v>98</v>
      </c>
      <c r="AN1996" t="s">
        <v>98</v>
      </c>
      <c r="AO1996" t="s">
        <v>98</v>
      </c>
      <c r="AP1996" t="s">
        <v>100</v>
      </c>
      <c r="AQ1996" t="s">
        <v>101</v>
      </c>
      <c r="AV1996" t="s">
        <v>98</v>
      </c>
      <c r="AX1996" t="s">
        <v>7528</v>
      </c>
      <c r="AZ1996" t="s">
        <v>7528</v>
      </c>
      <c r="BB1996" t="s">
        <v>7528</v>
      </c>
      <c r="BC1996" t="s">
        <v>7528</v>
      </c>
      <c r="BD1996" t="s">
        <v>7528</v>
      </c>
      <c r="BF1996" t="s">
        <v>5984</v>
      </c>
      <c r="BG1996" t="s">
        <v>98</v>
      </c>
      <c r="BH1996" t="s">
        <v>98</v>
      </c>
      <c r="BI1996" t="s">
        <v>98</v>
      </c>
      <c r="BK1996" t="s">
        <v>7528</v>
      </c>
      <c r="BL1996" t="s">
        <v>7528</v>
      </c>
      <c r="CA1996" t="s">
        <v>5983</v>
      </c>
      <c r="CB1996" t="s">
        <v>7528</v>
      </c>
      <c r="CL1996" t="s">
        <v>98</v>
      </c>
      <c r="CM1996" t="s">
        <v>98</v>
      </c>
      <c r="CN1996" t="s">
        <v>7528</v>
      </c>
      <c r="CO1996" s="1">
        <v>40564</v>
      </c>
      <c r="CP1996" s="1">
        <v>43633</v>
      </c>
    </row>
    <row r="1997" spans="1:94" x14ac:dyDescent="0.25">
      <c r="A1997" t="s">
        <v>5985</v>
      </c>
      <c r="B1997" t="str">
        <f xml:space="preserve"> "" &amp; 747396035239</f>
        <v>747396035239</v>
      </c>
      <c r="C1997" t="s">
        <v>2581</v>
      </c>
      <c r="D1997" t="s">
        <v>7339</v>
      </c>
      <c r="E1997" t="s">
        <v>7528</v>
      </c>
      <c r="F1997" t="s">
        <v>627</v>
      </c>
      <c r="G1997">
        <v>1</v>
      </c>
      <c r="H1997">
        <v>1</v>
      </c>
      <c r="I1997" t="s">
        <v>97</v>
      </c>
      <c r="J1997" s="10">
        <v>3.5</v>
      </c>
      <c r="K1997" s="10">
        <v>10.5</v>
      </c>
      <c r="L1997" s="10">
        <v>0</v>
      </c>
      <c r="N1997" s="10">
        <v>0</v>
      </c>
      <c r="S1997">
        <v>2.5</v>
      </c>
      <c r="U1997">
        <v>5.17</v>
      </c>
      <c r="W1997">
        <v>1</v>
      </c>
      <c r="X1997">
        <v>1</v>
      </c>
      <c r="AB1997">
        <v>1.6E-2</v>
      </c>
      <c r="AC1997">
        <v>0.88</v>
      </c>
      <c r="AF1997" t="s">
        <v>7528</v>
      </c>
      <c r="AK1997" t="s">
        <v>98</v>
      </c>
      <c r="AM1997" t="s">
        <v>98</v>
      </c>
      <c r="AN1997" t="s">
        <v>98</v>
      </c>
      <c r="AO1997" t="s">
        <v>98</v>
      </c>
      <c r="AP1997" t="s">
        <v>100</v>
      </c>
      <c r="AQ1997" t="s">
        <v>101</v>
      </c>
      <c r="AV1997" t="s">
        <v>98</v>
      </c>
      <c r="AX1997" t="s">
        <v>7528</v>
      </c>
      <c r="AZ1997" t="s">
        <v>7528</v>
      </c>
      <c r="BB1997" t="s">
        <v>7528</v>
      </c>
      <c r="BC1997" t="s">
        <v>7528</v>
      </c>
      <c r="BD1997" t="s">
        <v>7528</v>
      </c>
      <c r="BF1997" t="s">
        <v>5986</v>
      </c>
      <c r="BG1997" t="s">
        <v>98</v>
      </c>
      <c r="BH1997" t="s">
        <v>98</v>
      </c>
      <c r="BI1997" t="s">
        <v>98</v>
      </c>
      <c r="BK1997" t="s">
        <v>7528</v>
      </c>
      <c r="BL1997" t="s">
        <v>7528</v>
      </c>
      <c r="CA1997" t="s">
        <v>5985</v>
      </c>
      <c r="CB1997" t="s">
        <v>7528</v>
      </c>
      <c r="CL1997" t="s">
        <v>98</v>
      </c>
      <c r="CM1997" t="s">
        <v>98</v>
      </c>
      <c r="CN1997" t="s">
        <v>7528</v>
      </c>
      <c r="CO1997" s="1">
        <v>40304</v>
      </c>
      <c r="CP1997" s="1">
        <v>43633</v>
      </c>
    </row>
    <row r="1998" spans="1:94" x14ac:dyDescent="0.25">
      <c r="A1998" t="s">
        <v>5987</v>
      </c>
      <c r="B1998" t="str">
        <f xml:space="preserve"> "" &amp; 747396035246</f>
        <v>747396035246</v>
      </c>
      <c r="C1998" t="s">
        <v>2581</v>
      </c>
      <c r="D1998" t="s">
        <v>7339</v>
      </c>
      <c r="E1998" t="s">
        <v>7528</v>
      </c>
      <c r="F1998" t="s">
        <v>627</v>
      </c>
      <c r="G1998">
        <v>1</v>
      </c>
      <c r="H1998">
        <v>1</v>
      </c>
      <c r="I1998" t="s">
        <v>97</v>
      </c>
      <c r="J1998" s="10">
        <v>3</v>
      </c>
      <c r="K1998" s="10">
        <v>9</v>
      </c>
      <c r="L1998" s="10">
        <v>0</v>
      </c>
      <c r="N1998" s="10">
        <v>0</v>
      </c>
      <c r="S1998">
        <v>3.63</v>
      </c>
      <c r="T1998">
        <v>2.63</v>
      </c>
      <c r="U1998">
        <v>5</v>
      </c>
      <c r="W1998">
        <v>1</v>
      </c>
      <c r="X1998">
        <v>1</v>
      </c>
      <c r="AB1998">
        <v>1.7999999999999999E-2</v>
      </c>
      <c r="AC1998">
        <v>0.97</v>
      </c>
      <c r="AF1998" t="s">
        <v>7528</v>
      </c>
      <c r="AK1998" t="s">
        <v>98</v>
      </c>
      <c r="AM1998" t="s">
        <v>98</v>
      </c>
      <c r="AN1998" t="s">
        <v>98</v>
      </c>
      <c r="AO1998" t="s">
        <v>98</v>
      </c>
      <c r="AP1998" t="s">
        <v>100</v>
      </c>
      <c r="AQ1998" t="s">
        <v>101</v>
      </c>
      <c r="AV1998" t="s">
        <v>98</v>
      </c>
      <c r="AX1998" t="s">
        <v>7528</v>
      </c>
      <c r="AZ1998" t="s">
        <v>7528</v>
      </c>
      <c r="BB1998" t="s">
        <v>7528</v>
      </c>
      <c r="BC1998" t="s">
        <v>7528</v>
      </c>
      <c r="BD1998" t="s">
        <v>7528</v>
      </c>
      <c r="BF1998" t="s">
        <v>5988</v>
      </c>
      <c r="BG1998" t="s">
        <v>98</v>
      </c>
      <c r="BH1998" t="s">
        <v>98</v>
      </c>
      <c r="BI1998" t="s">
        <v>98</v>
      </c>
      <c r="BK1998" t="s">
        <v>7528</v>
      </c>
      <c r="BL1998" t="s">
        <v>7528</v>
      </c>
      <c r="CA1998" t="s">
        <v>5987</v>
      </c>
      <c r="CB1998" t="s">
        <v>7528</v>
      </c>
      <c r="CL1998" t="s">
        <v>98</v>
      </c>
      <c r="CM1998" t="s">
        <v>98</v>
      </c>
      <c r="CN1998" t="s">
        <v>7528</v>
      </c>
      <c r="CO1998" s="1">
        <v>40304</v>
      </c>
      <c r="CP1998" s="1">
        <v>43633</v>
      </c>
    </row>
    <row r="1999" spans="1:94" x14ac:dyDescent="0.25">
      <c r="A1999" t="s">
        <v>5989</v>
      </c>
      <c r="B1999" t="str">
        <f xml:space="preserve"> "" &amp; 747396035260</f>
        <v>747396035260</v>
      </c>
      <c r="C1999" t="s">
        <v>5990</v>
      </c>
      <c r="D1999" t="s">
        <v>7340</v>
      </c>
      <c r="E1999" t="s">
        <v>7528</v>
      </c>
      <c r="F1999" t="s">
        <v>627</v>
      </c>
      <c r="G1999">
        <v>1</v>
      </c>
      <c r="H1999">
        <v>1</v>
      </c>
      <c r="I1999" t="s">
        <v>97</v>
      </c>
      <c r="J1999" s="10">
        <v>5</v>
      </c>
      <c r="K1999" s="10">
        <v>15</v>
      </c>
      <c r="L1999" s="10">
        <v>0</v>
      </c>
      <c r="N1999" s="10">
        <v>0</v>
      </c>
      <c r="W1999">
        <v>0.26</v>
      </c>
      <c r="X1999">
        <v>1</v>
      </c>
      <c r="Y1999">
        <v>6.5</v>
      </c>
      <c r="Z1999">
        <v>13.19</v>
      </c>
      <c r="AA1999">
        <v>7.87</v>
      </c>
      <c r="AB1999">
        <v>0.39</v>
      </c>
      <c r="AC1999">
        <v>0.28999999999999998</v>
      </c>
      <c r="AF1999" t="s">
        <v>7528</v>
      </c>
      <c r="AK1999" t="s">
        <v>98</v>
      </c>
      <c r="AM1999" t="s">
        <v>98</v>
      </c>
      <c r="AN1999" t="s">
        <v>98</v>
      </c>
      <c r="AO1999" t="s">
        <v>98</v>
      </c>
      <c r="AP1999" t="s">
        <v>100</v>
      </c>
      <c r="AQ1999" t="s">
        <v>101</v>
      </c>
      <c r="AV1999" t="s">
        <v>98</v>
      </c>
      <c r="AX1999" t="s">
        <v>7528</v>
      </c>
      <c r="AZ1999" t="s">
        <v>7528</v>
      </c>
      <c r="BB1999" t="s">
        <v>7528</v>
      </c>
      <c r="BC1999" t="s">
        <v>7528</v>
      </c>
      <c r="BD1999" t="s">
        <v>7528</v>
      </c>
      <c r="BF1999" t="s">
        <v>5991</v>
      </c>
      <c r="BG1999" t="s">
        <v>98</v>
      </c>
      <c r="BH1999" t="s">
        <v>98</v>
      </c>
      <c r="BI1999" t="s">
        <v>98</v>
      </c>
      <c r="BK1999" t="s">
        <v>7528</v>
      </c>
      <c r="BL1999" t="s">
        <v>7528</v>
      </c>
      <c r="CA1999" t="s">
        <v>5989</v>
      </c>
      <c r="CB1999" t="s">
        <v>7528</v>
      </c>
      <c r="CL1999" t="s">
        <v>98</v>
      </c>
      <c r="CM1999" t="s">
        <v>98</v>
      </c>
      <c r="CN1999" t="s">
        <v>7528</v>
      </c>
      <c r="CO1999" s="1">
        <v>40564</v>
      </c>
      <c r="CP1999" s="1">
        <v>43633</v>
      </c>
    </row>
    <row r="2000" spans="1:94" x14ac:dyDescent="0.25">
      <c r="A2000" t="s">
        <v>5992</v>
      </c>
      <c r="B2000" t="str">
        <f xml:space="preserve"> "" &amp; 747396051260</f>
        <v>747396051260</v>
      </c>
      <c r="C2000" t="s">
        <v>5649</v>
      </c>
      <c r="D2000" t="s">
        <v>7341</v>
      </c>
      <c r="E2000" t="s">
        <v>7528</v>
      </c>
      <c r="F2000" t="s">
        <v>627</v>
      </c>
      <c r="G2000">
        <v>1</v>
      </c>
      <c r="H2000">
        <v>1</v>
      </c>
      <c r="I2000" t="s">
        <v>97</v>
      </c>
      <c r="J2000" s="10">
        <v>2.75</v>
      </c>
      <c r="K2000" s="10">
        <v>8.25</v>
      </c>
      <c r="L2000" s="10">
        <v>0</v>
      </c>
      <c r="N2000" s="10">
        <v>0</v>
      </c>
      <c r="S2000">
        <v>0.13</v>
      </c>
      <c r="T2000">
        <v>2.75</v>
      </c>
      <c r="U2000">
        <v>5.38</v>
      </c>
      <c r="W2000">
        <v>0.15</v>
      </c>
      <c r="X2000">
        <v>1</v>
      </c>
      <c r="Y2000">
        <v>7</v>
      </c>
      <c r="Z2000">
        <v>4.75</v>
      </c>
      <c r="AA2000">
        <v>4.63</v>
      </c>
      <c r="AB2000">
        <v>8.8999999999999996E-2</v>
      </c>
      <c r="AC2000">
        <v>0.23</v>
      </c>
      <c r="AF2000" t="s">
        <v>7528</v>
      </c>
      <c r="AK2000" t="s">
        <v>98</v>
      </c>
      <c r="AM2000" t="s">
        <v>98</v>
      </c>
      <c r="AN2000" t="s">
        <v>98</v>
      </c>
      <c r="AO2000" t="s">
        <v>98</v>
      </c>
      <c r="AP2000" t="s">
        <v>100</v>
      </c>
      <c r="AQ2000" t="s">
        <v>101</v>
      </c>
      <c r="AV2000" t="s">
        <v>98</v>
      </c>
      <c r="AX2000" t="s">
        <v>7528</v>
      </c>
      <c r="AZ2000" t="s">
        <v>7528</v>
      </c>
      <c r="BB2000" t="s">
        <v>7528</v>
      </c>
      <c r="BC2000" t="s">
        <v>7528</v>
      </c>
      <c r="BD2000" t="s">
        <v>7528</v>
      </c>
      <c r="BF2000" t="s">
        <v>5993</v>
      </c>
      <c r="BG2000" t="s">
        <v>98</v>
      </c>
      <c r="BH2000" t="s">
        <v>98</v>
      </c>
      <c r="BI2000" t="s">
        <v>98</v>
      </c>
      <c r="BK2000" t="s">
        <v>7528</v>
      </c>
      <c r="BL2000" t="s">
        <v>7528</v>
      </c>
      <c r="CA2000" t="s">
        <v>5992</v>
      </c>
      <c r="CB2000" t="s">
        <v>7528</v>
      </c>
      <c r="CL2000" t="s">
        <v>98</v>
      </c>
      <c r="CM2000" t="s">
        <v>98</v>
      </c>
      <c r="CN2000" t="s">
        <v>7528</v>
      </c>
      <c r="CO2000" s="1">
        <v>40564</v>
      </c>
      <c r="CP2000" s="1">
        <v>43633</v>
      </c>
    </row>
    <row r="2001" spans="1:94" x14ac:dyDescent="0.25">
      <c r="A2001" t="s">
        <v>5994</v>
      </c>
      <c r="B2001" t="str">
        <f xml:space="preserve"> "" &amp; 747396051277</f>
        <v>747396051277</v>
      </c>
      <c r="C2001" t="s">
        <v>5649</v>
      </c>
      <c r="D2001" t="s">
        <v>7342</v>
      </c>
      <c r="E2001" t="s">
        <v>7528</v>
      </c>
      <c r="F2001" t="s">
        <v>627</v>
      </c>
      <c r="G2001">
        <v>1</v>
      </c>
      <c r="H2001">
        <v>1</v>
      </c>
      <c r="I2001" t="s">
        <v>97</v>
      </c>
      <c r="J2001" s="10">
        <v>4.5</v>
      </c>
      <c r="K2001" s="10">
        <v>13.5</v>
      </c>
      <c r="L2001" s="10">
        <v>0</v>
      </c>
      <c r="N2001" s="10">
        <v>0</v>
      </c>
      <c r="S2001">
        <v>0.13</v>
      </c>
      <c r="T2001">
        <v>3.13</v>
      </c>
      <c r="U2001">
        <v>7.88</v>
      </c>
      <c r="W2001">
        <v>0.26</v>
      </c>
      <c r="X2001">
        <v>1</v>
      </c>
      <c r="Y2001">
        <v>7.25</v>
      </c>
      <c r="Z2001">
        <v>10.5</v>
      </c>
      <c r="AA2001">
        <v>5.63</v>
      </c>
      <c r="AB2001">
        <v>0.248</v>
      </c>
      <c r="AC2001">
        <v>0.33</v>
      </c>
      <c r="AF2001" t="s">
        <v>7528</v>
      </c>
      <c r="AK2001" t="s">
        <v>98</v>
      </c>
      <c r="AM2001" t="s">
        <v>98</v>
      </c>
      <c r="AN2001" t="s">
        <v>98</v>
      </c>
      <c r="AO2001" t="s">
        <v>98</v>
      </c>
      <c r="AP2001" t="s">
        <v>100</v>
      </c>
      <c r="AQ2001" t="s">
        <v>101</v>
      </c>
      <c r="AV2001" t="s">
        <v>98</v>
      </c>
      <c r="AX2001" t="s">
        <v>7528</v>
      </c>
      <c r="AZ2001" t="s">
        <v>7528</v>
      </c>
      <c r="BB2001" t="s">
        <v>7528</v>
      </c>
      <c r="BC2001" t="s">
        <v>7528</v>
      </c>
      <c r="BD2001" t="s">
        <v>7528</v>
      </c>
      <c r="BF2001" t="s">
        <v>5995</v>
      </c>
      <c r="BG2001" t="s">
        <v>98</v>
      </c>
      <c r="BH2001" t="s">
        <v>98</v>
      </c>
      <c r="BI2001" t="s">
        <v>98</v>
      </c>
      <c r="BK2001" t="s">
        <v>7528</v>
      </c>
      <c r="BL2001" t="s">
        <v>7528</v>
      </c>
      <c r="CA2001" t="s">
        <v>5994</v>
      </c>
      <c r="CB2001" t="s">
        <v>7528</v>
      </c>
      <c r="CL2001" t="s">
        <v>98</v>
      </c>
      <c r="CM2001" t="s">
        <v>98</v>
      </c>
      <c r="CN2001" t="s">
        <v>7528</v>
      </c>
      <c r="CO2001" s="1">
        <v>40564</v>
      </c>
      <c r="CP2001" s="1">
        <v>43633</v>
      </c>
    </row>
    <row r="2002" spans="1:94" x14ac:dyDescent="0.25">
      <c r="A2002" t="s">
        <v>5996</v>
      </c>
      <c r="B2002" t="str">
        <f xml:space="preserve"> "" &amp; 747396064673</f>
        <v>747396064673</v>
      </c>
      <c r="C2002" t="s">
        <v>5649</v>
      </c>
      <c r="D2002" t="s">
        <v>7343</v>
      </c>
      <c r="E2002" t="s">
        <v>7528</v>
      </c>
      <c r="F2002" t="s">
        <v>627</v>
      </c>
      <c r="G2002">
        <v>1</v>
      </c>
      <c r="H2002">
        <v>1</v>
      </c>
      <c r="I2002" t="s">
        <v>97</v>
      </c>
      <c r="J2002" s="10">
        <v>7</v>
      </c>
      <c r="K2002" s="10">
        <v>21</v>
      </c>
      <c r="L2002" s="10">
        <v>0</v>
      </c>
      <c r="N2002" s="10">
        <v>0</v>
      </c>
      <c r="S2002">
        <v>0.13</v>
      </c>
      <c r="T2002">
        <v>9.6300000000000008</v>
      </c>
      <c r="U2002">
        <v>3.75</v>
      </c>
      <c r="W2002">
        <v>1.87</v>
      </c>
      <c r="Y2002">
        <v>7</v>
      </c>
      <c r="Z2002">
        <v>12.13</v>
      </c>
      <c r="AA2002">
        <v>6.38</v>
      </c>
      <c r="AB2002">
        <v>0.313</v>
      </c>
      <c r="AC2002">
        <v>2.16</v>
      </c>
      <c r="AF2002" t="s">
        <v>7528</v>
      </c>
      <c r="AK2002" t="s">
        <v>98</v>
      </c>
      <c r="AM2002" t="s">
        <v>98</v>
      </c>
      <c r="AN2002" t="s">
        <v>98</v>
      </c>
      <c r="AO2002" t="s">
        <v>98</v>
      </c>
      <c r="AP2002" t="s">
        <v>100</v>
      </c>
      <c r="AQ2002" t="s">
        <v>101</v>
      </c>
      <c r="AV2002" t="s">
        <v>98</v>
      </c>
      <c r="AX2002" t="s">
        <v>7528</v>
      </c>
      <c r="AZ2002" t="s">
        <v>7528</v>
      </c>
      <c r="BB2002" t="s">
        <v>7528</v>
      </c>
      <c r="BC2002" t="s">
        <v>7528</v>
      </c>
      <c r="BD2002" t="s">
        <v>7528</v>
      </c>
      <c r="BF2002" t="s">
        <v>5997</v>
      </c>
      <c r="BG2002" t="s">
        <v>98</v>
      </c>
      <c r="BH2002" t="s">
        <v>98</v>
      </c>
      <c r="BI2002" t="s">
        <v>98</v>
      </c>
      <c r="BK2002" t="s">
        <v>7528</v>
      </c>
      <c r="BL2002" t="s">
        <v>7528</v>
      </c>
      <c r="CA2002" t="s">
        <v>5996</v>
      </c>
      <c r="CB2002" t="s">
        <v>7528</v>
      </c>
      <c r="CL2002" t="s">
        <v>98</v>
      </c>
      <c r="CM2002" t="s">
        <v>98</v>
      </c>
      <c r="CN2002" t="s">
        <v>7528</v>
      </c>
      <c r="CO2002" s="1">
        <v>40564</v>
      </c>
      <c r="CP2002" s="1">
        <v>43633</v>
      </c>
    </row>
    <row r="2003" spans="1:94" x14ac:dyDescent="0.25">
      <c r="A2003" t="s">
        <v>5998</v>
      </c>
      <c r="B2003" t="str">
        <f xml:space="preserve"> "" &amp; 747396076515</f>
        <v>747396076515</v>
      </c>
      <c r="C2003" t="s">
        <v>5999</v>
      </c>
      <c r="D2003" t="s">
        <v>7344</v>
      </c>
      <c r="E2003" t="s">
        <v>7528</v>
      </c>
      <c r="F2003" t="s">
        <v>627</v>
      </c>
      <c r="G2003">
        <v>1</v>
      </c>
      <c r="H2003">
        <v>1</v>
      </c>
      <c r="I2003" t="s">
        <v>97</v>
      </c>
      <c r="J2003" s="10">
        <v>3.5</v>
      </c>
      <c r="K2003" s="10">
        <v>10.5</v>
      </c>
      <c r="L2003" s="10">
        <v>0</v>
      </c>
      <c r="N2003" s="10">
        <v>0</v>
      </c>
      <c r="S2003">
        <v>0.13</v>
      </c>
      <c r="U2003">
        <v>5.88</v>
      </c>
      <c r="W2003">
        <v>0.74</v>
      </c>
      <c r="Y2003">
        <v>8.375</v>
      </c>
      <c r="Z2003">
        <v>8.7349999999999994</v>
      </c>
      <c r="AA2003">
        <v>3.5</v>
      </c>
      <c r="AB2003">
        <v>0.14799999999999999</v>
      </c>
      <c r="AC2003">
        <v>1.45</v>
      </c>
      <c r="AF2003" t="s">
        <v>7528</v>
      </c>
      <c r="AK2003" t="s">
        <v>98</v>
      </c>
      <c r="AM2003" t="s">
        <v>98</v>
      </c>
      <c r="AN2003" t="s">
        <v>98</v>
      </c>
      <c r="AO2003" t="s">
        <v>98</v>
      </c>
      <c r="AP2003" t="s">
        <v>100</v>
      </c>
      <c r="AQ2003" t="s">
        <v>101</v>
      </c>
      <c r="AV2003" t="s">
        <v>98</v>
      </c>
      <c r="AX2003" t="s">
        <v>7528</v>
      </c>
      <c r="AZ2003" t="s">
        <v>7528</v>
      </c>
      <c r="BB2003" t="s">
        <v>7528</v>
      </c>
      <c r="BC2003" t="s">
        <v>7528</v>
      </c>
      <c r="BD2003" t="s">
        <v>7528</v>
      </c>
      <c r="BF2003" t="s">
        <v>6000</v>
      </c>
      <c r="BG2003" t="s">
        <v>98</v>
      </c>
      <c r="BH2003" t="s">
        <v>98</v>
      </c>
      <c r="BI2003" t="s">
        <v>98</v>
      </c>
      <c r="BK2003" t="s">
        <v>7528</v>
      </c>
      <c r="BL2003" t="s">
        <v>7528</v>
      </c>
      <c r="CA2003" t="s">
        <v>5998</v>
      </c>
      <c r="CB2003" t="s">
        <v>7528</v>
      </c>
      <c r="CL2003" t="s">
        <v>98</v>
      </c>
      <c r="CM2003" t="s">
        <v>98</v>
      </c>
      <c r="CN2003" t="s">
        <v>7528</v>
      </c>
      <c r="CO2003" s="1">
        <v>40564</v>
      </c>
      <c r="CP2003" s="1">
        <v>43633</v>
      </c>
    </row>
    <row r="2004" spans="1:94" x14ac:dyDescent="0.25">
      <c r="A2004" t="s">
        <v>6001</v>
      </c>
      <c r="B2004" t="str">
        <f xml:space="preserve"> "" &amp; 747396051000</f>
        <v>747396051000</v>
      </c>
      <c r="C2004" t="s">
        <v>6002</v>
      </c>
      <c r="D2004" t="s">
        <v>7345</v>
      </c>
      <c r="E2004" t="s">
        <v>7528</v>
      </c>
      <c r="F2004" t="s">
        <v>627</v>
      </c>
      <c r="G2004">
        <v>1</v>
      </c>
      <c r="H2004">
        <v>1</v>
      </c>
      <c r="I2004" t="s">
        <v>97</v>
      </c>
      <c r="J2004" s="10">
        <v>27.5</v>
      </c>
      <c r="K2004" s="10">
        <v>82.5</v>
      </c>
      <c r="L2004" s="10">
        <v>0</v>
      </c>
      <c r="N2004" s="10">
        <v>0</v>
      </c>
      <c r="W2004">
        <v>2.79</v>
      </c>
      <c r="X2004">
        <v>1</v>
      </c>
      <c r="Y2004">
        <v>21.25</v>
      </c>
      <c r="Z2004">
        <v>17.13</v>
      </c>
      <c r="AA2004">
        <v>17.13</v>
      </c>
      <c r="AB2004">
        <v>3.609</v>
      </c>
      <c r="AC2004">
        <v>3.39</v>
      </c>
      <c r="AF2004" t="s">
        <v>7528</v>
      </c>
      <c r="AK2004" t="s">
        <v>98</v>
      </c>
      <c r="AM2004" t="s">
        <v>98</v>
      </c>
      <c r="AN2004" t="s">
        <v>98</v>
      </c>
      <c r="AO2004" t="s">
        <v>98</v>
      </c>
      <c r="AP2004" t="s">
        <v>100</v>
      </c>
      <c r="AQ2004" t="s">
        <v>101</v>
      </c>
      <c r="AV2004" t="s">
        <v>98</v>
      </c>
      <c r="AX2004" t="s">
        <v>7528</v>
      </c>
      <c r="AZ2004" t="s">
        <v>7528</v>
      </c>
      <c r="BB2004" t="s">
        <v>7528</v>
      </c>
      <c r="BC2004" t="s">
        <v>7528</v>
      </c>
      <c r="BD2004" t="s">
        <v>7528</v>
      </c>
      <c r="BF2004" t="s">
        <v>6003</v>
      </c>
      <c r="BG2004" t="s">
        <v>98</v>
      </c>
      <c r="BH2004" t="s">
        <v>98</v>
      </c>
      <c r="BI2004" t="s">
        <v>98</v>
      </c>
      <c r="BK2004" t="s">
        <v>7528</v>
      </c>
      <c r="BL2004" t="s">
        <v>7528</v>
      </c>
      <c r="CA2004" t="s">
        <v>6001</v>
      </c>
      <c r="CB2004" t="s">
        <v>7528</v>
      </c>
      <c r="CL2004" t="s">
        <v>98</v>
      </c>
      <c r="CM2004" t="s">
        <v>98</v>
      </c>
      <c r="CN2004" t="s">
        <v>7528</v>
      </c>
      <c r="CO2004" s="1">
        <v>40564</v>
      </c>
      <c r="CP2004" s="1">
        <v>43633</v>
      </c>
    </row>
    <row r="2005" spans="1:94" x14ac:dyDescent="0.25">
      <c r="A2005" t="s">
        <v>6004</v>
      </c>
      <c r="B2005" t="str">
        <f xml:space="preserve"> "" &amp; 747396050621</f>
        <v>747396050621</v>
      </c>
      <c r="C2005" t="s">
        <v>4741</v>
      </c>
      <c r="D2005" t="s">
        <v>7346</v>
      </c>
      <c r="E2005" t="s">
        <v>7528</v>
      </c>
      <c r="F2005" t="s">
        <v>627</v>
      </c>
      <c r="G2005">
        <v>1</v>
      </c>
      <c r="H2005">
        <v>1</v>
      </c>
      <c r="I2005" t="s">
        <v>97</v>
      </c>
      <c r="J2005" s="10">
        <v>14.5</v>
      </c>
      <c r="K2005" s="10">
        <v>43.5</v>
      </c>
      <c r="L2005" s="10">
        <v>0</v>
      </c>
      <c r="N2005" s="10">
        <v>0</v>
      </c>
      <c r="S2005">
        <v>6.25</v>
      </c>
      <c r="U2005">
        <v>5.38</v>
      </c>
      <c r="W2005">
        <v>1.43</v>
      </c>
      <c r="X2005">
        <v>1</v>
      </c>
      <c r="Y2005">
        <v>15.38</v>
      </c>
      <c r="Z2005">
        <v>18.75</v>
      </c>
      <c r="AA2005">
        <v>13.38</v>
      </c>
      <c r="AB2005">
        <v>2.2330000000000001</v>
      </c>
      <c r="AC2005">
        <v>1.55</v>
      </c>
      <c r="AF2005" t="s">
        <v>7528</v>
      </c>
      <c r="AK2005" t="s">
        <v>98</v>
      </c>
      <c r="AM2005" t="s">
        <v>98</v>
      </c>
      <c r="AN2005" t="s">
        <v>98</v>
      </c>
      <c r="AO2005" t="s">
        <v>98</v>
      </c>
      <c r="AP2005" t="s">
        <v>100</v>
      </c>
      <c r="AQ2005" t="s">
        <v>101</v>
      </c>
      <c r="AV2005" t="s">
        <v>98</v>
      </c>
      <c r="AX2005" t="s">
        <v>7528</v>
      </c>
      <c r="AZ2005" t="s">
        <v>7528</v>
      </c>
      <c r="BB2005" t="s">
        <v>7528</v>
      </c>
      <c r="BC2005" t="s">
        <v>7528</v>
      </c>
      <c r="BD2005" t="s">
        <v>7528</v>
      </c>
      <c r="BF2005" t="s">
        <v>6005</v>
      </c>
      <c r="BG2005" t="s">
        <v>98</v>
      </c>
      <c r="BH2005" t="s">
        <v>98</v>
      </c>
      <c r="BI2005" t="s">
        <v>98</v>
      </c>
      <c r="BK2005" t="s">
        <v>7528</v>
      </c>
      <c r="BL2005" t="s">
        <v>7528</v>
      </c>
      <c r="CA2005" t="s">
        <v>6004</v>
      </c>
      <c r="CB2005" t="s">
        <v>7528</v>
      </c>
      <c r="CL2005" t="s">
        <v>98</v>
      </c>
      <c r="CM2005" t="s">
        <v>98</v>
      </c>
      <c r="CN2005" t="s">
        <v>7528</v>
      </c>
      <c r="CO2005" s="1">
        <v>40564</v>
      </c>
      <c r="CP2005" s="1">
        <v>43633</v>
      </c>
    </row>
    <row r="2006" spans="1:94" x14ac:dyDescent="0.25">
      <c r="A2006" t="s">
        <v>6006</v>
      </c>
      <c r="B2006" t="str">
        <f xml:space="preserve"> "" &amp; 747396070025</f>
        <v>747396070025</v>
      </c>
      <c r="C2006" t="s">
        <v>6007</v>
      </c>
      <c r="D2006" t="s">
        <v>7347</v>
      </c>
      <c r="E2006" t="s">
        <v>7528</v>
      </c>
      <c r="F2006" t="s">
        <v>627</v>
      </c>
      <c r="G2006">
        <v>1</v>
      </c>
      <c r="H2006">
        <v>1</v>
      </c>
      <c r="I2006" t="s">
        <v>97</v>
      </c>
      <c r="J2006" s="10">
        <v>13</v>
      </c>
      <c r="K2006" s="10">
        <v>39</v>
      </c>
      <c r="L2006" s="10">
        <v>0</v>
      </c>
      <c r="N2006" s="10">
        <v>0</v>
      </c>
      <c r="S2006">
        <v>6.25</v>
      </c>
      <c r="T2006">
        <v>0.13</v>
      </c>
      <c r="U2006">
        <v>5.5</v>
      </c>
      <c r="W2006">
        <v>1.43</v>
      </c>
      <c r="Y2006">
        <v>15.35</v>
      </c>
      <c r="Z2006">
        <v>18.7</v>
      </c>
      <c r="AA2006">
        <v>13.18</v>
      </c>
      <c r="AB2006">
        <v>2.1890000000000001</v>
      </c>
      <c r="AC2006">
        <v>1.55</v>
      </c>
      <c r="AF2006" t="s">
        <v>7528</v>
      </c>
      <c r="AK2006" t="s">
        <v>98</v>
      </c>
      <c r="AM2006" t="s">
        <v>98</v>
      </c>
      <c r="AN2006" t="s">
        <v>98</v>
      </c>
      <c r="AO2006" t="s">
        <v>98</v>
      </c>
      <c r="AP2006" t="s">
        <v>100</v>
      </c>
      <c r="AQ2006" t="s">
        <v>101</v>
      </c>
      <c r="AV2006" t="s">
        <v>98</v>
      </c>
      <c r="AX2006" t="s">
        <v>7528</v>
      </c>
      <c r="AZ2006" t="s">
        <v>7528</v>
      </c>
      <c r="BB2006" t="s">
        <v>7528</v>
      </c>
      <c r="BC2006" t="s">
        <v>7528</v>
      </c>
      <c r="BD2006" t="s">
        <v>7528</v>
      </c>
      <c r="BF2006" t="s">
        <v>6008</v>
      </c>
      <c r="BG2006" t="s">
        <v>98</v>
      </c>
      <c r="BH2006" t="s">
        <v>98</v>
      </c>
      <c r="BI2006" t="s">
        <v>98</v>
      </c>
      <c r="BK2006" t="s">
        <v>7528</v>
      </c>
      <c r="BL2006" t="s">
        <v>7528</v>
      </c>
      <c r="CA2006" t="s">
        <v>6006</v>
      </c>
      <c r="CB2006" t="s">
        <v>7528</v>
      </c>
      <c r="CL2006" t="s">
        <v>98</v>
      </c>
      <c r="CM2006" t="s">
        <v>98</v>
      </c>
      <c r="CN2006" t="s">
        <v>7528</v>
      </c>
      <c r="CO2006" s="1">
        <v>40564</v>
      </c>
      <c r="CP2006" s="1">
        <v>43633</v>
      </c>
    </row>
    <row r="2007" spans="1:94" x14ac:dyDescent="0.25">
      <c r="A2007" t="s">
        <v>6009</v>
      </c>
      <c r="B2007" t="str">
        <f xml:space="preserve"> "" &amp; 747396050638</f>
        <v>747396050638</v>
      </c>
      <c r="C2007" t="s">
        <v>4741</v>
      </c>
      <c r="D2007" t="s">
        <v>7348</v>
      </c>
      <c r="E2007" t="s">
        <v>7528</v>
      </c>
      <c r="F2007" t="s">
        <v>627</v>
      </c>
      <c r="G2007">
        <v>1</v>
      </c>
      <c r="H2007">
        <v>1</v>
      </c>
      <c r="I2007" t="s">
        <v>97</v>
      </c>
      <c r="J2007" s="10">
        <v>21.5</v>
      </c>
      <c r="K2007" s="10">
        <v>64.5</v>
      </c>
      <c r="L2007" s="10">
        <v>0</v>
      </c>
      <c r="N2007" s="10">
        <v>0</v>
      </c>
      <c r="S2007">
        <v>8.25</v>
      </c>
      <c r="U2007">
        <v>6.88</v>
      </c>
      <c r="W2007">
        <v>1.58</v>
      </c>
      <c r="X2007">
        <v>1</v>
      </c>
      <c r="Y2007">
        <v>20.13</v>
      </c>
      <c r="Z2007">
        <v>23.63</v>
      </c>
      <c r="AA2007">
        <v>16.63</v>
      </c>
      <c r="AB2007">
        <v>4.5780000000000003</v>
      </c>
      <c r="AC2007">
        <v>2.0499999999999998</v>
      </c>
      <c r="AF2007" t="s">
        <v>7528</v>
      </c>
      <c r="AK2007" t="s">
        <v>98</v>
      </c>
      <c r="AM2007" t="s">
        <v>98</v>
      </c>
      <c r="AN2007" t="s">
        <v>98</v>
      </c>
      <c r="AO2007" t="s">
        <v>98</v>
      </c>
      <c r="AP2007" t="s">
        <v>100</v>
      </c>
      <c r="AQ2007" t="s">
        <v>101</v>
      </c>
      <c r="AV2007" t="s">
        <v>98</v>
      </c>
      <c r="AX2007" t="s">
        <v>7528</v>
      </c>
      <c r="AZ2007" t="s">
        <v>7528</v>
      </c>
      <c r="BB2007" t="s">
        <v>7528</v>
      </c>
      <c r="BC2007" t="s">
        <v>7528</v>
      </c>
      <c r="BD2007" t="s">
        <v>7528</v>
      </c>
      <c r="BF2007" t="s">
        <v>6010</v>
      </c>
      <c r="BG2007" t="s">
        <v>98</v>
      </c>
      <c r="BH2007" t="s">
        <v>98</v>
      </c>
      <c r="BI2007" t="s">
        <v>98</v>
      </c>
      <c r="BK2007" t="s">
        <v>7528</v>
      </c>
      <c r="BL2007" t="s">
        <v>7528</v>
      </c>
      <c r="CA2007" t="s">
        <v>6009</v>
      </c>
      <c r="CB2007" t="s">
        <v>7528</v>
      </c>
      <c r="CL2007" t="s">
        <v>98</v>
      </c>
      <c r="CM2007" t="s">
        <v>98</v>
      </c>
      <c r="CN2007" t="s">
        <v>7528</v>
      </c>
      <c r="CO2007" s="1">
        <v>40564</v>
      </c>
      <c r="CP2007" s="1">
        <v>43633</v>
      </c>
    </row>
    <row r="2008" spans="1:94" x14ac:dyDescent="0.25">
      <c r="A2008" t="s">
        <v>6011</v>
      </c>
      <c r="B2008" t="str">
        <f xml:space="preserve"> "" &amp; 747396070650</f>
        <v>747396070650</v>
      </c>
      <c r="C2008" t="s">
        <v>4394</v>
      </c>
      <c r="D2008" t="s">
        <v>7349</v>
      </c>
      <c r="E2008" t="s">
        <v>7528</v>
      </c>
      <c r="F2008" t="s">
        <v>627</v>
      </c>
      <c r="G2008">
        <v>1</v>
      </c>
      <c r="H2008">
        <v>1</v>
      </c>
      <c r="I2008" t="s">
        <v>97</v>
      </c>
      <c r="J2008" s="10">
        <v>19.5</v>
      </c>
      <c r="K2008" s="10">
        <v>58.5</v>
      </c>
      <c r="L2008" s="10">
        <v>0</v>
      </c>
      <c r="N2008" s="10">
        <v>0</v>
      </c>
      <c r="S2008">
        <v>8.25</v>
      </c>
      <c r="T2008">
        <v>0.13</v>
      </c>
      <c r="U2008">
        <v>6.88</v>
      </c>
      <c r="W2008">
        <v>1.4</v>
      </c>
      <c r="Y2008">
        <v>20</v>
      </c>
      <c r="Z2008">
        <v>23.62</v>
      </c>
      <c r="AA2008">
        <v>16.54</v>
      </c>
      <c r="AB2008">
        <v>4.5220000000000002</v>
      </c>
      <c r="AC2008">
        <v>1.89</v>
      </c>
      <c r="AF2008" t="s">
        <v>7528</v>
      </c>
      <c r="AK2008" t="s">
        <v>98</v>
      </c>
      <c r="AM2008" t="s">
        <v>98</v>
      </c>
      <c r="AN2008" t="s">
        <v>98</v>
      </c>
      <c r="AO2008" t="s">
        <v>98</v>
      </c>
      <c r="AP2008" t="s">
        <v>100</v>
      </c>
      <c r="AQ2008" t="s">
        <v>101</v>
      </c>
      <c r="AV2008" t="s">
        <v>98</v>
      </c>
      <c r="AX2008" t="s">
        <v>7528</v>
      </c>
      <c r="AZ2008" t="s">
        <v>7528</v>
      </c>
      <c r="BB2008" t="s">
        <v>7528</v>
      </c>
      <c r="BC2008" t="s">
        <v>7528</v>
      </c>
      <c r="BD2008" t="s">
        <v>7528</v>
      </c>
      <c r="BF2008" t="s">
        <v>6012</v>
      </c>
      <c r="BG2008" t="s">
        <v>98</v>
      </c>
      <c r="BH2008" t="s">
        <v>98</v>
      </c>
      <c r="BI2008" t="s">
        <v>98</v>
      </c>
      <c r="BK2008" t="s">
        <v>7528</v>
      </c>
      <c r="BL2008" t="s">
        <v>7528</v>
      </c>
      <c r="CA2008" t="s">
        <v>6011</v>
      </c>
      <c r="CB2008" t="s">
        <v>7528</v>
      </c>
      <c r="CL2008" t="s">
        <v>98</v>
      </c>
      <c r="CM2008" t="s">
        <v>98</v>
      </c>
      <c r="CN2008" t="s">
        <v>7528</v>
      </c>
      <c r="CO2008" s="1">
        <v>40564</v>
      </c>
      <c r="CP2008" s="1">
        <v>43633</v>
      </c>
    </row>
    <row r="2009" spans="1:94" x14ac:dyDescent="0.25">
      <c r="A2009" t="s">
        <v>6013</v>
      </c>
      <c r="B2009" t="str">
        <f xml:space="preserve"> "" &amp; 747396064703</f>
        <v>747396064703</v>
      </c>
      <c r="C2009" t="s">
        <v>4741</v>
      </c>
      <c r="D2009" t="s">
        <v>6014</v>
      </c>
      <c r="E2009" t="s">
        <v>7528</v>
      </c>
      <c r="F2009" t="s">
        <v>627</v>
      </c>
      <c r="G2009">
        <v>1</v>
      </c>
      <c r="H2009">
        <v>1</v>
      </c>
      <c r="I2009" t="s">
        <v>97</v>
      </c>
      <c r="J2009" s="10">
        <v>42.5</v>
      </c>
      <c r="K2009" s="10">
        <v>127.5</v>
      </c>
      <c r="L2009" s="10">
        <v>0</v>
      </c>
      <c r="N2009" s="10">
        <v>0</v>
      </c>
      <c r="S2009">
        <v>10.25</v>
      </c>
      <c r="U2009">
        <v>8.75</v>
      </c>
      <c r="W2009">
        <v>2.4700000000000002</v>
      </c>
      <c r="X2009">
        <v>1</v>
      </c>
      <c r="Y2009">
        <v>13.78</v>
      </c>
      <c r="Z2009">
        <v>19.88</v>
      </c>
      <c r="AA2009">
        <v>19.88</v>
      </c>
      <c r="AB2009">
        <v>3.1520000000000001</v>
      </c>
      <c r="AC2009">
        <v>3.68</v>
      </c>
      <c r="AF2009" t="s">
        <v>7528</v>
      </c>
      <c r="AK2009" t="s">
        <v>98</v>
      </c>
      <c r="AM2009" t="s">
        <v>98</v>
      </c>
      <c r="AN2009" t="s">
        <v>98</v>
      </c>
      <c r="AO2009" t="s">
        <v>98</v>
      </c>
      <c r="AP2009" t="s">
        <v>100</v>
      </c>
      <c r="AQ2009" t="s">
        <v>101</v>
      </c>
      <c r="AV2009" t="s">
        <v>98</v>
      </c>
      <c r="AX2009" t="s">
        <v>7528</v>
      </c>
      <c r="AZ2009" t="s">
        <v>7528</v>
      </c>
      <c r="BB2009" t="s">
        <v>7528</v>
      </c>
      <c r="BC2009" t="s">
        <v>7528</v>
      </c>
      <c r="BD2009" t="s">
        <v>7528</v>
      </c>
      <c r="BF2009" t="s">
        <v>6015</v>
      </c>
      <c r="BG2009" t="s">
        <v>98</v>
      </c>
      <c r="BH2009" t="s">
        <v>98</v>
      </c>
      <c r="BI2009" t="s">
        <v>98</v>
      </c>
      <c r="BK2009" t="s">
        <v>7528</v>
      </c>
      <c r="BL2009" t="s">
        <v>7528</v>
      </c>
      <c r="CA2009" t="s">
        <v>6013</v>
      </c>
      <c r="CB2009" t="s">
        <v>7528</v>
      </c>
      <c r="CL2009" t="s">
        <v>98</v>
      </c>
      <c r="CM2009" t="s">
        <v>98</v>
      </c>
      <c r="CN2009" t="s">
        <v>7528</v>
      </c>
      <c r="CO2009" s="1">
        <v>40564</v>
      </c>
      <c r="CP2009" s="1">
        <v>43633</v>
      </c>
    </row>
    <row r="2010" spans="1:94" x14ac:dyDescent="0.25">
      <c r="A2010" t="s">
        <v>6016</v>
      </c>
      <c r="B2010" t="str">
        <f xml:space="preserve"> "" &amp; 747396070667</f>
        <v>747396070667</v>
      </c>
      <c r="C2010" t="s">
        <v>4394</v>
      </c>
      <c r="D2010" t="s">
        <v>7350</v>
      </c>
      <c r="E2010" t="s">
        <v>7528</v>
      </c>
      <c r="F2010" t="s">
        <v>627</v>
      </c>
      <c r="G2010">
        <v>1</v>
      </c>
      <c r="H2010">
        <v>1</v>
      </c>
      <c r="I2010" t="s">
        <v>97</v>
      </c>
      <c r="J2010" s="10">
        <v>30</v>
      </c>
      <c r="K2010" s="10">
        <v>90</v>
      </c>
      <c r="L2010" s="10">
        <v>0</v>
      </c>
      <c r="N2010" s="10">
        <v>0</v>
      </c>
      <c r="S2010">
        <v>10.25</v>
      </c>
      <c r="T2010">
        <v>0.13</v>
      </c>
      <c r="U2010">
        <v>8.75</v>
      </c>
      <c r="W2010">
        <v>2.87</v>
      </c>
      <c r="Y2010">
        <v>13.75</v>
      </c>
      <c r="Z2010">
        <v>19.88</v>
      </c>
      <c r="AA2010">
        <v>19.88</v>
      </c>
      <c r="AB2010">
        <v>3.145</v>
      </c>
      <c r="AC2010">
        <v>4.24</v>
      </c>
      <c r="AF2010" t="s">
        <v>7528</v>
      </c>
      <c r="AK2010" t="s">
        <v>98</v>
      </c>
      <c r="AM2010" t="s">
        <v>98</v>
      </c>
      <c r="AN2010" t="s">
        <v>98</v>
      </c>
      <c r="AO2010" t="s">
        <v>98</v>
      </c>
      <c r="AP2010" t="s">
        <v>100</v>
      </c>
      <c r="AQ2010" t="s">
        <v>101</v>
      </c>
      <c r="AV2010" t="s">
        <v>98</v>
      </c>
      <c r="AX2010" t="s">
        <v>7528</v>
      </c>
      <c r="AZ2010" t="s">
        <v>7528</v>
      </c>
      <c r="BB2010" t="s">
        <v>7528</v>
      </c>
      <c r="BC2010" t="s">
        <v>7528</v>
      </c>
      <c r="BD2010" t="s">
        <v>7528</v>
      </c>
      <c r="BF2010" t="s">
        <v>6017</v>
      </c>
      <c r="BG2010" t="s">
        <v>98</v>
      </c>
      <c r="BH2010" t="s">
        <v>98</v>
      </c>
      <c r="BI2010" t="s">
        <v>98</v>
      </c>
      <c r="BK2010" t="s">
        <v>7528</v>
      </c>
      <c r="BL2010" t="s">
        <v>7528</v>
      </c>
      <c r="CA2010" t="s">
        <v>6016</v>
      </c>
      <c r="CB2010" t="s">
        <v>7528</v>
      </c>
      <c r="CL2010" t="s">
        <v>98</v>
      </c>
      <c r="CM2010" t="s">
        <v>98</v>
      </c>
      <c r="CN2010" t="s">
        <v>7528</v>
      </c>
      <c r="CO2010" s="1">
        <v>40564</v>
      </c>
      <c r="CP2010" s="1">
        <v>43633</v>
      </c>
    </row>
    <row r="2011" spans="1:94" x14ac:dyDescent="0.25">
      <c r="A2011" t="s">
        <v>6018</v>
      </c>
      <c r="B2011" t="str">
        <f xml:space="preserve"> "" &amp; 747396050645</f>
        <v>747396050645</v>
      </c>
      <c r="C2011" t="s">
        <v>6019</v>
      </c>
      <c r="D2011" t="s">
        <v>7351</v>
      </c>
      <c r="E2011" t="s">
        <v>7528</v>
      </c>
      <c r="F2011" t="s">
        <v>627</v>
      </c>
      <c r="G2011">
        <v>1</v>
      </c>
      <c r="H2011">
        <v>1</v>
      </c>
      <c r="I2011" t="s">
        <v>97</v>
      </c>
      <c r="J2011" s="10">
        <v>24.5</v>
      </c>
      <c r="K2011" s="10">
        <v>73.5</v>
      </c>
      <c r="L2011" s="10">
        <v>0</v>
      </c>
      <c r="N2011" s="10">
        <v>0</v>
      </c>
      <c r="S2011">
        <v>4.5</v>
      </c>
      <c r="U2011">
        <v>10.38</v>
      </c>
      <c r="W2011">
        <v>1.67</v>
      </c>
      <c r="X2011">
        <v>1</v>
      </c>
      <c r="Y2011">
        <v>18.5</v>
      </c>
      <c r="Z2011">
        <v>23.23</v>
      </c>
      <c r="AA2011">
        <v>12.6</v>
      </c>
      <c r="AB2011">
        <v>3.1339999999999999</v>
      </c>
      <c r="AC2011">
        <v>2.83</v>
      </c>
      <c r="AF2011" t="s">
        <v>7528</v>
      </c>
      <c r="AK2011" t="s">
        <v>98</v>
      </c>
      <c r="AM2011" t="s">
        <v>98</v>
      </c>
      <c r="AN2011" t="s">
        <v>98</v>
      </c>
      <c r="AO2011" t="s">
        <v>98</v>
      </c>
      <c r="AP2011" t="s">
        <v>100</v>
      </c>
      <c r="AQ2011" t="s">
        <v>101</v>
      </c>
      <c r="AV2011" t="s">
        <v>98</v>
      </c>
      <c r="AX2011" t="s">
        <v>7528</v>
      </c>
      <c r="AZ2011" t="s">
        <v>7528</v>
      </c>
      <c r="BB2011" t="s">
        <v>7528</v>
      </c>
      <c r="BC2011" t="s">
        <v>7528</v>
      </c>
      <c r="BD2011" t="s">
        <v>7528</v>
      </c>
      <c r="BF2011" t="s">
        <v>6020</v>
      </c>
      <c r="BG2011" t="s">
        <v>98</v>
      </c>
      <c r="BH2011" t="s">
        <v>98</v>
      </c>
      <c r="BI2011" t="s">
        <v>98</v>
      </c>
      <c r="BK2011" t="s">
        <v>7528</v>
      </c>
      <c r="BL2011" t="s">
        <v>7528</v>
      </c>
      <c r="CA2011" t="s">
        <v>6018</v>
      </c>
      <c r="CB2011" t="s">
        <v>7528</v>
      </c>
      <c r="CL2011" t="s">
        <v>98</v>
      </c>
      <c r="CM2011" t="s">
        <v>98</v>
      </c>
      <c r="CN2011" t="s">
        <v>7528</v>
      </c>
      <c r="CO2011" s="1">
        <v>40305</v>
      </c>
      <c r="CP2011" s="1">
        <v>43633</v>
      </c>
    </row>
    <row r="2012" spans="1:94" x14ac:dyDescent="0.25">
      <c r="A2012" t="s">
        <v>6021</v>
      </c>
      <c r="B2012" t="str">
        <f xml:space="preserve"> "" &amp; 747396035314</f>
        <v>747396035314</v>
      </c>
      <c r="C2012" t="s">
        <v>2569</v>
      </c>
      <c r="D2012" t="s">
        <v>7352</v>
      </c>
      <c r="E2012" t="s">
        <v>7528</v>
      </c>
      <c r="F2012" t="s">
        <v>627</v>
      </c>
      <c r="G2012">
        <v>1</v>
      </c>
      <c r="H2012">
        <v>1</v>
      </c>
      <c r="I2012" t="s">
        <v>97</v>
      </c>
      <c r="J2012" s="10">
        <v>4.25</v>
      </c>
      <c r="K2012" s="10">
        <v>12.75</v>
      </c>
      <c r="L2012" s="10">
        <v>0</v>
      </c>
      <c r="N2012" s="10">
        <v>0</v>
      </c>
      <c r="W2012">
        <v>0.15</v>
      </c>
      <c r="X2012">
        <v>1</v>
      </c>
      <c r="Y2012">
        <v>7.75</v>
      </c>
      <c r="Z2012">
        <v>11.88</v>
      </c>
      <c r="AA2012">
        <v>6.125</v>
      </c>
      <c r="AB2012">
        <v>0.32600000000000001</v>
      </c>
      <c r="AC2012">
        <v>0.18</v>
      </c>
      <c r="AF2012" t="s">
        <v>7528</v>
      </c>
      <c r="AK2012" t="s">
        <v>98</v>
      </c>
      <c r="AM2012" t="s">
        <v>98</v>
      </c>
      <c r="AN2012" t="s">
        <v>98</v>
      </c>
      <c r="AO2012" t="s">
        <v>98</v>
      </c>
      <c r="AP2012" t="s">
        <v>100</v>
      </c>
      <c r="AQ2012" t="s">
        <v>101</v>
      </c>
      <c r="AV2012" t="s">
        <v>98</v>
      </c>
      <c r="AX2012" t="s">
        <v>7528</v>
      </c>
      <c r="AZ2012" t="s">
        <v>7528</v>
      </c>
      <c r="BB2012" t="s">
        <v>7528</v>
      </c>
      <c r="BC2012" t="s">
        <v>7528</v>
      </c>
      <c r="BD2012" t="s">
        <v>7528</v>
      </c>
      <c r="BF2012" t="s">
        <v>6022</v>
      </c>
      <c r="BG2012" t="s">
        <v>98</v>
      </c>
      <c r="BH2012" t="s">
        <v>98</v>
      </c>
      <c r="BI2012" t="s">
        <v>98</v>
      </c>
      <c r="BK2012" t="s">
        <v>7528</v>
      </c>
      <c r="BL2012" t="s">
        <v>7528</v>
      </c>
      <c r="CA2012" t="s">
        <v>6021</v>
      </c>
      <c r="CB2012" t="s">
        <v>7528</v>
      </c>
      <c r="CL2012" t="s">
        <v>98</v>
      </c>
      <c r="CM2012" t="s">
        <v>98</v>
      </c>
      <c r="CN2012" t="s">
        <v>7528</v>
      </c>
      <c r="CO2012" s="1">
        <v>40564</v>
      </c>
      <c r="CP2012" s="1">
        <v>43633</v>
      </c>
    </row>
    <row r="2013" spans="1:94" x14ac:dyDescent="0.25">
      <c r="A2013" t="s">
        <v>6023</v>
      </c>
      <c r="B2013" t="str">
        <f xml:space="preserve"> "" &amp; 747396035321</f>
        <v>747396035321</v>
      </c>
      <c r="C2013" t="s">
        <v>2569</v>
      </c>
      <c r="D2013" t="s">
        <v>7353</v>
      </c>
      <c r="E2013" t="s">
        <v>7528</v>
      </c>
      <c r="F2013" t="s">
        <v>627</v>
      </c>
      <c r="G2013">
        <v>1</v>
      </c>
      <c r="H2013">
        <v>1</v>
      </c>
      <c r="I2013" t="s">
        <v>97</v>
      </c>
      <c r="J2013" s="10">
        <v>2</v>
      </c>
      <c r="K2013" s="10">
        <v>6</v>
      </c>
      <c r="L2013" s="10">
        <v>0</v>
      </c>
      <c r="N2013" s="10">
        <v>0</v>
      </c>
      <c r="W2013">
        <v>1</v>
      </c>
      <c r="X2013">
        <v>1</v>
      </c>
      <c r="AB2013">
        <v>0.02</v>
      </c>
      <c r="AC2013">
        <v>0.74</v>
      </c>
      <c r="AF2013" t="s">
        <v>7528</v>
      </c>
      <c r="AK2013" t="s">
        <v>98</v>
      </c>
      <c r="AM2013" t="s">
        <v>98</v>
      </c>
      <c r="AN2013" t="s">
        <v>98</v>
      </c>
      <c r="AO2013" t="s">
        <v>98</v>
      </c>
      <c r="AP2013" t="s">
        <v>100</v>
      </c>
      <c r="AQ2013" t="s">
        <v>101</v>
      </c>
      <c r="AV2013" t="s">
        <v>98</v>
      </c>
      <c r="AX2013" t="s">
        <v>7528</v>
      </c>
      <c r="AZ2013" t="s">
        <v>7528</v>
      </c>
      <c r="BB2013" t="s">
        <v>7528</v>
      </c>
      <c r="BC2013" t="s">
        <v>7528</v>
      </c>
      <c r="BD2013" t="s">
        <v>7528</v>
      </c>
      <c r="BF2013" t="s">
        <v>6024</v>
      </c>
      <c r="BG2013" t="s">
        <v>98</v>
      </c>
      <c r="BH2013" t="s">
        <v>98</v>
      </c>
      <c r="BI2013" t="s">
        <v>98</v>
      </c>
      <c r="BK2013" t="s">
        <v>7528</v>
      </c>
      <c r="BL2013" t="s">
        <v>7528</v>
      </c>
      <c r="CA2013" t="s">
        <v>6023</v>
      </c>
      <c r="CB2013" t="s">
        <v>7528</v>
      </c>
      <c r="CL2013" t="s">
        <v>98</v>
      </c>
      <c r="CM2013" t="s">
        <v>98</v>
      </c>
      <c r="CN2013" t="s">
        <v>7528</v>
      </c>
      <c r="CO2013" s="1">
        <v>40564</v>
      </c>
      <c r="CP2013" s="1">
        <v>43633</v>
      </c>
    </row>
    <row r="2014" spans="1:94" x14ac:dyDescent="0.25">
      <c r="A2014" t="s">
        <v>6025</v>
      </c>
      <c r="B2014" t="str">
        <f xml:space="preserve"> "" &amp; 747396035338</f>
        <v>747396035338</v>
      </c>
      <c r="C2014" t="s">
        <v>4741</v>
      </c>
      <c r="D2014" t="s">
        <v>7354</v>
      </c>
      <c r="E2014" t="s">
        <v>7528</v>
      </c>
      <c r="F2014" t="s">
        <v>627</v>
      </c>
      <c r="G2014">
        <v>1</v>
      </c>
      <c r="H2014">
        <v>1</v>
      </c>
      <c r="I2014" t="s">
        <v>97</v>
      </c>
      <c r="J2014" s="10">
        <v>5.5</v>
      </c>
      <c r="K2014" s="10">
        <v>16.5</v>
      </c>
      <c r="L2014" s="10">
        <v>0</v>
      </c>
      <c r="N2014" s="10">
        <v>0</v>
      </c>
      <c r="W2014">
        <v>0.37</v>
      </c>
      <c r="X2014">
        <v>1</v>
      </c>
      <c r="Y2014">
        <v>5</v>
      </c>
      <c r="Z2014">
        <v>8</v>
      </c>
      <c r="AA2014">
        <v>5</v>
      </c>
      <c r="AB2014">
        <v>0.11600000000000001</v>
      </c>
      <c r="AC2014">
        <v>0.4</v>
      </c>
      <c r="AF2014" t="s">
        <v>7528</v>
      </c>
      <c r="AK2014" t="s">
        <v>98</v>
      </c>
      <c r="AM2014" t="s">
        <v>98</v>
      </c>
      <c r="AN2014" t="s">
        <v>98</v>
      </c>
      <c r="AO2014" t="s">
        <v>98</v>
      </c>
      <c r="AP2014" t="s">
        <v>100</v>
      </c>
      <c r="AQ2014" t="s">
        <v>101</v>
      </c>
      <c r="AV2014" t="s">
        <v>98</v>
      </c>
      <c r="AX2014" t="s">
        <v>7528</v>
      </c>
      <c r="AZ2014" t="s">
        <v>7528</v>
      </c>
      <c r="BB2014" t="s">
        <v>7528</v>
      </c>
      <c r="BC2014" t="s">
        <v>7528</v>
      </c>
      <c r="BD2014" t="s">
        <v>7528</v>
      </c>
      <c r="BF2014" t="s">
        <v>6026</v>
      </c>
      <c r="BG2014" t="s">
        <v>98</v>
      </c>
      <c r="BH2014" t="s">
        <v>98</v>
      </c>
      <c r="BI2014" t="s">
        <v>98</v>
      </c>
      <c r="BK2014" t="s">
        <v>7528</v>
      </c>
      <c r="BL2014" t="s">
        <v>7528</v>
      </c>
      <c r="CA2014" t="s">
        <v>6025</v>
      </c>
      <c r="CB2014" t="s">
        <v>7528</v>
      </c>
      <c r="CL2014" t="s">
        <v>98</v>
      </c>
      <c r="CM2014" t="s">
        <v>98</v>
      </c>
      <c r="CN2014" t="s">
        <v>7528</v>
      </c>
      <c r="CO2014" s="1">
        <v>40564</v>
      </c>
      <c r="CP2014" s="1">
        <v>43633</v>
      </c>
    </row>
    <row r="2015" spans="1:94" x14ac:dyDescent="0.25">
      <c r="A2015" t="s">
        <v>6027</v>
      </c>
      <c r="B2015" t="str">
        <f xml:space="preserve"> "" &amp; 747396035369</f>
        <v>747396035369</v>
      </c>
      <c r="C2015" t="s">
        <v>4741</v>
      </c>
      <c r="D2015" t="s">
        <v>7355</v>
      </c>
      <c r="E2015" t="s">
        <v>7528</v>
      </c>
      <c r="F2015" t="s">
        <v>627</v>
      </c>
      <c r="G2015">
        <v>1</v>
      </c>
      <c r="H2015">
        <v>1</v>
      </c>
      <c r="I2015" t="s">
        <v>97</v>
      </c>
      <c r="J2015" s="10">
        <v>5</v>
      </c>
      <c r="K2015" s="10">
        <v>15</v>
      </c>
      <c r="L2015" s="10">
        <v>0</v>
      </c>
      <c r="N2015" s="10">
        <v>0</v>
      </c>
      <c r="W2015">
        <v>0.14000000000000001</v>
      </c>
      <c r="X2015">
        <v>1</v>
      </c>
      <c r="AC2015">
        <v>0.16</v>
      </c>
      <c r="AF2015" t="s">
        <v>7528</v>
      </c>
      <c r="AK2015" t="s">
        <v>98</v>
      </c>
      <c r="AM2015" t="s">
        <v>98</v>
      </c>
      <c r="AN2015" t="s">
        <v>98</v>
      </c>
      <c r="AO2015" t="s">
        <v>98</v>
      </c>
      <c r="AP2015" t="s">
        <v>100</v>
      </c>
      <c r="AQ2015" t="s">
        <v>101</v>
      </c>
      <c r="AV2015" t="s">
        <v>98</v>
      </c>
      <c r="AX2015" t="s">
        <v>7528</v>
      </c>
      <c r="AZ2015" t="s">
        <v>7528</v>
      </c>
      <c r="BB2015" t="s">
        <v>7528</v>
      </c>
      <c r="BC2015" t="s">
        <v>7528</v>
      </c>
      <c r="BD2015" t="s">
        <v>7528</v>
      </c>
      <c r="BF2015" t="s">
        <v>6028</v>
      </c>
      <c r="BG2015" t="s">
        <v>98</v>
      </c>
      <c r="BH2015" t="s">
        <v>98</v>
      </c>
      <c r="BI2015" t="s">
        <v>98</v>
      </c>
      <c r="BK2015" t="s">
        <v>7528</v>
      </c>
      <c r="BL2015" t="s">
        <v>7528</v>
      </c>
      <c r="CA2015" t="s">
        <v>6027</v>
      </c>
      <c r="CB2015" t="s">
        <v>7528</v>
      </c>
      <c r="CL2015" t="s">
        <v>98</v>
      </c>
      <c r="CM2015" t="s">
        <v>98</v>
      </c>
      <c r="CN2015" t="s">
        <v>7528</v>
      </c>
      <c r="CO2015" s="1">
        <v>40567</v>
      </c>
      <c r="CP2015" s="1">
        <v>43633</v>
      </c>
    </row>
    <row r="2016" spans="1:94" x14ac:dyDescent="0.25">
      <c r="A2016" t="s">
        <v>6029</v>
      </c>
      <c r="B2016" t="str">
        <f xml:space="preserve"> "" &amp; 747396035376</f>
        <v>747396035376</v>
      </c>
      <c r="C2016" t="s">
        <v>4741</v>
      </c>
      <c r="D2016" t="s">
        <v>7356</v>
      </c>
      <c r="E2016" t="s">
        <v>7528</v>
      </c>
      <c r="F2016" t="s">
        <v>627</v>
      </c>
      <c r="G2016">
        <v>1</v>
      </c>
      <c r="H2016">
        <v>1</v>
      </c>
      <c r="I2016" t="s">
        <v>97</v>
      </c>
      <c r="J2016" s="10">
        <v>12.5</v>
      </c>
      <c r="K2016" s="10">
        <v>37.5</v>
      </c>
      <c r="L2016" s="10">
        <v>0</v>
      </c>
      <c r="N2016" s="10">
        <v>0</v>
      </c>
      <c r="W2016">
        <v>0.6</v>
      </c>
      <c r="X2016">
        <v>1</v>
      </c>
      <c r="Y2016">
        <v>8.5</v>
      </c>
      <c r="Z2016">
        <v>13.5</v>
      </c>
      <c r="AA2016">
        <v>8</v>
      </c>
      <c r="AB2016">
        <v>0.53100000000000003</v>
      </c>
      <c r="AC2016">
        <v>0.66</v>
      </c>
      <c r="AF2016" t="s">
        <v>7528</v>
      </c>
      <c r="AK2016" t="s">
        <v>98</v>
      </c>
      <c r="AM2016" t="s">
        <v>98</v>
      </c>
      <c r="AN2016" t="s">
        <v>98</v>
      </c>
      <c r="AO2016" t="s">
        <v>98</v>
      </c>
      <c r="AP2016" t="s">
        <v>100</v>
      </c>
      <c r="AQ2016" t="s">
        <v>101</v>
      </c>
      <c r="AV2016" t="s">
        <v>98</v>
      </c>
      <c r="AX2016" t="s">
        <v>7528</v>
      </c>
      <c r="AZ2016" t="s">
        <v>7528</v>
      </c>
      <c r="BB2016" t="s">
        <v>7528</v>
      </c>
      <c r="BC2016" t="s">
        <v>7528</v>
      </c>
      <c r="BD2016" t="s">
        <v>7528</v>
      </c>
      <c r="BF2016" t="s">
        <v>6030</v>
      </c>
      <c r="BG2016" t="s">
        <v>98</v>
      </c>
      <c r="BH2016" t="s">
        <v>98</v>
      </c>
      <c r="BI2016" t="s">
        <v>98</v>
      </c>
      <c r="BK2016" t="s">
        <v>7528</v>
      </c>
      <c r="BL2016" t="s">
        <v>7528</v>
      </c>
      <c r="CA2016" t="s">
        <v>6029</v>
      </c>
      <c r="CB2016" t="s">
        <v>7528</v>
      </c>
      <c r="CL2016" t="s">
        <v>98</v>
      </c>
      <c r="CM2016" t="s">
        <v>98</v>
      </c>
      <c r="CN2016" t="s">
        <v>7528</v>
      </c>
      <c r="CO2016" s="1">
        <v>40567</v>
      </c>
      <c r="CP2016" s="1">
        <v>43633</v>
      </c>
    </row>
    <row r="2017" spans="1:94" x14ac:dyDescent="0.25">
      <c r="A2017" t="s">
        <v>6031</v>
      </c>
      <c r="B2017" t="str">
        <f xml:space="preserve"> "" &amp; 747396035383</f>
        <v>747396035383</v>
      </c>
      <c r="C2017" t="s">
        <v>6032</v>
      </c>
      <c r="D2017" t="s">
        <v>7357</v>
      </c>
      <c r="E2017" t="s">
        <v>7528</v>
      </c>
      <c r="F2017" t="s">
        <v>627</v>
      </c>
      <c r="G2017">
        <v>1</v>
      </c>
      <c r="H2017">
        <v>1</v>
      </c>
      <c r="I2017" t="s">
        <v>97</v>
      </c>
      <c r="J2017" s="10">
        <v>6.5</v>
      </c>
      <c r="K2017" s="10">
        <v>19.5</v>
      </c>
      <c r="L2017" s="10">
        <v>0</v>
      </c>
      <c r="N2017" s="10">
        <v>0</v>
      </c>
      <c r="W2017">
        <v>0.42</v>
      </c>
      <c r="X2017">
        <v>1</v>
      </c>
      <c r="AC2017">
        <v>0.44</v>
      </c>
      <c r="AF2017" t="s">
        <v>7528</v>
      </c>
      <c r="AK2017" t="s">
        <v>98</v>
      </c>
      <c r="AM2017" t="s">
        <v>98</v>
      </c>
      <c r="AN2017" t="s">
        <v>98</v>
      </c>
      <c r="AO2017" t="s">
        <v>98</v>
      </c>
      <c r="AP2017" t="s">
        <v>100</v>
      </c>
      <c r="AQ2017" t="s">
        <v>101</v>
      </c>
      <c r="AV2017" t="s">
        <v>98</v>
      </c>
      <c r="AX2017" t="s">
        <v>7528</v>
      </c>
      <c r="AZ2017" t="s">
        <v>7528</v>
      </c>
      <c r="BB2017" t="s">
        <v>7528</v>
      </c>
      <c r="BC2017" t="s">
        <v>7528</v>
      </c>
      <c r="BD2017" t="s">
        <v>7528</v>
      </c>
      <c r="BF2017" t="s">
        <v>6033</v>
      </c>
      <c r="BG2017" t="s">
        <v>98</v>
      </c>
      <c r="BH2017" t="s">
        <v>98</v>
      </c>
      <c r="BI2017" t="s">
        <v>98</v>
      </c>
      <c r="BK2017" t="s">
        <v>7528</v>
      </c>
      <c r="BL2017" t="s">
        <v>7528</v>
      </c>
      <c r="CA2017" t="s">
        <v>6031</v>
      </c>
      <c r="CB2017" t="s">
        <v>7528</v>
      </c>
      <c r="CL2017" t="s">
        <v>98</v>
      </c>
      <c r="CM2017" t="s">
        <v>98</v>
      </c>
      <c r="CN2017" t="s">
        <v>7528</v>
      </c>
      <c r="CO2017" s="1">
        <v>40567</v>
      </c>
      <c r="CP2017" s="1">
        <v>43633</v>
      </c>
    </row>
    <row r="2018" spans="1:94" x14ac:dyDescent="0.25">
      <c r="A2018" t="s">
        <v>6034</v>
      </c>
      <c r="B2018" t="str">
        <f xml:space="preserve"> "" &amp; 747396035413</f>
        <v>747396035413</v>
      </c>
      <c r="C2018" t="s">
        <v>2569</v>
      </c>
      <c r="D2018" t="s">
        <v>7358</v>
      </c>
      <c r="E2018" t="s">
        <v>7528</v>
      </c>
      <c r="F2018" t="s">
        <v>627</v>
      </c>
      <c r="G2018">
        <v>1</v>
      </c>
      <c r="H2018">
        <v>1</v>
      </c>
      <c r="I2018" t="s">
        <v>97</v>
      </c>
      <c r="J2018" s="10">
        <v>3.5</v>
      </c>
      <c r="K2018" s="10">
        <v>10.5</v>
      </c>
      <c r="L2018" s="10">
        <v>0</v>
      </c>
      <c r="N2018" s="10">
        <v>0</v>
      </c>
      <c r="W2018">
        <v>0.08</v>
      </c>
      <c r="X2018">
        <v>1</v>
      </c>
      <c r="Y2018">
        <v>3.75</v>
      </c>
      <c r="Z2018">
        <v>8.66</v>
      </c>
      <c r="AA2018">
        <v>5.88</v>
      </c>
      <c r="AB2018">
        <v>0.111</v>
      </c>
      <c r="AC2018">
        <v>0.12</v>
      </c>
      <c r="AF2018" t="s">
        <v>7528</v>
      </c>
      <c r="AK2018" t="s">
        <v>98</v>
      </c>
      <c r="AM2018" t="s">
        <v>98</v>
      </c>
      <c r="AN2018" t="s">
        <v>98</v>
      </c>
      <c r="AO2018" t="s">
        <v>98</v>
      </c>
      <c r="AP2018" t="s">
        <v>100</v>
      </c>
      <c r="AQ2018" t="s">
        <v>101</v>
      </c>
      <c r="AV2018" t="s">
        <v>98</v>
      </c>
      <c r="AX2018" t="s">
        <v>7528</v>
      </c>
      <c r="AZ2018" t="s">
        <v>7528</v>
      </c>
      <c r="BB2018" t="s">
        <v>7528</v>
      </c>
      <c r="BC2018" t="s">
        <v>7528</v>
      </c>
      <c r="BD2018" t="s">
        <v>7528</v>
      </c>
      <c r="BF2018" t="s">
        <v>6035</v>
      </c>
      <c r="BG2018" t="s">
        <v>98</v>
      </c>
      <c r="BH2018" t="s">
        <v>98</v>
      </c>
      <c r="BI2018" t="s">
        <v>98</v>
      </c>
      <c r="BK2018" t="s">
        <v>7528</v>
      </c>
      <c r="BL2018" t="s">
        <v>7528</v>
      </c>
      <c r="CA2018" t="s">
        <v>6034</v>
      </c>
      <c r="CB2018" t="s">
        <v>7528</v>
      </c>
      <c r="CL2018" t="s">
        <v>98</v>
      </c>
      <c r="CM2018" t="s">
        <v>98</v>
      </c>
      <c r="CN2018" t="s">
        <v>7528</v>
      </c>
      <c r="CO2018" s="1">
        <v>40574</v>
      </c>
      <c r="CP2018" s="1">
        <v>43633</v>
      </c>
    </row>
    <row r="2019" spans="1:94" x14ac:dyDescent="0.25">
      <c r="A2019" t="s">
        <v>6036</v>
      </c>
      <c r="B2019" t="str">
        <f xml:space="preserve"> "" &amp; 747396035420</f>
        <v>747396035420</v>
      </c>
      <c r="C2019" t="s">
        <v>4741</v>
      </c>
      <c r="D2019" t="s">
        <v>7359</v>
      </c>
      <c r="E2019" t="s">
        <v>7528</v>
      </c>
      <c r="F2019" t="s">
        <v>627</v>
      </c>
      <c r="G2019">
        <v>1</v>
      </c>
      <c r="H2019">
        <v>1</v>
      </c>
      <c r="I2019" t="s">
        <v>97</v>
      </c>
      <c r="J2019" s="10">
        <v>6</v>
      </c>
      <c r="K2019" s="10">
        <v>18</v>
      </c>
      <c r="L2019" s="10">
        <v>0</v>
      </c>
      <c r="N2019" s="10">
        <v>0</v>
      </c>
      <c r="W2019">
        <v>0.32</v>
      </c>
      <c r="X2019">
        <v>1</v>
      </c>
      <c r="Y2019">
        <v>7.48</v>
      </c>
      <c r="Z2019">
        <v>11.02</v>
      </c>
      <c r="AA2019">
        <v>3.15</v>
      </c>
      <c r="AB2019">
        <v>0.15</v>
      </c>
      <c r="AC2019">
        <v>0.37</v>
      </c>
      <c r="AF2019" t="s">
        <v>7528</v>
      </c>
      <c r="AK2019" t="s">
        <v>98</v>
      </c>
      <c r="AM2019" t="s">
        <v>98</v>
      </c>
      <c r="AN2019" t="s">
        <v>98</v>
      </c>
      <c r="AO2019" t="s">
        <v>98</v>
      </c>
      <c r="AP2019" t="s">
        <v>100</v>
      </c>
      <c r="AQ2019" t="s">
        <v>101</v>
      </c>
      <c r="AV2019" t="s">
        <v>98</v>
      </c>
      <c r="AX2019" t="s">
        <v>7528</v>
      </c>
      <c r="AZ2019" t="s">
        <v>7528</v>
      </c>
      <c r="BB2019" t="s">
        <v>7528</v>
      </c>
      <c r="BC2019" t="s">
        <v>7528</v>
      </c>
      <c r="BD2019" t="s">
        <v>7528</v>
      </c>
      <c r="BF2019" t="s">
        <v>6037</v>
      </c>
      <c r="BG2019" t="s">
        <v>98</v>
      </c>
      <c r="BH2019" t="s">
        <v>98</v>
      </c>
      <c r="BI2019" t="s">
        <v>98</v>
      </c>
      <c r="BK2019" t="s">
        <v>7528</v>
      </c>
      <c r="BL2019" t="s">
        <v>7528</v>
      </c>
      <c r="CA2019" t="s">
        <v>6036</v>
      </c>
      <c r="CB2019" t="s">
        <v>7528</v>
      </c>
      <c r="CL2019" t="s">
        <v>98</v>
      </c>
      <c r="CM2019" t="s">
        <v>98</v>
      </c>
      <c r="CN2019" t="s">
        <v>7528</v>
      </c>
      <c r="CO2019" s="1">
        <v>40574</v>
      </c>
      <c r="CP2019" s="1">
        <v>43633</v>
      </c>
    </row>
    <row r="2020" spans="1:94" x14ac:dyDescent="0.25">
      <c r="A2020" t="s">
        <v>6038</v>
      </c>
      <c r="B2020" t="str">
        <f xml:space="preserve"> "" &amp; 747396035444</f>
        <v>747396035444</v>
      </c>
      <c r="C2020" t="s">
        <v>4741</v>
      </c>
      <c r="D2020" t="s">
        <v>7360</v>
      </c>
      <c r="E2020" t="s">
        <v>7528</v>
      </c>
      <c r="F2020" t="s">
        <v>627</v>
      </c>
      <c r="G2020">
        <v>1</v>
      </c>
      <c r="H2020">
        <v>1</v>
      </c>
      <c r="I2020" t="s">
        <v>97</v>
      </c>
      <c r="J2020" s="10">
        <v>4</v>
      </c>
      <c r="K2020" s="10">
        <v>12</v>
      </c>
      <c r="L2020" s="10">
        <v>0</v>
      </c>
      <c r="N2020" s="10">
        <v>0</v>
      </c>
      <c r="W2020">
        <v>0.09</v>
      </c>
      <c r="X2020">
        <v>1</v>
      </c>
      <c r="Y2020">
        <v>3.54</v>
      </c>
      <c r="Z2020">
        <v>11.02</v>
      </c>
      <c r="AA2020">
        <v>4.13</v>
      </c>
      <c r="AB2020">
        <v>9.2999999999999999E-2</v>
      </c>
      <c r="AC2020">
        <v>0.11</v>
      </c>
      <c r="AF2020" t="s">
        <v>7528</v>
      </c>
      <c r="AK2020" t="s">
        <v>98</v>
      </c>
      <c r="AM2020" t="s">
        <v>98</v>
      </c>
      <c r="AN2020" t="s">
        <v>98</v>
      </c>
      <c r="AO2020" t="s">
        <v>98</v>
      </c>
      <c r="AP2020" t="s">
        <v>100</v>
      </c>
      <c r="AQ2020" t="s">
        <v>101</v>
      </c>
      <c r="AV2020" t="s">
        <v>98</v>
      </c>
      <c r="AX2020" t="s">
        <v>7528</v>
      </c>
      <c r="AZ2020" t="s">
        <v>7528</v>
      </c>
      <c r="BB2020" t="s">
        <v>7528</v>
      </c>
      <c r="BC2020" t="s">
        <v>7528</v>
      </c>
      <c r="BD2020" t="s">
        <v>7528</v>
      </c>
      <c r="BF2020" t="s">
        <v>6039</v>
      </c>
      <c r="BG2020" t="s">
        <v>98</v>
      </c>
      <c r="BH2020" t="s">
        <v>98</v>
      </c>
      <c r="BI2020" t="s">
        <v>98</v>
      </c>
      <c r="BK2020" t="s">
        <v>7528</v>
      </c>
      <c r="BL2020" t="s">
        <v>7528</v>
      </c>
      <c r="CA2020" t="s">
        <v>6038</v>
      </c>
      <c r="CB2020" t="s">
        <v>7528</v>
      </c>
      <c r="CL2020" t="s">
        <v>98</v>
      </c>
      <c r="CM2020" t="s">
        <v>98</v>
      </c>
      <c r="CN2020" t="s">
        <v>7528</v>
      </c>
      <c r="CO2020" s="1">
        <v>40574</v>
      </c>
      <c r="CP2020" s="1">
        <v>43633</v>
      </c>
    </row>
    <row r="2021" spans="1:94" x14ac:dyDescent="0.25">
      <c r="A2021" t="s">
        <v>6040</v>
      </c>
      <c r="B2021" t="str">
        <f xml:space="preserve"> "" &amp; 747396052564</f>
        <v>747396052564</v>
      </c>
      <c r="C2021" t="s">
        <v>4741</v>
      </c>
      <c r="D2021" t="s">
        <v>7361</v>
      </c>
      <c r="E2021" t="s">
        <v>7528</v>
      </c>
      <c r="F2021" t="s">
        <v>627</v>
      </c>
      <c r="G2021">
        <v>1</v>
      </c>
      <c r="H2021">
        <v>1</v>
      </c>
      <c r="I2021" t="s">
        <v>97</v>
      </c>
      <c r="J2021" s="10">
        <v>5.5</v>
      </c>
      <c r="K2021" s="10">
        <v>16.5</v>
      </c>
      <c r="L2021" s="10">
        <v>0</v>
      </c>
      <c r="N2021" s="10">
        <v>0</v>
      </c>
      <c r="W2021">
        <v>1</v>
      </c>
      <c r="X2021">
        <v>1</v>
      </c>
      <c r="AC2021">
        <v>0.27</v>
      </c>
      <c r="AF2021" t="s">
        <v>7528</v>
      </c>
      <c r="AK2021" t="s">
        <v>98</v>
      </c>
      <c r="AM2021" t="s">
        <v>98</v>
      </c>
      <c r="AN2021" t="s">
        <v>98</v>
      </c>
      <c r="AO2021" t="s">
        <v>98</v>
      </c>
      <c r="AP2021" t="s">
        <v>100</v>
      </c>
      <c r="AQ2021" t="s">
        <v>101</v>
      </c>
      <c r="AV2021" t="s">
        <v>98</v>
      </c>
      <c r="AX2021" t="s">
        <v>7528</v>
      </c>
      <c r="AZ2021" t="s">
        <v>7528</v>
      </c>
      <c r="BB2021" t="s">
        <v>7528</v>
      </c>
      <c r="BC2021" t="s">
        <v>7528</v>
      </c>
      <c r="BD2021" t="s">
        <v>7528</v>
      </c>
      <c r="BF2021" t="s">
        <v>6041</v>
      </c>
      <c r="BG2021" t="s">
        <v>98</v>
      </c>
      <c r="BH2021" t="s">
        <v>98</v>
      </c>
      <c r="BI2021" t="s">
        <v>98</v>
      </c>
      <c r="BK2021" t="s">
        <v>7528</v>
      </c>
      <c r="BL2021" t="s">
        <v>7528</v>
      </c>
      <c r="CA2021" t="s">
        <v>6040</v>
      </c>
      <c r="CB2021" t="s">
        <v>7528</v>
      </c>
      <c r="CL2021" t="s">
        <v>98</v>
      </c>
      <c r="CM2021" t="s">
        <v>98</v>
      </c>
      <c r="CN2021" t="s">
        <v>7528</v>
      </c>
      <c r="CO2021" s="1">
        <v>40574</v>
      </c>
      <c r="CP2021" s="1">
        <v>43633</v>
      </c>
    </row>
    <row r="2022" spans="1:94" x14ac:dyDescent="0.25">
      <c r="A2022" t="s">
        <v>6042</v>
      </c>
      <c r="B2022" t="str">
        <f xml:space="preserve"> "" &amp; 747396052571</f>
        <v>747396052571</v>
      </c>
      <c r="C2022" t="s">
        <v>4741</v>
      </c>
      <c r="D2022" t="s">
        <v>7362</v>
      </c>
      <c r="E2022" t="s">
        <v>7528</v>
      </c>
      <c r="F2022" t="s">
        <v>627</v>
      </c>
      <c r="G2022">
        <v>1</v>
      </c>
      <c r="H2022">
        <v>1</v>
      </c>
      <c r="I2022" t="s">
        <v>97</v>
      </c>
      <c r="J2022" s="10">
        <v>2.5</v>
      </c>
      <c r="K2022" s="10">
        <v>7.5</v>
      </c>
      <c r="L2022" s="10">
        <v>0</v>
      </c>
      <c r="N2022" s="10">
        <v>0</v>
      </c>
      <c r="W2022">
        <v>1</v>
      </c>
      <c r="X2022">
        <v>1</v>
      </c>
      <c r="AC2022">
        <v>0.12</v>
      </c>
      <c r="AF2022" t="s">
        <v>7528</v>
      </c>
      <c r="AK2022" t="s">
        <v>98</v>
      </c>
      <c r="AM2022" t="s">
        <v>98</v>
      </c>
      <c r="AN2022" t="s">
        <v>98</v>
      </c>
      <c r="AO2022" t="s">
        <v>98</v>
      </c>
      <c r="AP2022" t="s">
        <v>100</v>
      </c>
      <c r="AQ2022" t="s">
        <v>101</v>
      </c>
      <c r="AV2022" t="s">
        <v>98</v>
      </c>
      <c r="AX2022" t="s">
        <v>7528</v>
      </c>
      <c r="AZ2022" t="s">
        <v>7528</v>
      </c>
      <c r="BB2022" t="s">
        <v>7528</v>
      </c>
      <c r="BC2022" t="s">
        <v>7528</v>
      </c>
      <c r="BD2022" t="s">
        <v>7528</v>
      </c>
      <c r="BF2022" t="s">
        <v>6043</v>
      </c>
      <c r="BG2022" t="s">
        <v>98</v>
      </c>
      <c r="BH2022" t="s">
        <v>98</v>
      </c>
      <c r="BI2022" t="s">
        <v>98</v>
      </c>
      <c r="BK2022" t="s">
        <v>7528</v>
      </c>
      <c r="BL2022" t="s">
        <v>7528</v>
      </c>
      <c r="CA2022" t="s">
        <v>6042</v>
      </c>
      <c r="CB2022" t="s">
        <v>7528</v>
      </c>
      <c r="CL2022" t="s">
        <v>98</v>
      </c>
      <c r="CM2022" t="s">
        <v>98</v>
      </c>
      <c r="CN2022" t="s">
        <v>7528</v>
      </c>
      <c r="CO2022" s="1">
        <v>40574</v>
      </c>
      <c r="CP2022" s="1">
        <v>43633</v>
      </c>
    </row>
    <row r="2023" spans="1:94" x14ac:dyDescent="0.25">
      <c r="A2023" t="s">
        <v>6044</v>
      </c>
      <c r="B2023" t="str">
        <f xml:space="preserve"> "" &amp; 747396035512</f>
        <v>747396035512</v>
      </c>
      <c r="C2023" t="s">
        <v>7363</v>
      </c>
      <c r="D2023" t="s">
        <v>7364</v>
      </c>
      <c r="E2023" t="s">
        <v>7528</v>
      </c>
      <c r="F2023" t="s">
        <v>627</v>
      </c>
      <c r="G2023">
        <v>1</v>
      </c>
      <c r="H2023">
        <v>1</v>
      </c>
      <c r="I2023" t="s">
        <v>97</v>
      </c>
      <c r="J2023" s="10">
        <v>20</v>
      </c>
      <c r="K2023" s="10">
        <v>60</v>
      </c>
      <c r="L2023" s="10">
        <v>0</v>
      </c>
      <c r="N2023" s="10">
        <v>0</v>
      </c>
      <c r="W2023">
        <v>1.1000000000000001</v>
      </c>
      <c r="X2023">
        <v>1</v>
      </c>
      <c r="Y2023">
        <v>10.63</v>
      </c>
      <c r="Z2023">
        <v>15.5</v>
      </c>
      <c r="AA2023">
        <v>15.5</v>
      </c>
      <c r="AB2023">
        <v>1.478</v>
      </c>
      <c r="AC2023">
        <v>2.31</v>
      </c>
      <c r="AF2023" t="s">
        <v>7528</v>
      </c>
      <c r="AK2023" t="s">
        <v>98</v>
      </c>
      <c r="AM2023" t="s">
        <v>98</v>
      </c>
      <c r="AN2023" t="s">
        <v>98</v>
      </c>
      <c r="AO2023" t="s">
        <v>98</v>
      </c>
      <c r="AP2023" t="s">
        <v>100</v>
      </c>
      <c r="AQ2023" t="s">
        <v>101</v>
      </c>
      <c r="AV2023" t="s">
        <v>98</v>
      </c>
      <c r="AX2023" t="s">
        <v>7528</v>
      </c>
      <c r="AZ2023" t="s">
        <v>7528</v>
      </c>
      <c r="BB2023" t="s">
        <v>7528</v>
      </c>
      <c r="BC2023" t="s">
        <v>7528</v>
      </c>
      <c r="BD2023" t="s">
        <v>7528</v>
      </c>
      <c r="BF2023" t="s">
        <v>6045</v>
      </c>
      <c r="BG2023" t="s">
        <v>98</v>
      </c>
      <c r="BH2023" t="s">
        <v>98</v>
      </c>
      <c r="BI2023" t="s">
        <v>98</v>
      </c>
      <c r="BK2023" t="s">
        <v>7528</v>
      </c>
      <c r="BL2023" t="s">
        <v>7528</v>
      </c>
      <c r="CA2023" t="s">
        <v>6044</v>
      </c>
      <c r="CB2023" t="s">
        <v>7528</v>
      </c>
      <c r="CL2023" t="s">
        <v>98</v>
      </c>
      <c r="CM2023" t="s">
        <v>98</v>
      </c>
      <c r="CN2023" t="s">
        <v>7528</v>
      </c>
      <c r="CO2023" s="1">
        <v>40574</v>
      </c>
      <c r="CP2023" s="1">
        <v>43633</v>
      </c>
    </row>
    <row r="2024" spans="1:94" x14ac:dyDescent="0.25">
      <c r="A2024" t="s">
        <v>6046</v>
      </c>
      <c r="B2024" t="str">
        <f xml:space="preserve"> "" &amp; 747396035529</f>
        <v>747396035529</v>
      </c>
      <c r="C2024" t="s">
        <v>7365</v>
      </c>
      <c r="D2024" t="s">
        <v>7366</v>
      </c>
      <c r="E2024" t="s">
        <v>7528</v>
      </c>
      <c r="F2024" t="s">
        <v>627</v>
      </c>
      <c r="G2024">
        <v>1</v>
      </c>
      <c r="H2024">
        <v>1</v>
      </c>
      <c r="I2024" t="s">
        <v>97</v>
      </c>
      <c r="J2024" s="10">
        <v>60</v>
      </c>
      <c r="K2024" s="10">
        <v>180</v>
      </c>
      <c r="L2024" s="10">
        <v>0</v>
      </c>
      <c r="N2024" s="10">
        <v>0</v>
      </c>
      <c r="W2024">
        <v>3.08</v>
      </c>
      <c r="X2024">
        <v>1</v>
      </c>
      <c r="Y2024">
        <v>13.63</v>
      </c>
      <c r="Z2024">
        <v>34</v>
      </c>
      <c r="AA2024">
        <v>22.86</v>
      </c>
      <c r="AB2024">
        <v>6.1310000000000002</v>
      </c>
      <c r="AC2024">
        <v>5.79</v>
      </c>
      <c r="AF2024" t="s">
        <v>7528</v>
      </c>
      <c r="AK2024" t="s">
        <v>98</v>
      </c>
      <c r="AM2024" t="s">
        <v>98</v>
      </c>
      <c r="AN2024" t="s">
        <v>98</v>
      </c>
      <c r="AO2024" t="s">
        <v>98</v>
      </c>
      <c r="AP2024" t="s">
        <v>100</v>
      </c>
      <c r="AQ2024" t="s">
        <v>101</v>
      </c>
      <c r="AV2024" t="s">
        <v>98</v>
      </c>
      <c r="AX2024" t="s">
        <v>7528</v>
      </c>
      <c r="AZ2024" t="s">
        <v>7528</v>
      </c>
      <c r="BB2024" t="s">
        <v>7528</v>
      </c>
      <c r="BC2024" t="s">
        <v>7528</v>
      </c>
      <c r="BD2024" t="s">
        <v>7528</v>
      </c>
      <c r="BF2024" t="s">
        <v>6047</v>
      </c>
      <c r="BG2024" t="s">
        <v>98</v>
      </c>
      <c r="BH2024" t="s">
        <v>98</v>
      </c>
      <c r="BI2024" t="s">
        <v>98</v>
      </c>
      <c r="BK2024" t="s">
        <v>7528</v>
      </c>
      <c r="BL2024" t="s">
        <v>7528</v>
      </c>
      <c r="CA2024" t="s">
        <v>6046</v>
      </c>
      <c r="CB2024" t="s">
        <v>7528</v>
      </c>
      <c r="CL2024" t="s">
        <v>98</v>
      </c>
      <c r="CM2024" t="s">
        <v>98</v>
      </c>
      <c r="CN2024" t="s">
        <v>7528</v>
      </c>
      <c r="CO2024" s="1">
        <v>40574</v>
      </c>
      <c r="CP2024" s="1">
        <v>43633</v>
      </c>
    </row>
    <row r="2025" spans="1:94" x14ac:dyDescent="0.25">
      <c r="A2025" t="s">
        <v>6048</v>
      </c>
      <c r="B2025" t="str">
        <f xml:space="preserve"> "" &amp; 747396035536</f>
        <v>747396035536</v>
      </c>
      <c r="C2025" t="s">
        <v>7367</v>
      </c>
      <c r="D2025" t="s">
        <v>7368</v>
      </c>
      <c r="E2025" t="s">
        <v>7528</v>
      </c>
      <c r="F2025" t="s">
        <v>627</v>
      </c>
      <c r="G2025">
        <v>1</v>
      </c>
      <c r="H2025">
        <v>1</v>
      </c>
      <c r="I2025" t="s">
        <v>97</v>
      </c>
      <c r="J2025" s="10">
        <v>70</v>
      </c>
      <c r="K2025" s="10">
        <v>210</v>
      </c>
      <c r="L2025" s="10">
        <v>0</v>
      </c>
      <c r="N2025" s="10">
        <v>0</v>
      </c>
      <c r="W2025">
        <v>2.42</v>
      </c>
      <c r="X2025">
        <v>1</v>
      </c>
      <c r="Y2025">
        <v>17.125</v>
      </c>
      <c r="Z2025">
        <v>28.625</v>
      </c>
      <c r="AA2025">
        <v>14.5</v>
      </c>
      <c r="AB2025">
        <v>4.1130000000000004</v>
      </c>
      <c r="AC2025">
        <v>8.58</v>
      </c>
      <c r="AF2025" t="s">
        <v>7528</v>
      </c>
      <c r="AK2025" t="s">
        <v>98</v>
      </c>
      <c r="AM2025" t="s">
        <v>98</v>
      </c>
      <c r="AN2025" t="s">
        <v>98</v>
      </c>
      <c r="AO2025" t="s">
        <v>98</v>
      </c>
      <c r="AP2025" t="s">
        <v>100</v>
      </c>
      <c r="AQ2025" t="s">
        <v>101</v>
      </c>
      <c r="AV2025" t="s">
        <v>98</v>
      </c>
      <c r="AX2025" t="s">
        <v>7528</v>
      </c>
      <c r="AZ2025" t="s">
        <v>7528</v>
      </c>
      <c r="BB2025" t="s">
        <v>7528</v>
      </c>
      <c r="BC2025" t="s">
        <v>7528</v>
      </c>
      <c r="BD2025" t="s">
        <v>7528</v>
      </c>
      <c r="BF2025" t="s">
        <v>6049</v>
      </c>
      <c r="BG2025" t="s">
        <v>98</v>
      </c>
      <c r="BH2025" t="s">
        <v>98</v>
      </c>
      <c r="BI2025" t="s">
        <v>98</v>
      </c>
      <c r="BK2025" t="s">
        <v>7528</v>
      </c>
      <c r="BL2025" t="s">
        <v>7528</v>
      </c>
      <c r="CA2025" t="s">
        <v>6048</v>
      </c>
      <c r="CB2025" t="s">
        <v>7528</v>
      </c>
      <c r="CL2025" t="s">
        <v>98</v>
      </c>
      <c r="CM2025" t="s">
        <v>98</v>
      </c>
      <c r="CN2025" t="s">
        <v>7528</v>
      </c>
      <c r="CO2025" s="1">
        <v>40574</v>
      </c>
      <c r="CP2025" s="1">
        <v>43633</v>
      </c>
    </row>
    <row r="2026" spans="1:94" x14ac:dyDescent="0.25">
      <c r="A2026" t="s">
        <v>6050</v>
      </c>
      <c r="B2026" t="str">
        <f xml:space="preserve"> "" &amp; 747396035550</f>
        <v>747396035550</v>
      </c>
      <c r="C2026" t="s">
        <v>7369</v>
      </c>
      <c r="D2026" t="s">
        <v>7369</v>
      </c>
      <c r="E2026" t="s">
        <v>7528</v>
      </c>
      <c r="F2026" t="s">
        <v>627</v>
      </c>
      <c r="G2026">
        <v>1</v>
      </c>
      <c r="H2026">
        <v>1</v>
      </c>
      <c r="I2026" t="s">
        <v>97</v>
      </c>
      <c r="J2026" s="10">
        <v>34.5</v>
      </c>
      <c r="K2026" s="10">
        <v>103.5</v>
      </c>
      <c r="L2026" s="10">
        <v>0</v>
      </c>
      <c r="N2026" s="10">
        <v>0</v>
      </c>
      <c r="W2026">
        <v>3.63</v>
      </c>
      <c r="X2026">
        <v>1</v>
      </c>
      <c r="Y2026">
        <v>17.75</v>
      </c>
      <c r="Z2026">
        <v>25.62</v>
      </c>
      <c r="AA2026">
        <v>13.25</v>
      </c>
      <c r="AB2026">
        <v>3.4870000000000001</v>
      </c>
      <c r="AC2026">
        <v>9.02</v>
      </c>
      <c r="AF2026" t="s">
        <v>7528</v>
      </c>
      <c r="AK2026" t="s">
        <v>98</v>
      </c>
      <c r="AM2026" t="s">
        <v>98</v>
      </c>
      <c r="AN2026" t="s">
        <v>98</v>
      </c>
      <c r="AO2026" t="s">
        <v>98</v>
      </c>
      <c r="AP2026" t="s">
        <v>100</v>
      </c>
      <c r="AQ2026" t="s">
        <v>101</v>
      </c>
      <c r="AV2026" t="s">
        <v>98</v>
      </c>
      <c r="AX2026" t="s">
        <v>7528</v>
      </c>
      <c r="AZ2026" t="s">
        <v>7528</v>
      </c>
      <c r="BB2026" t="s">
        <v>7528</v>
      </c>
      <c r="BC2026" t="s">
        <v>7528</v>
      </c>
      <c r="BD2026" t="s">
        <v>7528</v>
      </c>
      <c r="BF2026" t="s">
        <v>6051</v>
      </c>
      <c r="BG2026" t="s">
        <v>98</v>
      </c>
      <c r="BH2026" t="s">
        <v>98</v>
      </c>
      <c r="BI2026" t="s">
        <v>98</v>
      </c>
      <c r="BK2026" t="s">
        <v>7528</v>
      </c>
      <c r="BL2026" t="s">
        <v>7528</v>
      </c>
      <c r="CA2026" t="s">
        <v>6050</v>
      </c>
      <c r="CB2026" t="s">
        <v>7528</v>
      </c>
      <c r="CL2026" t="s">
        <v>98</v>
      </c>
      <c r="CM2026" t="s">
        <v>98</v>
      </c>
      <c r="CN2026" t="s">
        <v>7528</v>
      </c>
      <c r="CO2026" s="1">
        <v>40574</v>
      </c>
      <c r="CP2026" s="1">
        <v>43633</v>
      </c>
    </row>
    <row r="2027" spans="1:94" x14ac:dyDescent="0.25">
      <c r="A2027" t="s">
        <v>6052</v>
      </c>
      <c r="B2027" t="str">
        <f xml:space="preserve"> "" &amp; 747396035604</f>
        <v>747396035604</v>
      </c>
      <c r="C2027" t="s">
        <v>2607</v>
      </c>
      <c r="D2027" t="s">
        <v>7370</v>
      </c>
      <c r="E2027" t="s">
        <v>7528</v>
      </c>
      <c r="F2027" t="s">
        <v>627</v>
      </c>
      <c r="G2027">
        <v>1</v>
      </c>
      <c r="H2027">
        <v>1</v>
      </c>
      <c r="I2027" t="s">
        <v>97</v>
      </c>
      <c r="J2027" s="10">
        <v>35</v>
      </c>
      <c r="K2027" s="10">
        <v>105</v>
      </c>
      <c r="L2027" s="10">
        <v>0</v>
      </c>
      <c r="N2027" s="10">
        <v>0</v>
      </c>
      <c r="S2027">
        <v>4.75</v>
      </c>
      <c r="U2027">
        <v>0.75</v>
      </c>
      <c r="W2027">
        <v>1.32</v>
      </c>
      <c r="X2027">
        <v>1</v>
      </c>
      <c r="Y2027">
        <v>16.75</v>
      </c>
      <c r="Z2027">
        <v>33</v>
      </c>
      <c r="AA2027">
        <v>11.5</v>
      </c>
      <c r="AB2027">
        <v>3.6789999999999998</v>
      </c>
      <c r="AC2027">
        <v>3.3</v>
      </c>
      <c r="AF2027" t="s">
        <v>7528</v>
      </c>
      <c r="AK2027" t="s">
        <v>98</v>
      </c>
      <c r="AM2027" t="s">
        <v>98</v>
      </c>
      <c r="AN2027" t="s">
        <v>98</v>
      </c>
      <c r="AO2027" t="s">
        <v>98</v>
      </c>
      <c r="AP2027" t="s">
        <v>100</v>
      </c>
      <c r="AQ2027" t="s">
        <v>101</v>
      </c>
      <c r="AV2027" t="s">
        <v>98</v>
      </c>
      <c r="AX2027" t="s">
        <v>7528</v>
      </c>
      <c r="AZ2027" t="s">
        <v>7528</v>
      </c>
      <c r="BB2027" t="s">
        <v>7528</v>
      </c>
      <c r="BC2027" t="s">
        <v>7528</v>
      </c>
      <c r="BD2027" t="s">
        <v>7528</v>
      </c>
      <c r="BF2027" t="s">
        <v>6053</v>
      </c>
      <c r="BG2027" t="s">
        <v>98</v>
      </c>
      <c r="BH2027" t="s">
        <v>98</v>
      </c>
      <c r="BI2027" t="s">
        <v>98</v>
      </c>
      <c r="BK2027" t="s">
        <v>7528</v>
      </c>
      <c r="BL2027" t="s">
        <v>7528</v>
      </c>
      <c r="CA2027" t="s">
        <v>6052</v>
      </c>
      <c r="CB2027" t="s">
        <v>7528</v>
      </c>
      <c r="CL2027" t="s">
        <v>98</v>
      </c>
      <c r="CM2027" t="s">
        <v>98</v>
      </c>
      <c r="CN2027" t="s">
        <v>7528</v>
      </c>
      <c r="CO2027" s="1">
        <v>40317</v>
      </c>
      <c r="CP2027" s="1">
        <v>43633</v>
      </c>
    </row>
    <row r="2028" spans="1:94" x14ac:dyDescent="0.25">
      <c r="A2028" t="s">
        <v>6055</v>
      </c>
      <c r="B2028" t="str">
        <f xml:space="preserve"> "" &amp; 747396035673</f>
        <v>747396035673</v>
      </c>
      <c r="C2028" t="s">
        <v>6019</v>
      </c>
      <c r="D2028" t="s">
        <v>7371</v>
      </c>
      <c r="E2028" t="s">
        <v>7528</v>
      </c>
      <c r="F2028" t="s">
        <v>627</v>
      </c>
      <c r="G2028">
        <v>1</v>
      </c>
      <c r="H2028">
        <v>1</v>
      </c>
      <c r="I2028" t="s">
        <v>97</v>
      </c>
      <c r="J2028" s="10">
        <v>14.5</v>
      </c>
      <c r="K2028" s="10">
        <v>43.5</v>
      </c>
      <c r="L2028" s="10">
        <v>0</v>
      </c>
      <c r="N2028" s="10">
        <v>0</v>
      </c>
      <c r="W2028">
        <v>0.9</v>
      </c>
      <c r="X2028">
        <v>1</v>
      </c>
      <c r="Y2028">
        <v>28.74</v>
      </c>
      <c r="Z2028">
        <v>9.65</v>
      </c>
      <c r="AA2028">
        <v>8.66</v>
      </c>
      <c r="AB2028">
        <v>1.39</v>
      </c>
      <c r="AC2028">
        <v>1.58</v>
      </c>
      <c r="AF2028" t="s">
        <v>7528</v>
      </c>
      <c r="AK2028" t="s">
        <v>98</v>
      </c>
      <c r="AM2028" t="s">
        <v>98</v>
      </c>
      <c r="AN2028" t="s">
        <v>98</v>
      </c>
      <c r="AO2028" t="s">
        <v>98</v>
      </c>
      <c r="AP2028" t="s">
        <v>100</v>
      </c>
      <c r="AQ2028" t="s">
        <v>101</v>
      </c>
      <c r="AV2028" t="s">
        <v>98</v>
      </c>
      <c r="AX2028" t="s">
        <v>7528</v>
      </c>
      <c r="AZ2028" t="s">
        <v>7528</v>
      </c>
      <c r="BB2028" t="s">
        <v>7528</v>
      </c>
      <c r="BC2028" t="s">
        <v>7528</v>
      </c>
      <c r="BD2028" t="s">
        <v>7528</v>
      </c>
      <c r="BF2028" t="s">
        <v>6056</v>
      </c>
      <c r="BG2028" t="s">
        <v>98</v>
      </c>
      <c r="BH2028" t="s">
        <v>98</v>
      </c>
      <c r="BI2028" t="s">
        <v>98</v>
      </c>
      <c r="BK2028" t="s">
        <v>7528</v>
      </c>
      <c r="BL2028" t="s">
        <v>7528</v>
      </c>
      <c r="CA2028" t="s">
        <v>6055</v>
      </c>
      <c r="CB2028" t="s">
        <v>7528</v>
      </c>
      <c r="CL2028" t="s">
        <v>98</v>
      </c>
      <c r="CM2028" t="s">
        <v>98</v>
      </c>
      <c r="CN2028" t="s">
        <v>7528</v>
      </c>
      <c r="CO2028" s="1">
        <v>40305</v>
      </c>
      <c r="CP2028" s="1">
        <v>43633</v>
      </c>
    </row>
    <row r="2029" spans="1:94" x14ac:dyDescent="0.25">
      <c r="A2029" t="s">
        <v>6057</v>
      </c>
      <c r="B2029" t="str">
        <f xml:space="preserve"> "" &amp; 747396035680</f>
        <v>747396035680</v>
      </c>
      <c r="C2029" t="s">
        <v>6054</v>
      </c>
      <c r="D2029" t="s">
        <v>7372</v>
      </c>
      <c r="E2029" t="s">
        <v>7528</v>
      </c>
      <c r="F2029" t="s">
        <v>627</v>
      </c>
      <c r="G2029">
        <v>1</v>
      </c>
      <c r="H2029">
        <v>1</v>
      </c>
      <c r="I2029" t="s">
        <v>97</v>
      </c>
      <c r="J2029" s="10">
        <v>24.5</v>
      </c>
      <c r="K2029" s="10">
        <v>73.5</v>
      </c>
      <c r="L2029" s="10">
        <v>0</v>
      </c>
      <c r="N2029" s="10">
        <v>0</v>
      </c>
      <c r="W2029">
        <v>1.78</v>
      </c>
      <c r="X2029">
        <v>1</v>
      </c>
      <c r="Y2029">
        <v>12.25</v>
      </c>
      <c r="Z2029">
        <v>10.25</v>
      </c>
      <c r="AA2029">
        <v>10.25</v>
      </c>
      <c r="AB2029">
        <v>0.745</v>
      </c>
      <c r="AC2029">
        <v>2.62</v>
      </c>
      <c r="AF2029" t="s">
        <v>7528</v>
      </c>
      <c r="AK2029" t="s">
        <v>98</v>
      </c>
      <c r="AM2029" t="s">
        <v>98</v>
      </c>
      <c r="AN2029" t="s">
        <v>98</v>
      </c>
      <c r="AO2029" t="s">
        <v>98</v>
      </c>
      <c r="AP2029" t="s">
        <v>100</v>
      </c>
      <c r="AQ2029" t="s">
        <v>101</v>
      </c>
      <c r="AV2029" t="s">
        <v>98</v>
      </c>
      <c r="AX2029" t="s">
        <v>7528</v>
      </c>
      <c r="AZ2029" t="s">
        <v>7528</v>
      </c>
      <c r="BB2029" t="s">
        <v>7528</v>
      </c>
      <c r="BC2029" t="s">
        <v>7528</v>
      </c>
      <c r="BD2029" t="s">
        <v>7528</v>
      </c>
      <c r="BF2029" t="s">
        <v>6058</v>
      </c>
      <c r="BG2029" t="s">
        <v>98</v>
      </c>
      <c r="BH2029" t="s">
        <v>98</v>
      </c>
      <c r="BI2029" t="s">
        <v>98</v>
      </c>
      <c r="BK2029" t="s">
        <v>7528</v>
      </c>
      <c r="BL2029" t="s">
        <v>7528</v>
      </c>
      <c r="CA2029" t="s">
        <v>6057</v>
      </c>
      <c r="CB2029" t="s">
        <v>7528</v>
      </c>
      <c r="CL2029" t="s">
        <v>98</v>
      </c>
      <c r="CM2029" t="s">
        <v>98</v>
      </c>
      <c r="CN2029" t="s">
        <v>7528</v>
      </c>
      <c r="CO2029" s="1">
        <v>40575</v>
      </c>
      <c r="CP2029" s="1">
        <v>43633</v>
      </c>
    </row>
    <row r="2030" spans="1:94" x14ac:dyDescent="0.25">
      <c r="A2030" t="s">
        <v>6059</v>
      </c>
      <c r="B2030" t="str">
        <f xml:space="preserve"> "" &amp; 747396035697</f>
        <v>747396035697</v>
      </c>
      <c r="C2030" t="s">
        <v>4741</v>
      </c>
      <c r="D2030" t="s">
        <v>7373</v>
      </c>
      <c r="E2030" t="s">
        <v>7528</v>
      </c>
      <c r="F2030" t="s">
        <v>627</v>
      </c>
      <c r="G2030">
        <v>1</v>
      </c>
      <c r="H2030">
        <v>1</v>
      </c>
      <c r="I2030" t="s">
        <v>97</v>
      </c>
      <c r="J2030" s="10">
        <v>24.5</v>
      </c>
      <c r="K2030" s="10">
        <v>73.5</v>
      </c>
      <c r="L2030" s="10">
        <v>0</v>
      </c>
      <c r="N2030" s="10">
        <v>0</v>
      </c>
      <c r="W2030">
        <v>2.2599999999999998</v>
      </c>
      <c r="X2030">
        <v>1</v>
      </c>
      <c r="Y2030">
        <v>18.7</v>
      </c>
      <c r="Z2030">
        <v>12.2</v>
      </c>
      <c r="AA2030">
        <v>10.24</v>
      </c>
      <c r="AB2030">
        <v>1.3520000000000001</v>
      </c>
      <c r="AC2030">
        <v>2.63</v>
      </c>
      <c r="AF2030" t="s">
        <v>7528</v>
      </c>
      <c r="AK2030" t="s">
        <v>98</v>
      </c>
      <c r="AM2030" t="s">
        <v>98</v>
      </c>
      <c r="AN2030" t="s">
        <v>98</v>
      </c>
      <c r="AO2030" t="s">
        <v>98</v>
      </c>
      <c r="AP2030" t="s">
        <v>100</v>
      </c>
      <c r="AQ2030" t="s">
        <v>101</v>
      </c>
      <c r="AV2030" t="s">
        <v>98</v>
      </c>
      <c r="AX2030" t="s">
        <v>7528</v>
      </c>
      <c r="AZ2030" t="s">
        <v>7528</v>
      </c>
      <c r="BB2030" t="s">
        <v>7528</v>
      </c>
      <c r="BC2030" t="s">
        <v>7528</v>
      </c>
      <c r="BD2030" t="s">
        <v>7528</v>
      </c>
      <c r="BF2030" t="s">
        <v>6060</v>
      </c>
      <c r="BG2030" t="s">
        <v>98</v>
      </c>
      <c r="BH2030" t="s">
        <v>98</v>
      </c>
      <c r="BI2030" t="s">
        <v>98</v>
      </c>
      <c r="BK2030" t="s">
        <v>7528</v>
      </c>
      <c r="BL2030" t="s">
        <v>7528</v>
      </c>
      <c r="CA2030" t="s">
        <v>6059</v>
      </c>
      <c r="CB2030" t="s">
        <v>7528</v>
      </c>
      <c r="CL2030" t="s">
        <v>98</v>
      </c>
      <c r="CM2030" t="s">
        <v>98</v>
      </c>
      <c r="CN2030" t="s">
        <v>7528</v>
      </c>
      <c r="CO2030" s="1">
        <v>40576</v>
      </c>
      <c r="CP2030" s="1">
        <v>43633</v>
      </c>
    </row>
    <row r="2031" spans="1:94" x14ac:dyDescent="0.25">
      <c r="A2031" t="s">
        <v>6061</v>
      </c>
      <c r="B2031" t="str">
        <f xml:space="preserve"> "" &amp; 747396035710</f>
        <v>747396035710</v>
      </c>
      <c r="C2031" t="s">
        <v>4741</v>
      </c>
      <c r="D2031" t="s">
        <v>7374</v>
      </c>
      <c r="E2031" t="s">
        <v>7528</v>
      </c>
      <c r="F2031" t="s">
        <v>627</v>
      </c>
      <c r="G2031">
        <v>1</v>
      </c>
      <c r="H2031">
        <v>1</v>
      </c>
      <c r="I2031" t="s">
        <v>97</v>
      </c>
      <c r="J2031" s="10">
        <v>48.5</v>
      </c>
      <c r="K2031" s="10">
        <v>145.5</v>
      </c>
      <c r="L2031" s="10">
        <v>0</v>
      </c>
      <c r="N2031" s="10">
        <v>0</v>
      </c>
      <c r="W2031">
        <v>4.2699999999999996</v>
      </c>
      <c r="X2031">
        <v>1</v>
      </c>
      <c r="Y2031">
        <v>14.57</v>
      </c>
      <c r="Z2031">
        <v>12.2</v>
      </c>
      <c r="AA2031">
        <v>12.2</v>
      </c>
      <c r="AB2031">
        <v>1.2549999999999999</v>
      </c>
      <c r="AC2031">
        <v>4.51</v>
      </c>
      <c r="AF2031" t="s">
        <v>7528</v>
      </c>
      <c r="AK2031" t="s">
        <v>98</v>
      </c>
      <c r="AM2031" t="s">
        <v>98</v>
      </c>
      <c r="AN2031" t="s">
        <v>98</v>
      </c>
      <c r="AO2031" t="s">
        <v>98</v>
      </c>
      <c r="AP2031" t="s">
        <v>100</v>
      </c>
      <c r="AQ2031" t="s">
        <v>101</v>
      </c>
      <c r="AV2031" t="s">
        <v>98</v>
      </c>
      <c r="AX2031" t="s">
        <v>7528</v>
      </c>
      <c r="AZ2031" t="s">
        <v>7528</v>
      </c>
      <c r="BB2031" t="s">
        <v>7528</v>
      </c>
      <c r="BC2031" t="s">
        <v>7528</v>
      </c>
      <c r="BD2031" t="s">
        <v>7528</v>
      </c>
      <c r="BF2031" t="s">
        <v>6062</v>
      </c>
      <c r="BG2031" t="s">
        <v>98</v>
      </c>
      <c r="BH2031" t="s">
        <v>98</v>
      </c>
      <c r="BI2031" t="s">
        <v>98</v>
      </c>
      <c r="BK2031" t="s">
        <v>7528</v>
      </c>
      <c r="BL2031" t="s">
        <v>7528</v>
      </c>
      <c r="CA2031" t="s">
        <v>6061</v>
      </c>
      <c r="CB2031" t="s">
        <v>7528</v>
      </c>
      <c r="CL2031" t="s">
        <v>98</v>
      </c>
      <c r="CM2031" t="s">
        <v>98</v>
      </c>
      <c r="CN2031" t="s">
        <v>7528</v>
      </c>
      <c r="CO2031" s="1">
        <v>40576</v>
      </c>
      <c r="CP2031" s="1">
        <v>43633</v>
      </c>
    </row>
    <row r="2032" spans="1:94" x14ac:dyDescent="0.25">
      <c r="A2032" t="s">
        <v>6063</v>
      </c>
      <c r="B2032" t="str">
        <f xml:space="preserve"> "" &amp; 747396035727</f>
        <v>747396035727</v>
      </c>
      <c r="C2032" t="s">
        <v>6054</v>
      </c>
      <c r="D2032" t="s">
        <v>7375</v>
      </c>
      <c r="E2032" t="s">
        <v>7528</v>
      </c>
      <c r="F2032" t="s">
        <v>627</v>
      </c>
      <c r="G2032">
        <v>1</v>
      </c>
      <c r="H2032">
        <v>1</v>
      </c>
      <c r="I2032" t="s">
        <v>97</v>
      </c>
      <c r="J2032" s="10">
        <v>95</v>
      </c>
      <c r="K2032" s="10">
        <v>285</v>
      </c>
      <c r="L2032" s="10">
        <v>0</v>
      </c>
      <c r="N2032" s="10">
        <v>0</v>
      </c>
      <c r="W2032">
        <v>1.72</v>
      </c>
      <c r="X2032">
        <v>1</v>
      </c>
      <c r="Y2032">
        <v>16.5</v>
      </c>
      <c r="Z2032">
        <v>14</v>
      </c>
      <c r="AA2032">
        <v>14</v>
      </c>
      <c r="AB2032">
        <v>1.8720000000000001</v>
      </c>
      <c r="AC2032">
        <v>2.2000000000000002</v>
      </c>
      <c r="AF2032" t="s">
        <v>7528</v>
      </c>
      <c r="AK2032" t="s">
        <v>98</v>
      </c>
      <c r="AM2032" t="s">
        <v>98</v>
      </c>
      <c r="AN2032" t="s">
        <v>98</v>
      </c>
      <c r="AO2032" t="s">
        <v>98</v>
      </c>
      <c r="AP2032" t="s">
        <v>100</v>
      </c>
      <c r="AQ2032" t="s">
        <v>101</v>
      </c>
      <c r="AV2032" t="s">
        <v>98</v>
      </c>
      <c r="AX2032" t="s">
        <v>7528</v>
      </c>
      <c r="AZ2032" t="s">
        <v>7528</v>
      </c>
      <c r="BB2032" t="s">
        <v>7528</v>
      </c>
      <c r="BC2032" t="s">
        <v>7528</v>
      </c>
      <c r="BD2032" t="s">
        <v>7528</v>
      </c>
      <c r="BF2032" t="s">
        <v>6064</v>
      </c>
      <c r="BG2032" t="s">
        <v>98</v>
      </c>
      <c r="BH2032" t="s">
        <v>98</v>
      </c>
      <c r="BI2032" t="s">
        <v>98</v>
      </c>
      <c r="BK2032" t="s">
        <v>7528</v>
      </c>
      <c r="BL2032" t="s">
        <v>7528</v>
      </c>
      <c r="CA2032" t="s">
        <v>6063</v>
      </c>
      <c r="CB2032" t="s">
        <v>7528</v>
      </c>
      <c r="CL2032" t="s">
        <v>98</v>
      </c>
      <c r="CM2032" t="s">
        <v>98</v>
      </c>
      <c r="CN2032" t="s">
        <v>7528</v>
      </c>
      <c r="CO2032" s="1">
        <v>40575</v>
      </c>
      <c r="CP2032" s="1">
        <v>43633</v>
      </c>
    </row>
    <row r="2033" spans="1:94" x14ac:dyDescent="0.25">
      <c r="A2033" t="s">
        <v>6065</v>
      </c>
      <c r="B2033" t="str">
        <f xml:space="preserve"> "" &amp; 747396035888</f>
        <v>747396035888</v>
      </c>
      <c r="C2033" t="s">
        <v>6066</v>
      </c>
      <c r="D2033" t="s">
        <v>7376</v>
      </c>
      <c r="E2033" t="s">
        <v>7528</v>
      </c>
      <c r="F2033" t="s">
        <v>627</v>
      </c>
      <c r="G2033">
        <v>1</v>
      </c>
      <c r="H2033">
        <v>1</v>
      </c>
      <c r="I2033" t="s">
        <v>97</v>
      </c>
      <c r="J2033" s="10">
        <v>45</v>
      </c>
      <c r="K2033" s="10">
        <v>135</v>
      </c>
      <c r="L2033" s="10">
        <v>0</v>
      </c>
      <c r="N2033" s="10">
        <v>0</v>
      </c>
      <c r="S2033">
        <v>8.25</v>
      </c>
      <c r="U2033">
        <v>6.25</v>
      </c>
      <c r="W2033">
        <v>1.76</v>
      </c>
      <c r="X2033">
        <v>1</v>
      </c>
      <c r="Y2033">
        <v>13.5</v>
      </c>
      <c r="Z2033">
        <v>32.75</v>
      </c>
      <c r="AA2033">
        <v>21.63</v>
      </c>
      <c r="AB2033">
        <v>5.5339999999999998</v>
      </c>
      <c r="AC2033">
        <v>4.4000000000000004</v>
      </c>
      <c r="AF2033" t="s">
        <v>7528</v>
      </c>
      <c r="AK2033" t="s">
        <v>98</v>
      </c>
      <c r="AM2033" t="s">
        <v>98</v>
      </c>
      <c r="AN2033" t="s">
        <v>98</v>
      </c>
      <c r="AO2033" t="s">
        <v>98</v>
      </c>
      <c r="AP2033" t="s">
        <v>100</v>
      </c>
      <c r="AQ2033" t="s">
        <v>101</v>
      </c>
      <c r="AV2033" t="s">
        <v>98</v>
      </c>
      <c r="AX2033" t="s">
        <v>7528</v>
      </c>
      <c r="AZ2033" t="s">
        <v>7528</v>
      </c>
      <c r="BB2033" t="s">
        <v>7528</v>
      </c>
      <c r="BC2033" t="s">
        <v>7528</v>
      </c>
      <c r="BD2033" t="s">
        <v>7528</v>
      </c>
      <c r="BF2033" t="s">
        <v>6067</v>
      </c>
      <c r="BG2033" t="s">
        <v>98</v>
      </c>
      <c r="BH2033" t="s">
        <v>98</v>
      </c>
      <c r="BI2033" t="s">
        <v>98</v>
      </c>
      <c r="BK2033" t="s">
        <v>7528</v>
      </c>
      <c r="BL2033" t="s">
        <v>7528</v>
      </c>
      <c r="CA2033" t="s">
        <v>6065</v>
      </c>
      <c r="CB2033" t="s">
        <v>7528</v>
      </c>
      <c r="CL2033" t="s">
        <v>98</v>
      </c>
      <c r="CM2033" t="s">
        <v>98</v>
      </c>
      <c r="CN2033" t="s">
        <v>7528</v>
      </c>
      <c r="CO2033" s="1">
        <v>40575</v>
      </c>
      <c r="CP2033" s="1">
        <v>43633</v>
      </c>
    </row>
    <row r="2034" spans="1:94" x14ac:dyDescent="0.25">
      <c r="A2034" t="s">
        <v>6068</v>
      </c>
      <c r="B2034" t="str">
        <f xml:space="preserve"> "" &amp; 747396058535</f>
        <v>747396058535</v>
      </c>
      <c r="C2034" t="s">
        <v>5649</v>
      </c>
      <c r="D2034" t="s">
        <v>7377</v>
      </c>
      <c r="E2034" t="s">
        <v>7528</v>
      </c>
      <c r="F2034" t="s">
        <v>627</v>
      </c>
      <c r="G2034">
        <v>1</v>
      </c>
      <c r="H2034">
        <v>1</v>
      </c>
      <c r="I2034" t="s">
        <v>97</v>
      </c>
      <c r="J2034" s="10">
        <v>30</v>
      </c>
      <c r="K2034" s="10">
        <v>90</v>
      </c>
      <c r="L2034" s="10">
        <v>0</v>
      </c>
      <c r="N2034" s="10">
        <v>0</v>
      </c>
      <c r="S2034">
        <v>8.25</v>
      </c>
      <c r="U2034">
        <v>6.25</v>
      </c>
      <c r="W2034">
        <v>1.45</v>
      </c>
      <c r="X2034">
        <v>1</v>
      </c>
      <c r="Y2034">
        <v>11.75</v>
      </c>
      <c r="Z2034">
        <v>23.875</v>
      </c>
      <c r="AA2034">
        <v>16.75</v>
      </c>
      <c r="AB2034">
        <v>2.7189999999999999</v>
      </c>
      <c r="AC2034">
        <v>2.48</v>
      </c>
      <c r="AF2034" t="s">
        <v>7528</v>
      </c>
      <c r="AK2034" t="s">
        <v>98</v>
      </c>
      <c r="AM2034" t="s">
        <v>98</v>
      </c>
      <c r="AN2034" t="s">
        <v>98</v>
      </c>
      <c r="AO2034" t="s">
        <v>98</v>
      </c>
      <c r="AP2034" t="s">
        <v>100</v>
      </c>
      <c r="AQ2034" t="s">
        <v>101</v>
      </c>
      <c r="AV2034" t="s">
        <v>98</v>
      </c>
      <c r="AX2034" t="s">
        <v>7528</v>
      </c>
      <c r="AZ2034" t="s">
        <v>7528</v>
      </c>
      <c r="BB2034" t="s">
        <v>7528</v>
      </c>
      <c r="BC2034" t="s">
        <v>7528</v>
      </c>
      <c r="BD2034" t="s">
        <v>7528</v>
      </c>
      <c r="BF2034" t="s">
        <v>6069</v>
      </c>
      <c r="BG2034" t="s">
        <v>98</v>
      </c>
      <c r="BH2034" t="s">
        <v>98</v>
      </c>
      <c r="BI2034" t="s">
        <v>98</v>
      </c>
      <c r="BK2034" t="s">
        <v>7528</v>
      </c>
      <c r="BL2034" t="s">
        <v>7528</v>
      </c>
      <c r="CA2034" t="s">
        <v>6068</v>
      </c>
      <c r="CB2034" t="s">
        <v>7528</v>
      </c>
      <c r="CL2034" t="s">
        <v>98</v>
      </c>
      <c r="CM2034" t="s">
        <v>98</v>
      </c>
      <c r="CN2034" t="s">
        <v>7528</v>
      </c>
      <c r="CO2034" s="1">
        <v>40575</v>
      </c>
      <c r="CP2034" s="1">
        <v>43633</v>
      </c>
    </row>
    <row r="2035" spans="1:94" x14ac:dyDescent="0.25">
      <c r="A2035" t="s">
        <v>6070</v>
      </c>
      <c r="B2035" t="str">
        <f xml:space="preserve"> "" &amp; 747396035895</f>
        <v>747396035895</v>
      </c>
      <c r="C2035" t="s">
        <v>6066</v>
      </c>
      <c r="D2035" t="s">
        <v>7378</v>
      </c>
      <c r="E2035" t="s">
        <v>7528</v>
      </c>
      <c r="F2035" t="s">
        <v>627</v>
      </c>
      <c r="G2035">
        <v>1</v>
      </c>
      <c r="H2035">
        <v>1</v>
      </c>
      <c r="I2035" t="s">
        <v>97</v>
      </c>
      <c r="J2035" s="10">
        <v>65</v>
      </c>
      <c r="K2035" s="10">
        <v>195</v>
      </c>
      <c r="L2035" s="10">
        <v>0</v>
      </c>
      <c r="N2035" s="10">
        <v>0</v>
      </c>
      <c r="W2035">
        <v>2.64</v>
      </c>
      <c r="X2035">
        <v>1</v>
      </c>
      <c r="Y2035">
        <v>14.5</v>
      </c>
      <c r="Z2035">
        <v>24.63</v>
      </c>
      <c r="AA2035">
        <v>24.63</v>
      </c>
      <c r="AB2035">
        <v>5.09</v>
      </c>
      <c r="AC2035">
        <v>5.61</v>
      </c>
      <c r="AF2035" t="s">
        <v>7528</v>
      </c>
      <c r="AK2035" t="s">
        <v>98</v>
      </c>
      <c r="AM2035" t="s">
        <v>98</v>
      </c>
      <c r="AN2035" t="s">
        <v>98</v>
      </c>
      <c r="AO2035" t="s">
        <v>98</v>
      </c>
      <c r="AP2035" t="s">
        <v>100</v>
      </c>
      <c r="AQ2035" t="s">
        <v>101</v>
      </c>
      <c r="AV2035" t="s">
        <v>98</v>
      </c>
      <c r="AX2035" t="s">
        <v>7528</v>
      </c>
      <c r="AZ2035" t="s">
        <v>7528</v>
      </c>
      <c r="BB2035" t="s">
        <v>7528</v>
      </c>
      <c r="BC2035" t="s">
        <v>7528</v>
      </c>
      <c r="BD2035" t="s">
        <v>7528</v>
      </c>
      <c r="BF2035" t="s">
        <v>6071</v>
      </c>
      <c r="BG2035" t="s">
        <v>98</v>
      </c>
      <c r="BH2035" t="s">
        <v>98</v>
      </c>
      <c r="BI2035" t="s">
        <v>98</v>
      </c>
      <c r="BK2035" t="s">
        <v>7528</v>
      </c>
      <c r="BL2035" t="s">
        <v>7528</v>
      </c>
      <c r="CA2035" t="s">
        <v>6070</v>
      </c>
      <c r="CB2035" t="s">
        <v>7528</v>
      </c>
      <c r="CL2035" t="s">
        <v>98</v>
      </c>
      <c r="CM2035" t="s">
        <v>98</v>
      </c>
      <c r="CN2035" t="s">
        <v>7528</v>
      </c>
      <c r="CO2035" s="1">
        <v>40575</v>
      </c>
      <c r="CP2035" s="1">
        <v>43633</v>
      </c>
    </row>
    <row r="2036" spans="1:94" x14ac:dyDescent="0.25">
      <c r="A2036" t="s">
        <v>6072</v>
      </c>
      <c r="B2036" t="str">
        <f xml:space="preserve"> "" &amp; 747396058542</f>
        <v>747396058542</v>
      </c>
      <c r="C2036" t="s">
        <v>3224</v>
      </c>
      <c r="D2036" t="s">
        <v>7379</v>
      </c>
      <c r="E2036" t="s">
        <v>7528</v>
      </c>
      <c r="F2036" t="s">
        <v>627</v>
      </c>
      <c r="G2036">
        <v>1</v>
      </c>
      <c r="H2036">
        <v>1</v>
      </c>
      <c r="I2036" t="s">
        <v>97</v>
      </c>
      <c r="J2036" s="10">
        <v>40</v>
      </c>
      <c r="K2036" s="10">
        <v>120</v>
      </c>
      <c r="L2036" s="10">
        <v>0</v>
      </c>
      <c r="N2036" s="10">
        <v>0</v>
      </c>
      <c r="S2036">
        <v>9.5</v>
      </c>
      <c r="U2036">
        <v>7.5</v>
      </c>
      <c r="W2036">
        <v>2.64</v>
      </c>
      <c r="X2036">
        <v>1</v>
      </c>
      <c r="Y2036">
        <v>14.25</v>
      </c>
      <c r="Z2036">
        <v>23.88</v>
      </c>
      <c r="AA2036">
        <v>23.88</v>
      </c>
      <c r="AB2036">
        <v>4.7030000000000003</v>
      </c>
      <c r="AC2036">
        <v>5.85</v>
      </c>
      <c r="AF2036" t="s">
        <v>7528</v>
      </c>
      <c r="AK2036" t="s">
        <v>98</v>
      </c>
      <c r="AM2036" t="s">
        <v>98</v>
      </c>
      <c r="AN2036" t="s">
        <v>98</v>
      </c>
      <c r="AO2036" t="s">
        <v>98</v>
      </c>
      <c r="AP2036" t="s">
        <v>100</v>
      </c>
      <c r="AQ2036" t="s">
        <v>101</v>
      </c>
      <c r="AV2036" t="s">
        <v>98</v>
      </c>
      <c r="AX2036" t="s">
        <v>7528</v>
      </c>
      <c r="AZ2036" t="s">
        <v>7528</v>
      </c>
      <c r="BB2036" t="s">
        <v>7528</v>
      </c>
      <c r="BC2036" t="s">
        <v>7528</v>
      </c>
      <c r="BD2036" t="s">
        <v>7528</v>
      </c>
      <c r="BF2036" t="s">
        <v>6073</v>
      </c>
      <c r="BG2036" t="s">
        <v>98</v>
      </c>
      <c r="BH2036" t="s">
        <v>98</v>
      </c>
      <c r="BI2036" t="s">
        <v>98</v>
      </c>
      <c r="BK2036" t="s">
        <v>7528</v>
      </c>
      <c r="BL2036" t="s">
        <v>7528</v>
      </c>
      <c r="CA2036" t="s">
        <v>6072</v>
      </c>
      <c r="CB2036" t="s">
        <v>7528</v>
      </c>
      <c r="CL2036" t="s">
        <v>98</v>
      </c>
      <c r="CM2036" t="s">
        <v>98</v>
      </c>
      <c r="CN2036" t="s">
        <v>7528</v>
      </c>
      <c r="CO2036" s="1">
        <v>40575</v>
      </c>
      <c r="CP2036" s="1">
        <v>43633</v>
      </c>
    </row>
    <row r="2037" spans="1:94" x14ac:dyDescent="0.25">
      <c r="A2037" t="s">
        <v>6074</v>
      </c>
      <c r="B2037" t="str">
        <f xml:space="preserve"> "" &amp; 747396035901</f>
        <v>747396035901</v>
      </c>
      <c r="C2037" t="s">
        <v>6066</v>
      </c>
      <c r="D2037" t="s">
        <v>6075</v>
      </c>
      <c r="E2037" t="s">
        <v>7528</v>
      </c>
      <c r="F2037" t="s">
        <v>627</v>
      </c>
      <c r="G2037">
        <v>1</v>
      </c>
      <c r="H2037">
        <v>1</v>
      </c>
      <c r="I2037" t="s">
        <v>97</v>
      </c>
      <c r="J2037" s="10">
        <v>80</v>
      </c>
      <c r="K2037" s="10">
        <v>240</v>
      </c>
      <c r="L2037" s="10">
        <v>0</v>
      </c>
      <c r="N2037" s="10">
        <v>0</v>
      </c>
      <c r="S2037">
        <v>11.75</v>
      </c>
      <c r="U2037">
        <v>9.3800000000000008</v>
      </c>
      <c r="W2037">
        <v>5.0599999999999996</v>
      </c>
      <c r="X2037">
        <v>1</v>
      </c>
      <c r="Y2037">
        <v>16.5</v>
      </c>
      <c r="Z2037">
        <v>27.38</v>
      </c>
      <c r="AA2037">
        <v>13.88</v>
      </c>
      <c r="AB2037">
        <v>3.629</v>
      </c>
      <c r="AC2037">
        <v>10.23</v>
      </c>
      <c r="AF2037" t="s">
        <v>7528</v>
      </c>
      <c r="AK2037" t="s">
        <v>98</v>
      </c>
      <c r="AM2037" t="s">
        <v>98</v>
      </c>
      <c r="AN2037" t="s">
        <v>98</v>
      </c>
      <c r="AO2037" t="s">
        <v>98</v>
      </c>
      <c r="AP2037" t="s">
        <v>100</v>
      </c>
      <c r="AQ2037" t="s">
        <v>101</v>
      </c>
      <c r="AV2037" t="s">
        <v>98</v>
      </c>
      <c r="AX2037" t="s">
        <v>7528</v>
      </c>
      <c r="AZ2037" t="s">
        <v>7528</v>
      </c>
      <c r="BB2037" t="s">
        <v>7528</v>
      </c>
      <c r="BC2037" t="s">
        <v>7528</v>
      </c>
      <c r="BD2037" t="s">
        <v>7528</v>
      </c>
      <c r="BF2037" t="s">
        <v>6076</v>
      </c>
      <c r="BG2037" t="s">
        <v>98</v>
      </c>
      <c r="BH2037" t="s">
        <v>98</v>
      </c>
      <c r="BI2037" t="s">
        <v>98</v>
      </c>
      <c r="BK2037" t="s">
        <v>7528</v>
      </c>
      <c r="BL2037" t="s">
        <v>7528</v>
      </c>
      <c r="CA2037" t="s">
        <v>6074</v>
      </c>
      <c r="CB2037" t="s">
        <v>7528</v>
      </c>
      <c r="CL2037" t="s">
        <v>98</v>
      </c>
      <c r="CM2037" t="s">
        <v>98</v>
      </c>
      <c r="CN2037" t="s">
        <v>7528</v>
      </c>
      <c r="CO2037" s="1">
        <v>40575</v>
      </c>
      <c r="CP2037" s="1">
        <v>40575</v>
      </c>
    </row>
    <row r="2038" spans="1:94" x14ac:dyDescent="0.25">
      <c r="A2038" t="s">
        <v>6077</v>
      </c>
      <c r="B2038" t="str">
        <f xml:space="preserve"> "" &amp; 747396058559</f>
        <v>747396058559</v>
      </c>
      <c r="C2038" t="s">
        <v>5649</v>
      </c>
      <c r="D2038" t="s">
        <v>7380</v>
      </c>
      <c r="E2038" t="s">
        <v>7528</v>
      </c>
      <c r="F2038" t="s">
        <v>627</v>
      </c>
      <c r="G2038">
        <v>1</v>
      </c>
      <c r="H2038">
        <v>1</v>
      </c>
      <c r="I2038" t="s">
        <v>97</v>
      </c>
      <c r="J2038" s="10">
        <v>55</v>
      </c>
      <c r="K2038" s="10">
        <v>165</v>
      </c>
      <c r="L2038" s="10">
        <v>0</v>
      </c>
      <c r="N2038" s="10">
        <v>0</v>
      </c>
      <c r="S2038">
        <v>11.75</v>
      </c>
      <c r="U2038">
        <v>9.25</v>
      </c>
      <c r="W2038">
        <v>4.95</v>
      </c>
      <c r="X2038">
        <v>1</v>
      </c>
      <c r="Y2038">
        <v>15.5</v>
      </c>
      <c r="Z2038">
        <v>24.25</v>
      </c>
      <c r="AA2038">
        <v>12.25</v>
      </c>
      <c r="AB2038">
        <v>2.665</v>
      </c>
      <c r="AC2038">
        <v>6.93</v>
      </c>
      <c r="AF2038" t="s">
        <v>7528</v>
      </c>
      <c r="AK2038" t="s">
        <v>98</v>
      </c>
      <c r="AM2038" t="s">
        <v>98</v>
      </c>
      <c r="AN2038" t="s">
        <v>98</v>
      </c>
      <c r="AO2038" t="s">
        <v>98</v>
      </c>
      <c r="AP2038" t="s">
        <v>100</v>
      </c>
      <c r="AQ2038" t="s">
        <v>101</v>
      </c>
      <c r="AV2038" t="s">
        <v>98</v>
      </c>
      <c r="AX2038" t="s">
        <v>7528</v>
      </c>
      <c r="AZ2038" t="s">
        <v>7528</v>
      </c>
      <c r="BB2038" t="s">
        <v>7528</v>
      </c>
      <c r="BC2038" t="s">
        <v>7528</v>
      </c>
      <c r="BD2038" t="s">
        <v>7528</v>
      </c>
      <c r="BF2038" t="s">
        <v>6078</v>
      </c>
      <c r="BG2038" t="s">
        <v>98</v>
      </c>
      <c r="BH2038" t="s">
        <v>98</v>
      </c>
      <c r="BI2038" t="s">
        <v>98</v>
      </c>
      <c r="BK2038" t="s">
        <v>7528</v>
      </c>
      <c r="BL2038" t="s">
        <v>7528</v>
      </c>
      <c r="CA2038" t="s">
        <v>6077</v>
      </c>
      <c r="CB2038" t="s">
        <v>7528</v>
      </c>
      <c r="CL2038" t="s">
        <v>98</v>
      </c>
      <c r="CM2038" t="s">
        <v>98</v>
      </c>
      <c r="CN2038" t="s">
        <v>7528</v>
      </c>
      <c r="CO2038" s="1">
        <v>40575</v>
      </c>
      <c r="CP2038" s="1">
        <v>43633</v>
      </c>
    </row>
    <row r="2039" spans="1:94" x14ac:dyDescent="0.25">
      <c r="A2039" t="s">
        <v>6079</v>
      </c>
      <c r="B2039" t="str">
        <f xml:space="preserve"> "" &amp; 747396042336</f>
        <v>747396042336</v>
      </c>
      <c r="C2039" t="s">
        <v>6080</v>
      </c>
      <c r="D2039" t="s">
        <v>7381</v>
      </c>
      <c r="E2039" t="s">
        <v>7528</v>
      </c>
      <c r="F2039" t="s">
        <v>627</v>
      </c>
      <c r="G2039">
        <v>1</v>
      </c>
      <c r="H2039">
        <v>1</v>
      </c>
      <c r="I2039" t="s">
        <v>97</v>
      </c>
      <c r="J2039" s="10">
        <v>50</v>
      </c>
      <c r="K2039" s="10">
        <v>150</v>
      </c>
      <c r="L2039" s="10">
        <v>0</v>
      </c>
      <c r="N2039" s="10">
        <v>0</v>
      </c>
      <c r="S2039">
        <v>4.5</v>
      </c>
      <c r="T2039">
        <v>11.75</v>
      </c>
      <c r="U2039">
        <v>9.25</v>
      </c>
      <c r="W2039">
        <v>2.59</v>
      </c>
      <c r="X2039">
        <v>1</v>
      </c>
      <c r="Y2039">
        <v>18.5</v>
      </c>
      <c r="Z2039">
        <v>27.5</v>
      </c>
      <c r="AA2039">
        <v>16.25</v>
      </c>
      <c r="AB2039">
        <v>4.7839999999999998</v>
      </c>
      <c r="AC2039">
        <v>6.44</v>
      </c>
      <c r="AF2039" t="s">
        <v>7528</v>
      </c>
      <c r="AK2039" t="s">
        <v>98</v>
      </c>
      <c r="AM2039" t="s">
        <v>98</v>
      </c>
      <c r="AN2039" t="s">
        <v>98</v>
      </c>
      <c r="AO2039" t="s">
        <v>98</v>
      </c>
      <c r="AP2039" t="s">
        <v>100</v>
      </c>
      <c r="AQ2039" t="s">
        <v>101</v>
      </c>
      <c r="AV2039" t="s">
        <v>98</v>
      </c>
      <c r="AX2039" t="s">
        <v>7528</v>
      </c>
      <c r="AZ2039" t="s">
        <v>7528</v>
      </c>
      <c r="BB2039" t="s">
        <v>7528</v>
      </c>
      <c r="BC2039" t="s">
        <v>7528</v>
      </c>
      <c r="BD2039" t="s">
        <v>7528</v>
      </c>
      <c r="BF2039" t="s">
        <v>6081</v>
      </c>
      <c r="BG2039" t="s">
        <v>98</v>
      </c>
      <c r="BH2039" t="s">
        <v>98</v>
      </c>
      <c r="BI2039" t="s">
        <v>98</v>
      </c>
      <c r="BK2039" t="s">
        <v>7528</v>
      </c>
      <c r="BL2039" t="s">
        <v>7528</v>
      </c>
      <c r="CA2039" t="s">
        <v>6079</v>
      </c>
      <c r="CB2039" t="s">
        <v>7528</v>
      </c>
      <c r="CL2039" t="s">
        <v>98</v>
      </c>
      <c r="CM2039" t="s">
        <v>98</v>
      </c>
      <c r="CN2039" t="s">
        <v>7528</v>
      </c>
      <c r="CO2039" s="1">
        <v>40575</v>
      </c>
      <c r="CP2039" s="1">
        <v>43633</v>
      </c>
    </row>
    <row r="2040" spans="1:94" x14ac:dyDescent="0.25">
      <c r="A2040" t="s">
        <v>6082</v>
      </c>
      <c r="B2040" t="str">
        <f xml:space="preserve"> "" &amp; 747396035918</f>
        <v>747396035918</v>
      </c>
      <c r="C2040" t="s">
        <v>5649</v>
      </c>
      <c r="D2040" t="s">
        <v>6083</v>
      </c>
      <c r="E2040" t="s">
        <v>7528</v>
      </c>
      <c r="F2040" t="s">
        <v>627</v>
      </c>
      <c r="G2040">
        <v>1</v>
      </c>
      <c r="H2040">
        <v>1</v>
      </c>
      <c r="I2040" t="s">
        <v>97</v>
      </c>
      <c r="J2040" s="10">
        <v>125</v>
      </c>
      <c r="K2040" s="10">
        <v>375</v>
      </c>
      <c r="L2040" s="10">
        <v>0</v>
      </c>
      <c r="N2040" s="10">
        <v>0</v>
      </c>
      <c r="S2040">
        <v>14.5</v>
      </c>
      <c r="U2040">
        <v>11.38</v>
      </c>
      <c r="W2040">
        <v>5.72</v>
      </c>
      <c r="X2040">
        <v>1</v>
      </c>
      <c r="Y2040">
        <v>19</v>
      </c>
      <c r="Z2040">
        <v>15.5</v>
      </c>
      <c r="AA2040">
        <v>15.5</v>
      </c>
      <c r="AB2040">
        <v>2.6419999999999999</v>
      </c>
      <c r="AC2040">
        <v>8.36</v>
      </c>
      <c r="AF2040" t="s">
        <v>7528</v>
      </c>
      <c r="AK2040" t="s">
        <v>98</v>
      </c>
      <c r="AM2040" t="s">
        <v>98</v>
      </c>
      <c r="AN2040" t="s">
        <v>98</v>
      </c>
      <c r="AO2040" t="s">
        <v>98</v>
      </c>
      <c r="AP2040" t="s">
        <v>100</v>
      </c>
      <c r="AQ2040" t="s">
        <v>101</v>
      </c>
      <c r="AV2040" t="s">
        <v>98</v>
      </c>
      <c r="AX2040" t="s">
        <v>7528</v>
      </c>
      <c r="AZ2040" t="s">
        <v>7528</v>
      </c>
      <c r="BB2040" t="s">
        <v>7528</v>
      </c>
      <c r="BC2040" t="s">
        <v>7528</v>
      </c>
      <c r="BD2040" t="s">
        <v>7528</v>
      </c>
      <c r="BF2040" t="s">
        <v>6084</v>
      </c>
      <c r="BG2040" t="s">
        <v>98</v>
      </c>
      <c r="BH2040" t="s">
        <v>98</v>
      </c>
      <c r="BI2040" t="s">
        <v>98</v>
      </c>
      <c r="BK2040" t="s">
        <v>7528</v>
      </c>
      <c r="BL2040" t="s">
        <v>7528</v>
      </c>
      <c r="CA2040" t="s">
        <v>6082</v>
      </c>
      <c r="CB2040" t="s">
        <v>7528</v>
      </c>
      <c r="CL2040" t="s">
        <v>98</v>
      </c>
      <c r="CM2040" t="s">
        <v>98</v>
      </c>
      <c r="CN2040" t="s">
        <v>7528</v>
      </c>
      <c r="CO2040" s="1">
        <v>40575</v>
      </c>
      <c r="CP2040" s="1">
        <v>40575</v>
      </c>
    </row>
    <row r="2041" spans="1:94" x14ac:dyDescent="0.25">
      <c r="A2041" t="s">
        <v>6085</v>
      </c>
      <c r="B2041" t="str">
        <f xml:space="preserve"> "" &amp; 747396058573</f>
        <v>747396058573</v>
      </c>
      <c r="C2041" t="s">
        <v>5649</v>
      </c>
      <c r="D2041" t="s">
        <v>7382</v>
      </c>
      <c r="E2041" t="s">
        <v>7528</v>
      </c>
      <c r="F2041" t="s">
        <v>627</v>
      </c>
      <c r="G2041">
        <v>1</v>
      </c>
      <c r="H2041">
        <v>1</v>
      </c>
      <c r="I2041" t="s">
        <v>97</v>
      </c>
      <c r="J2041" s="10">
        <v>85</v>
      </c>
      <c r="K2041" s="10">
        <v>255</v>
      </c>
      <c r="L2041" s="10">
        <v>0</v>
      </c>
      <c r="N2041" s="10">
        <v>0</v>
      </c>
      <c r="S2041">
        <v>41.5</v>
      </c>
      <c r="U2041">
        <v>11.5</v>
      </c>
      <c r="W2041">
        <v>7.26</v>
      </c>
      <c r="X2041">
        <v>1</v>
      </c>
      <c r="Y2041">
        <v>19</v>
      </c>
      <c r="Z2041">
        <v>15.5</v>
      </c>
      <c r="AA2041">
        <v>15.5</v>
      </c>
      <c r="AB2041">
        <v>2.6419999999999999</v>
      </c>
      <c r="AC2041">
        <v>9.9</v>
      </c>
      <c r="AF2041" t="s">
        <v>7528</v>
      </c>
      <c r="AK2041" t="s">
        <v>98</v>
      </c>
      <c r="AM2041" t="s">
        <v>98</v>
      </c>
      <c r="AN2041" t="s">
        <v>98</v>
      </c>
      <c r="AO2041" t="s">
        <v>98</v>
      </c>
      <c r="AP2041" t="s">
        <v>100</v>
      </c>
      <c r="AQ2041" t="s">
        <v>101</v>
      </c>
      <c r="AV2041" t="s">
        <v>98</v>
      </c>
      <c r="AX2041" t="s">
        <v>7528</v>
      </c>
      <c r="AZ2041" t="s">
        <v>7528</v>
      </c>
      <c r="BB2041" t="s">
        <v>7528</v>
      </c>
      <c r="BC2041" t="s">
        <v>7528</v>
      </c>
      <c r="BD2041" t="s">
        <v>7528</v>
      </c>
      <c r="BF2041" t="s">
        <v>6086</v>
      </c>
      <c r="BG2041" t="s">
        <v>98</v>
      </c>
      <c r="BH2041" t="s">
        <v>98</v>
      </c>
      <c r="BI2041" t="s">
        <v>98</v>
      </c>
      <c r="BK2041" t="s">
        <v>7528</v>
      </c>
      <c r="BL2041" t="s">
        <v>7528</v>
      </c>
      <c r="CA2041" t="s">
        <v>6085</v>
      </c>
      <c r="CB2041" t="s">
        <v>7528</v>
      </c>
      <c r="CL2041" t="s">
        <v>98</v>
      </c>
      <c r="CM2041" t="s">
        <v>98</v>
      </c>
      <c r="CN2041" t="s">
        <v>7528</v>
      </c>
      <c r="CO2041" s="1">
        <v>40575</v>
      </c>
      <c r="CP2041" s="1">
        <v>43633</v>
      </c>
    </row>
    <row r="2042" spans="1:94" x14ac:dyDescent="0.25">
      <c r="A2042" t="s">
        <v>6087</v>
      </c>
      <c r="B2042" t="str">
        <f xml:space="preserve"> "" &amp; 747396042343</f>
        <v>747396042343</v>
      </c>
      <c r="C2042" t="s">
        <v>6080</v>
      </c>
      <c r="D2042" t="s">
        <v>7383</v>
      </c>
      <c r="E2042" t="s">
        <v>7528</v>
      </c>
      <c r="F2042" t="s">
        <v>627</v>
      </c>
      <c r="G2042">
        <v>1</v>
      </c>
      <c r="H2042">
        <v>1</v>
      </c>
      <c r="I2042" t="s">
        <v>97</v>
      </c>
      <c r="J2042" s="10">
        <v>45</v>
      </c>
      <c r="K2042" s="10">
        <v>135</v>
      </c>
      <c r="L2042" s="10">
        <v>0</v>
      </c>
      <c r="N2042" s="10">
        <v>0</v>
      </c>
      <c r="S2042">
        <v>4.5</v>
      </c>
      <c r="U2042">
        <v>11.38</v>
      </c>
      <c r="W2042">
        <v>1.98</v>
      </c>
      <c r="X2042">
        <v>1</v>
      </c>
      <c r="Y2042">
        <v>24</v>
      </c>
      <c r="Z2042">
        <v>26.25</v>
      </c>
      <c r="AA2042">
        <v>14.25</v>
      </c>
      <c r="AB2042">
        <v>5.1950000000000003</v>
      </c>
      <c r="AC2042">
        <v>3.45</v>
      </c>
      <c r="AF2042" t="s">
        <v>7528</v>
      </c>
      <c r="AK2042" t="s">
        <v>98</v>
      </c>
      <c r="AM2042" t="s">
        <v>98</v>
      </c>
      <c r="AN2042" t="s">
        <v>98</v>
      </c>
      <c r="AO2042" t="s">
        <v>98</v>
      </c>
      <c r="AP2042" t="s">
        <v>100</v>
      </c>
      <c r="AQ2042" t="s">
        <v>101</v>
      </c>
      <c r="AV2042" t="s">
        <v>98</v>
      </c>
      <c r="AX2042" t="s">
        <v>7528</v>
      </c>
      <c r="AZ2042" t="s">
        <v>7528</v>
      </c>
      <c r="BB2042" t="s">
        <v>7528</v>
      </c>
      <c r="BC2042" t="s">
        <v>7528</v>
      </c>
      <c r="BD2042" t="s">
        <v>7528</v>
      </c>
      <c r="BF2042" t="s">
        <v>6088</v>
      </c>
      <c r="BG2042" t="s">
        <v>98</v>
      </c>
      <c r="BH2042" t="s">
        <v>98</v>
      </c>
      <c r="BI2042" t="s">
        <v>98</v>
      </c>
      <c r="BK2042" t="s">
        <v>7528</v>
      </c>
      <c r="BL2042" t="s">
        <v>7528</v>
      </c>
      <c r="CA2042" t="s">
        <v>6087</v>
      </c>
      <c r="CB2042" t="s">
        <v>7528</v>
      </c>
      <c r="CL2042" t="s">
        <v>98</v>
      </c>
      <c r="CM2042" t="s">
        <v>98</v>
      </c>
      <c r="CN2042" t="s">
        <v>7528</v>
      </c>
      <c r="CO2042" s="1">
        <v>40305</v>
      </c>
      <c r="CP2042" s="1">
        <v>43633</v>
      </c>
    </row>
    <row r="2043" spans="1:94" x14ac:dyDescent="0.25">
      <c r="A2043" t="s">
        <v>6089</v>
      </c>
      <c r="B2043" t="str">
        <f xml:space="preserve"> "" &amp; 747396036007</f>
        <v>747396036007</v>
      </c>
      <c r="C2043" t="s">
        <v>4859</v>
      </c>
      <c r="D2043" t="s">
        <v>7384</v>
      </c>
      <c r="E2043" t="s">
        <v>7528</v>
      </c>
      <c r="F2043" t="s">
        <v>627</v>
      </c>
      <c r="G2043">
        <v>1</v>
      </c>
      <c r="H2043">
        <v>1</v>
      </c>
      <c r="I2043" t="s">
        <v>97</v>
      </c>
      <c r="J2043" s="10">
        <v>35</v>
      </c>
      <c r="K2043" s="10">
        <v>105</v>
      </c>
      <c r="L2043" s="10">
        <v>0</v>
      </c>
      <c r="N2043" s="10">
        <v>0</v>
      </c>
      <c r="S2043">
        <v>9.5</v>
      </c>
      <c r="T2043">
        <v>0.13</v>
      </c>
      <c r="U2043">
        <v>7.75</v>
      </c>
      <c r="W2043">
        <v>2.11</v>
      </c>
      <c r="X2043">
        <v>1</v>
      </c>
      <c r="Y2043">
        <v>22</v>
      </c>
      <c r="Z2043">
        <v>18.5</v>
      </c>
      <c r="AA2043">
        <v>18.5</v>
      </c>
      <c r="AB2043">
        <v>4.3570000000000002</v>
      </c>
      <c r="AC2043">
        <v>2.5</v>
      </c>
      <c r="AF2043" t="s">
        <v>7528</v>
      </c>
      <c r="AK2043" t="s">
        <v>98</v>
      </c>
      <c r="AM2043" t="s">
        <v>98</v>
      </c>
      <c r="AN2043" t="s">
        <v>98</v>
      </c>
      <c r="AO2043" t="s">
        <v>98</v>
      </c>
      <c r="AP2043" t="s">
        <v>100</v>
      </c>
      <c r="AQ2043" t="s">
        <v>101</v>
      </c>
      <c r="AV2043" t="s">
        <v>98</v>
      </c>
      <c r="AX2043" t="s">
        <v>7528</v>
      </c>
      <c r="AZ2043" t="s">
        <v>7528</v>
      </c>
      <c r="BB2043" t="s">
        <v>7528</v>
      </c>
      <c r="BC2043" t="s">
        <v>7528</v>
      </c>
      <c r="BD2043" t="s">
        <v>7528</v>
      </c>
      <c r="BF2043" t="s">
        <v>6090</v>
      </c>
      <c r="BG2043" t="s">
        <v>98</v>
      </c>
      <c r="BH2043" t="s">
        <v>98</v>
      </c>
      <c r="BI2043" t="s">
        <v>98</v>
      </c>
      <c r="BK2043" t="s">
        <v>7528</v>
      </c>
      <c r="BL2043" t="s">
        <v>7528</v>
      </c>
      <c r="CA2043" t="s">
        <v>6089</v>
      </c>
      <c r="CB2043" t="s">
        <v>7528</v>
      </c>
      <c r="CL2043" t="s">
        <v>98</v>
      </c>
      <c r="CM2043" t="s">
        <v>98</v>
      </c>
      <c r="CN2043" t="s">
        <v>7528</v>
      </c>
      <c r="CO2043" s="1">
        <v>40575</v>
      </c>
      <c r="CP2043" s="1">
        <v>43633</v>
      </c>
    </row>
    <row r="2044" spans="1:94" x14ac:dyDescent="0.25">
      <c r="A2044" t="s">
        <v>6091</v>
      </c>
      <c r="B2044" t="str">
        <f xml:space="preserve"> "" &amp; 747396036014</f>
        <v>747396036014</v>
      </c>
      <c r="C2044" t="s">
        <v>4859</v>
      </c>
      <c r="D2044" t="s">
        <v>7385</v>
      </c>
      <c r="E2044" t="s">
        <v>7528</v>
      </c>
      <c r="F2044" t="s">
        <v>627</v>
      </c>
      <c r="G2044">
        <v>1</v>
      </c>
      <c r="H2044">
        <v>1</v>
      </c>
      <c r="I2044" t="s">
        <v>97</v>
      </c>
      <c r="J2044" s="10">
        <v>55</v>
      </c>
      <c r="K2044" s="10">
        <v>165</v>
      </c>
      <c r="L2044" s="10">
        <v>0</v>
      </c>
      <c r="N2044" s="10">
        <v>0</v>
      </c>
      <c r="S2044">
        <v>12.38</v>
      </c>
      <c r="T2044">
        <v>0.13</v>
      </c>
      <c r="U2044">
        <v>9.75</v>
      </c>
      <c r="W2044">
        <v>2.67</v>
      </c>
      <c r="X2044">
        <v>1</v>
      </c>
      <c r="Y2044">
        <v>15.75</v>
      </c>
      <c r="Z2044">
        <v>22.5</v>
      </c>
      <c r="AA2044">
        <v>22.5</v>
      </c>
      <c r="AB2044">
        <v>4.6139999999999999</v>
      </c>
      <c r="AC2044">
        <v>3.67</v>
      </c>
      <c r="AF2044" t="s">
        <v>7528</v>
      </c>
      <c r="AK2044" t="s">
        <v>98</v>
      </c>
      <c r="AM2044" t="s">
        <v>98</v>
      </c>
      <c r="AN2044" t="s">
        <v>98</v>
      </c>
      <c r="AO2044" t="s">
        <v>98</v>
      </c>
      <c r="AP2044" t="s">
        <v>100</v>
      </c>
      <c r="AQ2044" t="s">
        <v>101</v>
      </c>
      <c r="AV2044" t="s">
        <v>98</v>
      </c>
      <c r="AX2044" t="s">
        <v>7528</v>
      </c>
      <c r="AZ2044" t="s">
        <v>7528</v>
      </c>
      <c r="BB2044" t="s">
        <v>7528</v>
      </c>
      <c r="BC2044" t="s">
        <v>7528</v>
      </c>
      <c r="BD2044" t="s">
        <v>7528</v>
      </c>
      <c r="BF2044" t="s">
        <v>6092</v>
      </c>
      <c r="BG2044" t="s">
        <v>98</v>
      </c>
      <c r="BH2044" t="s">
        <v>98</v>
      </c>
      <c r="BI2044" t="s">
        <v>98</v>
      </c>
      <c r="BK2044" t="s">
        <v>7528</v>
      </c>
      <c r="BL2044" t="s">
        <v>7528</v>
      </c>
      <c r="CA2044" t="s">
        <v>6091</v>
      </c>
      <c r="CB2044" t="s">
        <v>7528</v>
      </c>
      <c r="CL2044" t="s">
        <v>98</v>
      </c>
      <c r="CM2044" t="s">
        <v>98</v>
      </c>
      <c r="CN2044" t="s">
        <v>7528</v>
      </c>
      <c r="CO2044" s="1">
        <v>40575</v>
      </c>
      <c r="CP2044" s="1">
        <v>43633</v>
      </c>
    </row>
    <row r="2045" spans="1:94" x14ac:dyDescent="0.25">
      <c r="A2045" t="s">
        <v>6093</v>
      </c>
      <c r="B2045" t="str">
        <f xml:space="preserve"> "" &amp; 747396036021</f>
        <v>747396036021</v>
      </c>
      <c r="C2045" t="s">
        <v>4859</v>
      </c>
      <c r="D2045" t="s">
        <v>7386</v>
      </c>
      <c r="E2045" t="s">
        <v>7528</v>
      </c>
      <c r="F2045" t="s">
        <v>627</v>
      </c>
      <c r="G2045">
        <v>1</v>
      </c>
      <c r="H2045">
        <v>1</v>
      </c>
      <c r="I2045" t="s">
        <v>97</v>
      </c>
      <c r="J2045" s="10">
        <v>20</v>
      </c>
      <c r="K2045" s="10">
        <v>60</v>
      </c>
      <c r="L2045" s="10">
        <v>0</v>
      </c>
      <c r="N2045" s="10">
        <v>0</v>
      </c>
      <c r="S2045">
        <v>7</v>
      </c>
      <c r="T2045">
        <v>0.13</v>
      </c>
      <c r="U2045">
        <v>5.5</v>
      </c>
      <c r="W2045">
        <v>1.05</v>
      </c>
      <c r="X2045">
        <v>1</v>
      </c>
      <c r="Y2045">
        <v>17</v>
      </c>
      <c r="Z2045">
        <v>14.25</v>
      </c>
      <c r="AA2045">
        <v>14.25</v>
      </c>
      <c r="AB2045">
        <v>1.998</v>
      </c>
      <c r="AC2045">
        <v>1.21</v>
      </c>
      <c r="AF2045" t="s">
        <v>7528</v>
      </c>
      <c r="AK2045" t="s">
        <v>98</v>
      </c>
      <c r="AM2045" t="s">
        <v>98</v>
      </c>
      <c r="AN2045" t="s">
        <v>98</v>
      </c>
      <c r="AO2045" t="s">
        <v>98</v>
      </c>
      <c r="AP2045" t="s">
        <v>100</v>
      </c>
      <c r="AQ2045" t="s">
        <v>101</v>
      </c>
      <c r="AV2045" t="s">
        <v>98</v>
      </c>
      <c r="AX2045" t="s">
        <v>7528</v>
      </c>
      <c r="AZ2045" t="s">
        <v>7528</v>
      </c>
      <c r="BB2045" t="s">
        <v>7528</v>
      </c>
      <c r="BC2045" t="s">
        <v>7528</v>
      </c>
      <c r="BD2045" t="s">
        <v>7528</v>
      </c>
      <c r="BF2045" t="s">
        <v>6094</v>
      </c>
      <c r="BG2045" t="s">
        <v>98</v>
      </c>
      <c r="BH2045" t="s">
        <v>98</v>
      </c>
      <c r="BI2045" t="s">
        <v>98</v>
      </c>
      <c r="BK2045" t="s">
        <v>7528</v>
      </c>
      <c r="BL2045" t="s">
        <v>7528</v>
      </c>
      <c r="CA2045" t="s">
        <v>6093</v>
      </c>
      <c r="CB2045" t="s">
        <v>7528</v>
      </c>
      <c r="CL2045" t="s">
        <v>98</v>
      </c>
      <c r="CM2045" t="s">
        <v>98</v>
      </c>
      <c r="CN2045" t="s">
        <v>7528</v>
      </c>
      <c r="CO2045" s="1">
        <v>40575</v>
      </c>
      <c r="CP2045" s="1">
        <v>43633</v>
      </c>
    </row>
    <row r="2046" spans="1:94" x14ac:dyDescent="0.25">
      <c r="A2046" t="s">
        <v>6095</v>
      </c>
      <c r="B2046" t="str">
        <f xml:space="preserve"> "" &amp; 747396036038</f>
        <v>747396036038</v>
      </c>
      <c r="C2046" t="s">
        <v>5177</v>
      </c>
      <c r="D2046" t="s">
        <v>7387</v>
      </c>
      <c r="E2046" t="s">
        <v>7528</v>
      </c>
      <c r="F2046" t="s">
        <v>627</v>
      </c>
      <c r="G2046">
        <v>1</v>
      </c>
      <c r="H2046">
        <v>1</v>
      </c>
      <c r="I2046" t="s">
        <v>97</v>
      </c>
      <c r="J2046" s="10">
        <v>5.5</v>
      </c>
      <c r="K2046" s="10">
        <v>16.5</v>
      </c>
      <c r="L2046" s="10">
        <v>0</v>
      </c>
      <c r="N2046" s="10">
        <v>0</v>
      </c>
      <c r="U2046">
        <v>8.6300000000000008</v>
      </c>
      <c r="V2046">
        <v>3.16</v>
      </c>
      <c r="W2046">
        <v>1.21</v>
      </c>
      <c r="X2046">
        <v>1</v>
      </c>
      <c r="Y2046">
        <v>17</v>
      </c>
      <c r="Z2046">
        <v>9.5</v>
      </c>
      <c r="AA2046">
        <v>9.5</v>
      </c>
      <c r="AB2046">
        <v>0.88800000000000001</v>
      </c>
      <c r="AC2046">
        <v>1.38</v>
      </c>
      <c r="AF2046" t="s">
        <v>7528</v>
      </c>
      <c r="AK2046" t="s">
        <v>98</v>
      </c>
      <c r="AM2046" t="s">
        <v>98</v>
      </c>
      <c r="AN2046" t="s">
        <v>98</v>
      </c>
      <c r="AO2046" t="s">
        <v>98</v>
      </c>
      <c r="AP2046" t="s">
        <v>100</v>
      </c>
      <c r="AQ2046" t="s">
        <v>101</v>
      </c>
      <c r="AV2046" t="s">
        <v>98</v>
      </c>
      <c r="AX2046" t="s">
        <v>7528</v>
      </c>
      <c r="AZ2046" t="s">
        <v>7528</v>
      </c>
      <c r="BB2046" t="s">
        <v>7528</v>
      </c>
      <c r="BC2046" t="s">
        <v>7528</v>
      </c>
      <c r="BD2046" t="s">
        <v>7528</v>
      </c>
      <c r="BF2046" t="s">
        <v>6096</v>
      </c>
      <c r="BG2046" t="s">
        <v>98</v>
      </c>
      <c r="BH2046" t="s">
        <v>98</v>
      </c>
      <c r="BI2046" t="s">
        <v>98</v>
      </c>
      <c r="BK2046" t="s">
        <v>7528</v>
      </c>
      <c r="BL2046" t="s">
        <v>7528</v>
      </c>
      <c r="CA2046" t="s">
        <v>6095</v>
      </c>
      <c r="CB2046" t="s">
        <v>7528</v>
      </c>
      <c r="CL2046" t="s">
        <v>98</v>
      </c>
      <c r="CM2046" t="s">
        <v>98</v>
      </c>
      <c r="CN2046" t="s">
        <v>7528</v>
      </c>
      <c r="CO2046" s="1">
        <v>40245</v>
      </c>
      <c r="CP2046" s="1">
        <v>43633</v>
      </c>
    </row>
    <row r="2047" spans="1:94" x14ac:dyDescent="0.25">
      <c r="A2047" t="s">
        <v>6097</v>
      </c>
      <c r="B2047" t="str">
        <f xml:space="preserve"> "" &amp; 747396063669</f>
        <v>747396063669</v>
      </c>
      <c r="C2047" t="s">
        <v>6098</v>
      </c>
      <c r="D2047" t="s">
        <v>7388</v>
      </c>
      <c r="E2047" t="s">
        <v>7528</v>
      </c>
      <c r="F2047" t="s">
        <v>627</v>
      </c>
      <c r="G2047">
        <v>1</v>
      </c>
      <c r="H2047">
        <v>1</v>
      </c>
      <c r="I2047" t="s">
        <v>97</v>
      </c>
      <c r="J2047" s="10">
        <v>12.5</v>
      </c>
      <c r="K2047" s="10">
        <v>37.5</v>
      </c>
      <c r="L2047" s="10">
        <v>0</v>
      </c>
      <c r="N2047" s="10">
        <v>0</v>
      </c>
      <c r="S2047">
        <v>3.16</v>
      </c>
      <c r="U2047">
        <v>9.8800000000000008</v>
      </c>
      <c r="W2047">
        <v>1</v>
      </c>
      <c r="AB2047">
        <v>0.36499999999999999</v>
      </c>
      <c r="AC2047">
        <v>1.5</v>
      </c>
      <c r="AF2047" t="s">
        <v>7528</v>
      </c>
      <c r="AK2047" t="s">
        <v>98</v>
      </c>
      <c r="AM2047" t="s">
        <v>98</v>
      </c>
      <c r="AN2047" t="s">
        <v>98</v>
      </c>
      <c r="AO2047" t="s">
        <v>98</v>
      </c>
      <c r="AP2047" t="s">
        <v>100</v>
      </c>
      <c r="AQ2047" t="s">
        <v>101</v>
      </c>
      <c r="AV2047" t="s">
        <v>98</v>
      </c>
      <c r="AX2047" t="s">
        <v>7528</v>
      </c>
      <c r="AZ2047" t="s">
        <v>7528</v>
      </c>
      <c r="BB2047" t="s">
        <v>7528</v>
      </c>
      <c r="BC2047" t="s">
        <v>7528</v>
      </c>
      <c r="BD2047" t="s">
        <v>7528</v>
      </c>
      <c r="BF2047" t="s">
        <v>6099</v>
      </c>
      <c r="BG2047" t="s">
        <v>98</v>
      </c>
      <c r="BH2047" t="s">
        <v>98</v>
      </c>
      <c r="BI2047" t="s">
        <v>98</v>
      </c>
      <c r="BK2047" t="s">
        <v>7528</v>
      </c>
      <c r="BL2047" t="s">
        <v>7528</v>
      </c>
      <c r="CA2047" t="s">
        <v>6097</v>
      </c>
      <c r="CB2047" t="s">
        <v>7528</v>
      </c>
      <c r="CL2047" t="s">
        <v>98</v>
      </c>
      <c r="CM2047" t="s">
        <v>98</v>
      </c>
      <c r="CN2047" t="s">
        <v>7528</v>
      </c>
      <c r="CO2047" s="1">
        <v>40245</v>
      </c>
      <c r="CP2047" s="1">
        <v>43595</v>
      </c>
    </row>
    <row r="2048" spans="1:94" x14ac:dyDescent="0.25">
      <c r="A2048" t="s">
        <v>6100</v>
      </c>
      <c r="B2048" t="str">
        <f xml:space="preserve"> "" &amp; 747396036168</f>
        <v>747396036168</v>
      </c>
      <c r="C2048" t="s">
        <v>5177</v>
      </c>
      <c r="D2048" t="s">
        <v>7389</v>
      </c>
      <c r="E2048" t="s">
        <v>7528</v>
      </c>
      <c r="F2048" t="s">
        <v>627</v>
      </c>
      <c r="G2048">
        <v>1</v>
      </c>
      <c r="H2048">
        <v>1</v>
      </c>
      <c r="I2048" t="s">
        <v>97</v>
      </c>
      <c r="J2048" s="10">
        <v>12.5</v>
      </c>
      <c r="K2048" s="10">
        <v>37.5</v>
      </c>
      <c r="L2048" s="10">
        <v>0</v>
      </c>
      <c r="N2048" s="10">
        <v>0</v>
      </c>
      <c r="S2048">
        <v>3.5</v>
      </c>
      <c r="U2048">
        <v>11.88</v>
      </c>
      <c r="W2048">
        <v>2.31</v>
      </c>
      <c r="X2048">
        <v>1</v>
      </c>
      <c r="Y2048">
        <v>14.5</v>
      </c>
      <c r="Z2048">
        <v>15</v>
      </c>
      <c r="AA2048">
        <v>15</v>
      </c>
      <c r="AB2048">
        <v>1.8879999999999999</v>
      </c>
      <c r="AC2048">
        <v>3.63</v>
      </c>
      <c r="AF2048" t="s">
        <v>7528</v>
      </c>
      <c r="AK2048" t="s">
        <v>98</v>
      </c>
      <c r="AM2048" t="s">
        <v>98</v>
      </c>
      <c r="AN2048" t="s">
        <v>98</v>
      </c>
      <c r="AO2048" t="s">
        <v>98</v>
      </c>
      <c r="AP2048" t="s">
        <v>100</v>
      </c>
      <c r="AQ2048" t="s">
        <v>101</v>
      </c>
      <c r="AV2048" t="s">
        <v>98</v>
      </c>
      <c r="AX2048" t="s">
        <v>7528</v>
      </c>
      <c r="AZ2048" t="s">
        <v>7528</v>
      </c>
      <c r="BB2048" t="s">
        <v>7528</v>
      </c>
      <c r="BC2048" t="s">
        <v>7528</v>
      </c>
      <c r="BD2048" t="s">
        <v>7528</v>
      </c>
      <c r="BF2048" t="s">
        <v>6101</v>
      </c>
      <c r="BG2048" t="s">
        <v>98</v>
      </c>
      <c r="BH2048" t="s">
        <v>98</v>
      </c>
      <c r="BI2048" t="s">
        <v>98</v>
      </c>
      <c r="BK2048" t="s">
        <v>7528</v>
      </c>
      <c r="BL2048" t="s">
        <v>7528</v>
      </c>
      <c r="CA2048" t="s">
        <v>6100</v>
      </c>
      <c r="CB2048" t="s">
        <v>7528</v>
      </c>
      <c r="CL2048" t="s">
        <v>98</v>
      </c>
      <c r="CM2048" t="s">
        <v>98</v>
      </c>
      <c r="CN2048" t="s">
        <v>7528</v>
      </c>
      <c r="CO2048" s="1">
        <v>40245</v>
      </c>
      <c r="CP2048" s="1">
        <v>43633</v>
      </c>
    </row>
    <row r="2049" spans="1:94" x14ac:dyDescent="0.25">
      <c r="A2049" t="s">
        <v>6104</v>
      </c>
      <c r="B2049" t="str">
        <f xml:space="preserve"> "" &amp; 747396036175</f>
        <v>747396036175</v>
      </c>
      <c r="C2049" t="s">
        <v>4679</v>
      </c>
      <c r="D2049" t="s">
        <v>7390</v>
      </c>
      <c r="E2049" t="s">
        <v>7528</v>
      </c>
      <c r="F2049" t="s">
        <v>627</v>
      </c>
      <c r="G2049">
        <v>1</v>
      </c>
      <c r="H2049">
        <v>1</v>
      </c>
      <c r="I2049" t="s">
        <v>97</v>
      </c>
      <c r="J2049" s="10">
        <v>8</v>
      </c>
      <c r="K2049" s="10">
        <v>24</v>
      </c>
      <c r="L2049" s="10">
        <v>0</v>
      </c>
      <c r="N2049" s="10">
        <v>0</v>
      </c>
      <c r="W2049">
        <v>0.17</v>
      </c>
      <c r="X2049">
        <v>1</v>
      </c>
      <c r="Y2049">
        <v>10.63</v>
      </c>
      <c r="Z2049">
        <v>9.5</v>
      </c>
      <c r="AA2049">
        <v>7.88</v>
      </c>
      <c r="AB2049">
        <v>0.46100000000000002</v>
      </c>
      <c r="AC2049">
        <v>0.19</v>
      </c>
      <c r="AF2049" t="s">
        <v>7528</v>
      </c>
      <c r="AK2049" t="s">
        <v>98</v>
      </c>
      <c r="AM2049" t="s">
        <v>98</v>
      </c>
      <c r="AN2049" t="s">
        <v>98</v>
      </c>
      <c r="AO2049" t="s">
        <v>98</v>
      </c>
      <c r="AP2049" t="s">
        <v>100</v>
      </c>
      <c r="AQ2049" t="s">
        <v>101</v>
      </c>
      <c r="AV2049" t="s">
        <v>98</v>
      </c>
      <c r="AX2049" t="s">
        <v>7528</v>
      </c>
      <c r="AZ2049" t="s">
        <v>7528</v>
      </c>
      <c r="BB2049" t="s">
        <v>7528</v>
      </c>
      <c r="BC2049" t="s">
        <v>7528</v>
      </c>
      <c r="BD2049" t="s">
        <v>7528</v>
      </c>
      <c r="BF2049" t="s">
        <v>6105</v>
      </c>
      <c r="BG2049" t="s">
        <v>98</v>
      </c>
      <c r="BH2049" t="s">
        <v>98</v>
      </c>
      <c r="BI2049" t="s">
        <v>98</v>
      </c>
      <c r="BK2049" t="s">
        <v>7528</v>
      </c>
      <c r="BL2049" t="s">
        <v>7528</v>
      </c>
      <c r="CA2049" t="s">
        <v>6104</v>
      </c>
      <c r="CB2049" t="s">
        <v>7528</v>
      </c>
      <c r="CL2049" t="s">
        <v>98</v>
      </c>
      <c r="CM2049" t="s">
        <v>98</v>
      </c>
      <c r="CN2049" t="s">
        <v>7528</v>
      </c>
      <c r="CO2049" s="1">
        <v>40576</v>
      </c>
      <c r="CP2049" s="1">
        <v>43633</v>
      </c>
    </row>
    <row r="2050" spans="1:94" x14ac:dyDescent="0.25">
      <c r="A2050" t="s">
        <v>6106</v>
      </c>
      <c r="B2050" t="str">
        <f xml:space="preserve"> "" &amp; 747396036182</f>
        <v>747396036182</v>
      </c>
      <c r="C2050" t="s">
        <v>4679</v>
      </c>
      <c r="D2050" t="s">
        <v>7391</v>
      </c>
      <c r="E2050" t="s">
        <v>7528</v>
      </c>
      <c r="F2050" t="s">
        <v>627</v>
      </c>
      <c r="G2050">
        <v>1</v>
      </c>
      <c r="H2050">
        <v>1</v>
      </c>
      <c r="I2050" t="s">
        <v>97</v>
      </c>
      <c r="J2050" s="10">
        <v>8</v>
      </c>
      <c r="K2050" s="10">
        <v>24</v>
      </c>
      <c r="L2050" s="10">
        <v>0</v>
      </c>
      <c r="N2050" s="10">
        <v>0</v>
      </c>
      <c r="W2050">
        <v>0.06</v>
      </c>
      <c r="X2050">
        <v>1</v>
      </c>
      <c r="Y2050">
        <v>7.13</v>
      </c>
      <c r="Z2050">
        <v>9.5</v>
      </c>
      <c r="AA2050">
        <v>6.75</v>
      </c>
      <c r="AB2050">
        <v>0.26500000000000001</v>
      </c>
      <c r="AC2050">
        <v>7.0000000000000007E-2</v>
      </c>
      <c r="AF2050" t="s">
        <v>7528</v>
      </c>
      <c r="AK2050" t="s">
        <v>98</v>
      </c>
      <c r="AM2050" t="s">
        <v>98</v>
      </c>
      <c r="AN2050" t="s">
        <v>98</v>
      </c>
      <c r="AO2050" t="s">
        <v>98</v>
      </c>
      <c r="AP2050" t="s">
        <v>100</v>
      </c>
      <c r="AQ2050" t="s">
        <v>101</v>
      </c>
      <c r="AV2050" t="s">
        <v>98</v>
      </c>
      <c r="AX2050" t="s">
        <v>7528</v>
      </c>
      <c r="AZ2050" t="s">
        <v>7528</v>
      </c>
      <c r="BB2050" t="s">
        <v>7528</v>
      </c>
      <c r="BC2050" t="s">
        <v>7528</v>
      </c>
      <c r="BD2050" t="s">
        <v>7528</v>
      </c>
      <c r="BF2050" t="s">
        <v>6107</v>
      </c>
      <c r="BG2050" t="s">
        <v>98</v>
      </c>
      <c r="BH2050" t="s">
        <v>98</v>
      </c>
      <c r="BI2050" t="s">
        <v>98</v>
      </c>
      <c r="BK2050" t="s">
        <v>7528</v>
      </c>
      <c r="BL2050" t="s">
        <v>7528</v>
      </c>
      <c r="CA2050" t="s">
        <v>6106</v>
      </c>
      <c r="CB2050" t="s">
        <v>7528</v>
      </c>
      <c r="CL2050" t="s">
        <v>98</v>
      </c>
      <c r="CM2050" t="s">
        <v>98</v>
      </c>
      <c r="CN2050" t="s">
        <v>7528</v>
      </c>
      <c r="CO2050" s="1">
        <v>40576</v>
      </c>
      <c r="CP2050" s="1">
        <v>43633</v>
      </c>
    </row>
    <row r="2051" spans="1:94" x14ac:dyDescent="0.25">
      <c r="A2051" t="s">
        <v>6102</v>
      </c>
      <c r="B2051" t="str">
        <f xml:space="preserve"> "" &amp; 747396036199</f>
        <v>747396036199</v>
      </c>
      <c r="C2051" t="s">
        <v>6098</v>
      </c>
      <c r="D2051" t="s">
        <v>7392</v>
      </c>
      <c r="E2051" t="s">
        <v>7528</v>
      </c>
      <c r="F2051" t="s">
        <v>627</v>
      </c>
      <c r="G2051">
        <v>1</v>
      </c>
      <c r="H2051">
        <v>1</v>
      </c>
      <c r="I2051" t="s">
        <v>97</v>
      </c>
      <c r="J2051" s="10">
        <v>12.5</v>
      </c>
      <c r="K2051" s="10">
        <v>37.5</v>
      </c>
      <c r="L2051" s="10">
        <v>0</v>
      </c>
      <c r="N2051" s="10">
        <v>0</v>
      </c>
      <c r="S2051">
        <v>3.5</v>
      </c>
      <c r="U2051">
        <v>11.88</v>
      </c>
      <c r="W2051">
        <v>1</v>
      </c>
      <c r="AB2051">
        <v>0.68</v>
      </c>
      <c r="AC2051">
        <v>1.5</v>
      </c>
      <c r="AF2051" t="s">
        <v>7528</v>
      </c>
      <c r="AK2051" t="s">
        <v>98</v>
      </c>
      <c r="AM2051" t="s">
        <v>98</v>
      </c>
      <c r="AN2051" t="s">
        <v>98</v>
      </c>
      <c r="AO2051" t="s">
        <v>98</v>
      </c>
      <c r="AP2051" t="s">
        <v>100</v>
      </c>
      <c r="AQ2051" t="s">
        <v>101</v>
      </c>
      <c r="AV2051" t="s">
        <v>98</v>
      </c>
      <c r="AX2051" t="s">
        <v>7528</v>
      </c>
      <c r="AZ2051" t="s">
        <v>7528</v>
      </c>
      <c r="BB2051" t="s">
        <v>7528</v>
      </c>
      <c r="BC2051" t="s">
        <v>7528</v>
      </c>
      <c r="BD2051" t="s">
        <v>7528</v>
      </c>
      <c r="BF2051" t="s">
        <v>6103</v>
      </c>
      <c r="BG2051" t="s">
        <v>98</v>
      </c>
      <c r="BH2051" t="s">
        <v>98</v>
      </c>
      <c r="BI2051" t="s">
        <v>98</v>
      </c>
      <c r="BK2051" t="s">
        <v>7528</v>
      </c>
      <c r="BL2051" t="s">
        <v>7528</v>
      </c>
      <c r="CA2051" t="s">
        <v>6102</v>
      </c>
      <c r="CB2051" t="s">
        <v>7528</v>
      </c>
      <c r="CL2051" t="s">
        <v>98</v>
      </c>
      <c r="CM2051" t="s">
        <v>98</v>
      </c>
      <c r="CN2051" t="s">
        <v>7528</v>
      </c>
      <c r="CO2051" s="1">
        <v>40245</v>
      </c>
      <c r="CP2051" s="1">
        <v>43595</v>
      </c>
    </row>
    <row r="2052" spans="1:94" x14ac:dyDescent="0.25">
      <c r="A2052" t="s">
        <v>6108</v>
      </c>
      <c r="B2052" t="str">
        <f xml:space="preserve"> "" &amp; 747396036205</f>
        <v>747396036205</v>
      </c>
      <c r="C2052" t="s">
        <v>4679</v>
      </c>
      <c r="D2052" t="s">
        <v>7393</v>
      </c>
      <c r="E2052" t="s">
        <v>7528</v>
      </c>
      <c r="F2052" t="s">
        <v>627</v>
      </c>
      <c r="G2052">
        <v>1</v>
      </c>
      <c r="H2052">
        <v>1</v>
      </c>
      <c r="I2052" t="s">
        <v>97</v>
      </c>
      <c r="J2052" s="10">
        <v>10</v>
      </c>
      <c r="K2052" s="10">
        <v>30</v>
      </c>
      <c r="L2052" s="10">
        <v>0</v>
      </c>
      <c r="N2052" s="10">
        <v>0</v>
      </c>
      <c r="W2052">
        <v>0.25</v>
      </c>
      <c r="X2052">
        <v>1</v>
      </c>
      <c r="Y2052">
        <v>10.63</v>
      </c>
      <c r="Z2052">
        <v>9.5</v>
      </c>
      <c r="AA2052">
        <v>7.88</v>
      </c>
      <c r="AB2052">
        <v>0.46100000000000002</v>
      </c>
      <c r="AC2052">
        <v>0.27</v>
      </c>
      <c r="AF2052" t="s">
        <v>7528</v>
      </c>
      <c r="AK2052" t="s">
        <v>98</v>
      </c>
      <c r="AM2052" t="s">
        <v>98</v>
      </c>
      <c r="AN2052" t="s">
        <v>98</v>
      </c>
      <c r="AO2052" t="s">
        <v>98</v>
      </c>
      <c r="AP2052" t="s">
        <v>100</v>
      </c>
      <c r="AQ2052" t="s">
        <v>101</v>
      </c>
      <c r="AV2052" t="s">
        <v>98</v>
      </c>
      <c r="AX2052" t="s">
        <v>7528</v>
      </c>
      <c r="AZ2052" t="s">
        <v>7528</v>
      </c>
      <c r="BB2052" t="s">
        <v>7528</v>
      </c>
      <c r="BC2052" t="s">
        <v>7528</v>
      </c>
      <c r="BD2052" t="s">
        <v>7528</v>
      </c>
      <c r="BF2052" t="s">
        <v>6109</v>
      </c>
      <c r="BG2052" t="s">
        <v>98</v>
      </c>
      <c r="BH2052" t="s">
        <v>98</v>
      </c>
      <c r="BI2052" t="s">
        <v>98</v>
      </c>
      <c r="BK2052" t="s">
        <v>7528</v>
      </c>
      <c r="BL2052" t="s">
        <v>7528</v>
      </c>
      <c r="CA2052" t="s">
        <v>6108</v>
      </c>
      <c r="CB2052" t="s">
        <v>7528</v>
      </c>
      <c r="CL2052" t="s">
        <v>98</v>
      </c>
      <c r="CM2052" t="s">
        <v>98</v>
      </c>
      <c r="CN2052" t="s">
        <v>7528</v>
      </c>
      <c r="CO2052" s="1">
        <v>40576</v>
      </c>
      <c r="CP2052" s="1">
        <v>43633</v>
      </c>
    </row>
    <row r="2053" spans="1:94" x14ac:dyDescent="0.25">
      <c r="A2053" t="s">
        <v>6110</v>
      </c>
      <c r="B2053" t="str">
        <f xml:space="preserve"> "" &amp; 747396036212</f>
        <v>747396036212</v>
      </c>
      <c r="C2053" t="s">
        <v>4679</v>
      </c>
      <c r="D2053" t="s">
        <v>7394</v>
      </c>
      <c r="E2053" t="s">
        <v>7528</v>
      </c>
      <c r="F2053" t="s">
        <v>627</v>
      </c>
      <c r="G2053">
        <v>1</v>
      </c>
      <c r="H2053">
        <v>1</v>
      </c>
      <c r="I2053" t="s">
        <v>97</v>
      </c>
      <c r="J2053" s="10">
        <v>10</v>
      </c>
      <c r="K2053" s="10">
        <v>30</v>
      </c>
      <c r="L2053" s="10">
        <v>0</v>
      </c>
      <c r="N2053" s="10">
        <v>0</v>
      </c>
      <c r="W2053">
        <v>0.09</v>
      </c>
      <c r="X2053">
        <v>1</v>
      </c>
      <c r="Y2053">
        <v>7.13</v>
      </c>
      <c r="Z2053">
        <v>9.5</v>
      </c>
      <c r="AA2053">
        <v>6.75</v>
      </c>
      <c r="AB2053">
        <v>0.26500000000000001</v>
      </c>
      <c r="AC2053">
        <v>0.11</v>
      </c>
      <c r="AF2053" t="s">
        <v>7528</v>
      </c>
      <c r="AK2053" t="s">
        <v>98</v>
      </c>
      <c r="AM2053" t="s">
        <v>98</v>
      </c>
      <c r="AN2053" t="s">
        <v>98</v>
      </c>
      <c r="AO2053" t="s">
        <v>98</v>
      </c>
      <c r="AP2053" t="s">
        <v>100</v>
      </c>
      <c r="AQ2053" t="s">
        <v>101</v>
      </c>
      <c r="AV2053" t="s">
        <v>98</v>
      </c>
      <c r="AX2053" t="s">
        <v>7528</v>
      </c>
      <c r="AZ2053" t="s">
        <v>7528</v>
      </c>
      <c r="BB2053" t="s">
        <v>7528</v>
      </c>
      <c r="BC2053" t="s">
        <v>7528</v>
      </c>
      <c r="BD2053" t="s">
        <v>7528</v>
      </c>
      <c r="BF2053" t="s">
        <v>6111</v>
      </c>
      <c r="BG2053" t="s">
        <v>98</v>
      </c>
      <c r="BH2053" t="s">
        <v>98</v>
      </c>
      <c r="BI2053" t="s">
        <v>98</v>
      </c>
      <c r="BK2053" t="s">
        <v>7528</v>
      </c>
      <c r="BL2053" t="s">
        <v>7528</v>
      </c>
      <c r="CA2053" t="s">
        <v>6110</v>
      </c>
      <c r="CB2053" t="s">
        <v>7528</v>
      </c>
      <c r="CL2053" t="s">
        <v>98</v>
      </c>
      <c r="CM2053" t="s">
        <v>98</v>
      </c>
      <c r="CN2053" t="s">
        <v>7528</v>
      </c>
      <c r="CO2053" s="1">
        <v>40576</v>
      </c>
      <c r="CP2053" s="1">
        <v>43633</v>
      </c>
    </row>
    <row r="2054" spans="1:94" x14ac:dyDescent="0.25">
      <c r="A2054" t="s">
        <v>6112</v>
      </c>
      <c r="B2054" t="str">
        <f xml:space="preserve"> "" &amp; 747396036229</f>
        <v>747396036229</v>
      </c>
      <c r="C2054" t="s">
        <v>4679</v>
      </c>
      <c r="D2054" t="s">
        <v>7395</v>
      </c>
      <c r="E2054" t="s">
        <v>7528</v>
      </c>
      <c r="F2054" t="s">
        <v>627</v>
      </c>
      <c r="G2054">
        <v>1</v>
      </c>
      <c r="H2054">
        <v>1</v>
      </c>
      <c r="I2054" t="s">
        <v>97</v>
      </c>
      <c r="J2054" s="10">
        <v>16</v>
      </c>
      <c r="K2054" s="10">
        <v>48</v>
      </c>
      <c r="L2054" s="10">
        <v>0</v>
      </c>
      <c r="N2054" s="10">
        <v>0</v>
      </c>
      <c r="W2054">
        <v>0.36</v>
      </c>
      <c r="X2054">
        <v>1</v>
      </c>
      <c r="Y2054">
        <v>13</v>
      </c>
      <c r="Z2054">
        <v>9.5</v>
      </c>
      <c r="AA2054">
        <v>7.88</v>
      </c>
      <c r="AB2054">
        <v>0.56299999999999994</v>
      </c>
      <c r="AC2054">
        <v>0.38</v>
      </c>
      <c r="AF2054" t="s">
        <v>7528</v>
      </c>
      <c r="AK2054" t="s">
        <v>98</v>
      </c>
      <c r="AM2054" t="s">
        <v>98</v>
      </c>
      <c r="AN2054" t="s">
        <v>98</v>
      </c>
      <c r="AO2054" t="s">
        <v>98</v>
      </c>
      <c r="AP2054" t="s">
        <v>100</v>
      </c>
      <c r="AQ2054" t="s">
        <v>101</v>
      </c>
      <c r="AV2054" t="s">
        <v>98</v>
      </c>
      <c r="AX2054" t="s">
        <v>7528</v>
      </c>
      <c r="AZ2054" t="s">
        <v>7528</v>
      </c>
      <c r="BB2054" t="s">
        <v>7528</v>
      </c>
      <c r="BC2054" t="s">
        <v>7528</v>
      </c>
      <c r="BD2054" t="s">
        <v>7528</v>
      </c>
      <c r="BF2054" t="s">
        <v>6113</v>
      </c>
      <c r="BG2054" t="s">
        <v>98</v>
      </c>
      <c r="BH2054" t="s">
        <v>98</v>
      </c>
      <c r="BI2054" t="s">
        <v>98</v>
      </c>
      <c r="BK2054" t="s">
        <v>7528</v>
      </c>
      <c r="BL2054" t="s">
        <v>7528</v>
      </c>
      <c r="CA2054" t="s">
        <v>6112</v>
      </c>
      <c r="CB2054" t="s">
        <v>7528</v>
      </c>
      <c r="CL2054" t="s">
        <v>98</v>
      </c>
      <c r="CM2054" t="s">
        <v>98</v>
      </c>
      <c r="CN2054" t="s">
        <v>7528</v>
      </c>
      <c r="CO2054" s="1">
        <v>40576</v>
      </c>
      <c r="CP2054" s="1">
        <v>43633</v>
      </c>
    </row>
    <row r="2055" spans="1:94" x14ac:dyDescent="0.25">
      <c r="A2055" t="s">
        <v>6114</v>
      </c>
      <c r="B2055" t="str">
        <f xml:space="preserve"> "" &amp; 747396036236</f>
        <v>747396036236</v>
      </c>
      <c r="C2055" t="s">
        <v>4679</v>
      </c>
      <c r="D2055" t="s">
        <v>7396</v>
      </c>
      <c r="E2055" t="s">
        <v>7528</v>
      </c>
      <c r="F2055" t="s">
        <v>627</v>
      </c>
      <c r="G2055">
        <v>1</v>
      </c>
      <c r="H2055">
        <v>1</v>
      </c>
      <c r="I2055" t="s">
        <v>97</v>
      </c>
      <c r="J2055" s="10">
        <v>16</v>
      </c>
      <c r="K2055" s="10">
        <v>48</v>
      </c>
      <c r="L2055" s="10">
        <v>0</v>
      </c>
      <c r="N2055" s="10">
        <v>0</v>
      </c>
      <c r="W2055">
        <v>0.14000000000000001</v>
      </c>
      <c r="X2055">
        <v>1</v>
      </c>
      <c r="Y2055">
        <v>7.13</v>
      </c>
      <c r="Z2055">
        <v>9.5</v>
      </c>
      <c r="AA2055">
        <v>6.75</v>
      </c>
      <c r="AB2055">
        <v>0.26500000000000001</v>
      </c>
      <c r="AC2055">
        <v>0.15</v>
      </c>
      <c r="AF2055" t="s">
        <v>7528</v>
      </c>
      <c r="AK2055" t="s">
        <v>98</v>
      </c>
      <c r="AM2055" t="s">
        <v>98</v>
      </c>
      <c r="AN2055" t="s">
        <v>98</v>
      </c>
      <c r="AO2055" t="s">
        <v>98</v>
      </c>
      <c r="AP2055" t="s">
        <v>100</v>
      </c>
      <c r="AQ2055" t="s">
        <v>101</v>
      </c>
      <c r="AV2055" t="s">
        <v>98</v>
      </c>
      <c r="AX2055" t="s">
        <v>7528</v>
      </c>
      <c r="AZ2055" t="s">
        <v>7528</v>
      </c>
      <c r="BB2055" t="s">
        <v>7528</v>
      </c>
      <c r="BC2055" t="s">
        <v>7528</v>
      </c>
      <c r="BD2055" t="s">
        <v>7528</v>
      </c>
      <c r="BF2055" t="s">
        <v>6115</v>
      </c>
      <c r="BG2055" t="s">
        <v>98</v>
      </c>
      <c r="BH2055" t="s">
        <v>98</v>
      </c>
      <c r="BI2055" t="s">
        <v>98</v>
      </c>
      <c r="BK2055" t="s">
        <v>7528</v>
      </c>
      <c r="BL2055" t="s">
        <v>7528</v>
      </c>
      <c r="CA2055" t="s">
        <v>6114</v>
      </c>
      <c r="CB2055" t="s">
        <v>7528</v>
      </c>
      <c r="CL2055" t="s">
        <v>98</v>
      </c>
      <c r="CM2055" t="s">
        <v>98</v>
      </c>
      <c r="CN2055" t="s">
        <v>7528</v>
      </c>
      <c r="CO2055" s="1">
        <v>40576</v>
      </c>
      <c r="CP2055" s="1">
        <v>43633</v>
      </c>
    </row>
    <row r="2056" spans="1:94" x14ac:dyDescent="0.25">
      <c r="A2056" t="s">
        <v>6116</v>
      </c>
      <c r="B2056" t="str">
        <f xml:space="preserve"> "" &amp; 747396036243</f>
        <v>747396036243</v>
      </c>
      <c r="C2056" t="s">
        <v>4679</v>
      </c>
      <c r="D2056" t="s">
        <v>7397</v>
      </c>
      <c r="E2056" t="s">
        <v>7528</v>
      </c>
      <c r="F2056" t="s">
        <v>627</v>
      </c>
      <c r="G2056">
        <v>1</v>
      </c>
      <c r="H2056">
        <v>1</v>
      </c>
      <c r="I2056" t="s">
        <v>97</v>
      </c>
      <c r="J2056" s="10">
        <v>32</v>
      </c>
      <c r="K2056" s="10">
        <v>96</v>
      </c>
      <c r="L2056" s="10">
        <v>0</v>
      </c>
      <c r="N2056" s="10">
        <v>0</v>
      </c>
      <c r="W2056">
        <v>0.59</v>
      </c>
      <c r="X2056">
        <v>1</v>
      </c>
      <c r="Y2056">
        <v>13</v>
      </c>
      <c r="Z2056">
        <v>9.5</v>
      </c>
      <c r="AA2056">
        <v>7.88</v>
      </c>
      <c r="AB2056">
        <v>0.56299999999999994</v>
      </c>
      <c r="AC2056">
        <v>0.62</v>
      </c>
      <c r="AF2056" t="s">
        <v>7528</v>
      </c>
      <c r="AK2056" t="s">
        <v>98</v>
      </c>
      <c r="AM2056" t="s">
        <v>98</v>
      </c>
      <c r="AN2056" t="s">
        <v>98</v>
      </c>
      <c r="AO2056" t="s">
        <v>98</v>
      </c>
      <c r="AP2056" t="s">
        <v>100</v>
      </c>
      <c r="AQ2056" t="s">
        <v>101</v>
      </c>
      <c r="AV2056" t="s">
        <v>98</v>
      </c>
      <c r="AX2056" t="s">
        <v>7528</v>
      </c>
      <c r="AZ2056" t="s">
        <v>7528</v>
      </c>
      <c r="BB2056" t="s">
        <v>7528</v>
      </c>
      <c r="BC2056" t="s">
        <v>7528</v>
      </c>
      <c r="BD2056" t="s">
        <v>7528</v>
      </c>
      <c r="BF2056" t="s">
        <v>6117</v>
      </c>
      <c r="BG2056" t="s">
        <v>98</v>
      </c>
      <c r="BH2056" t="s">
        <v>98</v>
      </c>
      <c r="BI2056" t="s">
        <v>98</v>
      </c>
      <c r="BK2056" t="s">
        <v>7528</v>
      </c>
      <c r="BL2056" t="s">
        <v>7528</v>
      </c>
      <c r="CA2056" t="s">
        <v>6116</v>
      </c>
      <c r="CB2056" t="s">
        <v>7528</v>
      </c>
      <c r="CL2056" t="s">
        <v>98</v>
      </c>
      <c r="CM2056" t="s">
        <v>98</v>
      </c>
      <c r="CN2056" t="s">
        <v>7528</v>
      </c>
      <c r="CO2056" s="1">
        <v>40576</v>
      </c>
      <c r="CP2056" s="1">
        <v>43633</v>
      </c>
    </row>
    <row r="2057" spans="1:94" x14ac:dyDescent="0.25">
      <c r="A2057" t="s">
        <v>6118</v>
      </c>
      <c r="B2057" t="str">
        <f xml:space="preserve"> "" &amp; 747396036250</f>
        <v>747396036250</v>
      </c>
      <c r="C2057" t="s">
        <v>4679</v>
      </c>
      <c r="D2057" t="s">
        <v>7398</v>
      </c>
      <c r="E2057" t="s">
        <v>7528</v>
      </c>
      <c r="F2057" t="s">
        <v>627</v>
      </c>
      <c r="G2057">
        <v>1</v>
      </c>
      <c r="H2057">
        <v>1</v>
      </c>
      <c r="I2057" t="s">
        <v>97</v>
      </c>
      <c r="J2057" s="10">
        <v>32</v>
      </c>
      <c r="K2057" s="10">
        <v>96</v>
      </c>
      <c r="L2057" s="10">
        <v>0</v>
      </c>
      <c r="N2057" s="10">
        <v>0</v>
      </c>
      <c r="W2057">
        <v>0.26</v>
      </c>
      <c r="X2057">
        <v>1</v>
      </c>
      <c r="Y2057">
        <v>10.63</v>
      </c>
      <c r="Z2057">
        <v>9.5</v>
      </c>
      <c r="AA2057">
        <v>7.88</v>
      </c>
      <c r="AB2057">
        <v>0.46100000000000002</v>
      </c>
      <c r="AC2057">
        <v>0.28000000000000003</v>
      </c>
      <c r="AF2057" t="s">
        <v>7528</v>
      </c>
      <c r="AK2057" t="s">
        <v>98</v>
      </c>
      <c r="AM2057" t="s">
        <v>98</v>
      </c>
      <c r="AN2057" t="s">
        <v>98</v>
      </c>
      <c r="AO2057" t="s">
        <v>98</v>
      </c>
      <c r="AP2057" t="s">
        <v>100</v>
      </c>
      <c r="AQ2057" t="s">
        <v>101</v>
      </c>
      <c r="AV2057" t="s">
        <v>98</v>
      </c>
      <c r="AX2057" t="s">
        <v>7528</v>
      </c>
      <c r="AZ2057" t="s">
        <v>7528</v>
      </c>
      <c r="BB2057" t="s">
        <v>7528</v>
      </c>
      <c r="BC2057" t="s">
        <v>7528</v>
      </c>
      <c r="BD2057" t="s">
        <v>7528</v>
      </c>
      <c r="BF2057" t="s">
        <v>6119</v>
      </c>
      <c r="BG2057" t="s">
        <v>98</v>
      </c>
      <c r="BH2057" t="s">
        <v>98</v>
      </c>
      <c r="BI2057" t="s">
        <v>98</v>
      </c>
      <c r="BK2057" t="s">
        <v>7528</v>
      </c>
      <c r="BL2057" t="s">
        <v>7528</v>
      </c>
      <c r="CA2057" t="s">
        <v>6118</v>
      </c>
      <c r="CB2057" t="s">
        <v>7528</v>
      </c>
      <c r="CL2057" t="s">
        <v>98</v>
      </c>
      <c r="CM2057" t="s">
        <v>98</v>
      </c>
      <c r="CN2057" t="s">
        <v>7528</v>
      </c>
      <c r="CO2057" s="1">
        <v>40576</v>
      </c>
      <c r="CP2057" s="1">
        <v>43633</v>
      </c>
    </row>
    <row r="2058" spans="1:94" x14ac:dyDescent="0.25">
      <c r="A2058" t="s">
        <v>6120</v>
      </c>
      <c r="B2058" t="str">
        <f xml:space="preserve"> "" &amp; 747396064727</f>
        <v>747396064727</v>
      </c>
      <c r="C2058" t="s">
        <v>5649</v>
      </c>
      <c r="D2058" t="s">
        <v>7399</v>
      </c>
      <c r="E2058" t="s">
        <v>7528</v>
      </c>
      <c r="F2058" t="s">
        <v>627</v>
      </c>
      <c r="G2058">
        <v>1</v>
      </c>
      <c r="H2058">
        <v>1</v>
      </c>
      <c r="I2058" t="s">
        <v>97</v>
      </c>
      <c r="J2058" s="10">
        <v>15</v>
      </c>
      <c r="K2058" s="10">
        <v>45</v>
      </c>
      <c r="L2058" s="10">
        <v>0</v>
      </c>
      <c r="N2058" s="10">
        <v>0</v>
      </c>
      <c r="W2058">
        <v>1.21</v>
      </c>
      <c r="X2058">
        <v>1</v>
      </c>
      <c r="AC2058">
        <v>1.76</v>
      </c>
      <c r="AF2058" t="s">
        <v>7528</v>
      </c>
      <c r="AK2058" t="s">
        <v>98</v>
      </c>
      <c r="AM2058" t="s">
        <v>98</v>
      </c>
      <c r="AN2058" t="s">
        <v>98</v>
      </c>
      <c r="AO2058" t="s">
        <v>98</v>
      </c>
      <c r="AP2058" t="s">
        <v>100</v>
      </c>
      <c r="AQ2058" t="s">
        <v>101</v>
      </c>
      <c r="AV2058" t="s">
        <v>98</v>
      </c>
      <c r="AX2058" t="s">
        <v>7528</v>
      </c>
      <c r="AZ2058" t="s">
        <v>7528</v>
      </c>
      <c r="BB2058" t="s">
        <v>7528</v>
      </c>
      <c r="BC2058" t="s">
        <v>7528</v>
      </c>
      <c r="BD2058" t="s">
        <v>7528</v>
      </c>
      <c r="BF2058" t="s">
        <v>6121</v>
      </c>
      <c r="BG2058" t="s">
        <v>98</v>
      </c>
      <c r="BH2058" t="s">
        <v>98</v>
      </c>
      <c r="BI2058" t="s">
        <v>98</v>
      </c>
      <c r="BK2058" t="s">
        <v>7528</v>
      </c>
      <c r="BL2058" t="s">
        <v>7528</v>
      </c>
      <c r="CA2058" t="s">
        <v>6120</v>
      </c>
      <c r="CB2058" t="s">
        <v>7528</v>
      </c>
      <c r="CL2058" t="s">
        <v>98</v>
      </c>
      <c r="CM2058" t="s">
        <v>98</v>
      </c>
      <c r="CN2058" t="s">
        <v>7528</v>
      </c>
      <c r="CO2058" s="1">
        <v>40576</v>
      </c>
      <c r="CP2058" s="1">
        <v>43633</v>
      </c>
    </row>
    <row r="2059" spans="1:94" x14ac:dyDescent="0.25">
      <c r="A2059" t="s">
        <v>6122</v>
      </c>
      <c r="B2059" t="str">
        <f xml:space="preserve"> "" &amp; 747396064734</f>
        <v>747396064734</v>
      </c>
      <c r="C2059" t="s">
        <v>4741</v>
      </c>
      <c r="D2059" t="s">
        <v>7400</v>
      </c>
      <c r="E2059" t="s">
        <v>7528</v>
      </c>
      <c r="F2059" t="s">
        <v>627</v>
      </c>
      <c r="G2059">
        <v>1</v>
      </c>
      <c r="H2059">
        <v>1</v>
      </c>
      <c r="I2059" t="s">
        <v>97</v>
      </c>
      <c r="J2059" s="10">
        <v>35</v>
      </c>
      <c r="K2059" s="10">
        <v>105</v>
      </c>
      <c r="L2059" s="10">
        <v>0</v>
      </c>
      <c r="N2059" s="10">
        <v>0</v>
      </c>
      <c r="W2059">
        <v>2.2000000000000002</v>
      </c>
      <c r="X2059">
        <v>1</v>
      </c>
      <c r="Y2059">
        <v>12.63</v>
      </c>
      <c r="Z2059">
        <v>11.25</v>
      </c>
      <c r="AA2059">
        <v>8.5</v>
      </c>
      <c r="AB2059">
        <v>0.69899999999999995</v>
      </c>
      <c r="AC2059">
        <v>3.3</v>
      </c>
      <c r="AF2059" t="s">
        <v>7528</v>
      </c>
      <c r="AK2059" t="s">
        <v>98</v>
      </c>
      <c r="AM2059" t="s">
        <v>98</v>
      </c>
      <c r="AN2059" t="s">
        <v>98</v>
      </c>
      <c r="AO2059" t="s">
        <v>98</v>
      </c>
      <c r="AP2059" t="s">
        <v>100</v>
      </c>
      <c r="AQ2059" t="s">
        <v>101</v>
      </c>
      <c r="AV2059" t="s">
        <v>98</v>
      </c>
      <c r="AX2059" t="s">
        <v>7528</v>
      </c>
      <c r="AZ2059" t="s">
        <v>7528</v>
      </c>
      <c r="BB2059" t="s">
        <v>7528</v>
      </c>
      <c r="BC2059" t="s">
        <v>7528</v>
      </c>
      <c r="BD2059" t="s">
        <v>7528</v>
      </c>
      <c r="BF2059" t="s">
        <v>6123</v>
      </c>
      <c r="BG2059" t="s">
        <v>98</v>
      </c>
      <c r="BH2059" t="s">
        <v>98</v>
      </c>
      <c r="BI2059" t="s">
        <v>98</v>
      </c>
      <c r="BK2059" t="s">
        <v>7528</v>
      </c>
      <c r="BL2059" t="s">
        <v>7528</v>
      </c>
      <c r="CA2059" t="s">
        <v>6122</v>
      </c>
      <c r="CB2059" t="s">
        <v>7528</v>
      </c>
      <c r="CL2059" t="s">
        <v>98</v>
      </c>
      <c r="CM2059" t="s">
        <v>98</v>
      </c>
      <c r="CN2059" t="s">
        <v>7528</v>
      </c>
      <c r="CO2059" s="1">
        <v>40576</v>
      </c>
      <c r="CP2059" s="1">
        <v>43633</v>
      </c>
    </row>
    <row r="2060" spans="1:94" x14ac:dyDescent="0.25">
      <c r="A2060" t="s">
        <v>6124</v>
      </c>
      <c r="B2060" t="str">
        <f xml:space="preserve"> "" &amp; 747396064741</f>
        <v>747396064741</v>
      </c>
      <c r="C2060" t="s">
        <v>5649</v>
      </c>
      <c r="D2060" t="s">
        <v>7401</v>
      </c>
      <c r="E2060" t="s">
        <v>7528</v>
      </c>
      <c r="F2060" t="s">
        <v>627</v>
      </c>
      <c r="G2060">
        <v>1</v>
      </c>
      <c r="H2060">
        <v>1</v>
      </c>
      <c r="I2060" t="s">
        <v>97</v>
      </c>
      <c r="J2060" s="10">
        <v>35</v>
      </c>
      <c r="K2060" s="10">
        <v>105</v>
      </c>
      <c r="L2060" s="10">
        <v>0</v>
      </c>
      <c r="N2060" s="10">
        <v>0</v>
      </c>
      <c r="W2060">
        <v>4.3600000000000003</v>
      </c>
      <c r="X2060">
        <v>1</v>
      </c>
      <c r="AC2060">
        <v>4.42</v>
      </c>
      <c r="AF2060" t="s">
        <v>7528</v>
      </c>
      <c r="AK2060" t="s">
        <v>98</v>
      </c>
      <c r="AM2060" t="s">
        <v>98</v>
      </c>
      <c r="AN2060" t="s">
        <v>98</v>
      </c>
      <c r="AO2060" t="s">
        <v>98</v>
      </c>
      <c r="AP2060" t="s">
        <v>100</v>
      </c>
      <c r="AQ2060" t="s">
        <v>101</v>
      </c>
      <c r="AV2060" t="s">
        <v>98</v>
      </c>
      <c r="AX2060" t="s">
        <v>7528</v>
      </c>
      <c r="AZ2060" t="s">
        <v>7528</v>
      </c>
      <c r="BB2060" t="s">
        <v>7528</v>
      </c>
      <c r="BC2060" t="s">
        <v>7528</v>
      </c>
      <c r="BD2060" t="s">
        <v>7528</v>
      </c>
      <c r="BF2060" t="s">
        <v>6125</v>
      </c>
      <c r="BG2060" t="s">
        <v>98</v>
      </c>
      <c r="BH2060" t="s">
        <v>98</v>
      </c>
      <c r="BI2060" t="s">
        <v>98</v>
      </c>
      <c r="BK2060" t="s">
        <v>7528</v>
      </c>
      <c r="BL2060" t="s">
        <v>7528</v>
      </c>
      <c r="CA2060" t="s">
        <v>6124</v>
      </c>
      <c r="CB2060" t="s">
        <v>7528</v>
      </c>
      <c r="CL2060" t="s">
        <v>98</v>
      </c>
      <c r="CM2060" t="s">
        <v>98</v>
      </c>
      <c r="CN2060" t="s">
        <v>7528</v>
      </c>
      <c r="CO2060" s="1">
        <v>40576</v>
      </c>
      <c r="CP2060" s="1">
        <v>43633</v>
      </c>
    </row>
    <row r="2061" spans="1:94" x14ac:dyDescent="0.25">
      <c r="A2061" t="s">
        <v>6126</v>
      </c>
      <c r="B2061" t="str">
        <f xml:space="preserve"> "" &amp; 747396036564</f>
        <v>747396036564</v>
      </c>
      <c r="C2061" t="s">
        <v>6127</v>
      </c>
      <c r="D2061" t="s">
        <v>7402</v>
      </c>
      <c r="E2061" t="s">
        <v>7528</v>
      </c>
      <c r="F2061" t="s">
        <v>627</v>
      </c>
      <c r="G2061">
        <v>1</v>
      </c>
      <c r="H2061">
        <v>1</v>
      </c>
      <c r="I2061" t="s">
        <v>97</v>
      </c>
      <c r="J2061" s="10">
        <v>10</v>
      </c>
      <c r="K2061" s="10">
        <v>30</v>
      </c>
      <c r="L2061" s="10">
        <v>0</v>
      </c>
      <c r="N2061" s="10">
        <v>0</v>
      </c>
      <c r="W2061">
        <v>0.32</v>
      </c>
      <c r="X2061">
        <v>1</v>
      </c>
      <c r="Y2061">
        <v>7.09</v>
      </c>
      <c r="Z2061">
        <v>13.98</v>
      </c>
      <c r="AA2061">
        <v>6.5</v>
      </c>
      <c r="AB2061">
        <v>0.373</v>
      </c>
      <c r="AC2061">
        <v>0.38</v>
      </c>
      <c r="AF2061" t="s">
        <v>7528</v>
      </c>
      <c r="AK2061" t="s">
        <v>98</v>
      </c>
      <c r="AM2061" t="s">
        <v>98</v>
      </c>
      <c r="AN2061" t="s">
        <v>98</v>
      </c>
      <c r="AO2061" t="s">
        <v>98</v>
      </c>
      <c r="AP2061" t="s">
        <v>100</v>
      </c>
      <c r="AQ2061" t="s">
        <v>101</v>
      </c>
      <c r="AV2061" t="s">
        <v>98</v>
      </c>
      <c r="AX2061" t="s">
        <v>7528</v>
      </c>
      <c r="AZ2061" t="s">
        <v>7528</v>
      </c>
      <c r="BB2061" t="s">
        <v>7528</v>
      </c>
      <c r="BC2061" t="s">
        <v>7528</v>
      </c>
      <c r="BD2061" t="s">
        <v>7528</v>
      </c>
      <c r="BF2061" t="s">
        <v>6128</v>
      </c>
      <c r="BG2061" t="s">
        <v>98</v>
      </c>
      <c r="BH2061" t="s">
        <v>98</v>
      </c>
      <c r="BI2061" t="s">
        <v>98</v>
      </c>
      <c r="BK2061" t="s">
        <v>7528</v>
      </c>
      <c r="BL2061" t="s">
        <v>7528</v>
      </c>
      <c r="CA2061" t="s">
        <v>6126</v>
      </c>
      <c r="CB2061" t="s">
        <v>7528</v>
      </c>
      <c r="CL2061" t="s">
        <v>98</v>
      </c>
      <c r="CM2061" t="s">
        <v>98</v>
      </c>
      <c r="CN2061" t="s">
        <v>7528</v>
      </c>
      <c r="CO2061" s="1">
        <v>40576</v>
      </c>
      <c r="CP2061" s="1">
        <v>43633</v>
      </c>
    </row>
    <row r="2062" spans="1:94" x14ac:dyDescent="0.25">
      <c r="A2062" t="s">
        <v>6129</v>
      </c>
      <c r="B2062" t="str">
        <f xml:space="preserve"> "" &amp; 747396036571</f>
        <v>747396036571</v>
      </c>
      <c r="C2062" t="s">
        <v>6127</v>
      </c>
      <c r="D2062" t="s">
        <v>7403</v>
      </c>
      <c r="E2062" t="s">
        <v>7528</v>
      </c>
      <c r="F2062" t="s">
        <v>627</v>
      </c>
      <c r="G2062">
        <v>1</v>
      </c>
      <c r="H2062">
        <v>1</v>
      </c>
      <c r="I2062" t="s">
        <v>97</v>
      </c>
      <c r="J2062" s="10">
        <v>12</v>
      </c>
      <c r="K2062" s="10">
        <v>36</v>
      </c>
      <c r="L2062" s="10">
        <v>0</v>
      </c>
      <c r="N2062" s="10">
        <v>0</v>
      </c>
      <c r="W2062">
        <v>0.54</v>
      </c>
      <c r="X2062">
        <v>1</v>
      </c>
      <c r="Y2062">
        <v>12.5</v>
      </c>
      <c r="Z2062">
        <v>10.25</v>
      </c>
      <c r="AA2062">
        <v>9.5</v>
      </c>
      <c r="AB2062">
        <v>0.70399999999999996</v>
      </c>
      <c r="AC2062">
        <v>0.56000000000000005</v>
      </c>
      <c r="AF2062" t="s">
        <v>7528</v>
      </c>
      <c r="AK2062" t="s">
        <v>98</v>
      </c>
      <c r="AM2062" t="s">
        <v>98</v>
      </c>
      <c r="AN2062" t="s">
        <v>98</v>
      </c>
      <c r="AO2062" t="s">
        <v>98</v>
      </c>
      <c r="AP2062" t="s">
        <v>100</v>
      </c>
      <c r="AQ2062" t="s">
        <v>101</v>
      </c>
      <c r="AV2062" t="s">
        <v>98</v>
      </c>
      <c r="AX2062" t="s">
        <v>7528</v>
      </c>
      <c r="AZ2062" t="s">
        <v>7528</v>
      </c>
      <c r="BB2062" t="s">
        <v>7528</v>
      </c>
      <c r="BC2062" t="s">
        <v>7528</v>
      </c>
      <c r="BD2062" t="s">
        <v>7528</v>
      </c>
      <c r="BF2062" t="s">
        <v>6130</v>
      </c>
      <c r="BG2062" t="s">
        <v>98</v>
      </c>
      <c r="BH2062" t="s">
        <v>98</v>
      </c>
      <c r="BI2062" t="s">
        <v>98</v>
      </c>
      <c r="BK2062" t="s">
        <v>7528</v>
      </c>
      <c r="BL2062" t="s">
        <v>7528</v>
      </c>
      <c r="CA2062" t="s">
        <v>6129</v>
      </c>
      <c r="CB2062" t="s">
        <v>7528</v>
      </c>
      <c r="CL2062" t="s">
        <v>98</v>
      </c>
      <c r="CM2062" t="s">
        <v>98</v>
      </c>
      <c r="CN2062" t="s">
        <v>7528</v>
      </c>
      <c r="CO2062" s="1">
        <v>40576</v>
      </c>
      <c r="CP2062" s="1">
        <v>43633</v>
      </c>
    </row>
    <row r="2063" spans="1:94" x14ac:dyDescent="0.25">
      <c r="A2063" t="s">
        <v>6131</v>
      </c>
      <c r="B2063" t="str">
        <f xml:space="preserve"> "" &amp; 747396036717</f>
        <v>747396036717</v>
      </c>
      <c r="C2063" t="s">
        <v>3416</v>
      </c>
      <c r="D2063" t="s">
        <v>7404</v>
      </c>
      <c r="E2063" t="s">
        <v>7528</v>
      </c>
      <c r="F2063" t="s">
        <v>627</v>
      </c>
      <c r="G2063">
        <v>1</v>
      </c>
      <c r="H2063">
        <v>1</v>
      </c>
      <c r="I2063" t="s">
        <v>97</v>
      </c>
      <c r="J2063" s="10">
        <v>2.5</v>
      </c>
      <c r="K2063" s="10">
        <v>7.5</v>
      </c>
      <c r="L2063" s="10">
        <v>0</v>
      </c>
      <c r="N2063" s="10">
        <v>0</v>
      </c>
      <c r="W2063">
        <v>0.12</v>
      </c>
      <c r="X2063">
        <v>1</v>
      </c>
      <c r="Y2063">
        <v>7</v>
      </c>
      <c r="Z2063">
        <v>8.25</v>
      </c>
      <c r="AA2063">
        <v>6.75</v>
      </c>
      <c r="AB2063">
        <v>0.22600000000000001</v>
      </c>
      <c r="AC2063">
        <v>0.18</v>
      </c>
      <c r="AF2063" t="s">
        <v>7528</v>
      </c>
      <c r="AK2063" t="s">
        <v>98</v>
      </c>
      <c r="AM2063" t="s">
        <v>98</v>
      </c>
      <c r="AN2063" t="s">
        <v>98</v>
      </c>
      <c r="AO2063" t="s">
        <v>98</v>
      </c>
      <c r="AP2063" t="s">
        <v>100</v>
      </c>
      <c r="AQ2063" t="s">
        <v>101</v>
      </c>
      <c r="AV2063" t="s">
        <v>98</v>
      </c>
      <c r="AX2063" t="s">
        <v>7528</v>
      </c>
      <c r="AZ2063" t="s">
        <v>7528</v>
      </c>
      <c r="BB2063" t="s">
        <v>7528</v>
      </c>
      <c r="BC2063" t="s">
        <v>7528</v>
      </c>
      <c r="BD2063" t="s">
        <v>7528</v>
      </c>
      <c r="BF2063" t="s">
        <v>6132</v>
      </c>
      <c r="BG2063" t="s">
        <v>98</v>
      </c>
      <c r="BH2063" t="s">
        <v>98</v>
      </c>
      <c r="BI2063" t="s">
        <v>98</v>
      </c>
      <c r="BK2063" t="s">
        <v>7528</v>
      </c>
      <c r="BL2063" t="s">
        <v>7528</v>
      </c>
      <c r="CA2063" t="s">
        <v>6131</v>
      </c>
      <c r="CB2063" t="s">
        <v>7528</v>
      </c>
      <c r="CL2063" t="s">
        <v>98</v>
      </c>
      <c r="CM2063" t="s">
        <v>98</v>
      </c>
      <c r="CN2063" t="s">
        <v>7528</v>
      </c>
      <c r="CO2063" s="1">
        <v>40576</v>
      </c>
      <c r="CP2063" s="1">
        <v>43633</v>
      </c>
    </row>
    <row r="2064" spans="1:94" x14ac:dyDescent="0.25">
      <c r="A2064" t="s">
        <v>6133</v>
      </c>
      <c r="B2064" t="str">
        <f xml:space="preserve"> "" &amp; 747396036724</f>
        <v>747396036724</v>
      </c>
      <c r="C2064" t="s">
        <v>3416</v>
      </c>
      <c r="D2064" t="s">
        <v>7405</v>
      </c>
      <c r="E2064" t="s">
        <v>7528</v>
      </c>
      <c r="F2064" t="s">
        <v>627</v>
      </c>
      <c r="G2064">
        <v>1</v>
      </c>
      <c r="H2064">
        <v>1</v>
      </c>
      <c r="I2064" t="s">
        <v>97</v>
      </c>
      <c r="J2064" s="10">
        <v>2.5</v>
      </c>
      <c r="K2064" s="10">
        <v>7.5</v>
      </c>
      <c r="L2064" s="10">
        <v>0</v>
      </c>
      <c r="N2064" s="10">
        <v>0</v>
      </c>
      <c r="W2064">
        <v>0.24</v>
      </c>
      <c r="X2064">
        <v>1</v>
      </c>
      <c r="Y2064">
        <v>7.87</v>
      </c>
      <c r="Z2064">
        <v>7.8739999999999997</v>
      </c>
      <c r="AA2064">
        <v>6.3</v>
      </c>
      <c r="AB2064">
        <v>0.22600000000000001</v>
      </c>
      <c r="AC2064">
        <v>0.26</v>
      </c>
      <c r="AF2064" t="s">
        <v>7528</v>
      </c>
      <c r="AK2064" t="s">
        <v>98</v>
      </c>
      <c r="AM2064" t="s">
        <v>98</v>
      </c>
      <c r="AN2064" t="s">
        <v>98</v>
      </c>
      <c r="AO2064" t="s">
        <v>98</v>
      </c>
      <c r="AP2064" t="s">
        <v>100</v>
      </c>
      <c r="AQ2064" t="s">
        <v>101</v>
      </c>
      <c r="AV2064" t="s">
        <v>98</v>
      </c>
      <c r="AX2064" t="s">
        <v>7528</v>
      </c>
      <c r="AZ2064" t="s">
        <v>7528</v>
      </c>
      <c r="BB2064" t="s">
        <v>7528</v>
      </c>
      <c r="BC2064" t="s">
        <v>7528</v>
      </c>
      <c r="BD2064" t="s">
        <v>7528</v>
      </c>
      <c r="BF2064" t="s">
        <v>6134</v>
      </c>
      <c r="BG2064" t="s">
        <v>98</v>
      </c>
      <c r="BH2064" t="s">
        <v>98</v>
      </c>
      <c r="BI2064" t="s">
        <v>98</v>
      </c>
      <c r="BK2064" t="s">
        <v>7528</v>
      </c>
      <c r="BL2064" t="s">
        <v>7528</v>
      </c>
      <c r="CA2064" t="s">
        <v>6133</v>
      </c>
      <c r="CB2064" t="s">
        <v>7528</v>
      </c>
      <c r="CL2064" t="s">
        <v>98</v>
      </c>
      <c r="CM2064" t="s">
        <v>98</v>
      </c>
      <c r="CN2064" t="s">
        <v>7528</v>
      </c>
      <c r="CO2064" s="1">
        <v>40576</v>
      </c>
      <c r="CP2064" s="1">
        <v>43633</v>
      </c>
    </row>
    <row r="2065" spans="1:94" x14ac:dyDescent="0.25">
      <c r="A2065" t="s">
        <v>6135</v>
      </c>
      <c r="B2065" t="str">
        <f xml:space="preserve"> "" &amp; 747396042367</f>
        <v>747396042367</v>
      </c>
      <c r="C2065" t="s">
        <v>5649</v>
      </c>
      <c r="D2065" t="s">
        <v>6136</v>
      </c>
      <c r="E2065" t="s">
        <v>7528</v>
      </c>
      <c r="F2065" t="s">
        <v>627</v>
      </c>
      <c r="G2065">
        <v>1</v>
      </c>
      <c r="H2065">
        <v>1</v>
      </c>
      <c r="I2065" t="s">
        <v>97</v>
      </c>
      <c r="J2065" s="10">
        <v>3.5</v>
      </c>
      <c r="K2065" s="10">
        <v>10.5</v>
      </c>
      <c r="L2065" s="10">
        <v>0</v>
      </c>
      <c r="N2065" s="10">
        <v>0</v>
      </c>
      <c r="W2065">
        <v>0.25</v>
      </c>
      <c r="X2065">
        <v>1</v>
      </c>
      <c r="Y2065">
        <v>5.5</v>
      </c>
      <c r="Z2065">
        <v>12.5</v>
      </c>
      <c r="AA2065">
        <v>10.75</v>
      </c>
      <c r="AB2065">
        <v>0.42799999999999999</v>
      </c>
      <c r="AC2065">
        <v>0.55000000000000004</v>
      </c>
      <c r="AF2065" t="s">
        <v>7528</v>
      </c>
      <c r="AK2065" t="s">
        <v>98</v>
      </c>
      <c r="AM2065" t="s">
        <v>98</v>
      </c>
      <c r="AN2065" t="s">
        <v>98</v>
      </c>
      <c r="AO2065" t="s">
        <v>98</v>
      </c>
      <c r="AP2065" t="s">
        <v>100</v>
      </c>
      <c r="AQ2065" t="s">
        <v>101</v>
      </c>
      <c r="AV2065" t="s">
        <v>98</v>
      </c>
      <c r="AX2065" t="s">
        <v>7528</v>
      </c>
      <c r="AZ2065" t="s">
        <v>7528</v>
      </c>
      <c r="BB2065" t="s">
        <v>7528</v>
      </c>
      <c r="BC2065" t="s">
        <v>7528</v>
      </c>
      <c r="BD2065" t="s">
        <v>7528</v>
      </c>
      <c r="BF2065" t="s">
        <v>6137</v>
      </c>
      <c r="BG2065" t="s">
        <v>98</v>
      </c>
      <c r="BH2065" t="s">
        <v>98</v>
      </c>
      <c r="BI2065" t="s">
        <v>98</v>
      </c>
      <c r="BK2065" t="s">
        <v>7528</v>
      </c>
      <c r="BL2065" t="s">
        <v>7528</v>
      </c>
      <c r="CA2065" t="s">
        <v>6135</v>
      </c>
      <c r="CB2065" t="s">
        <v>7528</v>
      </c>
      <c r="CL2065" t="s">
        <v>98</v>
      </c>
      <c r="CM2065" t="s">
        <v>98</v>
      </c>
      <c r="CN2065" t="s">
        <v>7528</v>
      </c>
      <c r="CO2065" s="1">
        <v>40577</v>
      </c>
      <c r="CP2065" s="1">
        <v>43633</v>
      </c>
    </row>
    <row r="2066" spans="1:94" x14ac:dyDescent="0.25">
      <c r="A2066" t="s">
        <v>6138</v>
      </c>
      <c r="B2066" t="str">
        <f xml:space="preserve"> "" &amp; 747396058610</f>
        <v>747396058610</v>
      </c>
      <c r="C2066" t="s">
        <v>5649</v>
      </c>
      <c r="D2066" t="s">
        <v>7406</v>
      </c>
      <c r="E2066" t="s">
        <v>7528</v>
      </c>
      <c r="F2066" t="s">
        <v>627</v>
      </c>
      <c r="G2066">
        <v>1</v>
      </c>
      <c r="H2066">
        <v>1</v>
      </c>
      <c r="I2066" t="s">
        <v>97</v>
      </c>
      <c r="J2066" s="10">
        <v>3.5</v>
      </c>
      <c r="K2066" s="10">
        <v>10.5</v>
      </c>
      <c r="L2066" s="10">
        <v>0</v>
      </c>
      <c r="N2066" s="10">
        <v>0</v>
      </c>
      <c r="W2066">
        <v>1</v>
      </c>
      <c r="AB2066">
        <v>1.67E-2</v>
      </c>
      <c r="AC2066">
        <v>0.61</v>
      </c>
      <c r="AF2066" t="s">
        <v>7528</v>
      </c>
      <c r="AK2066" t="s">
        <v>98</v>
      </c>
      <c r="AM2066" t="s">
        <v>98</v>
      </c>
      <c r="AN2066" t="s">
        <v>98</v>
      </c>
      <c r="AO2066" t="s">
        <v>98</v>
      </c>
      <c r="AP2066" t="s">
        <v>100</v>
      </c>
      <c r="AQ2066" t="s">
        <v>101</v>
      </c>
      <c r="AV2066" t="s">
        <v>98</v>
      </c>
      <c r="AX2066" t="s">
        <v>7528</v>
      </c>
      <c r="AZ2066" t="s">
        <v>7528</v>
      </c>
      <c r="BB2066" t="s">
        <v>7528</v>
      </c>
      <c r="BC2066" t="s">
        <v>7528</v>
      </c>
      <c r="BD2066" t="s">
        <v>7528</v>
      </c>
      <c r="BF2066" t="s">
        <v>6139</v>
      </c>
      <c r="BG2066" t="s">
        <v>98</v>
      </c>
      <c r="BH2066" t="s">
        <v>98</v>
      </c>
      <c r="BI2066" t="s">
        <v>98</v>
      </c>
      <c r="BK2066" t="s">
        <v>7528</v>
      </c>
      <c r="BL2066" t="s">
        <v>7528</v>
      </c>
      <c r="CA2066" t="s">
        <v>6138</v>
      </c>
      <c r="CB2066" t="s">
        <v>7528</v>
      </c>
      <c r="CL2066" t="s">
        <v>98</v>
      </c>
      <c r="CM2066" t="s">
        <v>98</v>
      </c>
      <c r="CN2066" t="s">
        <v>7528</v>
      </c>
      <c r="CO2066" s="1">
        <v>40577</v>
      </c>
      <c r="CP2066" s="1">
        <v>43633</v>
      </c>
    </row>
    <row r="2067" spans="1:94" x14ac:dyDescent="0.25">
      <c r="A2067" t="s">
        <v>6140</v>
      </c>
      <c r="B2067" t="str">
        <f xml:space="preserve"> "" &amp; 747396058627</f>
        <v>747396058627</v>
      </c>
      <c r="C2067" t="s">
        <v>5649</v>
      </c>
      <c r="D2067" t="s">
        <v>7407</v>
      </c>
      <c r="E2067" t="s">
        <v>7528</v>
      </c>
      <c r="F2067" t="s">
        <v>627</v>
      </c>
      <c r="G2067">
        <v>1</v>
      </c>
      <c r="H2067">
        <v>1</v>
      </c>
      <c r="I2067" t="s">
        <v>97</v>
      </c>
      <c r="J2067" s="10">
        <v>4</v>
      </c>
      <c r="K2067" s="10">
        <v>12</v>
      </c>
      <c r="L2067" s="10">
        <v>0</v>
      </c>
      <c r="N2067" s="10">
        <v>0</v>
      </c>
      <c r="W2067">
        <v>1</v>
      </c>
      <c r="AB2067">
        <v>1.4200000000000001E-2</v>
      </c>
      <c r="AC2067">
        <v>0.51</v>
      </c>
      <c r="AF2067" t="s">
        <v>7528</v>
      </c>
      <c r="AK2067" t="s">
        <v>98</v>
      </c>
      <c r="AM2067" t="s">
        <v>98</v>
      </c>
      <c r="AN2067" t="s">
        <v>98</v>
      </c>
      <c r="AO2067" t="s">
        <v>98</v>
      </c>
      <c r="AP2067" t="s">
        <v>100</v>
      </c>
      <c r="AQ2067" t="s">
        <v>101</v>
      </c>
      <c r="AV2067" t="s">
        <v>98</v>
      </c>
      <c r="AX2067" t="s">
        <v>7528</v>
      </c>
      <c r="AZ2067" t="s">
        <v>7528</v>
      </c>
      <c r="BB2067" t="s">
        <v>7528</v>
      </c>
      <c r="BC2067" t="s">
        <v>7528</v>
      </c>
      <c r="BD2067" t="s">
        <v>7528</v>
      </c>
      <c r="BF2067" t="s">
        <v>6141</v>
      </c>
      <c r="BG2067" t="s">
        <v>98</v>
      </c>
      <c r="BH2067" t="s">
        <v>98</v>
      </c>
      <c r="BI2067" t="s">
        <v>98</v>
      </c>
      <c r="BK2067" t="s">
        <v>7528</v>
      </c>
      <c r="BL2067" t="s">
        <v>7528</v>
      </c>
      <c r="CA2067" t="s">
        <v>6140</v>
      </c>
      <c r="CB2067" t="s">
        <v>7528</v>
      </c>
      <c r="CL2067" t="s">
        <v>98</v>
      </c>
      <c r="CM2067" t="s">
        <v>98</v>
      </c>
      <c r="CN2067" t="s">
        <v>7528</v>
      </c>
      <c r="CO2067" s="1">
        <v>40577</v>
      </c>
      <c r="CP2067" s="1">
        <v>43633</v>
      </c>
    </row>
    <row r="2068" spans="1:94" x14ac:dyDescent="0.25">
      <c r="A2068" t="s">
        <v>6142</v>
      </c>
      <c r="B2068" t="str">
        <f xml:space="preserve"> "" &amp; 747396042398</f>
        <v>747396042398</v>
      </c>
      <c r="C2068" t="s">
        <v>5649</v>
      </c>
      <c r="D2068" t="s">
        <v>6143</v>
      </c>
      <c r="E2068" t="s">
        <v>7528</v>
      </c>
      <c r="F2068" t="s">
        <v>627</v>
      </c>
      <c r="G2068">
        <v>1</v>
      </c>
      <c r="H2068">
        <v>1</v>
      </c>
      <c r="I2068" t="s">
        <v>97</v>
      </c>
      <c r="J2068" s="10">
        <v>4</v>
      </c>
      <c r="K2068" s="10">
        <v>12</v>
      </c>
      <c r="L2068" s="10">
        <v>0</v>
      </c>
      <c r="N2068" s="10">
        <v>0</v>
      </c>
      <c r="W2068">
        <v>0.14000000000000001</v>
      </c>
      <c r="X2068">
        <v>1</v>
      </c>
      <c r="Y2068">
        <v>2.36</v>
      </c>
      <c r="Z2068">
        <v>8.86</v>
      </c>
      <c r="AA2068">
        <v>7.87</v>
      </c>
      <c r="AB2068">
        <v>9.5000000000000001E-2</v>
      </c>
      <c r="AC2068">
        <v>0.13</v>
      </c>
      <c r="AF2068" t="s">
        <v>7528</v>
      </c>
      <c r="AK2068" t="s">
        <v>98</v>
      </c>
      <c r="AM2068" t="s">
        <v>98</v>
      </c>
      <c r="AN2068" t="s">
        <v>98</v>
      </c>
      <c r="AO2068" t="s">
        <v>98</v>
      </c>
      <c r="AP2068" t="s">
        <v>100</v>
      </c>
      <c r="AQ2068" t="s">
        <v>101</v>
      </c>
      <c r="AV2068" t="s">
        <v>98</v>
      </c>
      <c r="AX2068" t="s">
        <v>7528</v>
      </c>
      <c r="AZ2068" t="s">
        <v>7528</v>
      </c>
      <c r="BB2068" t="s">
        <v>7528</v>
      </c>
      <c r="BC2068" t="s">
        <v>7528</v>
      </c>
      <c r="BD2068" t="s">
        <v>7528</v>
      </c>
      <c r="BF2068" t="s">
        <v>6144</v>
      </c>
      <c r="BG2068" t="s">
        <v>98</v>
      </c>
      <c r="BH2068" t="s">
        <v>98</v>
      </c>
      <c r="BI2068" t="s">
        <v>98</v>
      </c>
      <c r="BK2068" t="s">
        <v>7528</v>
      </c>
      <c r="BL2068" t="s">
        <v>7528</v>
      </c>
      <c r="CA2068" t="s">
        <v>6142</v>
      </c>
      <c r="CB2068" t="s">
        <v>7528</v>
      </c>
      <c r="CL2068" t="s">
        <v>98</v>
      </c>
      <c r="CM2068" t="s">
        <v>98</v>
      </c>
      <c r="CN2068" t="s">
        <v>7528</v>
      </c>
      <c r="CO2068" s="1">
        <v>40577</v>
      </c>
      <c r="CP2068" s="1">
        <v>43633</v>
      </c>
    </row>
    <row r="2069" spans="1:94" x14ac:dyDescent="0.25">
      <c r="A2069" t="s">
        <v>6145</v>
      </c>
      <c r="B2069" t="str">
        <f xml:space="preserve"> "" &amp; 747396042404</f>
        <v>747396042404</v>
      </c>
      <c r="C2069" t="s">
        <v>4682</v>
      </c>
      <c r="D2069" t="s">
        <v>6146</v>
      </c>
      <c r="E2069" t="s">
        <v>7528</v>
      </c>
      <c r="F2069" t="s">
        <v>627</v>
      </c>
      <c r="G2069">
        <v>1</v>
      </c>
      <c r="H2069">
        <v>1</v>
      </c>
      <c r="I2069" t="s">
        <v>97</v>
      </c>
      <c r="J2069" s="10">
        <v>5.5</v>
      </c>
      <c r="K2069" s="10">
        <v>16.5</v>
      </c>
      <c r="L2069" s="10">
        <v>0</v>
      </c>
      <c r="N2069" s="10">
        <v>0</v>
      </c>
      <c r="W2069">
        <v>0.33</v>
      </c>
      <c r="X2069">
        <v>1</v>
      </c>
      <c r="Y2069">
        <v>7.25</v>
      </c>
      <c r="Z2069">
        <v>12.25</v>
      </c>
      <c r="AA2069">
        <v>7.5</v>
      </c>
      <c r="AB2069">
        <v>0.38500000000000001</v>
      </c>
      <c r="AC2069">
        <v>0.44</v>
      </c>
      <c r="AF2069" t="s">
        <v>7528</v>
      </c>
      <c r="AK2069" t="s">
        <v>98</v>
      </c>
      <c r="AM2069" t="s">
        <v>98</v>
      </c>
      <c r="AN2069" t="s">
        <v>98</v>
      </c>
      <c r="AO2069" t="s">
        <v>98</v>
      </c>
      <c r="AP2069" t="s">
        <v>100</v>
      </c>
      <c r="AQ2069" t="s">
        <v>101</v>
      </c>
      <c r="AV2069" t="s">
        <v>98</v>
      </c>
      <c r="AX2069" t="s">
        <v>7528</v>
      </c>
      <c r="AZ2069" t="s">
        <v>7528</v>
      </c>
      <c r="BB2069" t="s">
        <v>7528</v>
      </c>
      <c r="BC2069" t="s">
        <v>7528</v>
      </c>
      <c r="BD2069" t="s">
        <v>7528</v>
      </c>
      <c r="BF2069" t="s">
        <v>6147</v>
      </c>
      <c r="BG2069" t="s">
        <v>98</v>
      </c>
      <c r="BH2069" t="s">
        <v>98</v>
      </c>
      <c r="BI2069" t="s">
        <v>98</v>
      </c>
      <c r="BK2069" t="s">
        <v>7528</v>
      </c>
      <c r="BL2069" t="s">
        <v>7528</v>
      </c>
      <c r="CA2069" t="s">
        <v>6145</v>
      </c>
      <c r="CB2069" t="s">
        <v>7528</v>
      </c>
      <c r="CL2069" t="s">
        <v>98</v>
      </c>
      <c r="CM2069" t="s">
        <v>98</v>
      </c>
      <c r="CN2069" t="s">
        <v>7528</v>
      </c>
      <c r="CO2069" s="1">
        <v>40577</v>
      </c>
      <c r="CP2069" s="1">
        <v>43633</v>
      </c>
    </row>
    <row r="2070" spans="1:94" x14ac:dyDescent="0.25">
      <c r="A2070" t="s">
        <v>6148</v>
      </c>
      <c r="B2070" t="str">
        <f xml:space="preserve"> "" &amp; 747396058658</f>
        <v>747396058658</v>
      </c>
      <c r="C2070" t="s">
        <v>5649</v>
      </c>
      <c r="D2070" t="s">
        <v>7408</v>
      </c>
      <c r="E2070" t="s">
        <v>7528</v>
      </c>
      <c r="F2070" t="s">
        <v>627</v>
      </c>
      <c r="G2070">
        <v>1</v>
      </c>
      <c r="H2070">
        <v>1</v>
      </c>
      <c r="I2070" t="s">
        <v>97</v>
      </c>
      <c r="J2070" s="10">
        <v>5.5</v>
      </c>
      <c r="K2070" s="10">
        <v>16.5</v>
      </c>
      <c r="L2070" s="10">
        <v>0</v>
      </c>
      <c r="N2070" s="10">
        <v>0</v>
      </c>
      <c r="W2070">
        <v>1</v>
      </c>
      <c r="AB2070">
        <v>8.2000000000000007E-3</v>
      </c>
      <c r="AC2070">
        <v>0.67</v>
      </c>
      <c r="AF2070" t="s">
        <v>7528</v>
      </c>
      <c r="AK2070" t="s">
        <v>98</v>
      </c>
      <c r="AM2070" t="s">
        <v>98</v>
      </c>
      <c r="AN2070" t="s">
        <v>98</v>
      </c>
      <c r="AO2070" t="s">
        <v>98</v>
      </c>
      <c r="AP2070" t="s">
        <v>100</v>
      </c>
      <c r="AQ2070" t="s">
        <v>101</v>
      </c>
      <c r="AV2070" t="s">
        <v>98</v>
      </c>
      <c r="AX2070" t="s">
        <v>7528</v>
      </c>
      <c r="AZ2070" t="s">
        <v>7528</v>
      </c>
      <c r="BB2070" t="s">
        <v>7528</v>
      </c>
      <c r="BC2070" t="s">
        <v>7528</v>
      </c>
      <c r="BD2070" t="s">
        <v>7528</v>
      </c>
      <c r="BF2070" t="s">
        <v>6149</v>
      </c>
      <c r="BG2070" t="s">
        <v>98</v>
      </c>
      <c r="BH2070" t="s">
        <v>98</v>
      </c>
      <c r="BI2070" t="s">
        <v>98</v>
      </c>
      <c r="BK2070" t="s">
        <v>7528</v>
      </c>
      <c r="BL2070" t="s">
        <v>7528</v>
      </c>
      <c r="CA2070" t="s">
        <v>6148</v>
      </c>
      <c r="CB2070" t="s">
        <v>7528</v>
      </c>
      <c r="CL2070" t="s">
        <v>98</v>
      </c>
      <c r="CM2070" t="s">
        <v>98</v>
      </c>
      <c r="CN2070" t="s">
        <v>7528</v>
      </c>
      <c r="CO2070" s="1">
        <v>40577</v>
      </c>
      <c r="CP2070" s="1">
        <v>43633</v>
      </c>
    </row>
    <row r="2071" spans="1:94" x14ac:dyDescent="0.25">
      <c r="A2071" t="s">
        <v>6150</v>
      </c>
      <c r="B2071" t="str">
        <f xml:space="preserve"> "" &amp; 747396042428</f>
        <v>747396042428</v>
      </c>
      <c r="C2071" t="s">
        <v>2607</v>
      </c>
      <c r="D2071" t="s">
        <v>6146</v>
      </c>
      <c r="E2071" t="s">
        <v>7528</v>
      </c>
      <c r="F2071" t="s">
        <v>627</v>
      </c>
      <c r="G2071">
        <v>1</v>
      </c>
      <c r="H2071">
        <v>1</v>
      </c>
      <c r="I2071" t="s">
        <v>97</v>
      </c>
      <c r="J2071" s="10">
        <v>3</v>
      </c>
      <c r="K2071" s="10">
        <v>9</v>
      </c>
      <c r="L2071" s="10">
        <v>0</v>
      </c>
      <c r="N2071" s="10">
        <v>0</v>
      </c>
      <c r="W2071">
        <v>0.17</v>
      </c>
      <c r="X2071">
        <v>1</v>
      </c>
      <c r="Y2071">
        <v>2.76</v>
      </c>
      <c r="Z2071">
        <v>10.24</v>
      </c>
      <c r="AA2071">
        <v>6.3</v>
      </c>
      <c r="AB2071">
        <v>0.10299999999999999</v>
      </c>
      <c r="AC2071">
        <v>0.2</v>
      </c>
      <c r="AF2071" t="s">
        <v>7528</v>
      </c>
      <c r="AK2071" t="s">
        <v>98</v>
      </c>
      <c r="AM2071" t="s">
        <v>98</v>
      </c>
      <c r="AN2071" t="s">
        <v>98</v>
      </c>
      <c r="AO2071" t="s">
        <v>98</v>
      </c>
      <c r="AP2071" t="s">
        <v>100</v>
      </c>
      <c r="AQ2071" t="s">
        <v>101</v>
      </c>
      <c r="AV2071" t="s">
        <v>98</v>
      </c>
      <c r="AX2071" t="s">
        <v>7528</v>
      </c>
      <c r="AZ2071" t="s">
        <v>7528</v>
      </c>
      <c r="BB2071" t="s">
        <v>7528</v>
      </c>
      <c r="BC2071" t="s">
        <v>7528</v>
      </c>
      <c r="BD2071" t="s">
        <v>7528</v>
      </c>
      <c r="BF2071" t="s">
        <v>6151</v>
      </c>
      <c r="BG2071" t="s">
        <v>98</v>
      </c>
      <c r="BH2071" t="s">
        <v>98</v>
      </c>
      <c r="BI2071" t="s">
        <v>98</v>
      </c>
      <c r="BK2071" t="s">
        <v>7528</v>
      </c>
      <c r="BL2071" t="s">
        <v>7528</v>
      </c>
      <c r="CA2071" t="s">
        <v>6150</v>
      </c>
      <c r="CB2071" t="s">
        <v>7528</v>
      </c>
      <c r="CL2071" t="s">
        <v>98</v>
      </c>
      <c r="CM2071" t="s">
        <v>98</v>
      </c>
      <c r="CN2071" t="s">
        <v>7528</v>
      </c>
      <c r="CO2071" s="1">
        <v>40577</v>
      </c>
      <c r="CP2071" s="1">
        <v>43633</v>
      </c>
    </row>
    <row r="2072" spans="1:94" x14ac:dyDescent="0.25">
      <c r="A2072" t="s">
        <v>6152</v>
      </c>
      <c r="B2072" t="str">
        <f xml:space="preserve"> "" &amp; 747396042411</f>
        <v>747396042411</v>
      </c>
      <c r="C2072" t="s">
        <v>4682</v>
      </c>
      <c r="D2072" t="s">
        <v>6153</v>
      </c>
      <c r="E2072" t="s">
        <v>7528</v>
      </c>
      <c r="F2072" t="s">
        <v>627</v>
      </c>
      <c r="G2072">
        <v>1</v>
      </c>
      <c r="H2072">
        <v>1</v>
      </c>
      <c r="I2072" t="s">
        <v>97</v>
      </c>
      <c r="J2072" s="10">
        <v>7.5</v>
      </c>
      <c r="K2072" s="10">
        <v>22.5</v>
      </c>
      <c r="L2072" s="10">
        <v>0</v>
      </c>
      <c r="N2072" s="10">
        <v>0</v>
      </c>
      <c r="W2072">
        <v>2.06</v>
      </c>
      <c r="X2072">
        <v>1</v>
      </c>
      <c r="Y2072">
        <v>7.28</v>
      </c>
      <c r="Z2072">
        <v>12.6</v>
      </c>
      <c r="AA2072">
        <v>5.12</v>
      </c>
      <c r="AB2072">
        <v>0.27200000000000002</v>
      </c>
      <c r="AC2072">
        <v>4.51</v>
      </c>
      <c r="AF2072" t="s">
        <v>7528</v>
      </c>
      <c r="AK2072" t="s">
        <v>98</v>
      </c>
      <c r="AM2072" t="s">
        <v>98</v>
      </c>
      <c r="AN2072" t="s">
        <v>98</v>
      </c>
      <c r="AO2072" t="s">
        <v>98</v>
      </c>
      <c r="AP2072" t="s">
        <v>100</v>
      </c>
      <c r="AQ2072" t="s">
        <v>101</v>
      </c>
      <c r="AV2072" t="s">
        <v>98</v>
      </c>
      <c r="AX2072" t="s">
        <v>7528</v>
      </c>
      <c r="AZ2072" t="s">
        <v>7528</v>
      </c>
      <c r="BB2072" t="s">
        <v>7528</v>
      </c>
      <c r="BC2072" t="s">
        <v>7528</v>
      </c>
      <c r="BD2072" t="s">
        <v>7528</v>
      </c>
      <c r="BF2072" t="s">
        <v>6154</v>
      </c>
      <c r="BG2072" t="s">
        <v>98</v>
      </c>
      <c r="BH2072" t="s">
        <v>98</v>
      </c>
      <c r="BI2072" t="s">
        <v>98</v>
      </c>
      <c r="BK2072" t="s">
        <v>7528</v>
      </c>
      <c r="BL2072" t="s">
        <v>7528</v>
      </c>
      <c r="CA2072" t="s">
        <v>6152</v>
      </c>
      <c r="CB2072" t="s">
        <v>7528</v>
      </c>
      <c r="CL2072" t="s">
        <v>98</v>
      </c>
      <c r="CM2072" t="s">
        <v>98</v>
      </c>
      <c r="CN2072" t="s">
        <v>7528</v>
      </c>
      <c r="CO2072" s="1">
        <v>40577</v>
      </c>
      <c r="CP2072" s="1">
        <v>43633</v>
      </c>
    </row>
    <row r="2073" spans="1:94" x14ac:dyDescent="0.25">
      <c r="A2073" t="s">
        <v>6155</v>
      </c>
      <c r="B2073" t="str">
        <f xml:space="preserve"> "" &amp; 747396058672</f>
        <v>747396058672</v>
      </c>
      <c r="C2073" t="s">
        <v>5649</v>
      </c>
      <c r="D2073" t="s">
        <v>7409</v>
      </c>
      <c r="E2073" t="s">
        <v>7528</v>
      </c>
      <c r="F2073" t="s">
        <v>627</v>
      </c>
      <c r="G2073">
        <v>1</v>
      </c>
      <c r="H2073">
        <v>1</v>
      </c>
      <c r="I2073" t="s">
        <v>97</v>
      </c>
      <c r="J2073" s="10">
        <v>7.5</v>
      </c>
      <c r="K2073" s="10">
        <v>22.5</v>
      </c>
      <c r="L2073" s="10">
        <v>0</v>
      </c>
      <c r="N2073" s="10">
        <v>0</v>
      </c>
      <c r="W2073">
        <v>1</v>
      </c>
      <c r="AB2073">
        <v>1.14E-2</v>
      </c>
      <c r="AC2073">
        <v>1.33</v>
      </c>
      <c r="AF2073" t="s">
        <v>7528</v>
      </c>
      <c r="AK2073" t="s">
        <v>98</v>
      </c>
      <c r="AM2073" t="s">
        <v>98</v>
      </c>
      <c r="AN2073" t="s">
        <v>98</v>
      </c>
      <c r="AO2073" t="s">
        <v>98</v>
      </c>
      <c r="AP2073" t="s">
        <v>100</v>
      </c>
      <c r="AQ2073" t="s">
        <v>101</v>
      </c>
      <c r="AV2073" t="s">
        <v>98</v>
      </c>
      <c r="AX2073" t="s">
        <v>7528</v>
      </c>
      <c r="AZ2073" t="s">
        <v>7528</v>
      </c>
      <c r="BB2073" t="s">
        <v>7528</v>
      </c>
      <c r="BC2073" t="s">
        <v>7528</v>
      </c>
      <c r="BD2073" t="s">
        <v>7528</v>
      </c>
      <c r="BF2073" t="s">
        <v>6156</v>
      </c>
      <c r="BG2073" t="s">
        <v>98</v>
      </c>
      <c r="BH2073" t="s">
        <v>98</v>
      </c>
      <c r="BI2073" t="s">
        <v>98</v>
      </c>
      <c r="BK2073" t="s">
        <v>7528</v>
      </c>
      <c r="BL2073" t="s">
        <v>7528</v>
      </c>
      <c r="CA2073" t="s">
        <v>6155</v>
      </c>
      <c r="CB2073" t="s">
        <v>7528</v>
      </c>
      <c r="CL2073" t="s">
        <v>98</v>
      </c>
      <c r="CM2073" t="s">
        <v>98</v>
      </c>
      <c r="CN2073" t="s">
        <v>7528</v>
      </c>
      <c r="CO2073" s="1">
        <v>40577</v>
      </c>
      <c r="CP2073" s="1">
        <v>43633</v>
      </c>
    </row>
    <row r="2074" spans="1:94" x14ac:dyDescent="0.25">
      <c r="A2074" t="s">
        <v>6157</v>
      </c>
      <c r="B2074" t="str">
        <f xml:space="preserve"> "" &amp; 747396042435</f>
        <v>747396042435</v>
      </c>
      <c r="C2074" t="s">
        <v>2607</v>
      </c>
      <c r="D2074" t="s">
        <v>6158</v>
      </c>
      <c r="E2074" t="s">
        <v>7528</v>
      </c>
      <c r="F2074" t="s">
        <v>627</v>
      </c>
      <c r="G2074">
        <v>1</v>
      </c>
      <c r="H2074">
        <v>1</v>
      </c>
      <c r="I2074" t="s">
        <v>97</v>
      </c>
      <c r="J2074" s="10">
        <v>5.5</v>
      </c>
      <c r="K2074" s="10">
        <v>16.5</v>
      </c>
      <c r="L2074" s="10">
        <v>0</v>
      </c>
      <c r="N2074" s="10">
        <v>0</v>
      </c>
      <c r="W2074">
        <v>0.2</v>
      </c>
      <c r="X2074">
        <v>1</v>
      </c>
      <c r="Y2074">
        <v>3.35</v>
      </c>
      <c r="Z2074">
        <v>12.6</v>
      </c>
      <c r="AA2074">
        <v>5.12</v>
      </c>
      <c r="AB2074">
        <v>0.125</v>
      </c>
      <c r="AC2074">
        <v>0.28000000000000003</v>
      </c>
      <c r="AF2074" t="s">
        <v>7528</v>
      </c>
      <c r="AK2074" t="s">
        <v>98</v>
      </c>
      <c r="AM2074" t="s">
        <v>98</v>
      </c>
      <c r="AN2074" t="s">
        <v>98</v>
      </c>
      <c r="AO2074" t="s">
        <v>98</v>
      </c>
      <c r="AP2074" t="s">
        <v>100</v>
      </c>
      <c r="AQ2074" t="s">
        <v>101</v>
      </c>
      <c r="AV2074" t="s">
        <v>98</v>
      </c>
      <c r="AX2074" t="s">
        <v>7528</v>
      </c>
      <c r="AZ2074" t="s">
        <v>7528</v>
      </c>
      <c r="BB2074" t="s">
        <v>7528</v>
      </c>
      <c r="BC2074" t="s">
        <v>7528</v>
      </c>
      <c r="BD2074" t="s">
        <v>7528</v>
      </c>
      <c r="BF2074" t="s">
        <v>6159</v>
      </c>
      <c r="BG2074" t="s">
        <v>98</v>
      </c>
      <c r="BH2074" t="s">
        <v>98</v>
      </c>
      <c r="BI2074" t="s">
        <v>98</v>
      </c>
      <c r="BK2074" t="s">
        <v>7528</v>
      </c>
      <c r="BL2074" t="s">
        <v>7528</v>
      </c>
      <c r="CA2074" t="s">
        <v>6157</v>
      </c>
      <c r="CB2074" t="s">
        <v>7528</v>
      </c>
      <c r="CL2074" t="s">
        <v>98</v>
      </c>
      <c r="CM2074" t="s">
        <v>98</v>
      </c>
      <c r="CN2074" t="s">
        <v>7528</v>
      </c>
      <c r="CO2074" s="1">
        <v>40577</v>
      </c>
      <c r="CP2074" s="1">
        <v>43633</v>
      </c>
    </row>
    <row r="2075" spans="1:94" x14ac:dyDescent="0.25">
      <c r="A2075" t="s">
        <v>6160</v>
      </c>
      <c r="B2075" t="str">
        <f xml:space="preserve"> "" &amp; 747396058689</f>
        <v>747396058689</v>
      </c>
      <c r="C2075" t="s">
        <v>5649</v>
      </c>
      <c r="D2075" t="s">
        <v>7409</v>
      </c>
      <c r="E2075" t="s">
        <v>7528</v>
      </c>
      <c r="F2075" t="s">
        <v>627</v>
      </c>
      <c r="G2075">
        <v>1</v>
      </c>
      <c r="H2075">
        <v>1</v>
      </c>
      <c r="I2075" t="s">
        <v>97</v>
      </c>
      <c r="J2075" s="10">
        <v>5.5</v>
      </c>
      <c r="K2075" s="10">
        <v>16.5</v>
      </c>
      <c r="L2075" s="10">
        <v>0</v>
      </c>
      <c r="N2075" s="10">
        <v>0</v>
      </c>
      <c r="W2075">
        <v>1</v>
      </c>
      <c r="AB2075">
        <v>2.7000000000000001E-3</v>
      </c>
      <c r="AC2075">
        <v>0.64</v>
      </c>
      <c r="AF2075" t="s">
        <v>7528</v>
      </c>
      <c r="AK2075" t="s">
        <v>98</v>
      </c>
      <c r="AM2075" t="s">
        <v>98</v>
      </c>
      <c r="AN2075" t="s">
        <v>98</v>
      </c>
      <c r="AO2075" t="s">
        <v>98</v>
      </c>
      <c r="AP2075" t="s">
        <v>100</v>
      </c>
      <c r="AQ2075" t="s">
        <v>101</v>
      </c>
      <c r="AV2075" t="s">
        <v>98</v>
      </c>
      <c r="AX2075" t="s">
        <v>7528</v>
      </c>
      <c r="AZ2075" t="s">
        <v>7528</v>
      </c>
      <c r="BB2075" t="s">
        <v>7528</v>
      </c>
      <c r="BC2075" t="s">
        <v>7528</v>
      </c>
      <c r="BD2075" t="s">
        <v>7528</v>
      </c>
      <c r="BF2075" t="s">
        <v>6161</v>
      </c>
      <c r="BG2075" t="s">
        <v>98</v>
      </c>
      <c r="BH2075" t="s">
        <v>98</v>
      </c>
      <c r="BI2075" t="s">
        <v>98</v>
      </c>
      <c r="BK2075" t="s">
        <v>7528</v>
      </c>
      <c r="BL2075" t="s">
        <v>7528</v>
      </c>
      <c r="CA2075" t="s">
        <v>6160</v>
      </c>
      <c r="CB2075" t="s">
        <v>7528</v>
      </c>
      <c r="CL2075" t="s">
        <v>98</v>
      </c>
      <c r="CM2075" t="s">
        <v>98</v>
      </c>
      <c r="CN2075" t="s">
        <v>7528</v>
      </c>
      <c r="CO2075" s="1">
        <v>40577</v>
      </c>
      <c r="CP2075" s="1">
        <v>43633</v>
      </c>
    </row>
    <row r="2076" spans="1:94" x14ac:dyDescent="0.25">
      <c r="A2076" t="s">
        <v>6162</v>
      </c>
      <c r="B2076" t="str">
        <f xml:space="preserve"> "" &amp; 747396058733</f>
        <v>747396058733</v>
      </c>
      <c r="C2076" t="s">
        <v>5649</v>
      </c>
      <c r="D2076" t="s">
        <v>7410</v>
      </c>
      <c r="E2076" t="s">
        <v>7528</v>
      </c>
      <c r="F2076" t="s">
        <v>627</v>
      </c>
      <c r="G2076">
        <v>1</v>
      </c>
      <c r="H2076">
        <v>1</v>
      </c>
      <c r="I2076" t="s">
        <v>97</v>
      </c>
      <c r="J2076" s="10">
        <v>1.75</v>
      </c>
      <c r="K2076" s="10">
        <v>5.25</v>
      </c>
      <c r="L2076" s="10">
        <v>0</v>
      </c>
      <c r="N2076" s="10">
        <v>0</v>
      </c>
      <c r="W2076">
        <v>1</v>
      </c>
      <c r="AB2076">
        <v>5.4000000000000003E-3</v>
      </c>
      <c r="AC2076">
        <v>0.06</v>
      </c>
      <c r="AF2076" t="s">
        <v>7528</v>
      </c>
      <c r="AK2076" t="s">
        <v>98</v>
      </c>
      <c r="AM2076" t="s">
        <v>98</v>
      </c>
      <c r="AN2076" t="s">
        <v>98</v>
      </c>
      <c r="AO2076" t="s">
        <v>98</v>
      </c>
      <c r="AP2076" t="s">
        <v>100</v>
      </c>
      <c r="AQ2076" t="s">
        <v>101</v>
      </c>
      <c r="AV2076" t="s">
        <v>98</v>
      </c>
      <c r="AX2076" t="s">
        <v>7528</v>
      </c>
      <c r="AZ2076" t="s">
        <v>7528</v>
      </c>
      <c r="BB2076" t="s">
        <v>7528</v>
      </c>
      <c r="BC2076" t="s">
        <v>7528</v>
      </c>
      <c r="BD2076" t="s">
        <v>7528</v>
      </c>
      <c r="BF2076" t="s">
        <v>6163</v>
      </c>
      <c r="BG2076" t="s">
        <v>98</v>
      </c>
      <c r="BH2076" t="s">
        <v>98</v>
      </c>
      <c r="BI2076" t="s">
        <v>98</v>
      </c>
      <c r="BK2076" t="s">
        <v>7528</v>
      </c>
      <c r="BL2076" t="s">
        <v>7528</v>
      </c>
      <c r="CA2076" t="s">
        <v>6162</v>
      </c>
      <c r="CB2076" t="s">
        <v>7528</v>
      </c>
      <c r="CL2076" t="s">
        <v>98</v>
      </c>
      <c r="CM2076" t="s">
        <v>98</v>
      </c>
      <c r="CN2076" t="s">
        <v>7528</v>
      </c>
      <c r="CO2076" s="1">
        <v>40577</v>
      </c>
      <c r="CP2076" s="1">
        <v>43633</v>
      </c>
    </row>
    <row r="2077" spans="1:94" x14ac:dyDescent="0.25">
      <c r="A2077" t="s">
        <v>6164</v>
      </c>
      <c r="B2077" t="str">
        <f xml:space="preserve"> "" &amp; 747396042497</f>
        <v>747396042497</v>
      </c>
      <c r="C2077" t="s">
        <v>4682</v>
      </c>
      <c r="D2077" t="s">
        <v>6165</v>
      </c>
      <c r="E2077" t="s">
        <v>7528</v>
      </c>
      <c r="F2077" t="s">
        <v>627</v>
      </c>
      <c r="G2077">
        <v>1</v>
      </c>
      <c r="H2077">
        <v>1</v>
      </c>
      <c r="I2077" t="s">
        <v>97</v>
      </c>
      <c r="J2077" s="10">
        <v>4</v>
      </c>
      <c r="K2077" s="10">
        <v>12</v>
      </c>
      <c r="L2077" s="10">
        <v>0</v>
      </c>
      <c r="N2077" s="10">
        <v>0</v>
      </c>
      <c r="W2077">
        <v>0.23</v>
      </c>
      <c r="X2077">
        <v>1</v>
      </c>
      <c r="Y2077">
        <v>3.94</v>
      </c>
      <c r="Z2077">
        <v>10.08</v>
      </c>
      <c r="AA2077">
        <v>6.69</v>
      </c>
      <c r="AB2077">
        <v>0.154</v>
      </c>
      <c r="AC2077">
        <v>0.26</v>
      </c>
      <c r="AF2077" t="s">
        <v>7528</v>
      </c>
      <c r="AK2077" t="s">
        <v>98</v>
      </c>
      <c r="AM2077" t="s">
        <v>98</v>
      </c>
      <c r="AN2077" t="s">
        <v>98</v>
      </c>
      <c r="AO2077" t="s">
        <v>98</v>
      </c>
      <c r="AP2077" t="s">
        <v>100</v>
      </c>
      <c r="AQ2077" t="s">
        <v>101</v>
      </c>
      <c r="AV2077" t="s">
        <v>98</v>
      </c>
      <c r="AX2077" t="s">
        <v>7528</v>
      </c>
      <c r="AZ2077" t="s">
        <v>7528</v>
      </c>
      <c r="BB2077" t="s">
        <v>7528</v>
      </c>
      <c r="BC2077" t="s">
        <v>7528</v>
      </c>
      <c r="BD2077" t="s">
        <v>7528</v>
      </c>
      <c r="BF2077" t="s">
        <v>6166</v>
      </c>
      <c r="BG2077" t="s">
        <v>98</v>
      </c>
      <c r="BH2077" t="s">
        <v>98</v>
      </c>
      <c r="BI2077" t="s">
        <v>98</v>
      </c>
      <c r="BK2077" t="s">
        <v>7528</v>
      </c>
      <c r="BL2077" t="s">
        <v>7528</v>
      </c>
      <c r="CA2077" t="s">
        <v>6164</v>
      </c>
      <c r="CB2077" t="s">
        <v>7528</v>
      </c>
      <c r="CL2077" t="s">
        <v>98</v>
      </c>
      <c r="CM2077" t="s">
        <v>98</v>
      </c>
      <c r="CN2077" t="s">
        <v>7528</v>
      </c>
      <c r="CO2077" s="1">
        <v>40577</v>
      </c>
      <c r="CP2077" s="1">
        <v>43633</v>
      </c>
    </row>
    <row r="2078" spans="1:94" x14ac:dyDescent="0.25">
      <c r="A2078" t="s">
        <v>6167</v>
      </c>
      <c r="B2078" t="str">
        <f xml:space="preserve"> "" &amp; 747396042503</f>
        <v>747396042503</v>
      </c>
      <c r="C2078" t="s">
        <v>4682</v>
      </c>
      <c r="D2078" t="s">
        <v>6165</v>
      </c>
      <c r="E2078" t="s">
        <v>7528</v>
      </c>
      <c r="F2078" t="s">
        <v>627</v>
      </c>
      <c r="G2078">
        <v>1</v>
      </c>
      <c r="H2078">
        <v>1</v>
      </c>
      <c r="I2078" t="s">
        <v>97</v>
      </c>
      <c r="J2078" s="10">
        <v>3.75</v>
      </c>
      <c r="K2078" s="10">
        <v>11.25</v>
      </c>
      <c r="L2078" s="10">
        <v>0</v>
      </c>
      <c r="N2078" s="10">
        <v>0</v>
      </c>
      <c r="W2078">
        <v>0.06</v>
      </c>
      <c r="X2078">
        <v>1</v>
      </c>
      <c r="Y2078">
        <v>3.94</v>
      </c>
      <c r="Z2078">
        <v>10.08</v>
      </c>
      <c r="AA2078">
        <v>6.69</v>
      </c>
      <c r="AB2078">
        <v>0.154</v>
      </c>
      <c r="AC2078">
        <v>0.06</v>
      </c>
      <c r="AF2078" t="s">
        <v>7528</v>
      </c>
      <c r="AK2078" t="s">
        <v>98</v>
      </c>
      <c r="AM2078" t="s">
        <v>98</v>
      </c>
      <c r="AN2078" t="s">
        <v>98</v>
      </c>
      <c r="AO2078" t="s">
        <v>98</v>
      </c>
      <c r="AP2078" t="s">
        <v>100</v>
      </c>
      <c r="AQ2078" t="s">
        <v>101</v>
      </c>
      <c r="AV2078" t="s">
        <v>98</v>
      </c>
      <c r="AX2078" t="s">
        <v>7528</v>
      </c>
      <c r="AZ2078" t="s">
        <v>7528</v>
      </c>
      <c r="BB2078" t="s">
        <v>7528</v>
      </c>
      <c r="BC2078" t="s">
        <v>7528</v>
      </c>
      <c r="BD2078" t="s">
        <v>7528</v>
      </c>
      <c r="BF2078" t="s">
        <v>6168</v>
      </c>
      <c r="BG2078" t="s">
        <v>98</v>
      </c>
      <c r="BH2078" t="s">
        <v>98</v>
      </c>
      <c r="BI2078" t="s">
        <v>98</v>
      </c>
      <c r="BK2078" t="s">
        <v>7528</v>
      </c>
      <c r="BL2078" t="s">
        <v>7528</v>
      </c>
      <c r="CA2078" t="s">
        <v>6167</v>
      </c>
      <c r="CB2078" t="s">
        <v>7528</v>
      </c>
      <c r="CL2078" t="s">
        <v>98</v>
      </c>
      <c r="CM2078" t="s">
        <v>98</v>
      </c>
      <c r="CN2078" t="s">
        <v>7528</v>
      </c>
      <c r="CO2078" s="1">
        <v>40577</v>
      </c>
      <c r="CP2078" s="1">
        <v>43633</v>
      </c>
    </row>
    <row r="2079" spans="1:94" x14ac:dyDescent="0.25">
      <c r="A2079" t="s">
        <v>6169</v>
      </c>
      <c r="B2079" t="str">
        <f xml:space="preserve"> "" &amp; 747396042510</f>
        <v>747396042510</v>
      </c>
      <c r="C2079" t="s">
        <v>6170</v>
      </c>
      <c r="D2079" t="s">
        <v>7411</v>
      </c>
      <c r="E2079" t="s">
        <v>7528</v>
      </c>
      <c r="F2079" t="s">
        <v>627</v>
      </c>
      <c r="G2079">
        <v>1</v>
      </c>
      <c r="H2079">
        <v>1</v>
      </c>
      <c r="I2079" t="s">
        <v>97</v>
      </c>
      <c r="J2079" s="10">
        <v>4.5</v>
      </c>
      <c r="K2079" s="10">
        <v>13.5</v>
      </c>
      <c r="L2079" s="10">
        <v>0</v>
      </c>
      <c r="N2079" s="10">
        <v>0</v>
      </c>
      <c r="W2079">
        <v>0.43</v>
      </c>
      <c r="X2079">
        <v>1</v>
      </c>
      <c r="Y2079">
        <v>5.12</v>
      </c>
      <c r="Z2079">
        <v>7.87</v>
      </c>
      <c r="AA2079">
        <v>4.33</v>
      </c>
      <c r="AB2079">
        <v>0.10100000000000001</v>
      </c>
      <c r="AC2079">
        <v>0.46</v>
      </c>
      <c r="AF2079" t="s">
        <v>7528</v>
      </c>
      <c r="AK2079" t="s">
        <v>98</v>
      </c>
      <c r="AM2079" t="s">
        <v>98</v>
      </c>
      <c r="AN2079" t="s">
        <v>98</v>
      </c>
      <c r="AO2079" t="s">
        <v>98</v>
      </c>
      <c r="AP2079" t="s">
        <v>100</v>
      </c>
      <c r="AQ2079" t="s">
        <v>101</v>
      </c>
      <c r="AV2079" t="s">
        <v>98</v>
      </c>
      <c r="AX2079" t="s">
        <v>7528</v>
      </c>
      <c r="AZ2079" t="s">
        <v>7528</v>
      </c>
      <c r="BB2079" t="s">
        <v>7528</v>
      </c>
      <c r="BC2079" t="s">
        <v>7528</v>
      </c>
      <c r="BD2079" t="s">
        <v>7528</v>
      </c>
      <c r="BF2079" t="s">
        <v>6171</v>
      </c>
      <c r="BG2079" t="s">
        <v>98</v>
      </c>
      <c r="BH2079" t="s">
        <v>98</v>
      </c>
      <c r="BI2079" t="s">
        <v>98</v>
      </c>
      <c r="BK2079" t="s">
        <v>7528</v>
      </c>
      <c r="BL2079" t="s">
        <v>7528</v>
      </c>
      <c r="CA2079" t="s">
        <v>6169</v>
      </c>
      <c r="CB2079" t="s">
        <v>7528</v>
      </c>
      <c r="CL2079" t="s">
        <v>98</v>
      </c>
      <c r="CM2079" t="s">
        <v>98</v>
      </c>
      <c r="CN2079" t="s">
        <v>7528</v>
      </c>
      <c r="CO2079" s="1">
        <v>40577</v>
      </c>
      <c r="CP2079" s="1">
        <v>43633</v>
      </c>
    </row>
    <row r="2080" spans="1:94" x14ac:dyDescent="0.25">
      <c r="A2080" t="s">
        <v>6172</v>
      </c>
      <c r="B2080" t="str">
        <f xml:space="preserve"> "" &amp; 747396036755</f>
        <v>747396036755</v>
      </c>
      <c r="C2080" t="s">
        <v>4679</v>
      </c>
      <c r="D2080" t="s">
        <v>6173</v>
      </c>
      <c r="E2080" t="s">
        <v>7528</v>
      </c>
      <c r="F2080" t="s">
        <v>627</v>
      </c>
      <c r="G2080">
        <v>1</v>
      </c>
      <c r="H2080">
        <v>1</v>
      </c>
      <c r="I2080" t="s">
        <v>97</v>
      </c>
      <c r="J2080" s="10">
        <v>40</v>
      </c>
      <c r="K2080" s="10">
        <v>120</v>
      </c>
      <c r="L2080" s="10">
        <v>0</v>
      </c>
      <c r="N2080" s="10">
        <v>0</v>
      </c>
      <c r="W2080">
        <v>0.55000000000000004</v>
      </c>
      <c r="X2080">
        <v>1</v>
      </c>
      <c r="Y2080">
        <v>9.4499999999999993</v>
      </c>
      <c r="Z2080">
        <v>8.66</v>
      </c>
      <c r="AA2080">
        <v>4.33</v>
      </c>
      <c r="AB2080">
        <v>0.20499999999999999</v>
      </c>
      <c r="AC2080">
        <v>0.66</v>
      </c>
      <c r="AF2080" t="s">
        <v>7528</v>
      </c>
      <c r="AK2080" t="s">
        <v>98</v>
      </c>
      <c r="AM2080" t="s">
        <v>98</v>
      </c>
      <c r="AN2080" t="s">
        <v>98</v>
      </c>
      <c r="AO2080" t="s">
        <v>98</v>
      </c>
      <c r="AP2080" t="s">
        <v>100</v>
      </c>
      <c r="AQ2080" t="s">
        <v>101</v>
      </c>
      <c r="AV2080" t="s">
        <v>98</v>
      </c>
      <c r="AX2080" t="s">
        <v>7528</v>
      </c>
      <c r="AZ2080" t="s">
        <v>7528</v>
      </c>
      <c r="BB2080" t="s">
        <v>7528</v>
      </c>
      <c r="BC2080" t="s">
        <v>7528</v>
      </c>
      <c r="BD2080" t="s">
        <v>7528</v>
      </c>
      <c r="BF2080" t="s">
        <v>6174</v>
      </c>
      <c r="BG2080" t="s">
        <v>98</v>
      </c>
      <c r="BH2080" t="s">
        <v>98</v>
      </c>
      <c r="BI2080" t="s">
        <v>98</v>
      </c>
      <c r="BK2080" t="s">
        <v>7528</v>
      </c>
      <c r="BL2080" t="s">
        <v>7528</v>
      </c>
      <c r="CA2080" t="s">
        <v>6172</v>
      </c>
      <c r="CB2080" t="s">
        <v>7528</v>
      </c>
      <c r="CL2080" t="s">
        <v>98</v>
      </c>
      <c r="CM2080" t="s">
        <v>98</v>
      </c>
      <c r="CN2080" t="s">
        <v>7528</v>
      </c>
      <c r="CO2080" s="1">
        <v>40577</v>
      </c>
      <c r="CP2080" s="1">
        <v>40577</v>
      </c>
    </row>
    <row r="2081" spans="1:94" x14ac:dyDescent="0.25">
      <c r="A2081" t="s">
        <v>6175</v>
      </c>
      <c r="B2081" t="str">
        <f xml:space="preserve"> "" &amp; 747396036762</f>
        <v>747396036762</v>
      </c>
      <c r="C2081" t="s">
        <v>4679</v>
      </c>
      <c r="D2081" t="s">
        <v>6173</v>
      </c>
      <c r="E2081" t="s">
        <v>7528</v>
      </c>
      <c r="F2081" t="s">
        <v>627</v>
      </c>
      <c r="G2081">
        <v>1</v>
      </c>
      <c r="H2081">
        <v>1</v>
      </c>
      <c r="I2081" t="s">
        <v>97</v>
      </c>
      <c r="J2081" s="10">
        <v>50</v>
      </c>
      <c r="K2081" s="10">
        <v>150</v>
      </c>
      <c r="L2081" s="10">
        <v>0</v>
      </c>
      <c r="N2081" s="10">
        <v>0</v>
      </c>
      <c r="W2081">
        <v>0.55000000000000004</v>
      </c>
      <c r="X2081">
        <v>1</v>
      </c>
      <c r="Y2081">
        <v>9.65</v>
      </c>
      <c r="Z2081">
        <v>19.09</v>
      </c>
      <c r="AA2081">
        <v>5.12</v>
      </c>
      <c r="AB2081">
        <v>0.54600000000000004</v>
      </c>
      <c r="AC2081">
        <v>0.66</v>
      </c>
      <c r="AF2081" t="s">
        <v>7528</v>
      </c>
      <c r="AK2081" t="s">
        <v>98</v>
      </c>
      <c r="AM2081" t="s">
        <v>98</v>
      </c>
      <c r="AN2081" t="s">
        <v>98</v>
      </c>
      <c r="AO2081" t="s">
        <v>98</v>
      </c>
      <c r="AP2081" t="s">
        <v>100</v>
      </c>
      <c r="AQ2081" t="s">
        <v>101</v>
      </c>
      <c r="AV2081" t="s">
        <v>98</v>
      </c>
      <c r="AX2081" t="s">
        <v>7528</v>
      </c>
      <c r="AZ2081" t="s">
        <v>7528</v>
      </c>
      <c r="BB2081" t="s">
        <v>7528</v>
      </c>
      <c r="BC2081" t="s">
        <v>7528</v>
      </c>
      <c r="BD2081" t="s">
        <v>7528</v>
      </c>
      <c r="BF2081" t="s">
        <v>6176</v>
      </c>
      <c r="BG2081" t="s">
        <v>98</v>
      </c>
      <c r="BH2081" t="s">
        <v>98</v>
      </c>
      <c r="BI2081" t="s">
        <v>98</v>
      </c>
      <c r="BK2081" t="s">
        <v>7528</v>
      </c>
      <c r="BL2081" t="s">
        <v>7528</v>
      </c>
      <c r="CA2081" t="s">
        <v>6175</v>
      </c>
      <c r="CB2081" t="s">
        <v>7528</v>
      </c>
      <c r="CL2081" t="s">
        <v>98</v>
      </c>
      <c r="CM2081" t="s">
        <v>98</v>
      </c>
      <c r="CN2081" t="s">
        <v>7528</v>
      </c>
      <c r="CO2081" s="1">
        <v>40577</v>
      </c>
      <c r="CP2081" s="1">
        <v>40577</v>
      </c>
    </row>
    <row r="2082" spans="1:94" x14ac:dyDescent="0.25">
      <c r="A2082" t="s">
        <v>6177</v>
      </c>
      <c r="B2082" t="str">
        <f xml:space="preserve"> "" &amp; 747396064758</f>
        <v>747396064758</v>
      </c>
      <c r="C2082" t="s">
        <v>6178</v>
      </c>
      <c r="D2082" t="s">
        <v>7412</v>
      </c>
      <c r="E2082" t="s">
        <v>7528</v>
      </c>
      <c r="F2082" t="s">
        <v>627</v>
      </c>
      <c r="G2082">
        <v>1</v>
      </c>
      <c r="H2082">
        <v>1</v>
      </c>
      <c r="I2082" t="s">
        <v>97</v>
      </c>
      <c r="J2082" s="10">
        <v>7.5</v>
      </c>
      <c r="K2082" s="10">
        <v>22.5</v>
      </c>
      <c r="L2082" s="10">
        <v>0</v>
      </c>
      <c r="N2082" s="10">
        <v>0</v>
      </c>
      <c r="W2082">
        <v>1</v>
      </c>
      <c r="AB2082">
        <v>1.6E-2</v>
      </c>
      <c r="AC2082">
        <v>0.26</v>
      </c>
      <c r="AF2082" t="s">
        <v>7528</v>
      </c>
      <c r="AK2082" t="s">
        <v>98</v>
      </c>
      <c r="AM2082" t="s">
        <v>98</v>
      </c>
      <c r="AN2082" t="s">
        <v>98</v>
      </c>
      <c r="AO2082" t="s">
        <v>98</v>
      </c>
      <c r="AP2082" t="s">
        <v>100</v>
      </c>
      <c r="AQ2082" t="s">
        <v>101</v>
      </c>
      <c r="AV2082" t="s">
        <v>98</v>
      </c>
      <c r="AX2082" t="s">
        <v>7528</v>
      </c>
      <c r="AZ2082" t="s">
        <v>7528</v>
      </c>
      <c r="BB2082" t="s">
        <v>7528</v>
      </c>
      <c r="BC2082" t="s">
        <v>7528</v>
      </c>
      <c r="BD2082" t="s">
        <v>7528</v>
      </c>
      <c r="BF2082" t="s">
        <v>6179</v>
      </c>
      <c r="BG2082" t="s">
        <v>98</v>
      </c>
      <c r="BH2082" t="s">
        <v>98</v>
      </c>
      <c r="BI2082" t="s">
        <v>98</v>
      </c>
      <c r="BK2082" t="s">
        <v>7528</v>
      </c>
      <c r="BL2082" t="s">
        <v>7528</v>
      </c>
      <c r="CA2082" t="s">
        <v>6177</v>
      </c>
      <c r="CB2082" t="s">
        <v>7528</v>
      </c>
      <c r="CL2082" t="s">
        <v>98</v>
      </c>
      <c r="CM2082" t="s">
        <v>98</v>
      </c>
      <c r="CN2082" t="s">
        <v>7528</v>
      </c>
      <c r="CO2082" s="1">
        <v>40577</v>
      </c>
      <c r="CP2082" s="1">
        <v>43633</v>
      </c>
    </row>
    <row r="2083" spans="1:94" x14ac:dyDescent="0.25">
      <c r="A2083" t="s">
        <v>6180</v>
      </c>
      <c r="B2083" t="str">
        <f xml:space="preserve"> "" &amp; 747396064765</f>
        <v>747396064765</v>
      </c>
      <c r="C2083" t="s">
        <v>6181</v>
      </c>
      <c r="D2083" t="s">
        <v>7412</v>
      </c>
      <c r="E2083" t="s">
        <v>7528</v>
      </c>
      <c r="F2083" t="s">
        <v>627</v>
      </c>
      <c r="G2083">
        <v>1</v>
      </c>
      <c r="H2083">
        <v>1</v>
      </c>
      <c r="I2083" t="s">
        <v>97</v>
      </c>
      <c r="J2083" s="10">
        <v>6.5</v>
      </c>
      <c r="K2083" s="10">
        <v>19.5</v>
      </c>
      <c r="L2083" s="10">
        <v>0</v>
      </c>
      <c r="N2083" s="10">
        <v>0</v>
      </c>
      <c r="W2083">
        <v>1</v>
      </c>
      <c r="AB2083">
        <v>1.6E-2</v>
      </c>
      <c r="AC2083">
        <v>0.22</v>
      </c>
      <c r="AF2083" t="s">
        <v>7528</v>
      </c>
      <c r="AK2083" t="s">
        <v>98</v>
      </c>
      <c r="AM2083" t="s">
        <v>98</v>
      </c>
      <c r="AN2083" t="s">
        <v>98</v>
      </c>
      <c r="AO2083" t="s">
        <v>98</v>
      </c>
      <c r="AP2083" t="s">
        <v>100</v>
      </c>
      <c r="AQ2083" t="s">
        <v>101</v>
      </c>
      <c r="AV2083" t="s">
        <v>98</v>
      </c>
      <c r="AX2083" t="s">
        <v>7528</v>
      </c>
      <c r="AZ2083" t="s">
        <v>7528</v>
      </c>
      <c r="BB2083" t="s">
        <v>7528</v>
      </c>
      <c r="BC2083" t="s">
        <v>7528</v>
      </c>
      <c r="BD2083" t="s">
        <v>7528</v>
      </c>
      <c r="BF2083" t="s">
        <v>6182</v>
      </c>
      <c r="BG2083" t="s">
        <v>98</v>
      </c>
      <c r="BH2083" t="s">
        <v>98</v>
      </c>
      <c r="BI2083" t="s">
        <v>98</v>
      </c>
      <c r="BK2083" t="s">
        <v>7528</v>
      </c>
      <c r="BL2083" t="s">
        <v>7528</v>
      </c>
      <c r="CA2083" t="s">
        <v>6180</v>
      </c>
      <c r="CB2083" t="s">
        <v>7528</v>
      </c>
      <c r="CL2083" t="s">
        <v>98</v>
      </c>
      <c r="CM2083" t="s">
        <v>98</v>
      </c>
      <c r="CN2083" t="s">
        <v>7528</v>
      </c>
      <c r="CO2083" s="1">
        <v>40577</v>
      </c>
      <c r="CP2083" s="1">
        <v>43633</v>
      </c>
    </row>
    <row r="2084" spans="1:94" x14ac:dyDescent="0.25">
      <c r="A2084" t="s">
        <v>6183</v>
      </c>
      <c r="B2084" t="str">
        <f xml:space="preserve"> "" &amp; 747396064796</f>
        <v>747396064796</v>
      </c>
      <c r="C2084" t="s">
        <v>6184</v>
      </c>
      <c r="D2084" t="s">
        <v>7413</v>
      </c>
      <c r="E2084" t="s">
        <v>7528</v>
      </c>
      <c r="F2084" t="s">
        <v>627</v>
      </c>
      <c r="G2084">
        <v>1</v>
      </c>
      <c r="H2084">
        <v>1</v>
      </c>
      <c r="I2084" t="s">
        <v>97</v>
      </c>
      <c r="J2084" s="10">
        <v>8</v>
      </c>
      <c r="K2084" s="10">
        <v>24</v>
      </c>
      <c r="L2084" s="10">
        <v>0</v>
      </c>
      <c r="N2084" s="10">
        <v>0</v>
      </c>
      <c r="W2084">
        <v>1</v>
      </c>
      <c r="AB2084">
        <v>2.5000000000000001E-2</v>
      </c>
      <c r="AC2084">
        <v>0.4</v>
      </c>
      <c r="AF2084" t="s">
        <v>7528</v>
      </c>
      <c r="AK2084" t="s">
        <v>98</v>
      </c>
      <c r="AM2084" t="s">
        <v>98</v>
      </c>
      <c r="AN2084" t="s">
        <v>98</v>
      </c>
      <c r="AO2084" t="s">
        <v>98</v>
      </c>
      <c r="AP2084" t="s">
        <v>100</v>
      </c>
      <c r="AQ2084" t="s">
        <v>101</v>
      </c>
      <c r="AV2084" t="s">
        <v>98</v>
      </c>
      <c r="AX2084" t="s">
        <v>7528</v>
      </c>
      <c r="AZ2084" t="s">
        <v>7528</v>
      </c>
      <c r="BB2084" t="s">
        <v>7528</v>
      </c>
      <c r="BC2084" t="s">
        <v>7528</v>
      </c>
      <c r="BD2084" t="s">
        <v>7528</v>
      </c>
      <c r="BF2084" t="s">
        <v>6185</v>
      </c>
      <c r="BG2084" t="s">
        <v>98</v>
      </c>
      <c r="BH2084" t="s">
        <v>98</v>
      </c>
      <c r="BI2084" t="s">
        <v>98</v>
      </c>
      <c r="BK2084" t="s">
        <v>7528</v>
      </c>
      <c r="BL2084" t="s">
        <v>7528</v>
      </c>
      <c r="CA2084" t="s">
        <v>6183</v>
      </c>
      <c r="CB2084" t="s">
        <v>7528</v>
      </c>
      <c r="CL2084" t="s">
        <v>98</v>
      </c>
      <c r="CM2084" t="s">
        <v>98</v>
      </c>
      <c r="CN2084" t="s">
        <v>7528</v>
      </c>
      <c r="CO2084" s="1">
        <v>40577</v>
      </c>
      <c r="CP2084" s="1">
        <v>43633</v>
      </c>
    </row>
    <row r="2085" spans="1:94" x14ac:dyDescent="0.25">
      <c r="A2085" t="s">
        <v>6186</v>
      </c>
      <c r="B2085" t="str">
        <f xml:space="preserve"> "" &amp; 747396064802</f>
        <v>747396064802</v>
      </c>
      <c r="C2085" t="s">
        <v>6178</v>
      </c>
      <c r="D2085" t="s">
        <v>7414</v>
      </c>
      <c r="E2085" t="s">
        <v>7528</v>
      </c>
      <c r="F2085" t="s">
        <v>627</v>
      </c>
      <c r="G2085">
        <v>1</v>
      </c>
      <c r="H2085">
        <v>1</v>
      </c>
      <c r="I2085" t="s">
        <v>97</v>
      </c>
      <c r="J2085" s="10">
        <v>12.5</v>
      </c>
      <c r="K2085" s="10">
        <v>37.5</v>
      </c>
      <c r="L2085" s="10">
        <v>0</v>
      </c>
      <c r="N2085" s="10">
        <v>0</v>
      </c>
      <c r="W2085">
        <v>1</v>
      </c>
      <c r="AB2085">
        <v>3.5999999999999997E-2</v>
      </c>
      <c r="AC2085">
        <v>0.77</v>
      </c>
      <c r="AF2085" t="s">
        <v>7528</v>
      </c>
      <c r="AK2085" t="s">
        <v>98</v>
      </c>
      <c r="AM2085" t="s">
        <v>98</v>
      </c>
      <c r="AN2085" t="s">
        <v>98</v>
      </c>
      <c r="AO2085" t="s">
        <v>98</v>
      </c>
      <c r="AP2085" t="s">
        <v>100</v>
      </c>
      <c r="AQ2085" t="s">
        <v>101</v>
      </c>
      <c r="AV2085" t="s">
        <v>98</v>
      </c>
      <c r="AX2085" t="s">
        <v>7528</v>
      </c>
      <c r="AZ2085" t="s">
        <v>7528</v>
      </c>
      <c r="BB2085" t="s">
        <v>7528</v>
      </c>
      <c r="BC2085" t="s">
        <v>7528</v>
      </c>
      <c r="BD2085" t="s">
        <v>7528</v>
      </c>
      <c r="BF2085" t="s">
        <v>6187</v>
      </c>
      <c r="BG2085" t="s">
        <v>98</v>
      </c>
      <c r="BH2085" t="s">
        <v>98</v>
      </c>
      <c r="BI2085" t="s">
        <v>98</v>
      </c>
      <c r="BK2085" t="s">
        <v>7528</v>
      </c>
      <c r="BL2085" t="s">
        <v>7528</v>
      </c>
      <c r="CA2085" t="s">
        <v>6186</v>
      </c>
      <c r="CB2085" t="s">
        <v>7528</v>
      </c>
      <c r="CL2085" t="s">
        <v>98</v>
      </c>
      <c r="CM2085" t="s">
        <v>98</v>
      </c>
      <c r="CN2085" t="s">
        <v>7528</v>
      </c>
      <c r="CO2085" s="1">
        <v>40577</v>
      </c>
      <c r="CP2085" s="1">
        <v>43633</v>
      </c>
    </row>
    <row r="2086" spans="1:94" x14ac:dyDescent="0.25">
      <c r="A2086" t="s">
        <v>6188</v>
      </c>
      <c r="B2086" t="str">
        <f xml:space="preserve"> "" &amp; 747396064826</f>
        <v>747396064826</v>
      </c>
      <c r="C2086" t="s">
        <v>6178</v>
      </c>
      <c r="D2086" t="s">
        <v>7415</v>
      </c>
      <c r="E2086" t="s">
        <v>7528</v>
      </c>
      <c r="F2086" t="s">
        <v>627</v>
      </c>
      <c r="G2086">
        <v>1</v>
      </c>
      <c r="H2086">
        <v>1</v>
      </c>
      <c r="I2086" t="s">
        <v>97</v>
      </c>
      <c r="J2086" s="10">
        <v>16.5</v>
      </c>
      <c r="K2086" s="10">
        <v>49.5</v>
      </c>
      <c r="L2086" s="10">
        <v>0</v>
      </c>
      <c r="N2086" s="10">
        <v>0</v>
      </c>
      <c r="W2086">
        <v>1</v>
      </c>
      <c r="AB2086">
        <v>5.2999999999999999E-2</v>
      </c>
      <c r="AC2086">
        <v>1.1599999999999999</v>
      </c>
      <c r="AF2086" t="s">
        <v>7528</v>
      </c>
      <c r="AK2086" t="s">
        <v>98</v>
      </c>
      <c r="AM2086" t="s">
        <v>98</v>
      </c>
      <c r="AN2086" t="s">
        <v>98</v>
      </c>
      <c r="AO2086" t="s">
        <v>98</v>
      </c>
      <c r="AP2086" t="s">
        <v>100</v>
      </c>
      <c r="AQ2086" t="s">
        <v>101</v>
      </c>
      <c r="AV2086" t="s">
        <v>98</v>
      </c>
      <c r="AX2086" t="s">
        <v>7528</v>
      </c>
      <c r="AZ2086" t="s">
        <v>7528</v>
      </c>
      <c r="BB2086" t="s">
        <v>7528</v>
      </c>
      <c r="BC2086" t="s">
        <v>7528</v>
      </c>
      <c r="BD2086" t="s">
        <v>7528</v>
      </c>
      <c r="BF2086" t="s">
        <v>6189</v>
      </c>
      <c r="BG2086" t="s">
        <v>98</v>
      </c>
      <c r="BH2086" t="s">
        <v>98</v>
      </c>
      <c r="BI2086" t="s">
        <v>98</v>
      </c>
      <c r="BK2086" t="s">
        <v>7528</v>
      </c>
      <c r="BL2086" t="s">
        <v>7528</v>
      </c>
      <c r="CA2086" t="s">
        <v>6188</v>
      </c>
      <c r="CB2086" t="s">
        <v>7528</v>
      </c>
      <c r="CL2086" t="s">
        <v>98</v>
      </c>
      <c r="CM2086" t="s">
        <v>98</v>
      </c>
      <c r="CN2086" t="s">
        <v>7528</v>
      </c>
      <c r="CO2086" s="1">
        <v>40577</v>
      </c>
      <c r="CP2086" s="1">
        <v>43633</v>
      </c>
    </row>
    <row r="2087" spans="1:94" x14ac:dyDescent="0.25">
      <c r="A2087" t="s">
        <v>6190</v>
      </c>
      <c r="B2087" t="str">
        <f xml:space="preserve"> "" &amp; 747396058795</f>
        <v>747396058795</v>
      </c>
      <c r="C2087" t="s">
        <v>6191</v>
      </c>
      <c r="D2087" t="s">
        <v>7416</v>
      </c>
      <c r="E2087" t="s">
        <v>7528</v>
      </c>
      <c r="F2087" t="s">
        <v>627</v>
      </c>
      <c r="G2087">
        <v>1</v>
      </c>
      <c r="H2087">
        <v>1</v>
      </c>
      <c r="I2087" t="s">
        <v>97</v>
      </c>
      <c r="J2087" s="10">
        <v>6.5</v>
      </c>
      <c r="K2087" s="10">
        <v>19.5</v>
      </c>
      <c r="L2087" s="10">
        <v>0</v>
      </c>
      <c r="N2087" s="10">
        <v>0</v>
      </c>
      <c r="W2087">
        <v>1</v>
      </c>
      <c r="AC2087">
        <v>0.28000000000000003</v>
      </c>
      <c r="AF2087" t="s">
        <v>7528</v>
      </c>
      <c r="AK2087" t="s">
        <v>98</v>
      </c>
      <c r="AM2087" t="s">
        <v>98</v>
      </c>
      <c r="AN2087" t="s">
        <v>98</v>
      </c>
      <c r="AO2087" t="s">
        <v>98</v>
      </c>
      <c r="AP2087" t="s">
        <v>100</v>
      </c>
      <c r="AQ2087" t="s">
        <v>101</v>
      </c>
      <c r="AV2087" t="s">
        <v>98</v>
      </c>
      <c r="AX2087" t="s">
        <v>7528</v>
      </c>
      <c r="AZ2087" t="s">
        <v>7528</v>
      </c>
      <c r="BB2087" t="s">
        <v>7528</v>
      </c>
      <c r="BC2087" t="s">
        <v>7528</v>
      </c>
      <c r="BD2087" t="s">
        <v>7528</v>
      </c>
      <c r="BF2087" t="s">
        <v>6192</v>
      </c>
      <c r="BG2087" t="s">
        <v>98</v>
      </c>
      <c r="BH2087" t="s">
        <v>98</v>
      </c>
      <c r="BI2087" t="s">
        <v>98</v>
      </c>
      <c r="BK2087" t="s">
        <v>7528</v>
      </c>
      <c r="BL2087" t="s">
        <v>7528</v>
      </c>
      <c r="CA2087" t="s">
        <v>6190</v>
      </c>
      <c r="CB2087" t="s">
        <v>7528</v>
      </c>
      <c r="CL2087" t="s">
        <v>98</v>
      </c>
      <c r="CM2087" t="s">
        <v>98</v>
      </c>
      <c r="CN2087" t="s">
        <v>7528</v>
      </c>
      <c r="CO2087" s="1">
        <v>40577</v>
      </c>
      <c r="CP2087" s="1">
        <v>43633</v>
      </c>
    </row>
    <row r="2088" spans="1:94" x14ac:dyDescent="0.25">
      <c r="A2088" t="s">
        <v>6193</v>
      </c>
      <c r="B2088" t="str">
        <f xml:space="preserve"> "" &amp; 747396058801</f>
        <v>747396058801</v>
      </c>
      <c r="C2088" t="s">
        <v>6191</v>
      </c>
      <c r="D2088" t="s">
        <v>7417</v>
      </c>
      <c r="E2088" t="s">
        <v>7528</v>
      </c>
      <c r="F2088" t="s">
        <v>627</v>
      </c>
      <c r="G2088">
        <v>1</v>
      </c>
      <c r="H2088">
        <v>1</v>
      </c>
      <c r="I2088" t="s">
        <v>97</v>
      </c>
      <c r="J2088" s="10">
        <v>7.5</v>
      </c>
      <c r="K2088" s="10">
        <v>22.5</v>
      </c>
      <c r="L2088" s="10">
        <v>0</v>
      </c>
      <c r="N2088" s="10">
        <v>0</v>
      </c>
      <c r="W2088">
        <v>0.28000000000000003</v>
      </c>
      <c r="Y2088">
        <v>11.5</v>
      </c>
      <c r="Z2088">
        <v>13.5</v>
      </c>
      <c r="AA2088">
        <v>8</v>
      </c>
      <c r="AB2088">
        <v>0.71899999999999997</v>
      </c>
      <c r="AC2088">
        <v>0.31</v>
      </c>
      <c r="AF2088" t="s">
        <v>7528</v>
      </c>
      <c r="AK2088" t="s">
        <v>98</v>
      </c>
      <c r="AM2088" t="s">
        <v>98</v>
      </c>
      <c r="AN2088" t="s">
        <v>98</v>
      </c>
      <c r="AO2088" t="s">
        <v>98</v>
      </c>
      <c r="AP2088" t="s">
        <v>100</v>
      </c>
      <c r="AQ2088" t="s">
        <v>101</v>
      </c>
      <c r="AV2088" t="s">
        <v>98</v>
      </c>
      <c r="AX2088" t="s">
        <v>7528</v>
      </c>
      <c r="AZ2088" t="s">
        <v>7528</v>
      </c>
      <c r="BB2088" t="s">
        <v>7528</v>
      </c>
      <c r="BC2088" t="s">
        <v>7528</v>
      </c>
      <c r="BD2088" t="s">
        <v>7528</v>
      </c>
      <c r="BF2088" t="s">
        <v>6194</v>
      </c>
      <c r="BG2088" t="s">
        <v>98</v>
      </c>
      <c r="BH2088" t="s">
        <v>98</v>
      </c>
      <c r="BI2088" t="s">
        <v>98</v>
      </c>
      <c r="BK2088" t="s">
        <v>7528</v>
      </c>
      <c r="BL2088" t="s">
        <v>7528</v>
      </c>
      <c r="CA2088" t="s">
        <v>6193</v>
      </c>
      <c r="CB2088" t="s">
        <v>7528</v>
      </c>
      <c r="CL2088" t="s">
        <v>98</v>
      </c>
      <c r="CM2088" t="s">
        <v>98</v>
      </c>
      <c r="CN2088" t="s">
        <v>7528</v>
      </c>
      <c r="CO2088" s="1">
        <v>40577</v>
      </c>
      <c r="CP2088" s="1">
        <v>43633</v>
      </c>
    </row>
    <row r="2089" spans="1:94" x14ac:dyDescent="0.25">
      <c r="A2089" t="s">
        <v>6195</v>
      </c>
      <c r="B2089" t="str">
        <f xml:space="preserve"> "" &amp; 747396058818</f>
        <v>747396058818</v>
      </c>
      <c r="C2089" t="s">
        <v>6191</v>
      </c>
      <c r="D2089" t="s">
        <v>7418</v>
      </c>
      <c r="E2089" t="s">
        <v>7528</v>
      </c>
      <c r="F2089" t="s">
        <v>627</v>
      </c>
      <c r="G2089">
        <v>1</v>
      </c>
      <c r="H2089">
        <v>1</v>
      </c>
      <c r="I2089" t="s">
        <v>97</v>
      </c>
      <c r="J2089" s="10">
        <v>8.5</v>
      </c>
      <c r="K2089" s="10">
        <v>25.5</v>
      </c>
      <c r="L2089" s="10">
        <v>0</v>
      </c>
      <c r="N2089" s="10">
        <v>0</v>
      </c>
      <c r="W2089">
        <v>1</v>
      </c>
      <c r="AC2089">
        <v>0.92</v>
      </c>
      <c r="AF2089" t="s">
        <v>7528</v>
      </c>
      <c r="AK2089" t="s">
        <v>98</v>
      </c>
      <c r="AM2089" t="s">
        <v>98</v>
      </c>
      <c r="AN2089" t="s">
        <v>98</v>
      </c>
      <c r="AO2089" t="s">
        <v>98</v>
      </c>
      <c r="AP2089" t="s">
        <v>100</v>
      </c>
      <c r="AQ2089" t="s">
        <v>101</v>
      </c>
      <c r="AV2089" t="s">
        <v>98</v>
      </c>
      <c r="AX2089" t="s">
        <v>7528</v>
      </c>
      <c r="AZ2089" t="s">
        <v>7528</v>
      </c>
      <c r="BB2089" t="s">
        <v>7528</v>
      </c>
      <c r="BC2089" t="s">
        <v>7528</v>
      </c>
      <c r="BD2089" t="s">
        <v>7528</v>
      </c>
      <c r="BF2089" t="s">
        <v>6196</v>
      </c>
      <c r="BG2089" t="s">
        <v>98</v>
      </c>
      <c r="BH2089" t="s">
        <v>98</v>
      </c>
      <c r="BI2089" t="s">
        <v>98</v>
      </c>
      <c r="BK2089" t="s">
        <v>7528</v>
      </c>
      <c r="BL2089" t="s">
        <v>7528</v>
      </c>
      <c r="CA2089" t="s">
        <v>6195</v>
      </c>
      <c r="CB2089" t="s">
        <v>7528</v>
      </c>
      <c r="CL2089" t="s">
        <v>98</v>
      </c>
      <c r="CM2089" t="s">
        <v>98</v>
      </c>
      <c r="CN2089" t="s">
        <v>7528</v>
      </c>
      <c r="CO2089" s="1">
        <v>40577</v>
      </c>
      <c r="CP2089" s="1">
        <v>43633</v>
      </c>
    </row>
    <row r="2090" spans="1:94" x14ac:dyDescent="0.25">
      <c r="A2090" t="s">
        <v>6197</v>
      </c>
      <c r="B2090" t="str">
        <f xml:space="preserve"> "" &amp; 747396058825</f>
        <v>747396058825</v>
      </c>
      <c r="C2090" t="s">
        <v>6191</v>
      </c>
      <c r="D2090" t="s">
        <v>7419</v>
      </c>
      <c r="E2090" t="s">
        <v>7528</v>
      </c>
      <c r="F2090" t="s">
        <v>627</v>
      </c>
      <c r="G2090">
        <v>1</v>
      </c>
      <c r="H2090">
        <v>1</v>
      </c>
      <c r="I2090" t="s">
        <v>97</v>
      </c>
      <c r="J2090" s="10">
        <v>9.5</v>
      </c>
      <c r="K2090" s="10">
        <v>28.5</v>
      </c>
      <c r="L2090" s="10">
        <v>0</v>
      </c>
      <c r="N2090" s="10">
        <v>0</v>
      </c>
      <c r="W2090">
        <v>1</v>
      </c>
      <c r="AB2090">
        <v>3.2899999999999999E-2</v>
      </c>
      <c r="AC2090">
        <v>1.49</v>
      </c>
      <c r="AF2090" t="s">
        <v>7528</v>
      </c>
      <c r="AK2090" t="s">
        <v>98</v>
      </c>
      <c r="AM2090" t="s">
        <v>98</v>
      </c>
      <c r="AN2090" t="s">
        <v>98</v>
      </c>
      <c r="AO2090" t="s">
        <v>98</v>
      </c>
      <c r="AP2090" t="s">
        <v>100</v>
      </c>
      <c r="AQ2090" t="s">
        <v>101</v>
      </c>
      <c r="AV2090" t="s">
        <v>98</v>
      </c>
      <c r="AX2090" t="s">
        <v>7528</v>
      </c>
      <c r="AZ2090" t="s">
        <v>7528</v>
      </c>
      <c r="BB2090" t="s">
        <v>7528</v>
      </c>
      <c r="BC2090" t="s">
        <v>7528</v>
      </c>
      <c r="BD2090" t="s">
        <v>7528</v>
      </c>
      <c r="BF2090" t="s">
        <v>6198</v>
      </c>
      <c r="BG2090" t="s">
        <v>98</v>
      </c>
      <c r="BH2090" t="s">
        <v>98</v>
      </c>
      <c r="BI2090" t="s">
        <v>98</v>
      </c>
      <c r="BK2090" t="s">
        <v>7528</v>
      </c>
      <c r="BL2090" t="s">
        <v>7528</v>
      </c>
      <c r="CA2090" t="s">
        <v>6197</v>
      </c>
      <c r="CB2090" t="s">
        <v>7528</v>
      </c>
      <c r="CL2090" t="s">
        <v>98</v>
      </c>
      <c r="CM2090" t="s">
        <v>98</v>
      </c>
      <c r="CN2090" t="s">
        <v>7528</v>
      </c>
      <c r="CO2090" s="1">
        <v>40577</v>
      </c>
      <c r="CP2090" s="1">
        <v>43633</v>
      </c>
    </row>
    <row r="2091" spans="1:94" x14ac:dyDescent="0.25">
      <c r="A2091" t="s">
        <v>6199</v>
      </c>
      <c r="B2091" t="str">
        <f xml:space="preserve"> "" &amp; 747396051802</f>
        <v>747396051802</v>
      </c>
      <c r="C2091" t="s">
        <v>5649</v>
      </c>
      <c r="D2091" t="s">
        <v>7420</v>
      </c>
      <c r="E2091" t="s">
        <v>7528</v>
      </c>
      <c r="F2091" t="s">
        <v>627</v>
      </c>
      <c r="G2091">
        <v>1</v>
      </c>
      <c r="H2091">
        <v>1</v>
      </c>
      <c r="I2091" t="s">
        <v>97</v>
      </c>
      <c r="J2091" s="10">
        <v>17.5</v>
      </c>
      <c r="K2091" s="10">
        <v>52.5</v>
      </c>
      <c r="L2091" s="10">
        <v>0</v>
      </c>
      <c r="N2091" s="10">
        <v>0</v>
      </c>
      <c r="W2091">
        <v>2.42</v>
      </c>
      <c r="X2091">
        <v>1</v>
      </c>
      <c r="Y2091">
        <v>18</v>
      </c>
      <c r="Z2091">
        <v>17.13</v>
      </c>
      <c r="AA2091">
        <v>17.13</v>
      </c>
      <c r="AB2091">
        <v>3.0569999999999999</v>
      </c>
      <c r="AC2091">
        <v>2.91</v>
      </c>
      <c r="AF2091" t="s">
        <v>7528</v>
      </c>
      <c r="AK2091" t="s">
        <v>98</v>
      </c>
      <c r="AM2091" t="s">
        <v>98</v>
      </c>
      <c r="AN2091" t="s">
        <v>98</v>
      </c>
      <c r="AO2091" t="s">
        <v>98</v>
      </c>
      <c r="AP2091" t="s">
        <v>100</v>
      </c>
      <c r="AQ2091" t="s">
        <v>101</v>
      </c>
      <c r="AV2091" t="s">
        <v>98</v>
      </c>
      <c r="AX2091" t="s">
        <v>7528</v>
      </c>
      <c r="AZ2091" t="s">
        <v>7528</v>
      </c>
      <c r="BB2091" t="s">
        <v>7528</v>
      </c>
      <c r="BC2091" t="s">
        <v>7528</v>
      </c>
      <c r="BD2091" t="s">
        <v>7528</v>
      </c>
      <c r="BF2091" t="s">
        <v>6200</v>
      </c>
      <c r="BG2091" t="s">
        <v>98</v>
      </c>
      <c r="BH2091" t="s">
        <v>98</v>
      </c>
      <c r="BI2091" t="s">
        <v>98</v>
      </c>
      <c r="BK2091" t="s">
        <v>7528</v>
      </c>
      <c r="BL2091" t="s">
        <v>7528</v>
      </c>
      <c r="CA2091" t="s">
        <v>6199</v>
      </c>
      <c r="CB2091" t="s">
        <v>7528</v>
      </c>
      <c r="CL2091" t="s">
        <v>98</v>
      </c>
      <c r="CM2091" t="s">
        <v>98</v>
      </c>
      <c r="CN2091" t="s">
        <v>7528</v>
      </c>
      <c r="CO2091" s="1">
        <v>40578</v>
      </c>
      <c r="CP2091" s="1">
        <v>43633</v>
      </c>
    </row>
    <row r="2092" spans="1:94" x14ac:dyDescent="0.25">
      <c r="A2092" t="s">
        <v>6201</v>
      </c>
      <c r="B2092" t="str">
        <f xml:space="preserve"> "" &amp; 747396064864</f>
        <v>747396064864</v>
      </c>
      <c r="C2092" t="s">
        <v>1446</v>
      </c>
      <c r="D2092" t="s">
        <v>7421</v>
      </c>
      <c r="E2092" t="s">
        <v>7528</v>
      </c>
      <c r="F2092" t="s">
        <v>627</v>
      </c>
      <c r="G2092">
        <v>1</v>
      </c>
      <c r="H2092">
        <v>1</v>
      </c>
      <c r="I2092" t="s">
        <v>97</v>
      </c>
      <c r="J2092" s="10">
        <v>50</v>
      </c>
      <c r="K2092" s="10">
        <v>150</v>
      </c>
      <c r="L2092" s="10">
        <v>0</v>
      </c>
      <c r="N2092" s="10">
        <v>0</v>
      </c>
      <c r="W2092">
        <v>3.37</v>
      </c>
      <c r="X2092">
        <v>1</v>
      </c>
      <c r="Y2092">
        <v>14.25</v>
      </c>
      <c r="Z2092">
        <v>12</v>
      </c>
      <c r="AA2092">
        <v>12</v>
      </c>
      <c r="AB2092">
        <v>1.1879999999999999</v>
      </c>
      <c r="AC2092">
        <v>4.84</v>
      </c>
      <c r="AF2092" t="s">
        <v>7528</v>
      </c>
      <c r="AK2092" t="s">
        <v>98</v>
      </c>
      <c r="AM2092" t="s">
        <v>98</v>
      </c>
      <c r="AN2092" t="s">
        <v>98</v>
      </c>
      <c r="AO2092" t="s">
        <v>98</v>
      </c>
      <c r="AP2092" t="s">
        <v>100</v>
      </c>
      <c r="AQ2092" t="s">
        <v>101</v>
      </c>
      <c r="AV2092" t="s">
        <v>98</v>
      </c>
      <c r="AX2092" t="s">
        <v>7528</v>
      </c>
      <c r="AZ2092" t="s">
        <v>7528</v>
      </c>
      <c r="BB2092" t="s">
        <v>7528</v>
      </c>
      <c r="BC2092" t="s">
        <v>7528</v>
      </c>
      <c r="BD2092" t="s">
        <v>7528</v>
      </c>
      <c r="BF2092" t="s">
        <v>6202</v>
      </c>
      <c r="BG2092" t="s">
        <v>98</v>
      </c>
      <c r="BH2092" t="s">
        <v>98</v>
      </c>
      <c r="BI2092" t="s">
        <v>98</v>
      </c>
      <c r="BK2092" t="s">
        <v>7528</v>
      </c>
      <c r="BL2092" t="s">
        <v>7528</v>
      </c>
      <c r="CA2092" t="s">
        <v>6201</v>
      </c>
      <c r="CB2092" t="s">
        <v>7528</v>
      </c>
      <c r="CL2092" t="s">
        <v>98</v>
      </c>
      <c r="CM2092" t="s">
        <v>98</v>
      </c>
      <c r="CN2092" t="s">
        <v>7528</v>
      </c>
      <c r="CO2092" s="1">
        <v>40578</v>
      </c>
      <c r="CP2092" s="1">
        <v>43633</v>
      </c>
    </row>
    <row r="2093" spans="1:94" x14ac:dyDescent="0.25">
      <c r="A2093" t="s">
        <v>6203</v>
      </c>
      <c r="B2093" t="str">
        <f xml:space="preserve"> "" &amp; 747396042626</f>
        <v>747396042626</v>
      </c>
      <c r="C2093" t="s">
        <v>2607</v>
      </c>
      <c r="D2093" t="s">
        <v>6204</v>
      </c>
      <c r="E2093" t="s">
        <v>7528</v>
      </c>
      <c r="F2093" t="s">
        <v>627</v>
      </c>
      <c r="G2093">
        <v>1</v>
      </c>
      <c r="H2093">
        <v>1</v>
      </c>
      <c r="I2093" t="s">
        <v>97</v>
      </c>
      <c r="J2093" s="10">
        <v>15</v>
      </c>
      <c r="K2093" s="10">
        <v>45</v>
      </c>
      <c r="L2093" s="10">
        <v>0</v>
      </c>
      <c r="N2093" s="10">
        <v>0</v>
      </c>
      <c r="S2093">
        <v>4.88</v>
      </c>
      <c r="U2093">
        <v>4.75</v>
      </c>
      <c r="W2093">
        <v>0.72</v>
      </c>
      <c r="X2093">
        <v>1</v>
      </c>
      <c r="Y2093">
        <v>13.25</v>
      </c>
      <c r="Z2093">
        <v>12.88</v>
      </c>
      <c r="AA2093">
        <v>12.88</v>
      </c>
      <c r="AB2093">
        <v>1.272</v>
      </c>
      <c r="AC2093">
        <v>1.27</v>
      </c>
      <c r="AF2093" t="s">
        <v>7528</v>
      </c>
      <c r="AK2093" t="s">
        <v>98</v>
      </c>
      <c r="AM2093" t="s">
        <v>98</v>
      </c>
      <c r="AN2093" t="s">
        <v>98</v>
      </c>
      <c r="AO2093" t="s">
        <v>98</v>
      </c>
      <c r="AP2093" t="s">
        <v>100</v>
      </c>
      <c r="AQ2093" t="s">
        <v>101</v>
      </c>
      <c r="AV2093" t="s">
        <v>98</v>
      </c>
      <c r="AX2093" t="s">
        <v>7528</v>
      </c>
      <c r="AZ2093" t="s">
        <v>7528</v>
      </c>
      <c r="BB2093" t="s">
        <v>7528</v>
      </c>
      <c r="BC2093" t="s">
        <v>7528</v>
      </c>
      <c r="BD2093" t="s">
        <v>7528</v>
      </c>
      <c r="BF2093" t="s">
        <v>6205</v>
      </c>
      <c r="BG2093" t="s">
        <v>98</v>
      </c>
      <c r="BH2093" t="s">
        <v>98</v>
      </c>
      <c r="BI2093" t="s">
        <v>98</v>
      </c>
      <c r="BK2093" t="s">
        <v>7528</v>
      </c>
      <c r="BL2093" t="s">
        <v>7528</v>
      </c>
      <c r="CA2093" t="s">
        <v>6203</v>
      </c>
      <c r="CB2093" t="s">
        <v>7528</v>
      </c>
      <c r="CL2093" t="s">
        <v>98</v>
      </c>
      <c r="CM2093" t="s">
        <v>98</v>
      </c>
      <c r="CN2093" t="s">
        <v>7528</v>
      </c>
      <c r="CO2093" s="1">
        <v>40578</v>
      </c>
      <c r="CP2093" s="1">
        <v>43633</v>
      </c>
    </row>
    <row r="2094" spans="1:94" x14ac:dyDescent="0.25">
      <c r="A2094" t="s">
        <v>6206</v>
      </c>
      <c r="B2094" t="str">
        <f xml:space="preserve"> "" &amp; 747396051468</f>
        <v>747396051468</v>
      </c>
      <c r="C2094" t="s">
        <v>6207</v>
      </c>
      <c r="D2094" t="s">
        <v>7422</v>
      </c>
      <c r="E2094" t="s">
        <v>7528</v>
      </c>
      <c r="F2094" t="s">
        <v>627</v>
      </c>
      <c r="G2094">
        <v>1</v>
      </c>
      <c r="H2094">
        <v>1</v>
      </c>
      <c r="I2094" t="s">
        <v>97</v>
      </c>
      <c r="J2094" s="10">
        <v>12</v>
      </c>
      <c r="K2094" s="10">
        <v>36</v>
      </c>
      <c r="L2094" s="10">
        <v>0</v>
      </c>
      <c r="N2094" s="10">
        <v>0</v>
      </c>
      <c r="S2094">
        <v>4.88</v>
      </c>
      <c r="U2094">
        <v>4.75</v>
      </c>
      <c r="W2094">
        <v>0.72</v>
      </c>
      <c r="X2094">
        <v>1</v>
      </c>
      <c r="Y2094">
        <v>13.25</v>
      </c>
      <c r="Z2094">
        <v>12.88</v>
      </c>
      <c r="AA2094">
        <v>12.88</v>
      </c>
      <c r="AB2094">
        <v>1.272</v>
      </c>
      <c r="AC2094">
        <v>1.27</v>
      </c>
      <c r="AF2094" t="s">
        <v>7528</v>
      </c>
      <c r="AK2094" t="s">
        <v>98</v>
      </c>
      <c r="AM2094" t="s">
        <v>98</v>
      </c>
      <c r="AN2094" t="s">
        <v>98</v>
      </c>
      <c r="AO2094" t="s">
        <v>98</v>
      </c>
      <c r="AP2094" t="s">
        <v>100</v>
      </c>
      <c r="AQ2094" t="s">
        <v>101</v>
      </c>
      <c r="AV2094" t="s">
        <v>98</v>
      </c>
      <c r="AX2094" t="s">
        <v>7528</v>
      </c>
      <c r="AZ2094" t="s">
        <v>7528</v>
      </c>
      <c r="BB2094" t="s">
        <v>7528</v>
      </c>
      <c r="BC2094" t="s">
        <v>7528</v>
      </c>
      <c r="BD2094" t="s">
        <v>7528</v>
      </c>
      <c r="BF2094" t="s">
        <v>6208</v>
      </c>
      <c r="BG2094" t="s">
        <v>98</v>
      </c>
      <c r="BH2094" t="s">
        <v>98</v>
      </c>
      <c r="BI2094" t="s">
        <v>98</v>
      </c>
      <c r="BK2094" t="s">
        <v>7528</v>
      </c>
      <c r="BL2094" t="s">
        <v>7528</v>
      </c>
      <c r="CA2094" t="s">
        <v>6206</v>
      </c>
      <c r="CB2094" t="s">
        <v>7528</v>
      </c>
      <c r="CL2094" t="s">
        <v>98</v>
      </c>
      <c r="CM2094" t="s">
        <v>98</v>
      </c>
      <c r="CN2094" t="s">
        <v>7528</v>
      </c>
      <c r="CO2094" s="1">
        <v>40578</v>
      </c>
      <c r="CP2094" s="1">
        <v>43633</v>
      </c>
    </row>
    <row r="2095" spans="1:94" x14ac:dyDescent="0.25">
      <c r="A2095" t="s">
        <v>6209</v>
      </c>
      <c r="B2095" t="str">
        <f xml:space="preserve"> "" &amp; 747396042633</f>
        <v>747396042633</v>
      </c>
      <c r="C2095" t="s">
        <v>2607</v>
      </c>
      <c r="D2095" t="s">
        <v>6210</v>
      </c>
      <c r="E2095" t="s">
        <v>7528</v>
      </c>
      <c r="F2095" t="s">
        <v>627</v>
      </c>
      <c r="G2095">
        <v>1</v>
      </c>
      <c r="H2095">
        <v>1</v>
      </c>
      <c r="I2095" t="s">
        <v>97</v>
      </c>
      <c r="J2095" s="10">
        <v>25</v>
      </c>
      <c r="K2095" s="10">
        <v>75</v>
      </c>
      <c r="L2095" s="10">
        <v>0</v>
      </c>
      <c r="N2095" s="10">
        <v>0</v>
      </c>
      <c r="S2095">
        <v>6</v>
      </c>
      <c r="U2095">
        <v>6.25</v>
      </c>
      <c r="W2095">
        <v>1.21</v>
      </c>
      <c r="X2095">
        <v>1</v>
      </c>
      <c r="Y2095">
        <v>9.75</v>
      </c>
      <c r="Z2095">
        <v>23.5</v>
      </c>
      <c r="AA2095">
        <v>16.5</v>
      </c>
      <c r="AB2095">
        <v>2.1880000000000002</v>
      </c>
      <c r="AC2095">
        <v>2.02</v>
      </c>
      <c r="AF2095" t="s">
        <v>7528</v>
      </c>
      <c r="AK2095" t="s">
        <v>98</v>
      </c>
      <c r="AM2095" t="s">
        <v>98</v>
      </c>
      <c r="AN2095" t="s">
        <v>98</v>
      </c>
      <c r="AO2095" t="s">
        <v>98</v>
      </c>
      <c r="AP2095" t="s">
        <v>100</v>
      </c>
      <c r="AQ2095" t="s">
        <v>101</v>
      </c>
      <c r="AV2095" t="s">
        <v>98</v>
      </c>
      <c r="AX2095" t="s">
        <v>7528</v>
      </c>
      <c r="AZ2095" t="s">
        <v>7528</v>
      </c>
      <c r="BB2095" t="s">
        <v>7528</v>
      </c>
      <c r="BC2095" t="s">
        <v>7528</v>
      </c>
      <c r="BD2095" t="s">
        <v>7528</v>
      </c>
      <c r="BF2095" t="s">
        <v>6211</v>
      </c>
      <c r="BG2095" t="s">
        <v>98</v>
      </c>
      <c r="BH2095" t="s">
        <v>98</v>
      </c>
      <c r="BI2095" t="s">
        <v>98</v>
      </c>
      <c r="BK2095" t="s">
        <v>7528</v>
      </c>
      <c r="BL2095" t="s">
        <v>7528</v>
      </c>
      <c r="CA2095" t="s">
        <v>6209</v>
      </c>
      <c r="CB2095" t="s">
        <v>7528</v>
      </c>
      <c r="CL2095" t="s">
        <v>98</v>
      </c>
      <c r="CM2095" t="s">
        <v>98</v>
      </c>
      <c r="CN2095" t="s">
        <v>7528</v>
      </c>
      <c r="CO2095" s="1">
        <v>40578</v>
      </c>
      <c r="CP2095" s="1">
        <v>43633</v>
      </c>
    </row>
    <row r="2096" spans="1:94" x14ac:dyDescent="0.25">
      <c r="A2096" t="s">
        <v>6212</v>
      </c>
      <c r="B2096" t="str">
        <f xml:space="preserve"> "" &amp; 747396051475</f>
        <v>747396051475</v>
      </c>
      <c r="C2096" t="s">
        <v>5649</v>
      </c>
      <c r="D2096" t="s">
        <v>7423</v>
      </c>
      <c r="E2096" t="s">
        <v>7528</v>
      </c>
      <c r="F2096" t="s">
        <v>627</v>
      </c>
      <c r="G2096">
        <v>1</v>
      </c>
      <c r="H2096">
        <v>1</v>
      </c>
      <c r="I2096" t="s">
        <v>97</v>
      </c>
      <c r="J2096" s="10">
        <v>27</v>
      </c>
      <c r="K2096" s="10">
        <v>81</v>
      </c>
      <c r="L2096" s="10">
        <v>0</v>
      </c>
      <c r="N2096" s="10">
        <v>0</v>
      </c>
      <c r="S2096">
        <v>6</v>
      </c>
      <c r="U2096">
        <v>6.25</v>
      </c>
      <c r="W2096">
        <v>1.21</v>
      </c>
      <c r="X2096">
        <v>1</v>
      </c>
      <c r="Y2096">
        <v>9.75</v>
      </c>
      <c r="Z2096">
        <v>23.5</v>
      </c>
      <c r="AA2096">
        <v>16.5</v>
      </c>
      <c r="AB2096">
        <v>2.1880000000000002</v>
      </c>
      <c r="AC2096">
        <v>2.02</v>
      </c>
      <c r="AF2096" t="s">
        <v>7528</v>
      </c>
      <c r="AK2096" t="s">
        <v>98</v>
      </c>
      <c r="AM2096" t="s">
        <v>98</v>
      </c>
      <c r="AN2096" t="s">
        <v>98</v>
      </c>
      <c r="AO2096" t="s">
        <v>98</v>
      </c>
      <c r="AP2096" t="s">
        <v>100</v>
      </c>
      <c r="AQ2096" t="s">
        <v>101</v>
      </c>
      <c r="AV2096" t="s">
        <v>98</v>
      </c>
      <c r="AX2096" t="s">
        <v>7528</v>
      </c>
      <c r="AZ2096" t="s">
        <v>7528</v>
      </c>
      <c r="BB2096" t="s">
        <v>7528</v>
      </c>
      <c r="BC2096" t="s">
        <v>7528</v>
      </c>
      <c r="BD2096" t="s">
        <v>7528</v>
      </c>
      <c r="BF2096" t="s">
        <v>6213</v>
      </c>
      <c r="BG2096" t="s">
        <v>98</v>
      </c>
      <c r="BH2096" t="s">
        <v>98</v>
      </c>
      <c r="BI2096" t="s">
        <v>98</v>
      </c>
      <c r="BK2096" t="s">
        <v>7528</v>
      </c>
      <c r="BL2096" t="s">
        <v>7528</v>
      </c>
      <c r="CA2096" t="s">
        <v>6212</v>
      </c>
      <c r="CB2096" t="s">
        <v>7528</v>
      </c>
      <c r="CL2096" t="s">
        <v>98</v>
      </c>
      <c r="CM2096" t="s">
        <v>98</v>
      </c>
      <c r="CN2096" t="s">
        <v>7528</v>
      </c>
      <c r="CO2096" s="1">
        <v>40578</v>
      </c>
      <c r="CP2096" s="1">
        <v>43633</v>
      </c>
    </row>
    <row r="2097" spans="1:94" x14ac:dyDescent="0.25">
      <c r="A2097" t="s">
        <v>6214</v>
      </c>
      <c r="B2097" t="str">
        <f xml:space="preserve"> "" &amp; 747396042640</f>
        <v>747396042640</v>
      </c>
      <c r="C2097" t="s">
        <v>2607</v>
      </c>
      <c r="D2097" t="s">
        <v>7424</v>
      </c>
      <c r="E2097" t="s">
        <v>7528</v>
      </c>
      <c r="F2097" t="s">
        <v>627</v>
      </c>
      <c r="G2097">
        <v>1</v>
      </c>
      <c r="H2097">
        <v>1</v>
      </c>
      <c r="I2097" t="s">
        <v>97</v>
      </c>
      <c r="J2097" s="10">
        <v>35</v>
      </c>
      <c r="K2097" s="10">
        <v>105</v>
      </c>
      <c r="L2097" s="10">
        <v>0</v>
      </c>
      <c r="N2097" s="10">
        <v>0</v>
      </c>
      <c r="S2097">
        <v>7.25</v>
      </c>
      <c r="U2097">
        <v>7.75</v>
      </c>
      <c r="W2097">
        <v>1.76</v>
      </c>
      <c r="X2097">
        <v>1</v>
      </c>
      <c r="Y2097">
        <v>11</v>
      </c>
      <c r="Z2097">
        <v>31.5</v>
      </c>
      <c r="AA2097">
        <v>21.25</v>
      </c>
      <c r="AB2097">
        <v>4.2610000000000001</v>
      </c>
      <c r="AC2097">
        <v>2.82</v>
      </c>
      <c r="AF2097" t="s">
        <v>7528</v>
      </c>
      <c r="AK2097" t="s">
        <v>98</v>
      </c>
      <c r="AM2097" t="s">
        <v>98</v>
      </c>
      <c r="AN2097" t="s">
        <v>98</v>
      </c>
      <c r="AO2097" t="s">
        <v>98</v>
      </c>
      <c r="AP2097" t="s">
        <v>100</v>
      </c>
      <c r="AQ2097" t="s">
        <v>101</v>
      </c>
      <c r="AV2097" t="s">
        <v>98</v>
      </c>
      <c r="AX2097" t="s">
        <v>7528</v>
      </c>
      <c r="AZ2097" t="s">
        <v>7528</v>
      </c>
      <c r="BB2097" t="s">
        <v>7528</v>
      </c>
      <c r="BC2097" t="s">
        <v>7528</v>
      </c>
      <c r="BD2097" t="s">
        <v>7528</v>
      </c>
      <c r="BF2097" t="s">
        <v>6215</v>
      </c>
      <c r="BG2097" t="s">
        <v>98</v>
      </c>
      <c r="BH2097" t="s">
        <v>98</v>
      </c>
      <c r="BI2097" t="s">
        <v>98</v>
      </c>
      <c r="BK2097" t="s">
        <v>7528</v>
      </c>
      <c r="BL2097" t="s">
        <v>7528</v>
      </c>
      <c r="CA2097" t="s">
        <v>6214</v>
      </c>
      <c r="CB2097" t="s">
        <v>7528</v>
      </c>
      <c r="CL2097" t="s">
        <v>98</v>
      </c>
      <c r="CM2097" t="s">
        <v>98</v>
      </c>
      <c r="CN2097" t="s">
        <v>7528</v>
      </c>
      <c r="CO2097" s="1">
        <v>40578</v>
      </c>
      <c r="CP2097" s="1">
        <v>43633</v>
      </c>
    </row>
    <row r="2098" spans="1:94" x14ac:dyDescent="0.25">
      <c r="A2098" t="s">
        <v>6216</v>
      </c>
      <c r="B2098" t="str">
        <f xml:space="preserve"> "" &amp; 747396051482</f>
        <v>747396051482</v>
      </c>
      <c r="C2098" t="s">
        <v>3224</v>
      </c>
      <c r="D2098" t="s">
        <v>7425</v>
      </c>
      <c r="E2098" t="s">
        <v>7528</v>
      </c>
      <c r="F2098" t="s">
        <v>627</v>
      </c>
      <c r="G2098">
        <v>1</v>
      </c>
      <c r="H2098">
        <v>1</v>
      </c>
      <c r="I2098" t="s">
        <v>97</v>
      </c>
      <c r="J2098" s="10">
        <v>37</v>
      </c>
      <c r="K2098" s="10">
        <v>111</v>
      </c>
      <c r="L2098" s="10">
        <v>0</v>
      </c>
      <c r="N2098" s="10">
        <v>0</v>
      </c>
      <c r="S2098">
        <v>7.25</v>
      </c>
      <c r="U2098">
        <v>7.75</v>
      </c>
      <c r="W2098">
        <v>1.76</v>
      </c>
      <c r="X2098">
        <v>1</v>
      </c>
      <c r="Y2098">
        <v>11</v>
      </c>
      <c r="Z2098">
        <v>31.5</v>
      </c>
      <c r="AA2098">
        <v>21.25</v>
      </c>
      <c r="AB2098">
        <v>4.2610000000000001</v>
      </c>
      <c r="AC2098">
        <v>2.82</v>
      </c>
      <c r="AF2098" t="s">
        <v>7528</v>
      </c>
      <c r="AK2098" t="s">
        <v>98</v>
      </c>
      <c r="AM2098" t="s">
        <v>98</v>
      </c>
      <c r="AN2098" t="s">
        <v>98</v>
      </c>
      <c r="AO2098" t="s">
        <v>98</v>
      </c>
      <c r="AP2098" t="s">
        <v>100</v>
      </c>
      <c r="AQ2098" t="s">
        <v>101</v>
      </c>
      <c r="AV2098" t="s">
        <v>98</v>
      </c>
      <c r="AX2098" t="s">
        <v>7528</v>
      </c>
      <c r="AZ2098" t="s">
        <v>7528</v>
      </c>
      <c r="BB2098" t="s">
        <v>7528</v>
      </c>
      <c r="BC2098" t="s">
        <v>7528</v>
      </c>
      <c r="BD2098" t="s">
        <v>7528</v>
      </c>
      <c r="BF2098" t="s">
        <v>6217</v>
      </c>
      <c r="BG2098" t="s">
        <v>98</v>
      </c>
      <c r="BH2098" t="s">
        <v>98</v>
      </c>
      <c r="BI2098" t="s">
        <v>98</v>
      </c>
      <c r="BK2098" t="s">
        <v>7528</v>
      </c>
      <c r="BL2098" t="s">
        <v>7528</v>
      </c>
      <c r="CA2098" t="s">
        <v>6216</v>
      </c>
      <c r="CB2098" t="s">
        <v>7528</v>
      </c>
      <c r="CL2098" t="s">
        <v>98</v>
      </c>
      <c r="CM2098" t="s">
        <v>98</v>
      </c>
      <c r="CN2098" t="s">
        <v>7528</v>
      </c>
      <c r="CO2098" s="1">
        <v>40578</v>
      </c>
      <c r="CP2098" s="1">
        <v>43633</v>
      </c>
    </row>
    <row r="2099" spans="1:94" x14ac:dyDescent="0.25">
      <c r="A2099" t="s">
        <v>6218</v>
      </c>
      <c r="B2099" t="str">
        <f xml:space="preserve"> "" &amp; 747396064895</f>
        <v>747396064895</v>
      </c>
      <c r="C2099" t="s">
        <v>3224</v>
      </c>
      <c r="D2099" t="s">
        <v>7426</v>
      </c>
      <c r="E2099" t="s">
        <v>7528</v>
      </c>
      <c r="F2099" t="s">
        <v>627</v>
      </c>
      <c r="G2099">
        <v>1</v>
      </c>
      <c r="H2099">
        <v>1</v>
      </c>
      <c r="I2099" t="s">
        <v>97</v>
      </c>
      <c r="J2099" s="10">
        <v>55</v>
      </c>
      <c r="K2099" s="10">
        <v>165</v>
      </c>
      <c r="L2099" s="10">
        <v>0</v>
      </c>
      <c r="N2099" s="10">
        <v>0</v>
      </c>
      <c r="S2099">
        <v>10.75</v>
      </c>
      <c r="U2099">
        <v>9.3800000000000008</v>
      </c>
      <c r="W2099">
        <v>3.96</v>
      </c>
      <c r="X2099">
        <v>1</v>
      </c>
      <c r="Y2099">
        <v>14.12</v>
      </c>
      <c r="Z2099">
        <v>22.5</v>
      </c>
      <c r="AA2099">
        <v>22.5</v>
      </c>
      <c r="AB2099">
        <v>4.1369999999999996</v>
      </c>
      <c r="AC2099">
        <v>5.72</v>
      </c>
      <c r="AF2099" t="s">
        <v>7528</v>
      </c>
      <c r="AK2099" t="s">
        <v>98</v>
      </c>
      <c r="AM2099" t="s">
        <v>98</v>
      </c>
      <c r="AN2099" t="s">
        <v>98</v>
      </c>
      <c r="AO2099" t="s">
        <v>98</v>
      </c>
      <c r="AP2099" t="s">
        <v>100</v>
      </c>
      <c r="AQ2099" t="s">
        <v>101</v>
      </c>
      <c r="AV2099" t="s">
        <v>98</v>
      </c>
      <c r="AX2099" t="s">
        <v>7528</v>
      </c>
      <c r="AZ2099" t="s">
        <v>7528</v>
      </c>
      <c r="BB2099" t="s">
        <v>7528</v>
      </c>
      <c r="BC2099" t="s">
        <v>7528</v>
      </c>
      <c r="BD2099" t="s">
        <v>7528</v>
      </c>
      <c r="BF2099" t="s">
        <v>6219</v>
      </c>
      <c r="BG2099" t="s">
        <v>98</v>
      </c>
      <c r="BH2099" t="s">
        <v>98</v>
      </c>
      <c r="BI2099" t="s">
        <v>98</v>
      </c>
      <c r="BK2099" t="s">
        <v>7528</v>
      </c>
      <c r="BL2099" t="s">
        <v>7528</v>
      </c>
      <c r="CA2099" t="s">
        <v>6218</v>
      </c>
      <c r="CB2099" t="s">
        <v>7528</v>
      </c>
      <c r="CL2099" t="s">
        <v>98</v>
      </c>
      <c r="CM2099" t="s">
        <v>98</v>
      </c>
      <c r="CN2099" t="s">
        <v>7528</v>
      </c>
      <c r="CO2099" s="1">
        <v>40582</v>
      </c>
      <c r="CP2099" s="1">
        <v>43633</v>
      </c>
    </row>
    <row r="2100" spans="1:94" x14ac:dyDescent="0.25">
      <c r="A2100" t="s">
        <v>6220</v>
      </c>
      <c r="B2100" t="str">
        <f xml:space="preserve"> "" &amp; 747396064918</f>
        <v>747396064918</v>
      </c>
      <c r="C2100" t="s">
        <v>3224</v>
      </c>
      <c r="D2100" t="s">
        <v>7427</v>
      </c>
      <c r="E2100" t="s">
        <v>7528</v>
      </c>
      <c r="F2100" t="s">
        <v>627</v>
      </c>
      <c r="G2100">
        <v>1</v>
      </c>
      <c r="H2100">
        <v>1</v>
      </c>
      <c r="I2100" t="s">
        <v>97</v>
      </c>
      <c r="J2100" s="10">
        <v>25</v>
      </c>
      <c r="K2100" s="10">
        <v>75</v>
      </c>
      <c r="L2100" s="10">
        <v>0</v>
      </c>
      <c r="N2100" s="10">
        <v>0</v>
      </c>
      <c r="S2100">
        <v>10.75</v>
      </c>
      <c r="U2100">
        <v>9.3800000000000008</v>
      </c>
      <c r="V2100">
        <v>4.5</v>
      </c>
      <c r="W2100">
        <v>2.2000000000000002</v>
      </c>
      <c r="X2100">
        <v>1</v>
      </c>
      <c r="Y2100">
        <v>14.12</v>
      </c>
      <c r="Z2100">
        <v>22.5</v>
      </c>
      <c r="AA2100">
        <v>18</v>
      </c>
      <c r="AB2100">
        <v>3.3090000000000002</v>
      </c>
      <c r="AC2100">
        <v>3.26</v>
      </c>
      <c r="AF2100" t="s">
        <v>7528</v>
      </c>
      <c r="AK2100" t="s">
        <v>98</v>
      </c>
      <c r="AM2100" t="s">
        <v>98</v>
      </c>
      <c r="AN2100" t="s">
        <v>98</v>
      </c>
      <c r="AO2100" t="s">
        <v>98</v>
      </c>
      <c r="AP2100" t="s">
        <v>100</v>
      </c>
      <c r="AQ2100" t="s">
        <v>101</v>
      </c>
      <c r="AV2100" t="s">
        <v>98</v>
      </c>
      <c r="AX2100" t="s">
        <v>7528</v>
      </c>
      <c r="AZ2100" t="s">
        <v>7528</v>
      </c>
      <c r="BB2100" t="s">
        <v>7528</v>
      </c>
      <c r="BC2100" t="s">
        <v>7528</v>
      </c>
      <c r="BD2100" t="s">
        <v>7528</v>
      </c>
      <c r="BF2100" t="s">
        <v>6221</v>
      </c>
      <c r="BG2100" t="s">
        <v>98</v>
      </c>
      <c r="BH2100" t="s">
        <v>98</v>
      </c>
      <c r="BI2100" t="s">
        <v>98</v>
      </c>
      <c r="BK2100" t="s">
        <v>7528</v>
      </c>
      <c r="BL2100" t="s">
        <v>7528</v>
      </c>
      <c r="CA2100" t="s">
        <v>6220</v>
      </c>
      <c r="CB2100" t="s">
        <v>7528</v>
      </c>
      <c r="CL2100" t="s">
        <v>98</v>
      </c>
      <c r="CM2100" t="s">
        <v>98</v>
      </c>
      <c r="CN2100" t="s">
        <v>7528</v>
      </c>
      <c r="CO2100" s="1">
        <v>40578</v>
      </c>
      <c r="CP2100" s="1">
        <v>43633</v>
      </c>
    </row>
    <row r="2101" spans="1:94" x14ac:dyDescent="0.25">
      <c r="A2101" t="s">
        <v>6222</v>
      </c>
      <c r="B2101" t="str">
        <f xml:space="preserve"> "" &amp; 747396064932</f>
        <v>747396064932</v>
      </c>
      <c r="C2101" t="s">
        <v>6223</v>
      </c>
      <c r="D2101" t="s">
        <v>7428</v>
      </c>
      <c r="E2101" t="s">
        <v>7528</v>
      </c>
      <c r="F2101" t="s">
        <v>627</v>
      </c>
      <c r="G2101">
        <v>1</v>
      </c>
      <c r="H2101">
        <v>1</v>
      </c>
      <c r="I2101" t="s">
        <v>97</v>
      </c>
      <c r="J2101" s="10">
        <v>5.5</v>
      </c>
      <c r="K2101" s="10">
        <v>16.5</v>
      </c>
      <c r="L2101" s="10">
        <v>0</v>
      </c>
      <c r="N2101" s="10">
        <v>0</v>
      </c>
      <c r="W2101">
        <v>0.4</v>
      </c>
      <c r="X2101">
        <v>1</v>
      </c>
      <c r="AC2101">
        <v>0.43</v>
      </c>
      <c r="AF2101" t="s">
        <v>7528</v>
      </c>
      <c r="AK2101" t="s">
        <v>98</v>
      </c>
      <c r="AM2101" t="s">
        <v>98</v>
      </c>
      <c r="AN2101" t="s">
        <v>98</v>
      </c>
      <c r="AO2101" t="s">
        <v>98</v>
      </c>
      <c r="AP2101" t="s">
        <v>100</v>
      </c>
      <c r="AQ2101" t="s">
        <v>101</v>
      </c>
      <c r="AV2101" t="s">
        <v>98</v>
      </c>
      <c r="AX2101" t="s">
        <v>7528</v>
      </c>
      <c r="AZ2101" t="s">
        <v>7528</v>
      </c>
      <c r="BB2101" t="s">
        <v>7528</v>
      </c>
      <c r="BC2101" t="s">
        <v>7528</v>
      </c>
      <c r="BD2101" t="s">
        <v>7528</v>
      </c>
      <c r="BF2101" t="s">
        <v>6224</v>
      </c>
      <c r="BG2101" t="s">
        <v>98</v>
      </c>
      <c r="BH2101" t="s">
        <v>98</v>
      </c>
      <c r="BI2101" t="s">
        <v>98</v>
      </c>
      <c r="BK2101" t="s">
        <v>7528</v>
      </c>
      <c r="BL2101" t="s">
        <v>7528</v>
      </c>
      <c r="CA2101" t="s">
        <v>6222</v>
      </c>
      <c r="CB2101" t="s">
        <v>7528</v>
      </c>
      <c r="CL2101" t="s">
        <v>98</v>
      </c>
      <c r="CM2101" t="s">
        <v>98</v>
      </c>
      <c r="CN2101" t="s">
        <v>7528</v>
      </c>
      <c r="CO2101" s="1">
        <v>40582</v>
      </c>
      <c r="CP2101" s="1">
        <v>43633</v>
      </c>
    </row>
    <row r="2102" spans="1:94" x14ac:dyDescent="0.25">
      <c r="A2102" t="s">
        <v>6225</v>
      </c>
      <c r="B2102" t="str">
        <f xml:space="preserve"> "" &amp; 747396064949</f>
        <v>747396064949</v>
      </c>
      <c r="C2102" t="s">
        <v>6226</v>
      </c>
      <c r="D2102" t="s">
        <v>7428</v>
      </c>
      <c r="E2102" t="s">
        <v>7528</v>
      </c>
      <c r="F2102" t="s">
        <v>627</v>
      </c>
      <c r="G2102">
        <v>1</v>
      </c>
      <c r="H2102">
        <v>1</v>
      </c>
      <c r="I2102" t="s">
        <v>97</v>
      </c>
      <c r="J2102" s="10">
        <v>3</v>
      </c>
      <c r="K2102" s="10">
        <v>9</v>
      </c>
      <c r="L2102" s="10">
        <v>0</v>
      </c>
      <c r="N2102" s="10">
        <v>0</v>
      </c>
      <c r="W2102">
        <v>0.08</v>
      </c>
      <c r="X2102">
        <v>1</v>
      </c>
      <c r="AC2102">
        <v>0.1</v>
      </c>
      <c r="AF2102" t="s">
        <v>7528</v>
      </c>
      <c r="AK2102" t="s">
        <v>98</v>
      </c>
      <c r="AM2102" t="s">
        <v>98</v>
      </c>
      <c r="AN2102" t="s">
        <v>98</v>
      </c>
      <c r="AO2102" t="s">
        <v>98</v>
      </c>
      <c r="AP2102" t="s">
        <v>100</v>
      </c>
      <c r="AQ2102" t="s">
        <v>101</v>
      </c>
      <c r="AV2102" t="s">
        <v>98</v>
      </c>
      <c r="AX2102" t="s">
        <v>7528</v>
      </c>
      <c r="AZ2102" t="s">
        <v>7528</v>
      </c>
      <c r="BB2102" t="s">
        <v>7528</v>
      </c>
      <c r="BC2102" t="s">
        <v>7528</v>
      </c>
      <c r="BD2102" t="s">
        <v>7528</v>
      </c>
      <c r="BF2102" t="s">
        <v>6227</v>
      </c>
      <c r="BG2102" t="s">
        <v>98</v>
      </c>
      <c r="BH2102" t="s">
        <v>98</v>
      </c>
      <c r="BI2102" t="s">
        <v>98</v>
      </c>
      <c r="BK2102" t="s">
        <v>7528</v>
      </c>
      <c r="BL2102" t="s">
        <v>7528</v>
      </c>
      <c r="CA2102" t="s">
        <v>6225</v>
      </c>
      <c r="CB2102" t="s">
        <v>7528</v>
      </c>
      <c r="CL2102" t="s">
        <v>98</v>
      </c>
      <c r="CM2102" t="s">
        <v>98</v>
      </c>
      <c r="CN2102" t="s">
        <v>7528</v>
      </c>
      <c r="CO2102" s="1">
        <v>40582</v>
      </c>
      <c r="CP2102" s="1">
        <v>43633</v>
      </c>
    </row>
    <row r="2103" spans="1:94" x14ac:dyDescent="0.25">
      <c r="A2103" t="s">
        <v>6228</v>
      </c>
      <c r="B2103" t="str">
        <f xml:space="preserve"> "" &amp; 747396065670</f>
        <v>747396065670</v>
      </c>
      <c r="C2103" t="s">
        <v>6229</v>
      </c>
      <c r="D2103" t="s">
        <v>7428</v>
      </c>
      <c r="E2103" t="s">
        <v>7528</v>
      </c>
      <c r="F2103" t="s">
        <v>627</v>
      </c>
      <c r="G2103">
        <v>1</v>
      </c>
      <c r="H2103">
        <v>1</v>
      </c>
      <c r="I2103" t="s">
        <v>97</v>
      </c>
      <c r="J2103" s="10">
        <v>3</v>
      </c>
      <c r="K2103" s="10">
        <v>9</v>
      </c>
      <c r="L2103" s="10">
        <v>0</v>
      </c>
      <c r="N2103" s="10">
        <v>0</v>
      </c>
      <c r="W2103">
        <v>0.08</v>
      </c>
      <c r="X2103">
        <v>1</v>
      </c>
      <c r="AC2103">
        <v>0.1</v>
      </c>
      <c r="AF2103" t="s">
        <v>7528</v>
      </c>
      <c r="AK2103" t="s">
        <v>98</v>
      </c>
      <c r="AM2103" t="s">
        <v>98</v>
      </c>
      <c r="AN2103" t="s">
        <v>98</v>
      </c>
      <c r="AO2103" t="s">
        <v>98</v>
      </c>
      <c r="AP2103" t="s">
        <v>100</v>
      </c>
      <c r="AQ2103" t="s">
        <v>101</v>
      </c>
      <c r="AV2103" t="s">
        <v>98</v>
      </c>
      <c r="AX2103" t="s">
        <v>7528</v>
      </c>
      <c r="AZ2103" t="s">
        <v>7528</v>
      </c>
      <c r="BB2103" t="s">
        <v>7528</v>
      </c>
      <c r="BC2103" t="s">
        <v>7528</v>
      </c>
      <c r="BD2103" t="s">
        <v>7528</v>
      </c>
      <c r="BF2103" t="s">
        <v>6230</v>
      </c>
      <c r="BG2103" t="s">
        <v>98</v>
      </c>
      <c r="BH2103" t="s">
        <v>98</v>
      </c>
      <c r="BI2103" t="s">
        <v>98</v>
      </c>
      <c r="BK2103" t="s">
        <v>7528</v>
      </c>
      <c r="BL2103" t="s">
        <v>7528</v>
      </c>
      <c r="CA2103" t="s">
        <v>6228</v>
      </c>
      <c r="CB2103" t="s">
        <v>7528</v>
      </c>
      <c r="CL2103" t="s">
        <v>98</v>
      </c>
      <c r="CM2103" t="s">
        <v>98</v>
      </c>
      <c r="CN2103" t="s">
        <v>7528</v>
      </c>
      <c r="CO2103" s="1">
        <v>40582</v>
      </c>
      <c r="CP2103" s="1">
        <v>43633</v>
      </c>
    </row>
    <row r="2104" spans="1:94" x14ac:dyDescent="0.25">
      <c r="A2104" t="s">
        <v>6231</v>
      </c>
      <c r="B2104" t="str">
        <f xml:space="preserve"> "" &amp; 747396064956</f>
        <v>747396064956</v>
      </c>
      <c r="C2104" t="s">
        <v>6232</v>
      </c>
      <c r="D2104" t="s">
        <v>7428</v>
      </c>
      <c r="E2104" t="s">
        <v>7528</v>
      </c>
      <c r="F2104" t="s">
        <v>627</v>
      </c>
      <c r="G2104">
        <v>1</v>
      </c>
      <c r="H2104">
        <v>1</v>
      </c>
      <c r="I2104" t="s">
        <v>97</v>
      </c>
      <c r="J2104" s="10">
        <v>2</v>
      </c>
      <c r="K2104" s="10">
        <v>6</v>
      </c>
      <c r="L2104" s="10">
        <v>0</v>
      </c>
      <c r="N2104" s="10">
        <v>0</v>
      </c>
      <c r="W2104">
        <v>7.0000000000000007E-2</v>
      </c>
      <c r="X2104">
        <v>1</v>
      </c>
      <c r="AC2104">
        <v>7.0000000000000007E-2</v>
      </c>
      <c r="AF2104" t="s">
        <v>7528</v>
      </c>
      <c r="AK2104" t="s">
        <v>98</v>
      </c>
      <c r="AM2104" t="s">
        <v>98</v>
      </c>
      <c r="AN2104" t="s">
        <v>98</v>
      </c>
      <c r="AO2104" t="s">
        <v>98</v>
      </c>
      <c r="AP2104" t="s">
        <v>100</v>
      </c>
      <c r="AQ2104" t="s">
        <v>101</v>
      </c>
      <c r="AV2104" t="s">
        <v>98</v>
      </c>
      <c r="AX2104" t="s">
        <v>7528</v>
      </c>
      <c r="AZ2104" t="s">
        <v>7528</v>
      </c>
      <c r="BB2104" t="s">
        <v>7528</v>
      </c>
      <c r="BC2104" t="s">
        <v>7528</v>
      </c>
      <c r="BD2104" t="s">
        <v>7528</v>
      </c>
      <c r="BF2104" t="s">
        <v>6233</v>
      </c>
      <c r="BG2104" t="s">
        <v>98</v>
      </c>
      <c r="BH2104" t="s">
        <v>98</v>
      </c>
      <c r="BI2104" t="s">
        <v>98</v>
      </c>
      <c r="BK2104" t="s">
        <v>7528</v>
      </c>
      <c r="BL2104" t="s">
        <v>7528</v>
      </c>
      <c r="CA2104" t="s">
        <v>6231</v>
      </c>
      <c r="CB2104" t="s">
        <v>7528</v>
      </c>
      <c r="CL2104" t="s">
        <v>98</v>
      </c>
      <c r="CM2104" t="s">
        <v>98</v>
      </c>
      <c r="CN2104" t="s">
        <v>7528</v>
      </c>
      <c r="CO2104" s="1">
        <v>40582</v>
      </c>
      <c r="CP2104" s="1">
        <v>43633</v>
      </c>
    </row>
    <row r="2105" spans="1:94" x14ac:dyDescent="0.25">
      <c r="A2105" t="s">
        <v>6234</v>
      </c>
      <c r="B2105" t="str">
        <f xml:space="preserve"> "" &amp; 747396064963</f>
        <v>747396064963</v>
      </c>
      <c r="C2105" t="s">
        <v>6235</v>
      </c>
      <c r="D2105" t="s">
        <v>7429</v>
      </c>
      <c r="E2105" t="s">
        <v>7528</v>
      </c>
      <c r="F2105" t="s">
        <v>627</v>
      </c>
      <c r="G2105">
        <v>1</v>
      </c>
      <c r="H2105">
        <v>1</v>
      </c>
      <c r="I2105" t="s">
        <v>97</v>
      </c>
      <c r="J2105" s="10">
        <v>3</v>
      </c>
      <c r="K2105" s="10">
        <v>9</v>
      </c>
      <c r="L2105" s="10">
        <v>0</v>
      </c>
      <c r="N2105" s="10">
        <v>0</v>
      </c>
      <c r="W2105">
        <v>0.05</v>
      </c>
      <c r="X2105">
        <v>1</v>
      </c>
      <c r="AC2105">
        <v>7.0000000000000007E-2</v>
      </c>
      <c r="AF2105" t="s">
        <v>7528</v>
      </c>
      <c r="AK2105" t="s">
        <v>98</v>
      </c>
      <c r="AM2105" t="s">
        <v>98</v>
      </c>
      <c r="AN2105" t="s">
        <v>98</v>
      </c>
      <c r="AO2105" t="s">
        <v>98</v>
      </c>
      <c r="AP2105" t="s">
        <v>100</v>
      </c>
      <c r="AQ2105" t="s">
        <v>101</v>
      </c>
      <c r="AV2105" t="s">
        <v>98</v>
      </c>
      <c r="AX2105" t="s">
        <v>7528</v>
      </c>
      <c r="AZ2105" t="s">
        <v>7528</v>
      </c>
      <c r="BB2105" t="s">
        <v>7528</v>
      </c>
      <c r="BC2105" t="s">
        <v>7528</v>
      </c>
      <c r="BD2105" t="s">
        <v>7528</v>
      </c>
      <c r="BF2105" t="s">
        <v>6236</v>
      </c>
      <c r="BG2105" t="s">
        <v>98</v>
      </c>
      <c r="BH2105" t="s">
        <v>98</v>
      </c>
      <c r="BI2105" t="s">
        <v>98</v>
      </c>
      <c r="BK2105" t="s">
        <v>7528</v>
      </c>
      <c r="BL2105" t="s">
        <v>7528</v>
      </c>
      <c r="CA2105" t="s">
        <v>6234</v>
      </c>
      <c r="CB2105" t="s">
        <v>7528</v>
      </c>
      <c r="CL2105" t="s">
        <v>98</v>
      </c>
      <c r="CM2105" t="s">
        <v>98</v>
      </c>
      <c r="CN2105" t="s">
        <v>7528</v>
      </c>
      <c r="CO2105" s="1">
        <v>40582</v>
      </c>
      <c r="CP2105" s="1">
        <v>43633</v>
      </c>
    </row>
    <row r="2106" spans="1:94" x14ac:dyDescent="0.25">
      <c r="A2106" t="s">
        <v>6237</v>
      </c>
      <c r="B2106" t="str">
        <f xml:space="preserve"> "" &amp; 747396064970</f>
        <v>747396064970</v>
      </c>
      <c r="C2106" t="s">
        <v>6223</v>
      </c>
      <c r="D2106" t="s">
        <v>7430</v>
      </c>
      <c r="E2106" t="s">
        <v>7528</v>
      </c>
      <c r="F2106" t="s">
        <v>627</v>
      </c>
      <c r="G2106">
        <v>1</v>
      </c>
      <c r="H2106">
        <v>1</v>
      </c>
      <c r="I2106" t="s">
        <v>97</v>
      </c>
      <c r="J2106" s="10">
        <v>5</v>
      </c>
      <c r="K2106" s="10">
        <v>15</v>
      </c>
      <c r="L2106" s="10">
        <v>0</v>
      </c>
      <c r="N2106" s="10">
        <v>0</v>
      </c>
      <c r="W2106">
        <v>0.38</v>
      </c>
      <c r="X2106">
        <v>1</v>
      </c>
      <c r="AC2106">
        <v>0.4</v>
      </c>
      <c r="AF2106" t="s">
        <v>7528</v>
      </c>
      <c r="AK2106" t="s">
        <v>98</v>
      </c>
      <c r="AM2106" t="s">
        <v>98</v>
      </c>
      <c r="AN2106" t="s">
        <v>98</v>
      </c>
      <c r="AO2106" t="s">
        <v>98</v>
      </c>
      <c r="AP2106" t="s">
        <v>100</v>
      </c>
      <c r="AQ2106" t="s">
        <v>101</v>
      </c>
      <c r="AV2106" t="s">
        <v>98</v>
      </c>
      <c r="AX2106" t="s">
        <v>7528</v>
      </c>
      <c r="AZ2106" t="s">
        <v>7528</v>
      </c>
      <c r="BB2106" t="s">
        <v>7528</v>
      </c>
      <c r="BC2106" t="s">
        <v>7528</v>
      </c>
      <c r="BD2106" t="s">
        <v>7528</v>
      </c>
      <c r="BF2106" t="s">
        <v>6238</v>
      </c>
      <c r="BG2106" t="s">
        <v>98</v>
      </c>
      <c r="BH2106" t="s">
        <v>98</v>
      </c>
      <c r="BI2106" t="s">
        <v>98</v>
      </c>
      <c r="BK2106" t="s">
        <v>7528</v>
      </c>
      <c r="BL2106" t="s">
        <v>7528</v>
      </c>
      <c r="CA2106" t="s">
        <v>6237</v>
      </c>
      <c r="CB2106" t="s">
        <v>7528</v>
      </c>
      <c r="CL2106" t="s">
        <v>98</v>
      </c>
      <c r="CM2106" t="s">
        <v>98</v>
      </c>
      <c r="CN2106" t="s">
        <v>7528</v>
      </c>
      <c r="CO2106" s="1">
        <v>40582</v>
      </c>
      <c r="CP2106" s="1">
        <v>43633</v>
      </c>
    </row>
    <row r="2107" spans="1:94" x14ac:dyDescent="0.25">
      <c r="A2107" t="s">
        <v>6239</v>
      </c>
      <c r="B2107" t="str">
        <f xml:space="preserve"> "" &amp; 747396064987</f>
        <v>747396064987</v>
      </c>
      <c r="C2107" t="s">
        <v>6240</v>
      </c>
      <c r="D2107" t="s">
        <v>7431</v>
      </c>
      <c r="E2107" t="s">
        <v>7528</v>
      </c>
      <c r="F2107" t="s">
        <v>627</v>
      </c>
      <c r="G2107">
        <v>1</v>
      </c>
      <c r="H2107">
        <v>1</v>
      </c>
      <c r="I2107" t="s">
        <v>97</v>
      </c>
      <c r="J2107" s="10">
        <v>3</v>
      </c>
      <c r="K2107" s="10">
        <v>9</v>
      </c>
      <c r="L2107" s="10">
        <v>0</v>
      </c>
      <c r="N2107" s="10">
        <v>0</v>
      </c>
      <c r="W2107">
        <v>0.17</v>
      </c>
      <c r="X2107">
        <v>1</v>
      </c>
      <c r="AC2107">
        <v>0.19</v>
      </c>
      <c r="AF2107" t="s">
        <v>7528</v>
      </c>
      <c r="AK2107" t="s">
        <v>98</v>
      </c>
      <c r="AM2107" t="s">
        <v>98</v>
      </c>
      <c r="AN2107" t="s">
        <v>98</v>
      </c>
      <c r="AO2107" t="s">
        <v>98</v>
      </c>
      <c r="AP2107" t="s">
        <v>100</v>
      </c>
      <c r="AQ2107" t="s">
        <v>101</v>
      </c>
      <c r="AV2107" t="s">
        <v>98</v>
      </c>
      <c r="AX2107" t="s">
        <v>7528</v>
      </c>
      <c r="AZ2107" t="s">
        <v>7528</v>
      </c>
      <c r="BB2107" t="s">
        <v>7528</v>
      </c>
      <c r="BC2107" t="s">
        <v>7528</v>
      </c>
      <c r="BD2107" t="s">
        <v>7528</v>
      </c>
      <c r="BF2107" t="s">
        <v>6241</v>
      </c>
      <c r="BG2107" t="s">
        <v>98</v>
      </c>
      <c r="BH2107" t="s">
        <v>98</v>
      </c>
      <c r="BI2107" t="s">
        <v>98</v>
      </c>
      <c r="BK2107" t="s">
        <v>7528</v>
      </c>
      <c r="BL2107" t="s">
        <v>7528</v>
      </c>
      <c r="CA2107" t="s">
        <v>6239</v>
      </c>
      <c r="CB2107" t="s">
        <v>7528</v>
      </c>
      <c r="CL2107" t="s">
        <v>98</v>
      </c>
      <c r="CM2107" t="s">
        <v>98</v>
      </c>
      <c r="CN2107" t="s">
        <v>7528</v>
      </c>
      <c r="CO2107" s="1">
        <v>40582</v>
      </c>
      <c r="CP2107" s="1">
        <v>43633</v>
      </c>
    </row>
    <row r="2108" spans="1:94" x14ac:dyDescent="0.25">
      <c r="A2108" t="s">
        <v>6242</v>
      </c>
      <c r="B2108" t="str">
        <f xml:space="preserve"> "" &amp; 747396065007</f>
        <v>747396065007</v>
      </c>
      <c r="C2108" t="s">
        <v>6223</v>
      </c>
      <c r="D2108" t="s">
        <v>7432</v>
      </c>
      <c r="E2108" t="s">
        <v>7528</v>
      </c>
      <c r="F2108" t="s">
        <v>627</v>
      </c>
      <c r="G2108">
        <v>1</v>
      </c>
      <c r="H2108">
        <v>1</v>
      </c>
      <c r="I2108" t="s">
        <v>97</v>
      </c>
      <c r="J2108" s="10">
        <v>6</v>
      </c>
      <c r="K2108" s="10">
        <v>18</v>
      </c>
      <c r="L2108" s="10">
        <v>0</v>
      </c>
      <c r="N2108" s="10">
        <v>0</v>
      </c>
      <c r="W2108">
        <v>0.5</v>
      </c>
      <c r="X2108">
        <v>1</v>
      </c>
      <c r="Y2108">
        <v>8.4600000000000009</v>
      </c>
      <c r="Z2108">
        <v>12.2</v>
      </c>
      <c r="AA2108">
        <v>10.63</v>
      </c>
      <c r="AB2108">
        <v>0.63500000000000001</v>
      </c>
      <c r="AC2108">
        <v>0.56000000000000005</v>
      </c>
      <c r="AF2108" t="s">
        <v>7528</v>
      </c>
      <c r="AK2108" t="s">
        <v>98</v>
      </c>
      <c r="AM2108" t="s">
        <v>98</v>
      </c>
      <c r="AN2108" t="s">
        <v>98</v>
      </c>
      <c r="AO2108" t="s">
        <v>98</v>
      </c>
      <c r="AP2108" t="s">
        <v>100</v>
      </c>
      <c r="AQ2108" t="s">
        <v>101</v>
      </c>
      <c r="AV2108" t="s">
        <v>98</v>
      </c>
      <c r="AX2108" t="s">
        <v>7528</v>
      </c>
      <c r="AZ2108" t="s">
        <v>7528</v>
      </c>
      <c r="BB2108" t="s">
        <v>7528</v>
      </c>
      <c r="BC2108" t="s">
        <v>7528</v>
      </c>
      <c r="BD2108" t="s">
        <v>7528</v>
      </c>
      <c r="BF2108" t="s">
        <v>6243</v>
      </c>
      <c r="BG2108" t="s">
        <v>98</v>
      </c>
      <c r="BH2108" t="s">
        <v>98</v>
      </c>
      <c r="BI2108" t="s">
        <v>98</v>
      </c>
      <c r="BK2108" t="s">
        <v>7528</v>
      </c>
      <c r="BL2108" t="s">
        <v>7528</v>
      </c>
      <c r="CA2108" t="s">
        <v>6242</v>
      </c>
      <c r="CB2108" t="s">
        <v>7528</v>
      </c>
      <c r="CL2108" t="s">
        <v>98</v>
      </c>
      <c r="CM2108" t="s">
        <v>98</v>
      </c>
      <c r="CN2108" t="s">
        <v>7528</v>
      </c>
      <c r="CO2108" s="1">
        <v>40582</v>
      </c>
      <c r="CP2108" s="1">
        <v>43633</v>
      </c>
    </row>
    <row r="2109" spans="1:94" x14ac:dyDescent="0.25">
      <c r="A2109" t="s">
        <v>6244</v>
      </c>
      <c r="B2109" t="str">
        <f xml:space="preserve"> "" &amp; 747396065014</f>
        <v>747396065014</v>
      </c>
      <c r="C2109" t="s">
        <v>6240</v>
      </c>
      <c r="D2109" t="s">
        <v>7432</v>
      </c>
      <c r="E2109" t="s">
        <v>7528</v>
      </c>
      <c r="F2109" t="s">
        <v>627</v>
      </c>
      <c r="G2109">
        <v>1</v>
      </c>
      <c r="H2109">
        <v>1</v>
      </c>
      <c r="I2109" t="s">
        <v>97</v>
      </c>
      <c r="J2109" s="10">
        <v>2</v>
      </c>
      <c r="K2109" s="10">
        <v>6</v>
      </c>
      <c r="L2109" s="10">
        <v>0</v>
      </c>
      <c r="N2109" s="10">
        <v>0</v>
      </c>
      <c r="W2109">
        <v>0.25</v>
      </c>
      <c r="X2109">
        <v>1</v>
      </c>
      <c r="Y2109">
        <v>4</v>
      </c>
      <c r="Z2109">
        <v>11.75</v>
      </c>
      <c r="AA2109">
        <v>10.75</v>
      </c>
      <c r="AB2109">
        <v>0.29199999999999998</v>
      </c>
      <c r="AC2109">
        <v>0.27</v>
      </c>
      <c r="AF2109" t="s">
        <v>7528</v>
      </c>
      <c r="AK2109" t="s">
        <v>98</v>
      </c>
      <c r="AM2109" t="s">
        <v>98</v>
      </c>
      <c r="AN2109" t="s">
        <v>98</v>
      </c>
      <c r="AO2109" t="s">
        <v>98</v>
      </c>
      <c r="AP2109" t="s">
        <v>100</v>
      </c>
      <c r="AQ2109" t="s">
        <v>101</v>
      </c>
      <c r="AV2109" t="s">
        <v>98</v>
      </c>
      <c r="AX2109" t="s">
        <v>7528</v>
      </c>
      <c r="AZ2109" t="s">
        <v>7528</v>
      </c>
      <c r="BB2109" t="s">
        <v>7528</v>
      </c>
      <c r="BC2109" t="s">
        <v>7528</v>
      </c>
      <c r="BD2109" t="s">
        <v>7528</v>
      </c>
      <c r="BF2109" t="s">
        <v>6245</v>
      </c>
      <c r="BG2109" t="s">
        <v>98</v>
      </c>
      <c r="BH2109" t="s">
        <v>98</v>
      </c>
      <c r="BI2109" t="s">
        <v>98</v>
      </c>
      <c r="BK2109" t="s">
        <v>7528</v>
      </c>
      <c r="BL2109" t="s">
        <v>7528</v>
      </c>
      <c r="CA2109" t="s">
        <v>6244</v>
      </c>
      <c r="CB2109" t="s">
        <v>7528</v>
      </c>
      <c r="CL2109" t="s">
        <v>98</v>
      </c>
      <c r="CM2109" t="s">
        <v>98</v>
      </c>
      <c r="CN2109" t="s">
        <v>7528</v>
      </c>
      <c r="CO2109" s="1">
        <v>40582</v>
      </c>
      <c r="CP2109" s="1">
        <v>43633</v>
      </c>
    </row>
    <row r="2110" spans="1:94" x14ac:dyDescent="0.25">
      <c r="A2110" t="s">
        <v>6246</v>
      </c>
      <c r="B2110" t="str">
        <f xml:space="preserve"> "" &amp; 747396065021</f>
        <v>747396065021</v>
      </c>
      <c r="C2110" t="s">
        <v>6229</v>
      </c>
      <c r="D2110" t="s">
        <v>7432</v>
      </c>
      <c r="E2110" t="s">
        <v>7528</v>
      </c>
      <c r="F2110" t="s">
        <v>627</v>
      </c>
      <c r="G2110">
        <v>1</v>
      </c>
      <c r="H2110">
        <v>1</v>
      </c>
      <c r="I2110" t="s">
        <v>97</v>
      </c>
      <c r="J2110" s="10">
        <v>3</v>
      </c>
      <c r="K2110" s="10">
        <v>9</v>
      </c>
      <c r="L2110" s="10">
        <v>0</v>
      </c>
      <c r="N2110" s="10">
        <v>0</v>
      </c>
      <c r="W2110">
        <v>0.09</v>
      </c>
      <c r="X2110">
        <v>1</v>
      </c>
      <c r="Y2110">
        <v>5.5</v>
      </c>
      <c r="Z2110">
        <v>11.75</v>
      </c>
      <c r="AA2110">
        <v>11.5</v>
      </c>
      <c r="AB2110">
        <v>0.43</v>
      </c>
      <c r="AC2110">
        <v>0.1</v>
      </c>
      <c r="AF2110" t="s">
        <v>7528</v>
      </c>
      <c r="AK2110" t="s">
        <v>98</v>
      </c>
      <c r="AM2110" t="s">
        <v>98</v>
      </c>
      <c r="AN2110" t="s">
        <v>98</v>
      </c>
      <c r="AO2110" t="s">
        <v>98</v>
      </c>
      <c r="AP2110" t="s">
        <v>100</v>
      </c>
      <c r="AQ2110" t="s">
        <v>101</v>
      </c>
      <c r="AV2110" t="s">
        <v>98</v>
      </c>
      <c r="AX2110" t="s">
        <v>7528</v>
      </c>
      <c r="AZ2110" t="s">
        <v>7528</v>
      </c>
      <c r="BB2110" t="s">
        <v>7528</v>
      </c>
      <c r="BC2110" t="s">
        <v>7528</v>
      </c>
      <c r="BD2110" t="s">
        <v>7528</v>
      </c>
      <c r="BF2110" t="s">
        <v>6247</v>
      </c>
      <c r="BG2110" t="s">
        <v>98</v>
      </c>
      <c r="BH2110" t="s">
        <v>98</v>
      </c>
      <c r="BI2110" t="s">
        <v>98</v>
      </c>
      <c r="BK2110" t="s">
        <v>7528</v>
      </c>
      <c r="BL2110" t="s">
        <v>7528</v>
      </c>
      <c r="CA2110" t="s">
        <v>6246</v>
      </c>
      <c r="CB2110" t="s">
        <v>7528</v>
      </c>
      <c r="CL2110" t="s">
        <v>98</v>
      </c>
      <c r="CM2110" t="s">
        <v>98</v>
      </c>
      <c r="CN2110" t="s">
        <v>7528</v>
      </c>
      <c r="CO2110" s="1">
        <v>40582</v>
      </c>
      <c r="CP2110" s="1">
        <v>43633</v>
      </c>
    </row>
    <row r="2111" spans="1:94" x14ac:dyDescent="0.25">
      <c r="A2111" t="s">
        <v>6248</v>
      </c>
      <c r="B2111" t="str">
        <f xml:space="preserve"> "" &amp; 747396065038</f>
        <v>747396065038</v>
      </c>
      <c r="C2111" t="s">
        <v>6223</v>
      </c>
      <c r="D2111" t="s">
        <v>7433</v>
      </c>
      <c r="E2111" t="s">
        <v>7528</v>
      </c>
      <c r="F2111" t="s">
        <v>627</v>
      </c>
      <c r="G2111">
        <v>1</v>
      </c>
      <c r="H2111">
        <v>1</v>
      </c>
      <c r="I2111" t="s">
        <v>97</v>
      </c>
      <c r="J2111" s="10">
        <v>6.5</v>
      </c>
      <c r="K2111" s="10">
        <v>19.5</v>
      </c>
      <c r="L2111" s="10">
        <v>0</v>
      </c>
      <c r="N2111" s="10">
        <v>0</v>
      </c>
      <c r="W2111">
        <v>0.5</v>
      </c>
      <c r="X2111">
        <v>1</v>
      </c>
      <c r="Y2111">
        <v>11.5</v>
      </c>
      <c r="Z2111">
        <v>10</v>
      </c>
      <c r="AA2111">
        <v>10</v>
      </c>
      <c r="AB2111">
        <v>0.66600000000000004</v>
      </c>
      <c r="AC2111">
        <v>0.61</v>
      </c>
      <c r="AF2111" t="s">
        <v>7528</v>
      </c>
      <c r="AK2111" t="s">
        <v>98</v>
      </c>
      <c r="AM2111" t="s">
        <v>98</v>
      </c>
      <c r="AN2111" t="s">
        <v>98</v>
      </c>
      <c r="AO2111" t="s">
        <v>98</v>
      </c>
      <c r="AP2111" t="s">
        <v>100</v>
      </c>
      <c r="AQ2111" t="s">
        <v>101</v>
      </c>
      <c r="AV2111" t="s">
        <v>98</v>
      </c>
      <c r="AX2111" t="s">
        <v>7528</v>
      </c>
      <c r="AZ2111" t="s">
        <v>7528</v>
      </c>
      <c r="BB2111" t="s">
        <v>7528</v>
      </c>
      <c r="BC2111" t="s">
        <v>7528</v>
      </c>
      <c r="BD2111" t="s">
        <v>7528</v>
      </c>
      <c r="BF2111" t="s">
        <v>6249</v>
      </c>
      <c r="BG2111" t="s">
        <v>98</v>
      </c>
      <c r="BH2111" t="s">
        <v>98</v>
      </c>
      <c r="BI2111" t="s">
        <v>98</v>
      </c>
      <c r="BK2111" t="s">
        <v>7528</v>
      </c>
      <c r="BL2111" t="s">
        <v>7528</v>
      </c>
      <c r="CA2111" t="s">
        <v>6248</v>
      </c>
      <c r="CB2111" t="s">
        <v>7528</v>
      </c>
      <c r="CL2111" t="s">
        <v>98</v>
      </c>
      <c r="CM2111" t="s">
        <v>98</v>
      </c>
      <c r="CN2111" t="s">
        <v>7528</v>
      </c>
      <c r="CO2111" s="1">
        <v>40582</v>
      </c>
      <c r="CP2111" s="1">
        <v>43633</v>
      </c>
    </row>
    <row r="2112" spans="1:94" x14ac:dyDescent="0.25">
      <c r="A2112" t="s">
        <v>6250</v>
      </c>
      <c r="B2112" t="str">
        <f xml:space="preserve"> "" &amp; 747396065045</f>
        <v>747396065045</v>
      </c>
      <c r="C2112" t="s">
        <v>6240</v>
      </c>
      <c r="D2112" t="s">
        <v>7434</v>
      </c>
      <c r="E2112" t="s">
        <v>7528</v>
      </c>
      <c r="F2112" t="s">
        <v>627</v>
      </c>
      <c r="G2112">
        <v>1</v>
      </c>
      <c r="H2112">
        <v>1</v>
      </c>
      <c r="I2112" t="s">
        <v>97</v>
      </c>
      <c r="J2112" s="10">
        <v>5</v>
      </c>
      <c r="K2112" s="10">
        <v>15</v>
      </c>
      <c r="L2112" s="10">
        <v>0</v>
      </c>
      <c r="N2112" s="10">
        <v>0</v>
      </c>
      <c r="W2112">
        <v>0.32</v>
      </c>
      <c r="X2112">
        <v>1</v>
      </c>
      <c r="AC2112">
        <v>0.38</v>
      </c>
      <c r="AF2112" t="s">
        <v>7528</v>
      </c>
      <c r="AK2112" t="s">
        <v>98</v>
      </c>
      <c r="AM2112" t="s">
        <v>98</v>
      </c>
      <c r="AN2112" t="s">
        <v>98</v>
      </c>
      <c r="AO2112" t="s">
        <v>98</v>
      </c>
      <c r="AP2112" t="s">
        <v>100</v>
      </c>
      <c r="AQ2112" t="s">
        <v>101</v>
      </c>
      <c r="AV2112" t="s">
        <v>98</v>
      </c>
      <c r="AX2112" t="s">
        <v>7528</v>
      </c>
      <c r="AZ2112" t="s">
        <v>7528</v>
      </c>
      <c r="BB2112" t="s">
        <v>7528</v>
      </c>
      <c r="BC2112" t="s">
        <v>7528</v>
      </c>
      <c r="BD2112" t="s">
        <v>7528</v>
      </c>
      <c r="BF2112" t="s">
        <v>6251</v>
      </c>
      <c r="BG2112" t="s">
        <v>98</v>
      </c>
      <c r="BH2112" t="s">
        <v>98</v>
      </c>
      <c r="BI2112" t="s">
        <v>98</v>
      </c>
      <c r="BK2112" t="s">
        <v>7528</v>
      </c>
      <c r="BL2112" t="s">
        <v>7528</v>
      </c>
      <c r="CA2112" t="s">
        <v>6250</v>
      </c>
      <c r="CB2112" t="s">
        <v>7528</v>
      </c>
      <c r="CL2112" t="s">
        <v>98</v>
      </c>
      <c r="CM2112" t="s">
        <v>98</v>
      </c>
      <c r="CN2112" t="s">
        <v>7528</v>
      </c>
      <c r="CO2112" s="1">
        <v>40582</v>
      </c>
      <c r="CP2112" s="1">
        <v>43633</v>
      </c>
    </row>
    <row r="2113" spans="1:94" x14ac:dyDescent="0.25">
      <c r="A2113" t="s">
        <v>6252</v>
      </c>
      <c r="B2113" t="str">
        <f xml:space="preserve"> "" &amp; 747396065052</f>
        <v>747396065052</v>
      </c>
      <c r="C2113" t="s">
        <v>6229</v>
      </c>
      <c r="D2113" t="s">
        <v>7435</v>
      </c>
      <c r="E2113" t="s">
        <v>7528</v>
      </c>
      <c r="F2113" t="s">
        <v>627</v>
      </c>
      <c r="G2113">
        <v>1</v>
      </c>
      <c r="H2113">
        <v>1</v>
      </c>
      <c r="I2113" t="s">
        <v>97</v>
      </c>
      <c r="J2113" s="10">
        <v>4</v>
      </c>
      <c r="K2113" s="10">
        <v>12</v>
      </c>
      <c r="L2113" s="10">
        <v>0</v>
      </c>
      <c r="N2113" s="10">
        <v>0</v>
      </c>
      <c r="W2113">
        <v>0.17</v>
      </c>
      <c r="X2113">
        <v>1</v>
      </c>
      <c r="AC2113">
        <v>0.21</v>
      </c>
      <c r="AF2113" t="s">
        <v>7528</v>
      </c>
      <c r="AK2113" t="s">
        <v>98</v>
      </c>
      <c r="AM2113" t="s">
        <v>98</v>
      </c>
      <c r="AN2113" t="s">
        <v>98</v>
      </c>
      <c r="AO2113" t="s">
        <v>98</v>
      </c>
      <c r="AP2113" t="s">
        <v>100</v>
      </c>
      <c r="AQ2113" t="s">
        <v>101</v>
      </c>
      <c r="AV2113" t="s">
        <v>98</v>
      </c>
      <c r="AX2113" t="s">
        <v>7528</v>
      </c>
      <c r="AZ2113" t="s">
        <v>7528</v>
      </c>
      <c r="BB2113" t="s">
        <v>7528</v>
      </c>
      <c r="BC2113" t="s">
        <v>7528</v>
      </c>
      <c r="BD2113" t="s">
        <v>7528</v>
      </c>
      <c r="BF2113" t="s">
        <v>6253</v>
      </c>
      <c r="BG2113" t="s">
        <v>98</v>
      </c>
      <c r="BH2113" t="s">
        <v>98</v>
      </c>
      <c r="BI2113" t="s">
        <v>98</v>
      </c>
      <c r="BK2113" t="s">
        <v>7528</v>
      </c>
      <c r="BL2113" t="s">
        <v>7528</v>
      </c>
      <c r="CA2113" t="s">
        <v>6252</v>
      </c>
      <c r="CB2113" t="s">
        <v>7528</v>
      </c>
      <c r="CL2113" t="s">
        <v>98</v>
      </c>
      <c r="CM2113" t="s">
        <v>98</v>
      </c>
      <c r="CN2113" t="s">
        <v>7528</v>
      </c>
      <c r="CO2113" s="1">
        <v>40582</v>
      </c>
      <c r="CP2113" s="1">
        <v>43633</v>
      </c>
    </row>
    <row r="2114" spans="1:94" x14ac:dyDescent="0.25">
      <c r="A2114" t="s">
        <v>6254</v>
      </c>
      <c r="B2114" t="str">
        <f xml:space="preserve"> "" &amp; 747396065106</f>
        <v>747396065106</v>
      </c>
      <c r="C2114" t="s">
        <v>5649</v>
      </c>
      <c r="D2114" t="s">
        <v>7436</v>
      </c>
      <c r="E2114" t="s">
        <v>7528</v>
      </c>
      <c r="F2114" t="s">
        <v>627</v>
      </c>
      <c r="G2114">
        <v>1</v>
      </c>
      <c r="H2114">
        <v>1</v>
      </c>
      <c r="I2114" t="s">
        <v>97</v>
      </c>
      <c r="J2114" s="10">
        <v>4</v>
      </c>
      <c r="K2114" s="10">
        <v>12</v>
      </c>
      <c r="L2114" s="10">
        <v>0</v>
      </c>
      <c r="N2114" s="10">
        <v>0</v>
      </c>
      <c r="W2114">
        <v>1</v>
      </c>
      <c r="AB2114">
        <v>1.7999999999999999E-2</v>
      </c>
      <c r="AC2114">
        <v>0.34</v>
      </c>
      <c r="AF2114" t="s">
        <v>7528</v>
      </c>
      <c r="AK2114" t="s">
        <v>98</v>
      </c>
      <c r="AM2114" t="s">
        <v>98</v>
      </c>
      <c r="AN2114" t="s">
        <v>98</v>
      </c>
      <c r="AO2114" t="s">
        <v>98</v>
      </c>
      <c r="AP2114" t="s">
        <v>100</v>
      </c>
      <c r="AQ2114" t="s">
        <v>101</v>
      </c>
      <c r="AV2114" t="s">
        <v>98</v>
      </c>
      <c r="AX2114" t="s">
        <v>7528</v>
      </c>
      <c r="AZ2114" t="s">
        <v>7528</v>
      </c>
      <c r="BB2114" t="s">
        <v>7528</v>
      </c>
      <c r="BC2114" t="s">
        <v>7528</v>
      </c>
      <c r="BD2114" t="s">
        <v>7528</v>
      </c>
      <c r="BF2114" t="s">
        <v>6255</v>
      </c>
      <c r="BG2114" t="s">
        <v>98</v>
      </c>
      <c r="BH2114" t="s">
        <v>98</v>
      </c>
      <c r="BI2114" t="s">
        <v>98</v>
      </c>
      <c r="BK2114" t="s">
        <v>7528</v>
      </c>
      <c r="BL2114" t="s">
        <v>7528</v>
      </c>
      <c r="CA2114" t="s">
        <v>6254</v>
      </c>
      <c r="CB2114" t="s">
        <v>7528</v>
      </c>
      <c r="CL2114" t="s">
        <v>98</v>
      </c>
      <c r="CM2114" t="s">
        <v>98</v>
      </c>
      <c r="CN2114" t="s">
        <v>7528</v>
      </c>
      <c r="CO2114" s="1">
        <v>40583</v>
      </c>
      <c r="CP2114" s="1">
        <v>43633</v>
      </c>
    </row>
    <row r="2115" spans="1:94" x14ac:dyDescent="0.25">
      <c r="A2115" t="s">
        <v>6256</v>
      </c>
      <c r="B2115" t="str">
        <f xml:space="preserve"> "" &amp; 747396065113</f>
        <v>747396065113</v>
      </c>
      <c r="C2115" t="s">
        <v>5649</v>
      </c>
      <c r="D2115" t="s">
        <v>7436</v>
      </c>
      <c r="E2115" t="s">
        <v>7528</v>
      </c>
      <c r="F2115" t="s">
        <v>627</v>
      </c>
      <c r="G2115">
        <v>1</v>
      </c>
      <c r="H2115">
        <v>1</v>
      </c>
      <c r="I2115" t="s">
        <v>97</v>
      </c>
      <c r="J2115" s="10">
        <v>3.5</v>
      </c>
      <c r="K2115" s="10">
        <v>10.5</v>
      </c>
      <c r="L2115" s="10">
        <v>0</v>
      </c>
      <c r="N2115" s="10">
        <v>0</v>
      </c>
      <c r="T2115">
        <v>5.25</v>
      </c>
      <c r="U2115">
        <v>3.38</v>
      </c>
      <c r="W2115">
        <v>1</v>
      </c>
      <c r="AC2115">
        <v>5.4</v>
      </c>
      <c r="AF2115" t="s">
        <v>7528</v>
      </c>
      <c r="AK2115" t="s">
        <v>98</v>
      </c>
      <c r="AM2115" t="s">
        <v>98</v>
      </c>
      <c r="AN2115" t="s">
        <v>98</v>
      </c>
      <c r="AO2115" t="s">
        <v>98</v>
      </c>
      <c r="AP2115" t="s">
        <v>100</v>
      </c>
      <c r="AQ2115" t="s">
        <v>101</v>
      </c>
      <c r="AV2115" t="s">
        <v>98</v>
      </c>
      <c r="AX2115" t="s">
        <v>7528</v>
      </c>
      <c r="AZ2115" t="s">
        <v>7528</v>
      </c>
      <c r="BB2115" t="s">
        <v>7528</v>
      </c>
      <c r="BC2115" t="s">
        <v>7528</v>
      </c>
      <c r="BD2115" t="s">
        <v>7528</v>
      </c>
      <c r="BF2115" t="s">
        <v>6257</v>
      </c>
      <c r="BG2115" t="s">
        <v>98</v>
      </c>
      <c r="BH2115" t="s">
        <v>98</v>
      </c>
      <c r="BI2115" t="s">
        <v>98</v>
      </c>
      <c r="BK2115" t="s">
        <v>7528</v>
      </c>
      <c r="BL2115" t="s">
        <v>7528</v>
      </c>
      <c r="CA2115" t="s">
        <v>6256</v>
      </c>
      <c r="CB2115" t="s">
        <v>7528</v>
      </c>
      <c r="CL2115" t="s">
        <v>98</v>
      </c>
      <c r="CM2115" t="s">
        <v>98</v>
      </c>
      <c r="CN2115" t="s">
        <v>7528</v>
      </c>
      <c r="CO2115" s="1">
        <v>40583</v>
      </c>
      <c r="CP2115" s="1">
        <v>43633</v>
      </c>
    </row>
    <row r="2116" spans="1:94" x14ac:dyDescent="0.25">
      <c r="A2116" t="s">
        <v>6258</v>
      </c>
      <c r="B2116" t="str">
        <f xml:space="preserve"> "" &amp; 747396065120</f>
        <v>747396065120</v>
      </c>
      <c r="C2116" t="s">
        <v>5649</v>
      </c>
      <c r="D2116" t="s">
        <v>7437</v>
      </c>
      <c r="E2116" t="s">
        <v>7528</v>
      </c>
      <c r="F2116" t="s">
        <v>627</v>
      </c>
      <c r="G2116">
        <v>1</v>
      </c>
      <c r="H2116">
        <v>1</v>
      </c>
      <c r="I2116" t="s">
        <v>97</v>
      </c>
      <c r="J2116" s="10">
        <v>4</v>
      </c>
      <c r="K2116" s="10">
        <v>12</v>
      </c>
      <c r="L2116" s="10">
        <v>0</v>
      </c>
      <c r="N2116" s="10">
        <v>0</v>
      </c>
      <c r="T2116">
        <v>6.63</v>
      </c>
      <c r="U2116">
        <v>4.88</v>
      </c>
      <c r="W2116">
        <v>1</v>
      </c>
      <c r="AB2116">
        <v>1.7999999999999999E-2</v>
      </c>
      <c r="AC2116">
        <v>0.37</v>
      </c>
      <c r="AF2116" t="s">
        <v>7528</v>
      </c>
      <c r="AK2116" t="s">
        <v>98</v>
      </c>
      <c r="AM2116" t="s">
        <v>98</v>
      </c>
      <c r="AN2116" t="s">
        <v>98</v>
      </c>
      <c r="AO2116" t="s">
        <v>98</v>
      </c>
      <c r="AP2116" t="s">
        <v>100</v>
      </c>
      <c r="AQ2116" t="s">
        <v>101</v>
      </c>
      <c r="AV2116" t="s">
        <v>98</v>
      </c>
      <c r="AX2116" t="s">
        <v>7528</v>
      </c>
      <c r="AZ2116" t="s">
        <v>7528</v>
      </c>
      <c r="BB2116" t="s">
        <v>7528</v>
      </c>
      <c r="BC2116" t="s">
        <v>7528</v>
      </c>
      <c r="BD2116" t="s">
        <v>7528</v>
      </c>
      <c r="BF2116" t="s">
        <v>6259</v>
      </c>
      <c r="BG2116" t="s">
        <v>98</v>
      </c>
      <c r="BH2116" t="s">
        <v>98</v>
      </c>
      <c r="BI2116" t="s">
        <v>98</v>
      </c>
      <c r="BK2116" t="s">
        <v>7528</v>
      </c>
      <c r="BL2116" t="s">
        <v>7528</v>
      </c>
      <c r="CA2116" t="s">
        <v>6258</v>
      </c>
      <c r="CB2116" t="s">
        <v>7528</v>
      </c>
      <c r="CL2116" t="s">
        <v>98</v>
      </c>
      <c r="CM2116" t="s">
        <v>98</v>
      </c>
      <c r="CN2116" t="s">
        <v>7528</v>
      </c>
      <c r="CO2116" s="1">
        <v>40583</v>
      </c>
      <c r="CP2116" s="1">
        <v>43633</v>
      </c>
    </row>
    <row r="2117" spans="1:94" x14ac:dyDescent="0.25">
      <c r="A2117" t="s">
        <v>6260</v>
      </c>
      <c r="B2117" t="str">
        <f xml:space="preserve"> "" &amp; 747396065137</f>
        <v>747396065137</v>
      </c>
      <c r="C2117" t="s">
        <v>5649</v>
      </c>
      <c r="D2117" t="s">
        <v>7438</v>
      </c>
      <c r="E2117" t="s">
        <v>7528</v>
      </c>
      <c r="F2117" t="s">
        <v>627</v>
      </c>
      <c r="G2117">
        <v>1</v>
      </c>
      <c r="H2117">
        <v>1</v>
      </c>
      <c r="I2117" t="s">
        <v>97</v>
      </c>
      <c r="J2117" s="10">
        <v>5</v>
      </c>
      <c r="K2117" s="10">
        <v>15</v>
      </c>
      <c r="L2117" s="10">
        <v>0</v>
      </c>
      <c r="N2117" s="10">
        <v>0</v>
      </c>
      <c r="T2117">
        <v>8.5</v>
      </c>
      <c r="U2117">
        <v>6.63</v>
      </c>
      <c r="W2117">
        <v>1</v>
      </c>
      <c r="AB2117">
        <v>2.5000000000000001E-2</v>
      </c>
      <c r="AC2117">
        <v>0.71</v>
      </c>
      <c r="AF2117" t="s">
        <v>7528</v>
      </c>
      <c r="AK2117" t="s">
        <v>98</v>
      </c>
      <c r="AM2117" t="s">
        <v>98</v>
      </c>
      <c r="AN2117" t="s">
        <v>98</v>
      </c>
      <c r="AO2117" t="s">
        <v>98</v>
      </c>
      <c r="AP2117" t="s">
        <v>100</v>
      </c>
      <c r="AQ2117" t="s">
        <v>101</v>
      </c>
      <c r="AV2117" t="s">
        <v>98</v>
      </c>
      <c r="AX2117" t="s">
        <v>7528</v>
      </c>
      <c r="AZ2117" t="s">
        <v>7528</v>
      </c>
      <c r="BB2117" t="s">
        <v>7528</v>
      </c>
      <c r="BC2117" t="s">
        <v>7528</v>
      </c>
      <c r="BD2117" t="s">
        <v>7528</v>
      </c>
      <c r="BF2117" t="s">
        <v>6261</v>
      </c>
      <c r="BG2117" t="s">
        <v>98</v>
      </c>
      <c r="BH2117" t="s">
        <v>98</v>
      </c>
      <c r="BI2117" t="s">
        <v>98</v>
      </c>
      <c r="BK2117" t="s">
        <v>7528</v>
      </c>
      <c r="BL2117" t="s">
        <v>7528</v>
      </c>
      <c r="CA2117" t="s">
        <v>6260</v>
      </c>
      <c r="CB2117" t="s">
        <v>7528</v>
      </c>
      <c r="CL2117" t="s">
        <v>98</v>
      </c>
      <c r="CM2117" t="s">
        <v>98</v>
      </c>
      <c r="CN2117" t="s">
        <v>7528</v>
      </c>
      <c r="CO2117" s="1">
        <v>40583</v>
      </c>
      <c r="CP2117" s="1">
        <v>43633</v>
      </c>
    </row>
    <row r="2118" spans="1:94" x14ac:dyDescent="0.25">
      <c r="A2118" t="s">
        <v>6262</v>
      </c>
      <c r="B2118" t="str">
        <f xml:space="preserve"> "" &amp; 747396065151</f>
        <v>747396065151</v>
      </c>
      <c r="C2118" t="s">
        <v>6263</v>
      </c>
      <c r="D2118" t="s">
        <v>7439</v>
      </c>
      <c r="E2118" t="s">
        <v>7528</v>
      </c>
      <c r="F2118" t="s">
        <v>627</v>
      </c>
      <c r="G2118">
        <v>1</v>
      </c>
      <c r="H2118">
        <v>1</v>
      </c>
      <c r="I2118" t="s">
        <v>97</v>
      </c>
      <c r="J2118" s="10">
        <v>4.5</v>
      </c>
      <c r="K2118" s="10">
        <v>13.5</v>
      </c>
      <c r="L2118" s="10">
        <v>0</v>
      </c>
      <c r="N2118" s="10">
        <v>0</v>
      </c>
      <c r="T2118">
        <v>8.5</v>
      </c>
      <c r="U2118">
        <v>6.63</v>
      </c>
      <c r="W2118">
        <v>1</v>
      </c>
      <c r="AB2118">
        <v>3.4599999999999999E-2</v>
      </c>
      <c r="AC2118">
        <v>0.95</v>
      </c>
      <c r="AF2118" t="s">
        <v>7528</v>
      </c>
      <c r="AK2118" t="s">
        <v>98</v>
      </c>
      <c r="AM2118" t="s">
        <v>98</v>
      </c>
      <c r="AN2118" t="s">
        <v>98</v>
      </c>
      <c r="AO2118" t="s">
        <v>98</v>
      </c>
      <c r="AP2118" t="s">
        <v>100</v>
      </c>
      <c r="AQ2118" t="s">
        <v>101</v>
      </c>
      <c r="AV2118" t="s">
        <v>98</v>
      </c>
      <c r="AX2118" t="s">
        <v>7528</v>
      </c>
      <c r="AZ2118" t="s">
        <v>7528</v>
      </c>
      <c r="BB2118" t="s">
        <v>7528</v>
      </c>
      <c r="BC2118" t="s">
        <v>7528</v>
      </c>
      <c r="BD2118" t="s">
        <v>7528</v>
      </c>
      <c r="BF2118" t="s">
        <v>6264</v>
      </c>
      <c r="BG2118" t="s">
        <v>98</v>
      </c>
      <c r="BH2118" t="s">
        <v>98</v>
      </c>
      <c r="BI2118" t="s">
        <v>98</v>
      </c>
      <c r="BK2118" t="s">
        <v>7528</v>
      </c>
      <c r="BL2118" t="s">
        <v>7528</v>
      </c>
      <c r="CA2118" t="s">
        <v>6262</v>
      </c>
      <c r="CB2118" t="s">
        <v>7528</v>
      </c>
      <c r="CL2118" t="s">
        <v>98</v>
      </c>
      <c r="CM2118" t="s">
        <v>98</v>
      </c>
      <c r="CN2118" t="s">
        <v>7528</v>
      </c>
      <c r="CO2118" s="1">
        <v>40583</v>
      </c>
      <c r="CP2118" s="1">
        <v>43633</v>
      </c>
    </row>
    <row r="2119" spans="1:94" x14ac:dyDescent="0.25">
      <c r="A2119" t="s">
        <v>6265</v>
      </c>
      <c r="B2119" t="str">
        <f xml:space="preserve"> "" &amp; 747396065168</f>
        <v>747396065168</v>
      </c>
      <c r="C2119" t="s">
        <v>6266</v>
      </c>
      <c r="D2119" t="s">
        <v>6267</v>
      </c>
      <c r="E2119" t="s">
        <v>7528</v>
      </c>
      <c r="F2119" t="s">
        <v>627</v>
      </c>
      <c r="G2119">
        <v>1</v>
      </c>
      <c r="H2119">
        <v>1</v>
      </c>
      <c r="I2119" t="s">
        <v>97</v>
      </c>
      <c r="J2119" s="10">
        <v>15</v>
      </c>
      <c r="K2119" s="10">
        <v>45</v>
      </c>
      <c r="L2119" s="10">
        <v>0</v>
      </c>
      <c r="N2119" s="10">
        <v>0</v>
      </c>
      <c r="W2119">
        <v>1</v>
      </c>
      <c r="AB2119">
        <v>0.30399999999999999</v>
      </c>
      <c r="AC2119">
        <v>0.95</v>
      </c>
      <c r="AF2119" t="s">
        <v>7528</v>
      </c>
      <c r="AK2119" t="s">
        <v>98</v>
      </c>
      <c r="AM2119" t="s">
        <v>98</v>
      </c>
      <c r="AN2119" t="s">
        <v>98</v>
      </c>
      <c r="AO2119" t="s">
        <v>98</v>
      </c>
      <c r="AP2119" t="s">
        <v>100</v>
      </c>
      <c r="AQ2119" t="s">
        <v>101</v>
      </c>
      <c r="AV2119" t="s">
        <v>98</v>
      </c>
      <c r="AX2119" t="s">
        <v>7528</v>
      </c>
      <c r="AZ2119" t="s">
        <v>7528</v>
      </c>
      <c r="BB2119" t="s">
        <v>7528</v>
      </c>
      <c r="BC2119" t="s">
        <v>7528</v>
      </c>
      <c r="BD2119" t="s">
        <v>7528</v>
      </c>
      <c r="BF2119" t="s">
        <v>6268</v>
      </c>
      <c r="BG2119" t="s">
        <v>98</v>
      </c>
      <c r="BH2119" t="s">
        <v>98</v>
      </c>
      <c r="BI2119" t="s">
        <v>98</v>
      </c>
      <c r="BK2119" t="s">
        <v>7528</v>
      </c>
      <c r="BL2119" t="s">
        <v>7528</v>
      </c>
      <c r="CA2119" t="s">
        <v>6265</v>
      </c>
      <c r="CB2119" t="s">
        <v>7528</v>
      </c>
      <c r="CL2119" t="s">
        <v>98</v>
      </c>
      <c r="CM2119" t="s">
        <v>98</v>
      </c>
      <c r="CN2119" t="s">
        <v>7528</v>
      </c>
      <c r="CO2119" s="1">
        <v>40583</v>
      </c>
      <c r="CP2119" s="1">
        <v>43633</v>
      </c>
    </row>
    <row r="2120" spans="1:94" x14ac:dyDescent="0.25">
      <c r="A2120" t="s">
        <v>6269</v>
      </c>
      <c r="B2120" t="str">
        <f xml:space="preserve"> "" &amp; 747396065175</f>
        <v>747396065175</v>
      </c>
      <c r="C2120" t="s">
        <v>6270</v>
      </c>
      <c r="D2120" t="s">
        <v>7440</v>
      </c>
      <c r="E2120" t="s">
        <v>7528</v>
      </c>
      <c r="F2120" t="s">
        <v>627</v>
      </c>
      <c r="G2120">
        <v>1</v>
      </c>
      <c r="H2120">
        <v>1</v>
      </c>
      <c r="I2120" t="s">
        <v>97</v>
      </c>
      <c r="J2120" s="10">
        <v>12</v>
      </c>
      <c r="K2120" s="10">
        <v>36</v>
      </c>
      <c r="L2120" s="10">
        <v>0</v>
      </c>
      <c r="N2120" s="10">
        <v>0</v>
      </c>
      <c r="S2120">
        <v>7</v>
      </c>
      <c r="U2120">
        <v>3.5</v>
      </c>
      <c r="W2120">
        <v>1</v>
      </c>
      <c r="AB2120">
        <v>9.6000000000000002E-2</v>
      </c>
      <c r="AC2120">
        <v>0.13</v>
      </c>
      <c r="AF2120" t="s">
        <v>7528</v>
      </c>
      <c r="AK2120" t="s">
        <v>98</v>
      </c>
      <c r="AM2120" t="s">
        <v>98</v>
      </c>
      <c r="AN2120" t="s">
        <v>98</v>
      </c>
      <c r="AO2120" t="s">
        <v>98</v>
      </c>
      <c r="AP2120" t="s">
        <v>100</v>
      </c>
      <c r="AQ2120" t="s">
        <v>101</v>
      </c>
      <c r="AV2120" t="s">
        <v>98</v>
      </c>
      <c r="AX2120" t="s">
        <v>7528</v>
      </c>
      <c r="AZ2120" t="s">
        <v>7528</v>
      </c>
      <c r="BB2120" t="s">
        <v>7528</v>
      </c>
      <c r="BC2120" t="s">
        <v>7528</v>
      </c>
      <c r="BD2120" t="s">
        <v>7528</v>
      </c>
      <c r="BF2120" t="s">
        <v>6271</v>
      </c>
      <c r="BG2120" t="s">
        <v>98</v>
      </c>
      <c r="BH2120" t="s">
        <v>98</v>
      </c>
      <c r="BI2120" t="s">
        <v>98</v>
      </c>
      <c r="BK2120" t="s">
        <v>7528</v>
      </c>
      <c r="BL2120" t="s">
        <v>7528</v>
      </c>
      <c r="CA2120" t="s">
        <v>6269</v>
      </c>
      <c r="CB2120" t="s">
        <v>7528</v>
      </c>
      <c r="CL2120" t="s">
        <v>98</v>
      </c>
      <c r="CM2120" t="s">
        <v>98</v>
      </c>
      <c r="CN2120" t="s">
        <v>7528</v>
      </c>
      <c r="CO2120" s="1">
        <v>40583</v>
      </c>
      <c r="CP2120" s="1">
        <v>43633</v>
      </c>
    </row>
    <row r="2121" spans="1:94" x14ac:dyDescent="0.25">
      <c r="A2121" t="s">
        <v>6272</v>
      </c>
      <c r="B2121" t="str">
        <f xml:space="preserve"> "" &amp; 747396081069</f>
        <v>747396081069</v>
      </c>
      <c r="C2121" t="s">
        <v>4741</v>
      </c>
      <c r="D2121" t="s">
        <v>7441</v>
      </c>
      <c r="E2121" t="s">
        <v>7528</v>
      </c>
      <c r="F2121" t="s">
        <v>627</v>
      </c>
      <c r="G2121">
        <v>1</v>
      </c>
      <c r="H2121">
        <v>1</v>
      </c>
      <c r="I2121" t="s">
        <v>97</v>
      </c>
      <c r="J2121" s="10">
        <v>18.5</v>
      </c>
      <c r="K2121" s="10">
        <v>55.5</v>
      </c>
      <c r="L2121" s="10">
        <v>0</v>
      </c>
      <c r="N2121" s="10">
        <v>0</v>
      </c>
      <c r="W2121">
        <v>1.1000000000000001</v>
      </c>
      <c r="Y2121">
        <v>6.75</v>
      </c>
      <c r="Z2121">
        <v>10.25</v>
      </c>
      <c r="AA2121">
        <v>6.75</v>
      </c>
      <c r="AB2121">
        <v>0.27</v>
      </c>
      <c r="AC2121">
        <v>1.65</v>
      </c>
      <c r="AF2121" t="s">
        <v>7528</v>
      </c>
      <c r="AK2121" t="s">
        <v>98</v>
      </c>
      <c r="AM2121" t="s">
        <v>98</v>
      </c>
      <c r="AN2121" t="s">
        <v>98</v>
      </c>
      <c r="AO2121" t="s">
        <v>98</v>
      </c>
      <c r="AP2121" t="s">
        <v>100</v>
      </c>
      <c r="AQ2121" t="s">
        <v>101</v>
      </c>
      <c r="AV2121" t="s">
        <v>98</v>
      </c>
      <c r="AX2121" t="s">
        <v>7528</v>
      </c>
      <c r="AZ2121" t="s">
        <v>7528</v>
      </c>
      <c r="BB2121" t="s">
        <v>7528</v>
      </c>
      <c r="BC2121" t="s">
        <v>7528</v>
      </c>
      <c r="BD2121" t="s">
        <v>7528</v>
      </c>
      <c r="BF2121" t="s">
        <v>6273</v>
      </c>
      <c r="BG2121" t="s">
        <v>98</v>
      </c>
      <c r="BH2121" t="s">
        <v>98</v>
      </c>
      <c r="BI2121" t="s">
        <v>98</v>
      </c>
      <c r="BK2121" t="s">
        <v>7528</v>
      </c>
      <c r="BL2121" t="s">
        <v>7528</v>
      </c>
      <c r="CA2121" t="s">
        <v>6272</v>
      </c>
      <c r="CB2121" t="s">
        <v>7528</v>
      </c>
      <c r="CL2121" t="s">
        <v>98</v>
      </c>
      <c r="CM2121" t="s">
        <v>98</v>
      </c>
      <c r="CN2121" t="s">
        <v>7528</v>
      </c>
      <c r="CO2121" s="1">
        <v>40707</v>
      </c>
      <c r="CP2121" s="1">
        <v>43633</v>
      </c>
    </row>
    <row r="2122" spans="1:94" x14ac:dyDescent="0.25">
      <c r="A2122" t="s">
        <v>6274</v>
      </c>
      <c r="B2122" t="str">
        <f xml:space="preserve"> "" &amp; 747396081076</f>
        <v>747396081076</v>
      </c>
      <c r="C2122" t="s">
        <v>4741</v>
      </c>
      <c r="D2122" t="s">
        <v>7442</v>
      </c>
      <c r="E2122" t="s">
        <v>7528</v>
      </c>
      <c r="F2122" t="s">
        <v>627</v>
      </c>
      <c r="G2122">
        <v>1</v>
      </c>
      <c r="H2122">
        <v>1</v>
      </c>
      <c r="I2122" t="s">
        <v>97</v>
      </c>
      <c r="J2122" s="10">
        <v>29.5</v>
      </c>
      <c r="K2122" s="10">
        <v>88.5</v>
      </c>
      <c r="L2122" s="10">
        <v>0</v>
      </c>
      <c r="N2122" s="10">
        <v>0</v>
      </c>
      <c r="W2122">
        <v>2.75</v>
      </c>
      <c r="Y2122">
        <v>9.5</v>
      </c>
      <c r="Z2122">
        <v>13</v>
      </c>
      <c r="AA2122">
        <v>9.5</v>
      </c>
      <c r="AB2122">
        <v>0.67900000000000005</v>
      </c>
      <c r="AC2122">
        <v>4.1399999999999997</v>
      </c>
      <c r="AF2122" t="s">
        <v>7528</v>
      </c>
      <c r="AK2122" t="s">
        <v>98</v>
      </c>
      <c r="AM2122" t="s">
        <v>98</v>
      </c>
      <c r="AN2122" t="s">
        <v>98</v>
      </c>
      <c r="AO2122" t="s">
        <v>98</v>
      </c>
      <c r="AP2122" t="s">
        <v>100</v>
      </c>
      <c r="AQ2122" t="s">
        <v>101</v>
      </c>
      <c r="AV2122" t="s">
        <v>98</v>
      </c>
      <c r="AX2122" t="s">
        <v>7528</v>
      </c>
      <c r="AZ2122" t="s">
        <v>7528</v>
      </c>
      <c r="BB2122" t="s">
        <v>7528</v>
      </c>
      <c r="BC2122" t="s">
        <v>7528</v>
      </c>
      <c r="BD2122" t="s">
        <v>7528</v>
      </c>
      <c r="BF2122" t="s">
        <v>6275</v>
      </c>
      <c r="BG2122" t="s">
        <v>98</v>
      </c>
      <c r="BH2122" t="s">
        <v>98</v>
      </c>
      <c r="BI2122" t="s">
        <v>98</v>
      </c>
      <c r="BK2122" t="s">
        <v>7528</v>
      </c>
      <c r="BL2122" t="s">
        <v>7528</v>
      </c>
      <c r="CA2122" t="s">
        <v>6274</v>
      </c>
      <c r="CB2122" t="s">
        <v>7528</v>
      </c>
      <c r="CL2122" t="s">
        <v>98</v>
      </c>
      <c r="CM2122" t="s">
        <v>98</v>
      </c>
      <c r="CN2122" t="s">
        <v>7528</v>
      </c>
      <c r="CO2122" s="1">
        <v>40707</v>
      </c>
      <c r="CP2122" s="1">
        <v>43633</v>
      </c>
    </row>
    <row r="2123" spans="1:94" x14ac:dyDescent="0.25">
      <c r="A2123" t="s">
        <v>6276</v>
      </c>
      <c r="B2123" t="str">
        <f xml:space="preserve"> "" &amp; 747396081083</f>
        <v>747396081083</v>
      </c>
      <c r="C2123" t="s">
        <v>4741</v>
      </c>
      <c r="D2123" t="s">
        <v>7443</v>
      </c>
      <c r="E2123" t="s">
        <v>7528</v>
      </c>
      <c r="F2123" t="s">
        <v>627</v>
      </c>
      <c r="G2123">
        <v>1</v>
      </c>
      <c r="H2123">
        <v>1</v>
      </c>
      <c r="I2123" t="s">
        <v>97</v>
      </c>
      <c r="J2123" s="10">
        <v>44.5</v>
      </c>
      <c r="K2123" s="10">
        <v>133.5</v>
      </c>
      <c r="L2123" s="10">
        <v>0</v>
      </c>
      <c r="N2123" s="10">
        <v>0</v>
      </c>
      <c r="W2123">
        <v>4.4000000000000004</v>
      </c>
      <c r="X2123">
        <v>1</v>
      </c>
      <c r="Y2123">
        <v>11.25</v>
      </c>
      <c r="Z2123">
        <v>15</v>
      </c>
      <c r="AA2123">
        <v>11</v>
      </c>
      <c r="AB2123">
        <v>1.0740000000000001</v>
      </c>
      <c r="AC2123">
        <v>6.05</v>
      </c>
      <c r="AF2123" t="s">
        <v>7528</v>
      </c>
      <c r="AK2123" t="s">
        <v>98</v>
      </c>
      <c r="AM2123" t="s">
        <v>98</v>
      </c>
      <c r="AN2123" t="s">
        <v>98</v>
      </c>
      <c r="AO2123" t="s">
        <v>98</v>
      </c>
      <c r="AP2123" t="s">
        <v>100</v>
      </c>
      <c r="AQ2123" t="s">
        <v>101</v>
      </c>
      <c r="AV2123" t="s">
        <v>98</v>
      </c>
      <c r="AX2123" t="s">
        <v>7528</v>
      </c>
      <c r="AZ2123" t="s">
        <v>7528</v>
      </c>
      <c r="BB2123" t="s">
        <v>7528</v>
      </c>
      <c r="BC2123" t="s">
        <v>7528</v>
      </c>
      <c r="BD2123" t="s">
        <v>7528</v>
      </c>
      <c r="BF2123" t="s">
        <v>6277</v>
      </c>
      <c r="BG2123" t="s">
        <v>98</v>
      </c>
      <c r="BH2123" t="s">
        <v>98</v>
      </c>
      <c r="BI2123" t="s">
        <v>98</v>
      </c>
      <c r="BK2123" t="s">
        <v>7528</v>
      </c>
      <c r="BL2123" t="s">
        <v>7528</v>
      </c>
      <c r="CA2123" t="s">
        <v>6276</v>
      </c>
      <c r="CB2123" t="s">
        <v>7528</v>
      </c>
      <c r="CL2123" t="s">
        <v>98</v>
      </c>
      <c r="CM2123" t="s">
        <v>98</v>
      </c>
      <c r="CN2123" t="s">
        <v>7528</v>
      </c>
      <c r="CO2123" s="1">
        <v>40707</v>
      </c>
      <c r="CP2123" s="1">
        <v>43633</v>
      </c>
    </row>
    <row r="2124" spans="1:94" x14ac:dyDescent="0.25">
      <c r="A2124" t="s">
        <v>6278</v>
      </c>
      <c r="B2124" t="str">
        <f xml:space="preserve"> "" &amp; 747396065205</f>
        <v>747396065205</v>
      </c>
      <c r="C2124" t="s">
        <v>1446</v>
      </c>
      <c r="D2124" t="s">
        <v>7444</v>
      </c>
      <c r="E2124" t="s">
        <v>7528</v>
      </c>
      <c r="F2124" t="s">
        <v>627</v>
      </c>
      <c r="G2124">
        <v>1</v>
      </c>
      <c r="H2124">
        <v>1</v>
      </c>
      <c r="I2124" t="s">
        <v>97</v>
      </c>
      <c r="J2124" s="10">
        <v>7.5</v>
      </c>
      <c r="K2124" s="10">
        <v>22.5</v>
      </c>
      <c r="L2124" s="10">
        <v>0</v>
      </c>
      <c r="N2124" s="10">
        <v>0</v>
      </c>
      <c r="W2124">
        <v>0.66</v>
      </c>
      <c r="X2124">
        <v>1</v>
      </c>
      <c r="AC2124">
        <v>0.78</v>
      </c>
      <c r="AF2124" t="s">
        <v>7528</v>
      </c>
      <c r="AK2124" t="s">
        <v>98</v>
      </c>
      <c r="AM2124" t="s">
        <v>98</v>
      </c>
      <c r="AN2124" t="s">
        <v>98</v>
      </c>
      <c r="AO2124" t="s">
        <v>98</v>
      </c>
      <c r="AP2124" t="s">
        <v>100</v>
      </c>
      <c r="AQ2124" t="s">
        <v>101</v>
      </c>
      <c r="AV2124" t="s">
        <v>98</v>
      </c>
      <c r="AX2124" t="s">
        <v>7528</v>
      </c>
      <c r="AZ2124" t="s">
        <v>7528</v>
      </c>
      <c r="BB2124" t="s">
        <v>7528</v>
      </c>
      <c r="BC2124" t="s">
        <v>7528</v>
      </c>
      <c r="BD2124" t="s">
        <v>7528</v>
      </c>
      <c r="BF2124" t="s">
        <v>6279</v>
      </c>
      <c r="BG2124" t="s">
        <v>98</v>
      </c>
      <c r="BH2124" t="s">
        <v>98</v>
      </c>
      <c r="BI2124" t="s">
        <v>98</v>
      </c>
      <c r="BK2124" t="s">
        <v>7528</v>
      </c>
      <c r="BL2124" t="s">
        <v>7528</v>
      </c>
      <c r="CA2124" t="s">
        <v>6278</v>
      </c>
      <c r="CB2124" t="s">
        <v>7528</v>
      </c>
      <c r="CL2124" t="s">
        <v>98</v>
      </c>
      <c r="CM2124" t="s">
        <v>98</v>
      </c>
      <c r="CN2124" t="s">
        <v>7528</v>
      </c>
      <c r="CO2124" s="1">
        <v>40583</v>
      </c>
      <c r="CP2124" s="1">
        <v>43633</v>
      </c>
    </row>
    <row r="2125" spans="1:94" x14ac:dyDescent="0.25">
      <c r="A2125" t="s">
        <v>6280</v>
      </c>
      <c r="B2125" t="str">
        <f xml:space="preserve"> "" &amp; 747396065212</f>
        <v>747396065212</v>
      </c>
      <c r="C2125" t="s">
        <v>1446</v>
      </c>
      <c r="D2125" t="s">
        <v>7445</v>
      </c>
      <c r="E2125" t="s">
        <v>7528</v>
      </c>
      <c r="F2125" t="s">
        <v>627</v>
      </c>
      <c r="G2125">
        <v>1</v>
      </c>
      <c r="H2125">
        <v>1</v>
      </c>
      <c r="I2125" t="s">
        <v>97</v>
      </c>
      <c r="J2125" s="10">
        <v>5.95</v>
      </c>
      <c r="K2125" s="10">
        <v>17.850000000000001</v>
      </c>
      <c r="L2125" s="10">
        <v>0</v>
      </c>
      <c r="N2125" s="10">
        <v>0</v>
      </c>
      <c r="W2125">
        <v>0.44</v>
      </c>
      <c r="X2125">
        <v>1</v>
      </c>
      <c r="AC2125">
        <v>0.62</v>
      </c>
      <c r="AF2125" t="s">
        <v>7528</v>
      </c>
      <c r="AK2125" t="s">
        <v>98</v>
      </c>
      <c r="AM2125" t="s">
        <v>98</v>
      </c>
      <c r="AN2125" t="s">
        <v>98</v>
      </c>
      <c r="AO2125" t="s">
        <v>98</v>
      </c>
      <c r="AP2125" t="s">
        <v>100</v>
      </c>
      <c r="AQ2125" t="s">
        <v>101</v>
      </c>
      <c r="AV2125" t="s">
        <v>98</v>
      </c>
      <c r="AX2125" t="s">
        <v>7528</v>
      </c>
      <c r="AZ2125" t="s">
        <v>7528</v>
      </c>
      <c r="BB2125" t="s">
        <v>7528</v>
      </c>
      <c r="BC2125" t="s">
        <v>7528</v>
      </c>
      <c r="BD2125" t="s">
        <v>7528</v>
      </c>
      <c r="BF2125" t="s">
        <v>6281</v>
      </c>
      <c r="BG2125" t="s">
        <v>98</v>
      </c>
      <c r="BH2125" t="s">
        <v>98</v>
      </c>
      <c r="BI2125" t="s">
        <v>98</v>
      </c>
      <c r="BK2125" t="s">
        <v>7528</v>
      </c>
      <c r="BL2125" t="s">
        <v>7528</v>
      </c>
      <c r="CA2125" t="s">
        <v>6280</v>
      </c>
      <c r="CB2125" t="s">
        <v>7528</v>
      </c>
      <c r="CL2125" t="s">
        <v>98</v>
      </c>
      <c r="CM2125" t="s">
        <v>98</v>
      </c>
      <c r="CN2125" t="s">
        <v>7528</v>
      </c>
      <c r="CO2125" s="1">
        <v>40583</v>
      </c>
      <c r="CP2125" s="1">
        <v>43633</v>
      </c>
    </row>
    <row r="2126" spans="1:94" x14ac:dyDescent="0.25">
      <c r="A2126" t="s">
        <v>6282</v>
      </c>
      <c r="B2126" t="str">
        <f xml:space="preserve"> "" &amp; 747396065663</f>
        <v>747396065663</v>
      </c>
      <c r="C2126" t="s">
        <v>6283</v>
      </c>
      <c r="D2126" t="s">
        <v>7446</v>
      </c>
      <c r="E2126" t="s">
        <v>7528</v>
      </c>
      <c r="F2126" t="s">
        <v>627</v>
      </c>
      <c r="G2126">
        <v>1</v>
      </c>
      <c r="H2126">
        <v>1</v>
      </c>
      <c r="I2126" t="s">
        <v>97</v>
      </c>
      <c r="J2126" s="10">
        <v>2.95</v>
      </c>
      <c r="K2126" s="10">
        <v>8.85</v>
      </c>
      <c r="L2126" s="10">
        <v>0</v>
      </c>
      <c r="N2126" s="10">
        <v>0</v>
      </c>
      <c r="W2126">
        <v>0.11</v>
      </c>
      <c r="X2126">
        <v>1</v>
      </c>
      <c r="AC2126">
        <v>0.13</v>
      </c>
      <c r="AF2126" t="s">
        <v>7528</v>
      </c>
      <c r="AK2126" t="s">
        <v>98</v>
      </c>
      <c r="AM2126" t="s">
        <v>98</v>
      </c>
      <c r="AN2126" t="s">
        <v>98</v>
      </c>
      <c r="AO2126" t="s">
        <v>98</v>
      </c>
      <c r="AP2126" t="s">
        <v>100</v>
      </c>
      <c r="AQ2126" t="s">
        <v>101</v>
      </c>
      <c r="AV2126" t="s">
        <v>98</v>
      </c>
      <c r="AX2126" t="s">
        <v>7528</v>
      </c>
      <c r="AZ2126" t="s">
        <v>7528</v>
      </c>
      <c r="BB2126" t="s">
        <v>7528</v>
      </c>
      <c r="BC2126" t="s">
        <v>7528</v>
      </c>
      <c r="BD2126" t="s">
        <v>7528</v>
      </c>
      <c r="BF2126" t="s">
        <v>6284</v>
      </c>
      <c r="BG2126" t="s">
        <v>98</v>
      </c>
      <c r="BH2126" t="s">
        <v>98</v>
      </c>
      <c r="BI2126" t="s">
        <v>98</v>
      </c>
      <c r="BK2126" t="s">
        <v>7528</v>
      </c>
      <c r="BL2126" t="s">
        <v>7528</v>
      </c>
      <c r="CA2126" t="s">
        <v>6282</v>
      </c>
      <c r="CB2126" t="s">
        <v>7528</v>
      </c>
      <c r="CL2126" t="s">
        <v>98</v>
      </c>
      <c r="CM2126" t="s">
        <v>98</v>
      </c>
      <c r="CN2126" t="s">
        <v>7528</v>
      </c>
      <c r="CO2126" s="1">
        <v>40583</v>
      </c>
      <c r="CP2126" s="1">
        <v>43633</v>
      </c>
    </row>
    <row r="2127" spans="1:94" x14ac:dyDescent="0.25">
      <c r="A2127" t="s">
        <v>6285</v>
      </c>
      <c r="B2127" t="str">
        <f xml:space="preserve"> "" &amp; 747396051062</f>
        <v>747396051062</v>
      </c>
      <c r="C2127" t="s">
        <v>1446</v>
      </c>
      <c r="D2127" t="s">
        <v>7447</v>
      </c>
      <c r="E2127" t="s">
        <v>7528</v>
      </c>
      <c r="F2127" t="s">
        <v>627</v>
      </c>
      <c r="G2127">
        <v>1</v>
      </c>
      <c r="H2127">
        <v>1</v>
      </c>
      <c r="I2127" t="s">
        <v>97</v>
      </c>
      <c r="J2127" s="10">
        <v>2.95</v>
      </c>
      <c r="K2127" s="10">
        <v>8.85</v>
      </c>
      <c r="L2127" s="10">
        <v>0</v>
      </c>
      <c r="N2127" s="10">
        <v>0</v>
      </c>
      <c r="S2127">
        <v>5.88</v>
      </c>
      <c r="U2127">
        <v>4.38</v>
      </c>
      <c r="W2127">
        <v>0.18</v>
      </c>
      <c r="X2127">
        <v>1</v>
      </c>
      <c r="Y2127">
        <v>6.3</v>
      </c>
      <c r="Z2127">
        <v>6.69</v>
      </c>
      <c r="AA2127">
        <v>5.51</v>
      </c>
      <c r="AB2127">
        <v>0.13400000000000001</v>
      </c>
      <c r="AC2127">
        <v>0.22</v>
      </c>
      <c r="AF2127" t="s">
        <v>7528</v>
      </c>
      <c r="AK2127" t="s">
        <v>98</v>
      </c>
      <c r="AM2127" t="s">
        <v>98</v>
      </c>
      <c r="AN2127" t="s">
        <v>98</v>
      </c>
      <c r="AO2127" t="s">
        <v>98</v>
      </c>
      <c r="AP2127" t="s">
        <v>100</v>
      </c>
      <c r="AQ2127" t="s">
        <v>101</v>
      </c>
      <c r="AV2127" t="s">
        <v>98</v>
      </c>
      <c r="AX2127" t="s">
        <v>7528</v>
      </c>
      <c r="AZ2127" t="s">
        <v>7528</v>
      </c>
      <c r="BB2127" t="s">
        <v>7528</v>
      </c>
      <c r="BC2127" t="s">
        <v>7528</v>
      </c>
      <c r="BD2127" t="s">
        <v>7528</v>
      </c>
      <c r="BF2127" t="s">
        <v>6286</v>
      </c>
      <c r="BG2127" t="s">
        <v>98</v>
      </c>
      <c r="BH2127" t="s">
        <v>98</v>
      </c>
      <c r="BI2127" t="s">
        <v>98</v>
      </c>
      <c r="BK2127" t="s">
        <v>7528</v>
      </c>
      <c r="BL2127" t="s">
        <v>7528</v>
      </c>
      <c r="CA2127" t="s">
        <v>6285</v>
      </c>
      <c r="CB2127" t="s">
        <v>7528</v>
      </c>
      <c r="CL2127" t="s">
        <v>98</v>
      </c>
      <c r="CM2127" t="s">
        <v>98</v>
      </c>
      <c r="CN2127" t="s">
        <v>7528</v>
      </c>
      <c r="CO2127" s="1">
        <v>40317</v>
      </c>
      <c r="CP2127" s="1">
        <v>43633</v>
      </c>
    </row>
    <row r="2128" spans="1:94" x14ac:dyDescent="0.25">
      <c r="A2128" t="s">
        <v>6287</v>
      </c>
      <c r="B2128" t="str">
        <f xml:space="preserve"> "" &amp; 747396065229</f>
        <v>747396065229</v>
      </c>
      <c r="C2128" t="s">
        <v>6288</v>
      </c>
      <c r="D2128" t="s">
        <v>7448</v>
      </c>
      <c r="E2128" t="s">
        <v>7528</v>
      </c>
      <c r="F2128" t="s">
        <v>627</v>
      </c>
      <c r="G2128">
        <v>1</v>
      </c>
      <c r="H2128">
        <v>1</v>
      </c>
      <c r="I2128" t="s">
        <v>97</v>
      </c>
      <c r="J2128" s="10">
        <v>4</v>
      </c>
      <c r="K2128" s="10">
        <v>12</v>
      </c>
      <c r="L2128" s="10">
        <v>0</v>
      </c>
      <c r="N2128" s="10">
        <v>0</v>
      </c>
      <c r="T2128">
        <v>8.5</v>
      </c>
      <c r="U2128">
        <v>2.5</v>
      </c>
      <c r="W2128">
        <v>1</v>
      </c>
      <c r="AB2128">
        <v>1.4999999999999999E-2</v>
      </c>
      <c r="AC2128">
        <v>0.28999999999999998</v>
      </c>
      <c r="AF2128" t="s">
        <v>7528</v>
      </c>
      <c r="AK2128" t="s">
        <v>98</v>
      </c>
      <c r="AM2128" t="s">
        <v>98</v>
      </c>
      <c r="AN2128" t="s">
        <v>98</v>
      </c>
      <c r="AO2128" t="s">
        <v>98</v>
      </c>
      <c r="AP2128" t="s">
        <v>100</v>
      </c>
      <c r="AQ2128" t="s">
        <v>101</v>
      </c>
      <c r="AV2128" t="s">
        <v>98</v>
      </c>
      <c r="AX2128" t="s">
        <v>7528</v>
      </c>
      <c r="AZ2128" t="s">
        <v>7528</v>
      </c>
      <c r="BB2128" t="s">
        <v>7528</v>
      </c>
      <c r="BC2128" t="s">
        <v>7528</v>
      </c>
      <c r="BD2128" t="s">
        <v>7528</v>
      </c>
      <c r="BF2128" t="s">
        <v>6289</v>
      </c>
      <c r="BG2128" t="s">
        <v>98</v>
      </c>
      <c r="BH2128" t="s">
        <v>98</v>
      </c>
      <c r="BI2128" t="s">
        <v>98</v>
      </c>
      <c r="BK2128" t="s">
        <v>7528</v>
      </c>
      <c r="BL2128" t="s">
        <v>7528</v>
      </c>
      <c r="CA2128" t="s">
        <v>6287</v>
      </c>
      <c r="CB2128" t="s">
        <v>7528</v>
      </c>
      <c r="CL2128" t="s">
        <v>98</v>
      </c>
      <c r="CM2128" t="s">
        <v>98</v>
      </c>
      <c r="CN2128" t="s">
        <v>7528</v>
      </c>
      <c r="CO2128" s="1">
        <v>40583</v>
      </c>
      <c r="CP2128" s="1">
        <v>43633</v>
      </c>
    </row>
    <row r="2129" spans="1:94" x14ac:dyDescent="0.25">
      <c r="A2129" t="s">
        <v>6290</v>
      </c>
      <c r="B2129" t="str">
        <f xml:space="preserve"> "" &amp; 747396065236</f>
        <v>747396065236</v>
      </c>
      <c r="C2129" t="s">
        <v>6288</v>
      </c>
      <c r="D2129" t="s">
        <v>7449</v>
      </c>
      <c r="E2129" t="s">
        <v>7528</v>
      </c>
      <c r="F2129" t="s">
        <v>627</v>
      </c>
      <c r="G2129">
        <v>1</v>
      </c>
      <c r="H2129">
        <v>1</v>
      </c>
      <c r="I2129" t="s">
        <v>97</v>
      </c>
      <c r="J2129" s="10">
        <v>4</v>
      </c>
      <c r="K2129" s="10">
        <v>12</v>
      </c>
      <c r="L2129" s="10">
        <v>0</v>
      </c>
      <c r="N2129" s="10">
        <v>0</v>
      </c>
      <c r="T2129">
        <v>8.6300000000000008</v>
      </c>
      <c r="U2129">
        <v>2.63</v>
      </c>
      <c r="W2129">
        <v>1</v>
      </c>
      <c r="AB2129">
        <v>1.4999999999999999E-2</v>
      </c>
      <c r="AC2129">
        <v>0.03</v>
      </c>
      <c r="AF2129" t="s">
        <v>7528</v>
      </c>
      <c r="AK2129" t="s">
        <v>98</v>
      </c>
      <c r="AM2129" t="s">
        <v>98</v>
      </c>
      <c r="AN2129" t="s">
        <v>98</v>
      </c>
      <c r="AO2129" t="s">
        <v>98</v>
      </c>
      <c r="AP2129" t="s">
        <v>100</v>
      </c>
      <c r="AQ2129" t="s">
        <v>101</v>
      </c>
      <c r="AV2129" t="s">
        <v>98</v>
      </c>
      <c r="AX2129" t="s">
        <v>7528</v>
      </c>
      <c r="AZ2129" t="s">
        <v>7528</v>
      </c>
      <c r="BB2129" t="s">
        <v>7528</v>
      </c>
      <c r="BC2129" t="s">
        <v>7528</v>
      </c>
      <c r="BD2129" t="s">
        <v>7528</v>
      </c>
      <c r="BF2129" t="s">
        <v>6291</v>
      </c>
      <c r="BG2129" t="s">
        <v>98</v>
      </c>
      <c r="BH2129" t="s">
        <v>98</v>
      </c>
      <c r="BI2129" t="s">
        <v>98</v>
      </c>
      <c r="BK2129" t="s">
        <v>7528</v>
      </c>
      <c r="BL2129" t="s">
        <v>7528</v>
      </c>
      <c r="CA2129" t="s">
        <v>6290</v>
      </c>
      <c r="CB2129" t="s">
        <v>7528</v>
      </c>
      <c r="CL2129" t="s">
        <v>98</v>
      </c>
      <c r="CM2129" t="s">
        <v>98</v>
      </c>
      <c r="CN2129" t="s">
        <v>7528</v>
      </c>
      <c r="CO2129" s="1">
        <v>40583</v>
      </c>
      <c r="CP2129" s="1">
        <v>43633</v>
      </c>
    </row>
    <row r="2130" spans="1:94" x14ac:dyDescent="0.25">
      <c r="A2130" t="s">
        <v>6292</v>
      </c>
      <c r="B2130" t="str">
        <f xml:space="preserve"> "" &amp; 747396064154</f>
        <v>747396064154</v>
      </c>
      <c r="C2130" t="s">
        <v>6288</v>
      </c>
      <c r="D2130" t="s">
        <v>7450</v>
      </c>
      <c r="E2130" t="s">
        <v>7528</v>
      </c>
      <c r="F2130" t="s">
        <v>627</v>
      </c>
      <c r="G2130">
        <v>1</v>
      </c>
      <c r="H2130">
        <v>1</v>
      </c>
      <c r="I2130" t="s">
        <v>97</v>
      </c>
      <c r="J2130" s="10">
        <v>4</v>
      </c>
      <c r="K2130" s="10">
        <v>12</v>
      </c>
      <c r="L2130" s="10">
        <v>0</v>
      </c>
      <c r="N2130" s="10">
        <v>0</v>
      </c>
      <c r="W2130">
        <v>1</v>
      </c>
      <c r="AB2130">
        <v>1.6E-2</v>
      </c>
      <c r="AC2130">
        <v>0.28999999999999998</v>
      </c>
      <c r="AF2130" t="s">
        <v>7528</v>
      </c>
      <c r="AK2130" t="s">
        <v>98</v>
      </c>
      <c r="AM2130" t="s">
        <v>98</v>
      </c>
      <c r="AN2130" t="s">
        <v>98</v>
      </c>
      <c r="AO2130" t="s">
        <v>98</v>
      </c>
      <c r="AP2130" t="s">
        <v>100</v>
      </c>
      <c r="AQ2130" t="s">
        <v>101</v>
      </c>
      <c r="AV2130" t="s">
        <v>98</v>
      </c>
      <c r="AX2130" t="s">
        <v>7528</v>
      </c>
      <c r="AZ2130" t="s">
        <v>7528</v>
      </c>
      <c r="BB2130" t="s">
        <v>7528</v>
      </c>
      <c r="BC2130" t="s">
        <v>7528</v>
      </c>
      <c r="BD2130" t="s">
        <v>7528</v>
      </c>
      <c r="BF2130" t="s">
        <v>6293</v>
      </c>
      <c r="BG2130" t="s">
        <v>98</v>
      </c>
      <c r="BH2130" t="s">
        <v>98</v>
      </c>
      <c r="BI2130" t="s">
        <v>98</v>
      </c>
      <c r="BK2130" t="s">
        <v>7528</v>
      </c>
      <c r="BL2130" t="s">
        <v>7528</v>
      </c>
      <c r="CA2130" t="s">
        <v>6292</v>
      </c>
      <c r="CB2130" t="s">
        <v>7528</v>
      </c>
      <c r="CL2130" t="s">
        <v>98</v>
      </c>
      <c r="CM2130" t="s">
        <v>98</v>
      </c>
      <c r="CN2130" t="s">
        <v>7528</v>
      </c>
      <c r="CO2130" s="1">
        <v>40583</v>
      </c>
      <c r="CP2130" s="1">
        <v>43633</v>
      </c>
    </row>
    <row r="2131" spans="1:94" x14ac:dyDescent="0.25">
      <c r="A2131" t="s">
        <v>6294</v>
      </c>
      <c r="B2131" t="str">
        <f xml:space="preserve"> "" &amp; 747396065250</f>
        <v>747396065250</v>
      </c>
      <c r="C2131" t="s">
        <v>6288</v>
      </c>
      <c r="D2131" t="s">
        <v>7451</v>
      </c>
      <c r="E2131" t="s">
        <v>7528</v>
      </c>
      <c r="F2131" t="s">
        <v>627</v>
      </c>
      <c r="G2131">
        <v>1</v>
      </c>
      <c r="H2131">
        <v>1</v>
      </c>
      <c r="I2131" t="s">
        <v>97</v>
      </c>
      <c r="J2131" s="10">
        <v>5</v>
      </c>
      <c r="K2131" s="10">
        <v>15</v>
      </c>
      <c r="L2131" s="10">
        <v>0</v>
      </c>
      <c r="N2131" s="10">
        <v>0</v>
      </c>
      <c r="T2131">
        <v>13.5</v>
      </c>
      <c r="U2131">
        <v>4.38</v>
      </c>
      <c r="W2131">
        <v>1</v>
      </c>
      <c r="AB2131">
        <v>2.7E-2</v>
      </c>
      <c r="AC2131">
        <v>0.85</v>
      </c>
      <c r="AF2131" t="s">
        <v>7528</v>
      </c>
      <c r="AK2131" t="s">
        <v>98</v>
      </c>
      <c r="AM2131" t="s">
        <v>98</v>
      </c>
      <c r="AN2131" t="s">
        <v>98</v>
      </c>
      <c r="AO2131" t="s">
        <v>98</v>
      </c>
      <c r="AP2131" t="s">
        <v>100</v>
      </c>
      <c r="AQ2131" t="s">
        <v>101</v>
      </c>
      <c r="AV2131" t="s">
        <v>98</v>
      </c>
      <c r="AX2131" t="s">
        <v>7528</v>
      </c>
      <c r="AZ2131" t="s">
        <v>7528</v>
      </c>
      <c r="BB2131" t="s">
        <v>7528</v>
      </c>
      <c r="BC2131" t="s">
        <v>7528</v>
      </c>
      <c r="BD2131" t="s">
        <v>7528</v>
      </c>
      <c r="BF2131" t="s">
        <v>6295</v>
      </c>
      <c r="BG2131" t="s">
        <v>98</v>
      </c>
      <c r="BH2131" t="s">
        <v>98</v>
      </c>
      <c r="BI2131" t="s">
        <v>98</v>
      </c>
      <c r="BK2131" t="s">
        <v>7528</v>
      </c>
      <c r="BL2131" t="s">
        <v>7528</v>
      </c>
      <c r="CA2131" t="s">
        <v>6294</v>
      </c>
      <c r="CB2131" t="s">
        <v>7528</v>
      </c>
      <c r="CL2131" t="s">
        <v>98</v>
      </c>
      <c r="CM2131" t="s">
        <v>98</v>
      </c>
      <c r="CN2131" t="s">
        <v>7528</v>
      </c>
      <c r="CO2131" s="1">
        <v>40583</v>
      </c>
      <c r="CP2131" s="1">
        <v>43633</v>
      </c>
    </row>
    <row r="2132" spans="1:94" x14ac:dyDescent="0.25">
      <c r="A2132" t="s">
        <v>6296</v>
      </c>
      <c r="B2132" t="str">
        <f xml:space="preserve"> "" &amp; 747396071077</f>
        <v>747396071077</v>
      </c>
      <c r="C2132" t="s">
        <v>6297</v>
      </c>
      <c r="D2132" t="s">
        <v>7452</v>
      </c>
      <c r="E2132" t="s">
        <v>7528</v>
      </c>
      <c r="F2132" t="s">
        <v>627</v>
      </c>
      <c r="G2132">
        <v>1</v>
      </c>
      <c r="H2132">
        <v>1</v>
      </c>
      <c r="I2132" t="s">
        <v>97</v>
      </c>
      <c r="J2132" s="10">
        <v>5.5</v>
      </c>
      <c r="K2132" s="10">
        <v>16.5</v>
      </c>
      <c r="L2132" s="10">
        <v>0</v>
      </c>
      <c r="N2132" s="10">
        <v>0</v>
      </c>
      <c r="T2132">
        <v>9.8800000000000008</v>
      </c>
      <c r="U2132">
        <v>8.8800000000000008</v>
      </c>
      <c r="W2132">
        <v>1</v>
      </c>
      <c r="AB2132">
        <v>3.3000000000000002E-2</v>
      </c>
      <c r="AC2132">
        <v>0.77</v>
      </c>
      <c r="AF2132" t="s">
        <v>7528</v>
      </c>
      <c r="AK2132" t="s">
        <v>98</v>
      </c>
      <c r="AM2132" t="s">
        <v>98</v>
      </c>
      <c r="AN2132" t="s">
        <v>98</v>
      </c>
      <c r="AO2132" t="s">
        <v>98</v>
      </c>
      <c r="AP2132" t="s">
        <v>100</v>
      </c>
      <c r="AQ2132" t="s">
        <v>101</v>
      </c>
      <c r="AV2132" t="s">
        <v>98</v>
      </c>
      <c r="AX2132" t="s">
        <v>7528</v>
      </c>
      <c r="AZ2132" t="s">
        <v>7528</v>
      </c>
      <c r="BB2132" t="s">
        <v>7528</v>
      </c>
      <c r="BC2132" t="s">
        <v>7528</v>
      </c>
      <c r="BD2132" t="s">
        <v>7528</v>
      </c>
      <c r="BF2132" t="s">
        <v>6298</v>
      </c>
      <c r="BG2132" t="s">
        <v>98</v>
      </c>
      <c r="BH2132" t="s">
        <v>98</v>
      </c>
      <c r="BI2132" t="s">
        <v>98</v>
      </c>
      <c r="BK2132" t="s">
        <v>7528</v>
      </c>
      <c r="BL2132" t="s">
        <v>7528</v>
      </c>
      <c r="CA2132" t="s">
        <v>6296</v>
      </c>
      <c r="CB2132" t="s">
        <v>7528</v>
      </c>
      <c r="CL2132" t="s">
        <v>98</v>
      </c>
      <c r="CM2132" t="s">
        <v>98</v>
      </c>
      <c r="CN2132" t="s">
        <v>7528</v>
      </c>
      <c r="CO2132" s="1">
        <v>40583</v>
      </c>
      <c r="CP2132" s="1">
        <v>43633</v>
      </c>
    </row>
    <row r="2133" spans="1:94" x14ac:dyDescent="0.25">
      <c r="A2133" t="s">
        <v>6299</v>
      </c>
      <c r="B2133" t="str">
        <f xml:space="preserve"> "" &amp; 747396064185</f>
        <v>747396064185</v>
      </c>
      <c r="C2133" t="s">
        <v>6300</v>
      </c>
      <c r="D2133" t="s">
        <v>7453</v>
      </c>
      <c r="E2133" t="s">
        <v>7528</v>
      </c>
      <c r="F2133" t="s">
        <v>627</v>
      </c>
      <c r="G2133">
        <v>1</v>
      </c>
      <c r="H2133">
        <v>1</v>
      </c>
      <c r="I2133" t="s">
        <v>97</v>
      </c>
      <c r="J2133" s="10">
        <v>6</v>
      </c>
      <c r="K2133" s="10">
        <v>18</v>
      </c>
      <c r="L2133" s="10">
        <v>0</v>
      </c>
      <c r="N2133" s="10">
        <v>0</v>
      </c>
      <c r="T2133">
        <v>9.8800000000000008</v>
      </c>
      <c r="U2133">
        <v>8.8800000000000008</v>
      </c>
      <c r="W2133">
        <v>1</v>
      </c>
      <c r="AB2133">
        <v>1.0999999999999999E-2</v>
      </c>
      <c r="AC2133">
        <v>0.77</v>
      </c>
      <c r="AF2133" t="s">
        <v>7528</v>
      </c>
      <c r="AK2133" t="s">
        <v>98</v>
      </c>
      <c r="AM2133" t="s">
        <v>98</v>
      </c>
      <c r="AN2133" t="s">
        <v>98</v>
      </c>
      <c r="AO2133" t="s">
        <v>98</v>
      </c>
      <c r="AP2133" t="s">
        <v>100</v>
      </c>
      <c r="AQ2133" t="s">
        <v>101</v>
      </c>
      <c r="AV2133" t="s">
        <v>98</v>
      </c>
      <c r="AX2133" t="s">
        <v>7528</v>
      </c>
      <c r="AZ2133" t="s">
        <v>7528</v>
      </c>
      <c r="BB2133" t="s">
        <v>7528</v>
      </c>
      <c r="BC2133" t="s">
        <v>7528</v>
      </c>
      <c r="BD2133" t="s">
        <v>7528</v>
      </c>
      <c r="BF2133" t="s">
        <v>6301</v>
      </c>
      <c r="BG2133" t="s">
        <v>98</v>
      </c>
      <c r="BH2133" t="s">
        <v>98</v>
      </c>
      <c r="BI2133" t="s">
        <v>98</v>
      </c>
      <c r="BK2133" t="s">
        <v>7528</v>
      </c>
      <c r="BL2133" t="s">
        <v>7528</v>
      </c>
      <c r="CA2133" t="s">
        <v>6299</v>
      </c>
      <c r="CB2133" t="s">
        <v>7528</v>
      </c>
      <c r="CL2133" t="s">
        <v>98</v>
      </c>
      <c r="CM2133" t="s">
        <v>98</v>
      </c>
      <c r="CN2133" t="s">
        <v>7528</v>
      </c>
      <c r="CO2133" s="1">
        <v>40583</v>
      </c>
      <c r="CP2133" s="1">
        <v>43633</v>
      </c>
    </row>
    <row r="2134" spans="1:94" x14ac:dyDescent="0.25">
      <c r="A2134" t="s">
        <v>6302</v>
      </c>
      <c r="B2134" t="str">
        <f xml:space="preserve"> "" &amp; 747396065267</f>
        <v>747396065267</v>
      </c>
      <c r="C2134" t="s">
        <v>6303</v>
      </c>
      <c r="D2134" t="s">
        <v>7454</v>
      </c>
      <c r="E2134" t="s">
        <v>7528</v>
      </c>
      <c r="F2134" t="s">
        <v>627</v>
      </c>
      <c r="G2134">
        <v>1</v>
      </c>
      <c r="H2134">
        <v>1</v>
      </c>
      <c r="I2134" t="s">
        <v>97</v>
      </c>
      <c r="J2134" s="10">
        <v>3</v>
      </c>
      <c r="K2134" s="10">
        <v>9</v>
      </c>
      <c r="L2134" s="10">
        <v>0</v>
      </c>
      <c r="N2134" s="10">
        <v>0</v>
      </c>
      <c r="T2134">
        <v>4.38</v>
      </c>
      <c r="U2134">
        <v>4</v>
      </c>
      <c r="W2134">
        <v>1</v>
      </c>
      <c r="AB2134">
        <v>1.2E-2</v>
      </c>
      <c r="AC2134">
        <v>0.22</v>
      </c>
      <c r="AF2134" t="s">
        <v>7528</v>
      </c>
      <c r="AK2134" t="s">
        <v>98</v>
      </c>
      <c r="AM2134" t="s">
        <v>98</v>
      </c>
      <c r="AN2134" t="s">
        <v>98</v>
      </c>
      <c r="AO2134" t="s">
        <v>98</v>
      </c>
      <c r="AP2134" t="s">
        <v>100</v>
      </c>
      <c r="AQ2134" t="s">
        <v>101</v>
      </c>
      <c r="AV2134" t="s">
        <v>98</v>
      </c>
      <c r="AX2134" t="s">
        <v>7528</v>
      </c>
      <c r="AZ2134" t="s">
        <v>7528</v>
      </c>
      <c r="BB2134" t="s">
        <v>7528</v>
      </c>
      <c r="BC2134" t="s">
        <v>7528</v>
      </c>
      <c r="BD2134" t="s">
        <v>7528</v>
      </c>
      <c r="BF2134" t="s">
        <v>6304</v>
      </c>
      <c r="BG2134" t="s">
        <v>98</v>
      </c>
      <c r="BH2134" t="s">
        <v>98</v>
      </c>
      <c r="BI2134" t="s">
        <v>98</v>
      </c>
      <c r="BK2134" t="s">
        <v>7528</v>
      </c>
      <c r="BL2134" t="s">
        <v>7528</v>
      </c>
      <c r="CA2134" t="s">
        <v>6302</v>
      </c>
      <c r="CB2134" t="s">
        <v>7528</v>
      </c>
      <c r="CL2134" t="s">
        <v>98</v>
      </c>
      <c r="CM2134" t="s">
        <v>98</v>
      </c>
      <c r="CN2134" t="s">
        <v>7528</v>
      </c>
      <c r="CO2134" s="1">
        <v>40583</v>
      </c>
      <c r="CP2134" s="1">
        <v>43633</v>
      </c>
    </row>
    <row r="2135" spans="1:94" x14ac:dyDescent="0.25">
      <c r="A2135" t="s">
        <v>6305</v>
      </c>
      <c r="B2135" t="str">
        <f xml:space="preserve"> "" &amp; 747396065274</f>
        <v>747396065274</v>
      </c>
      <c r="C2135" t="s">
        <v>6306</v>
      </c>
      <c r="D2135" t="s">
        <v>7454</v>
      </c>
      <c r="E2135" t="s">
        <v>7528</v>
      </c>
      <c r="F2135" t="s">
        <v>627</v>
      </c>
      <c r="G2135">
        <v>1</v>
      </c>
      <c r="H2135">
        <v>1</v>
      </c>
      <c r="I2135" t="s">
        <v>97</v>
      </c>
      <c r="J2135" s="10">
        <v>6</v>
      </c>
      <c r="K2135" s="10">
        <v>18</v>
      </c>
      <c r="L2135" s="10">
        <v>0</v>
      </c>
      <c r="N2135" s="10">
        <v>0</v>
      </c>
      <c r="T2135">
        <v>9.5</v>
      </c>
      <c r="U2135">
        <v>8.6300000000000008</v>
      </c>
      <c r="W2135">
        <v>1</v>
      </c>
      <c r="AB2135">
        <v>3.3300000000000003E-2</v>
      </c>
      <c r="AC2135">
        <v>0.95</v>
      </c>
      <c r="AF2135" t="s">
        <v>7528</v>
      </c>
      <c r="AK2135" t="s">
        <v>98</v>
      </c>
      <c r="AM2135" t="s">
        <v>98</v>
      </c>
      <c r="AN2135" t="s">
        <v>98</v>
      </c>
      <c r="AO2135" t="s">
        <v>98</v>
      </c>
      <c r="AP2135" t="s">
        <v>100</v>
      </c>
      <c r="AQ2135" t="s">
        <v>101</v>
      </c>
      <c r="AV2135" t="s">
        <v>98</v>
      </c>
      <c r="AX2135" t="s">
        <v>7528</v>
      </c>
      <c r="AZ2135" t="s">
        <v>7528</v>
      </c>
      <c r="BB2135" t="s">
        <v>7528</v>
      </c>
      <c r="BC2135" t="s">
        <v>7528</v>
      </c>
      <c r="BD2135" t="s">
        <v>7528</v>
      </c>
      <c r="BF2135" t="s">
        <v>6307</v>
      </c>
      <c r="BG2135" t="s">
        <v>98</v>
      </c>
      <c r="BH2135" t="s">
        <v>98</v>
      </c>
      <c r="BI2135" t="s">
        <v>98</v>
      </c>
      <c r="BK2135" t="s">
        <v>7528</v>
      </c>
      <c r="BL2135" t="s">
        <v>7528</v>
      </c>
      <c r="CA2135" t="s">
        <v>6305</v>
      </c>
      <c r="CB2135" t="s">
        <v>7528</v>
      </c>
      <c r="CL2135" t="s">
        <v>98</v>
      </c>
      <c r="CM2135" t="s">
        <v>98</v>
      </c>
      <c r="CN2135" t="s">
        <v>7528</v>
      </c>
      <c r="CO2135" s="1">
        <v>40583</v>
      </c>
      <c r="CP2135" s="1">
        <v>43633</v>
      </c>
    </row>
    <row r="2136" spans="1:94" x14ac:dyDescent="0.25">
      <c r="A2136" t="s">
        <v>6308</v>
      </c>
      <c r="B2136" t="str">
        <f xml:space="preserve"> "" &amp; 747396065281</f>
        <v>747396065281</v>
      </c>
      <c r="C2136" t="s">
        <v>6309</v>
      </c>
      <c r="D2136" t="s">
        <v>7455</v>
      </c>
      <c r="E2136" t="s">
        <v>7528</v>
      </c>
      <c r="F2136" t="s">
        <v>627</v>
      </c>
      <c r="G2136">
        <v>1</v>
      </c>
      <c r="H2136">
        <v>1</v>
      </c>
      <c r="I2136" t="s">
        <v>97</v>
      </c>
      <c r="J2136" s="10">
        <v>18.5</v>
      </c>
      <c r="K2136" s="10">
        <v>55.5</v>
      </c>
      <c r="L2136" s="10">
        <v>0</v>
      </c>
      <c r="N2136" s="10">
        <v>0</v>
      </c>
      <c r="T2136">
        <v>6.5</v>
      </c>
      <c r="U2136">
        <v>3.38</v>
      </c>
      <c r="W2136">
        <v>0.59</v>
      </c>
      <c r="Y2136">
        <v>6</v>
      </c>
      <c r="Z2136">
        <v>12</v>
      </c>
      <c r="AA2136">
        <v>10.5</v>
      </c>
      <c r="AB2136">
        <v>0.438</v>
      </c>
      <c r="AC2136">
        <v>0.73</v>
      </c>
      <c r="AF2136" t="s">
        <v>7528</v>
      </c>
      <c r="AK2136" t="s">
        <v>98</v>
      </c>
      <c r="AM2136" t="s">
        <v>98</v>
      </c>
      <c r="AN2136" t="s">
        <v>98</v>
      </c>
      <c r="AO2136" t="s">
        <v>98</v>
      </c>
      <c r="AP2136" t="s">
        <v>100</v>
      </c>
      <c r="AQ2136" t="s">
        <v>101</v>
      </c>
      <c r="AV2136" t="s">
        <v>98</v>
      </c>
      <c r="AX2136" t="s">
        <v>7528</v>
      </c>
      <c r="AZ2136" t="s">
        <v>7528</v>
      </c>
      <c r="BB2136" t="s">
        <v>7528</v>
      </c>
      <c r="BC2136" t="s">
        <v>7528</v>
      </c>
      <c r="BD2136" t="s">
        <v>7528</v>
      </c>
      <c r="BF2136" t="s">
        <v>6310</v>
      </c>
      <c r="BG2136" t="s">
        <v>98</v>
      </c>
      <c r="BH2136" t="s">
        <v>98</v>
      </c>
      <c r="BI2136" t="s">
        <v>98</v>
      </c>
      <c r="BK2136" t="s">
        <v>7528</v>
      </c>
      <c r="BL2136" t="s">
        <v>7528</v>
      </c>
      <c r="CA2136" t="s">
        <v>6308</v>
      </c>
      <c r="CB2136" t="s">
        <v>7528</v>
      </c>
      <c r="CL2136" t="s">
        <v>98</v>
      </c>
      <c r="CM2136" t="s">
        <v>98</v>
      </c>
      <c r="CN2136" t="s">
        <v>7528</v>
      </c>
      <c r="CO2136" s="1">
        <v>40583</v>
      </c>
      <c r="CP2136" s="1">
        <v>43633</v>
      </c>
    </row>
    <row r="2137" spans="1:94" x14ac:dyDescent="0.25">
      <c r="A2137" t="s">
        <v>6311</v>
      </c>
      <c r="B2137" t="str">
        <f xml:space="preserve"> "" &amp; 747396065298</f>
        <v>747396065298</v>
      </c>
      <c r="C2137" t="s">
        <v>6309</v>
      </c>
      <c r="D2137" t="s">
        <v>7456</v>
      </c>
      <c r="E2137" t="s">
        <v>7528</v>
      </c>
      <c r="F2137" t="s">
        <v>627</v>
      </c>
      <c r="G2137">
        <v>1</v>
      </c>
      <c r="H2137">
        <v>1</v>
      </c>
      <c r="I2137" t="s">
        <v>97</v>
      </c>
      <c r="J2137" s="10">
        <v>14.5</v>
      </c>
      <c r="K2137" s="10">
        <v>43.5</v>
      </c>
      <c r="L2137" s="10">
        <v>0</v>
      </c>
      <c r="N2137" s="10">
        <v>0</v>
      </c>
      <c r="T2137">
        <v>9.1300000000000008</v>
      </c>
      <c r="U2137">
        <v>5.25</v>
      </c>
      <c r="W2137">
        <v>1.1399999999999999</v>
      </c>
      <c r="Y2137">
        <v>6.13</v>
      </c>
      <c r="Z2137">
        <v>17.75</v>
      </c>
      <c r="AA2137">
        <v>13.38</v>
      </c>
      <c r="AB2137">
        <v>0.84299999999999997</v>
      </c>
      <c r="AC2137">
        <v>1.32</v>
      </c>
      <c r="AF2137" t="s">
        <v>7528</v>
      </c>
      <c r="AK2137" t="s">
        <v>98</v>
      </c>
      <c r="AM2137" t="s">
        <v>98</v>
      </c>
      <c r="AN2137" t="s">
        <v>98</v>
      </c>
      <c r="AO2137" t="s">
        <v>98</v>
      </c>
      <c r="AP2137" t="s">
        <v>100</v>
      </c>
      <c r="AQ2137" t="s">
        <v>101</v>
      </c>
      <c r="AV2137" t="s">
        <v>98</v>
      </c>
      <c r="AX2137" t="s">
        <v>7528</v>
      </c>
      <c r="AZ2137" t="s">
        <v>7528</v>
      </c>
      <c r="BB2137" t="s">
        <v>7528</v>
      </c>
      <c r="BC2137" t="s">
        <v>7528</v>
      </c>
      <c r="BD2137" t="s">
        <v>7528</v>
      </c>
      <c r="BF2137" t="s">
        <v>6312</v>
      </c>
      <c r="BG2137" t="s">
        <v>98</v>
      </c>
      <c r="BH2137" t="s">
        <v>98</v>
      </c>
      <c r="BI2137" t="s">
        <v>98</v>
      </c>
      <c r="BK2137" t="s">
        <v>7528</v>
      </c>
      <c r="BL2137" t="s">
        <v>7528</v>
      </c>
      <c r="CA2137" t="s">
        <v>6311</v>
      </c>
      <c r="CB2137" t="s">
        <v>7528</v>
      </c>
      <c r="CL2137" t="s">
        <v>98</v>
      </c>
      <c r="CM2137" t="s">
        <v>98</v>
      </c>
      <c r="CN2137" t="s">
        <v>7528</v>
      </c>
      <c r="CO2137" s="1">
        <v>40584</v>
      </c>
      <c r="CP2137" s="1">
        <v>43633</v>
      </c>
    </row>
    <row r="2138" spans="1:94" x14ac:dyDescent="0.25">
      <c r="A2138" t="s">
        <v>6313</v>
      </c>
      <c r="B2138" t="str">
        <f xml:space="preserve"> "" &amp; 747396065304</f>
        <v>747396065304</v>
      </c>
      <c r="C2138" t="s">
        <v>6309</v>
      </c>
      <c r="D2138" t="s">
        <v>7457</v>
      </c>
      <c r="E2138" t="s">
        <v>7528</v>
      </c>
      <c r="F2138" t="s">
        <v>627</v>
      </c>
      <c r="G2138">
        <v>1</v>
      </c>
      <c r="H2138">
        <v>1</v>
      </c>
      <c r="I2138" t="s">
        <v>97</v>
      </c>
      <c r="J2138" s="10">
        <v>30</v>
      </c>
      <c r="K2138" s="10">
        <v>90</v>
      </c>
      <c r="L2138" s="10">
        <v>0</v>
      </c>
      <c r="N2138" s="10">
        <v>0</v>
      </c>
      <c r="T2138">
        <v>11.63</v>
      </c>
      <c r="U2138">
        <v>6.38</v>
      </c>
      <c r="W2138">
        <v>2.2000000000000002</v>
      </c>
      <c r="Y2138">
        <v>7.25</v>
      </c>
      <c r="Z2138">
        <v>20</v>
      </c>
      <c r="AA2138">
        <v>16.13</v>
      </c>
      <c r="AB2138">
        <v>1.3540000000000001</v>
      </c>
      <c r="AC2138">
        <v>2.5099999999999998</v>
      </c>
      <c r="AF2138" t="s">
        <v>7528</v>
      </c>
      <c r="AK2138" t="s">
        <v>98</v>
      </c>
      <c r="AM2138" t="s">
        <v>98</v>
      </c>
      <c r="AN2138" t="s">
        <v>98</v>
      </c>
      <c r="AO2138" t="s">
        <v>98</v>
      </c>
      <c r="AP2138" t="s">
        <v>100</v>
      </c>
      <c r="AQ2138" t="s">
        <v>101</v>
      </c>
      <c r="AV2138" t="s">
        <v>98</v>
      </c>
      <c r="AX2138" t="s">
        <v>7528</v>
      </c>
      <c r="AZ2138" t="s">
        <v>7528</v>
      </c>
      <c r="BB2138" t="s">
        <v>7528</v>
      </c>
      <c r="BC2138" t="s">
        <v>7528</v>
      </c>
      <c r="BD2138" t="s">
        <v>7528</v>
      </c>
      <c r="BF2138" t="s">
        <v>6314</v>
      </c>
      <c r="BG2138" t="s">
        <v>98</v>
      </c>
      <c r="BH2138" t="s">
        <v>98</v>
      </c>
      <c r="BI2138" t="s">
        <v>98</v>
      </c>
      <c r="BK2138" t="s">
        <v>7528</v>
      </c>
      <c r="BL2138" t="s">
        <v>7528</v>
      </c>
      <c r="CA2138" t="s">
        <v>6313</v>
      </c>
      <c r="CB2138" t="s">
        <v>7528</v>
      </c>
      <c r="CL2138" t="s">
        <v>98</v>
      </c>
      <c r="CM2138" t="s">
        <v>98</v>
      </c>
      <c r="CN2138" t="s">
        <v>7528</v>
      </c>
      <c r="CO2138" s="1">
        <v>40584</v>
      </c>
      <c r="CP2138" s="1">
        <v>43633</v>
      </c>
    </row>
    <row r="2139" spans="1:94" x14ac:dyDescent="0.25">
      <c r="A2139" t="s">
        <v>6315</v>
      </c>
      <c r="B2139" t="str">
        <f xml:space="preserve"> "" &amp; 747396081144</f>
        <v>747396081144</v>
      </c>
      <c r="C2139" t="s">
        <v>4934</v>
      </c>
      <c r="D2139" t="s">
        <v>7458</v>
      </c>
      <c r="E2139" t="s">
        <v>7528</v>
      </c>
      <c r="F2139" t="s">
        <v>627</v>
      </c>
      <c r="G2139">
        <v>1</v>
      </c>
      <c r="H2139">
        <v>1</v>
      </c>
      <c r="I2139" t="s">
        <v>97</v>
      </c>
      <c r="J2139" s="10">
        <v>4.5</v>
      </c>
      <c r="K2139" s="10">
        <v>13.5</v>
      </c>
      <c r="L2139" s="10">
        <v>0</v>
      </c>
      <c r="N2139" s="10">
        <v>0</v>
      </c>
      <c r="S2139">
        <v>13</v>
      </c>
      <c r="U2139">
        <v>2.38</v>
      </c>
      <c r="W2139">
        <v>0.09</v>
      </c>
      <c r="Y2139">
        <v>4.38</v>
      </c>
      <c r="Z2139">
        <v>8.6300000000000008</v>
      </c>
      <c r="AA2139">
        <v>7.88</v>
      </c>
      <c r="AB2139">
        <v>0.17199999999999999</v>
      </c>
      <c r="AC2139">
        <v>0.12</v>
      </c>
      <c r="AF2139" t="s">
        <v>7528</v>
      </c>
      <c r="AK2139" t="s">
        <v>98</v>
      </c>
      <c r="AM2139" t="s">
        <v>98</v>
      </c>
      <c r="AN2139" t="s">
        <v>98</v>
      </c>
      <c r="AO2139" t="s">
        <v>98</v>
      </c>
      <c r="AP2139" t="s">
        <v>100</v>
      </c>
      <c r="AQ2139" t="s">
        <v>101</v>
      </c>
      <c r="AV2139" t="s">
        <v>98</v>
      </c>
      <c r="AX2139" t="s">
        <v>7528</v>
      </c>
      <c r="AZ2139" t="s">
        <v>7528</v>
      </c>
      <c r="BB2139" t="s">
        <v>7528</v>
      </c>
      <c r="BC2139" t="s">
        <v>7528</v>
      </c>
      <c r="BD2139" t="s">
        <v>7528</v>
      </c>
      <c r="BF2139" t="s">
        <v>6316</v>
      </c>
      <c r="BG2139" t="s">
        <v>98</v>
      </c>
      <c r="BH2139" t="s">
        <v>98</v>
      </c>
      <c r="BI2139" t="s">
        <v>98</v>
      </c>
      <c r="BK2139" t="s">
        <v>7528</v>
      </c>
      <c r="BL2139" t="s">
        <v>7528</v>
      </c>
      <c r="CA2139" t="s">
        <v>6315</v>
      </c>
      <c r="CB2139" t="s">
        <v>7528</v>
      </c>
      <c r="CL2139" t="s">
        <v>98</v>
      </c>
      <c r="CM2139" t="s">
        <v>98</v>
      </c>
      <c r="CN2139" t="s">
        <v>7528</v>
      </c>
      <c r="CO2139" s="1">
        <v>40752</v>
      </c>
      <c r="CP2139" s="1">
        <v>43633</v>
      </c>
    </row>
    <row r="2140" spans="1:94" x14ac:dyDescent="0.25">
      <c r="A2140" t="s">
        <v>6317</v>
      </c>
      <c r="B2140" t="str">
        <f xml:space="preserve"> "" &amp; 747396081151</f>
        <v>747396081151</v>
      </c>
      <c r="C2140" t="s">
        <v>4934</v>
      </c>
      <c r="D2140" t="s">
        <v>7459</v>
      </c>
      <c r="E2140" t="s">
        <v>7528</v>
      </c>
      <c r="F2140" t="s">
        <v>627</v>
      </c>
      <c r="G2140">
        <v>1</v>
      </c>
      <c r="H2140">
        <v>1</v>
      </c>
      <c r="I2140" t="s">
        <v>97</v>
      </c>
      <c r="J2140" s="10">
        <v>6</v>
      </c>
      <c r="K2140" s="10">
        <v>18</v>
      </c>
      <c r="L2140" s="10">
        <v>0</v>
      </c>
      <c r="N2140" s="10">
        <v>0</v>
      </c>
      <c r="S2140">
        <v>13</v>
      </c>
      <c r="U2140">
        <v>3.13</v>
      </c>
      <c r="W2140">
        <v>0.16</v>
      </c>
      <c r="Y2140">
        <v>5.25</v>
      </c>
      <c r="Z2140">
        <v>9.5</v>
      </c>
      <c r="AA2140">
        <v>9.5</v>
      </c>
      <c r="AB2140">
        <v>0.27400000000000002</v>
      </c>
      <c r="AC2140">
        <v>0.2</v>
      </c>
      <c r="AF2140" t="s">
        <v>7528</v>
      </c>
      <c r="AK2140" t="s">
        <v>98</v>
      </c>
      <c r="AM2140" t="s">
        <v>98</v>
      </c>
      <c r="AN2140" t="s">
        <v>98</v>
      </c>
      <c r="AO2140" t="s">
        <v>98</v>
      </c>
      <c r="AP2140" t="s">
        <v>100</v>
      </c>
      <c r="AQ2140" t="s">
        <v>101</v>
      </c>
      <c r="AV2140" t="s">
        <v>98</v>
      </c>
      <c r="AX2140" t="s">
        <v>7528</v>
      </c>
      <c r="AZ2140" t="s">
        <v>7528</v>
      </c>
      <c r="BB2140" t="s">
        <v>7528</v>
      </c>
      <c r="BC2140" t="s">
        <v>7528</v>
      </c>
      <c r="BD2140" t="s">
        <v>7528</v>
      </c>
      <c r="BF2140" t="s">
        <v>6318</v>
      </c>
      <c r="BG2140" t="s">
        <v>98</v>
      </c>
      <c r="BH2140" t="s">
        <v>98</v>
      </c>
      <c r="BI2140" t="s">
        <v>98</v>
      </c>
      <c r="BK2140" t="s">
        <v>7528</v>
      </c>
      <c r="BL2140" t="s">
        <v>7528</v>
      </c>
      <c r="CA2140" t="s">
        <v>6317</v>
      </c>
      <c r="CB2140" t="s">
        <v>7528</v>
      </c>
      <c r="CL2140" t="s">
        <v>98</v>
      </c>
      <c r="CM2140" t="s">
        <v>98</v>
      </c>
      <c r="CN2140" t="s">
        <v>7528</v>
      </c>
      <c r="CO2140" s="1">
        <v>40752</v>
      </c>
      <c r="CP2140" s="1">
        <v>43633</v>
      </c>
    </row>
    <row r="2141" spans="1:94" x14ac:dyDescent="0.25">
      <c r="A2141" t="s">
        <v>6319</v>
      </c>
      <c r="B2141" t="str">
        <f xml:space="preserve"> "" &amp; 747396081212</f>
        <v>747396081212</v>
      </c>
      <c r="C2141" t="s">
        <v>1064</v>
      </c>
      <c r="D2141" t="s">
        <v>7460</v>
      </c>
      <c r="E2141" t="s">
        <v>7528</v>
      </c>
      <c r="F2141" t="s">
        <v>627</v>
      </c>
      <c r="G2141">
        <v>1</v>
      </c>
      <c r="H2141">
        <v>1</v>
      </c>
      <c r="I2141" t="s">
        <v>97</v>
      </c>
      <c r="J2141" s="10">
        <v>42.5</v>
      </c>
      <c r="K2141" s="10">
        <v>127.5</v>
      </c>
      <c r="L2141" s="10">
        <v>0</v>
      </c>
      <c r="N2141" s="10">
        <v>0</v>
      </c>
      <c r="W2141">
        <v>1</v>
      </c>
      <c r="AB2141">
        <v>0.73</v>
      </c>
      <c r="AC2141">
        <v>2.75</v>
      </c>
      <c r="AF2141" t="s">
        <v>7528</v>
      </c>
      <c r="AK2141" t="s">
        <v>98</v>
      </c>
      <c r="AM2141" t="s">
        <v>98</v>
      </c>
      <c r="AN2141" t="s">
        <v>98</v>
      </c>
      <c r="AO2141" t="s">
        <v>98</v>
      </c>
      <c r="AP2141" t="s">
        <v>100</v>
      </c>
      <c r="AQ2141" t="s">
        <v>101</v>
      </c>
      <c r="AV2141" t="s">
        <v>98</v>
      </c>
      <c r="AX2141" t="s">
        <v>7528</v>
      </c>
      <c r="AZ2141" t="s">
        <v>7528</v>
      </c>
      <c r="BB2141" t="s">
        <v>7528</v>
      </c>
      <c r="BC2141" t="s">
        <v>7528</v>
      </c>
      <c r="BD2141" t="s">
        <v>7528</v>
      </c>
      <c r="BF2141" t="s">
        <v>6320</v>
      </c>
      <c r="BG2141" t="s">
        <v>98</v>
      </c>
      <c r="BH2141" t="s">
        <v>98</v>
      </c>
      <c r="BI2141" t="s">
        <v>98</v>
      </c>
      <c r="BK2141" t="s">
        <v>7528</v>
      </c>
      <c r="BL2141" t="s">
        <v>7528</v>
      </c>
      <c r="CA2141" t="s">
        <v>6319</v>
      </c>
      <c r="CB2141" t="s">
        <v>7528</v>
      </c>
      <c r="CL2141" t="s">
        <v>98</v>
      </c>
      <c r="CM2141" t="s">
        <v>98</v>
      </c>
      <c r="CN2141" t="s">
        <v>7528</v>
      </c>
      <c r="CO2141" s="1">
        <v>40707</v>
      </c>
      <c r="CP2141" s="1">
        <v>43633</v>
      </c>
    </row>
    <row r="2142" spans="1:94" x14ac:dyDescent="0.25">
      <c r="A2142" t="s">
        <v>6321</v>
      </c>
      <c r="B2142" t="str">
        <f xml:space="preserve"> "" &amp; 747396081229</f>
        <v>747396081229</v>
      </c>
      <c r="C2142" t="s">
        <v>1064</v>
      </c>
      <c r="D2142" t="s">
        <v>7461</v>
      </c>
      <c r="E2142" t="s">
        <v>7528</v>
      </c>
      <c r="F2142" t="s">
        <v>627</v>
      </c>
      <c r="G2142">
        <v>1</v>
      </c>
      <c r="H2142">
        <v>1</v>
      </c>
      <c r="I2142" t="s">
        <v>97</v>
      </c>
      <c r="J2142" s="10">
        <v>64.5</v>
      </c>
      <c r="K2142" s="10">
        <v>193.5</v>
      </c>
      <c r="L2142" s="10">
        <v>0</v>
      </c>
      <c r="N2142" s="10">
        <v>0</v>
      </c>
      <c r="W2142">
        <v>1</v>
      </c>
      <c r="AB2142">
        <v>3.18</v>
      </c>
      <c r="AC2142">
        <v>3.3</v>
      </c>
      <c r="AF2142" t="s">
        <v>7528</v>
      </c>
      <c r="AK2142" t="s">
        <v>98</v>
      </c>
      <c r="AM2142" t="s">
        <v>98</v>
      </c>
      <c r="AN2142" t="s">
        <v>98</v>
      </c>
      <c r="AO2142" t="s">
        <v>98</v>
      </c>
      <c r="AP2142" t="s">
        <v>100</v>
      </c>
      <c r="AQ2142" t="s">
        <v>101</v>
      </c>
      <c r="AV2142" t="s">
        <v>98</v>
      </c>
      <c r="AX2142" t="s">
        <v>7528</v>
      </c>
      <c r="AZ2142" t="s">
        <v>7528</v>
      </c>
      <c r="BB2142" t="s">
        <v>7528</v>
      </c>
      <c r="BC2142" t="s">
        <v>7528</v>
      </c>
      <c r="BD2142" t="s">
        <v>7528</v>
      </c>
      <c r="BF2142" t="s">
        <v>6322</v>
      </c>
      <c r="BG2142" t="s">
        <v>98</v>
      </c>
      <c r="BH2142" t="s">
        <v>98</v>
      </c>
      <c r="BI2142" t="s">
        <v>98</v>
      </c>
      <c r="BK2142" t="s">
        <v>7528</v>
      </c>
      <c r="BL2142" t="s">
        <v>7528</v>
      </c>
      <c r="CA2142" t="s">
        <v>6321</v>
      </c>
      <c r="CB2142" t="s">
        <v>7528</v>
      </c>
      <c r="CL2142" t="s">
        <v>98</v>
      </c>
      <c r="CM2142" t="s">
        <v>98</v>
      </c>
      <c r="CN2142" t="s">
        <v>7528</v>
      </c>
      <c r="CO2142" s="1">
        <v>40707</v>
      </c>
      <c r="CP2142" s="1">
        <v>43633</v>
      </c>
    </row>
    <row r="2143" spans="1:94" x14ac:dyDescent="0.25">
      <c r="A2143" t="s">
        <v>6323</v>
      </c>
      <c r="B2143" t="str">
        <f xml:space="preserve"> "" &amp; 747396069951</f>
        <v>747396069951</v>
      </c>
      <c r="C2143" t="s">
        <v>6324</v>
      </c>
      <c r="D2143" t="s">
        <v>7462</v>
      </c>
      <c r="E2143" t="s">
        <v>7528</v>
      </c>
      <c r="F2143" t="s">
        <v>627</v>
      </c>
      <c r="G2143">
        <v>1</v>
      </c>
      <c r="H2143">
        <v>1</v>
      </c>
      <c r="I2143" t="s">
        <v>97</v>
      </c>
      <c r="J2143" s="10">
        <v>30</v>
      </c>
      <c r="K2143" s="10">
        <v>90</v>
      </c>
      <c r="L2143" s="10">
        <v>0</v>
      </c>
      <c r="N2143" s="10">
        <v>0</v>
      </c>
      <c r="S2143">
        <v>5</v>
      </c>
      <c r="U2143">
        <v>15.75</v>
      </c>
      <c r="W2143">
        <v>3.52</v>
      </c>
      <c r="Y2143">
        <v>7.75</v>
      </c>
      <c r="Z2143">
        <v>17.75</v>
      </c>
      <c r="AA2143">
        <v>17.75</v>
      </c>
      <c r="AB2143">
        <v>1.413</v>
      </c>
      <c r="AC2143">
        <v>4.84</v>
      </c>
      <c r="AF2143" t="s">
        <v>7528</v>
      </c>
      <c r="AK2143" t="s">
        <v>98</v>
      </c>
      <c r="AM2143" t="s">
        <v>98</v>
      </c>
      <c r="AN2143" t="s">
        <v>98</v>
      </c>
      <c r="AO2143" t="s">
        <v>98</v>
      </c>
      <c r="AP2143" t="s">
        <v>100</v>
      </c>
      <c r="AQ2143" t="s">
        <v>101</v>
      </c>
      <c r="AV2143" t="s">
        <v>98</v>
      </c>
      <c r="AX2143" t="s">
        <v>7528</v>
      </c>
      <c r="AZ2143" t="s">
        <v>7528</v>
      </c>
      <c r="BB2143" t="s">
        <v>7528</v>
      </c>
      <c r="BC2143" t="s">
        <v>7528</v>
      </c>
      <c r="BD2143" t="s">
        <v>7528</v>
      </c>
      <c r="BF2143" t="s">
        <v>6325</v>
      </c>
      <c r="BG2143" t="s">
        <v>98</v>
      </c>
      <c r="BH2143" t="s">
        <v>98</v>
      </c>
      <c r="BI2143" t="s">
        <v>98</v>
      </c>
      <c r="BK2143" t="s">
        <v>7528</v>
      </c>
      <c r="BL2143" t="s">
        <v>7528</v>
      </c>
      <c r="CA2143" t="s">
        <v>6323</v>
      </c>
      <c r="CB2143" t="s">
        <v>7528</v>
      </c>
      <c r="CL2143" t="s">
        <v>98</v>
      </c>
      <c r="CM2143" t="s">
        <v>98</v>
      </c>
      <c r="CN2143" t="s">
        <v>7528</v>
      </c>
      <c r="CO2143" s="1">
        <v>40284</v>
      </c>
      <c r="CP2143" s="1">
        <v>43633</v>
      </c>
    </row>
    <row r="2144" spans="1:94" x14ac:dyDescent="0.25">
      <c r="A2144" t="s">
        <v>6326</v>
      </c>
      <c r="B2144" t="str">
        <f xml:space="preserve"> "" &amp; 747396070346</f>
        <v>747396070346</v>
      </c>
      <c r="C2144" t="s">
        <v>6327</v>
      </c>
      <c r="D2144" t="s">
        <v>7463</v>
      </c>
      <c r="E2144" t="s">
        <v>7528</v>
      </c>
      <c r="F2144" t="s">
        <v>627</v>
      </c>
      <c r="G2144">
        <v>1</v>
      </c>
      <c r="H2144">
        <v>1</v>
      </c>
      <c r="I2144" t="s">
        <v>97</v>
      </c>
      <c r="J2144" s="10">
        <v>45</v>
      </c>
      <c r="K2144" s="10">
        <v>135</v>
      </c>
      <c r="L2144" s="10">
        <v>0</v>
      </c>
      <c r="N2144" s="10">
        <v>0</v>
      </c>
      <c r="S2144">
        <v>5</v>
      </c>
      <c r="U2144">
        <v>15.75</v>
      </c>
      <c r="W2144">
        <v>3.52</v>
      </c>
      <c r="Y2144">
        <v>0</v>
      </c>
      <c r="Z2144">
        <v>0</v>
      </c>
      <c r="AA2144">
        <v>0</v>
      </c>
      <c r="AB2144">
        <v>0</v>
      </c>
      <c r="AC2144">
        <v>4.84</v>
      </c>
      <c r="AF2144" t="s">
        <v>7528</v>
      </c>
      <c r="AK2144" t="s">
        <v>98</v>
      </c>
      <c r="AM2144" t="s">
        <v>98</v>
      </c>
      <c r="AN2144" t="s">
        <v>98</v>
      </c>
      <c r="AO2144" t="s">
        <v>98</v>
      </c>
      <c r="AP2144" t="s">
        <v>100</v>
      </c>
      <c r="AQ2144" t="s">
        <v>101</v>
      </c>
      <c r="AV2144" t="s">
        <v>98</v>
      </c>
      <c r="AX2144" t="s">
        <v>7528</v>
      </c>
      <c r="AZ2144" t="s">
        <v>7528</v>
      </c>
      <c r="BB2144" t="s">
        <v>7528</v>
      </c>
      <c r="BC2144" t="s">
        <v>7528</v>
      </c>
      <c r="BD2144" t="s">
        <v>7528</v>
      </c>
      <c r="BF2144" t="s">
        <v>6328</v>
      </c>
      <c r="BG2144" t="s">
        <v>98</v>
      </c>
      <c r="BH2144" t="s">
        <v>98</v>
      </c>
      <c r="BI2144" t="s">
        <v>98</v>
      </c>
      <c r="BK2144" t="s">
        <v>7528</v>
      </c>
      <c r="BL2144" t="s">
        <v>7528</v>
      </c>
      <c r="CA2144" t="s">
        <v>6326</v>
      </c>
      <c r="CB2144" t="s">
        <v>7528</v>
      </c>
      <c r="CL2144" t="s">
        <v>98</v>
      </c>
      <c r="CM2144" t="s">
        <v>98</v>
      </c>
      <c r="CN2144" t="s">
        <v>7528</v>
      </c>
      <c r="CO2144" s="1">
        <v>40284</v>
      </c>
      <c r="CP2144" s="1">
        <v>43595</v>
      </c>
    </row>
    <row r="2145" spans="1:94" x14ac:dyDescent="0.25">
      <c r="A2145" t="s">
        <v>6329</v>
      </c>
      <c r="B2145" t="str">
        <f xml:space="preserve"> "" &amp; 747396069999</f>
        <v>747396069999</v>
      </c>
      <c r="C2145" t="s">
        <v>6330</v>
      </c>
      <c r="D2145" t="s">
        <v>7464</v>
      </c>
      <c r="E2145" t="s">
        <v>7528</v>
      </c>
      <c r="F2145" t="s">
        <v>627</v>
      </c>
      <c r="G2145">
        <v>1</v>
      </c>
      <c r="H2145">
        <v>1</v>
      </c>
      <c r="I2145" t="s">
        <v>97</v>
      </c>
      <c r="J2145" s="10">
        <v>49.5</v>
      </c>
      <c r="K2145" s="10">
        <v>148.5</v>
      </c>
      <c r="L2145" s="10">
        <v>0</v>
      </c>
      <c r="N2145" s="10">
        <v>0</v>
      </c>
      <c r="S2145">
        <v>6.25</v>
      </c>
      <c r="U2145">
        <v>17</v>
      </c>
      <c r="W2145">
        <v>1.76</v>
      </c>
      <c r="AB2145">
        <v>0.22220000000000001</v>
      </c>
      <c r="AC2145">
        <v>2.13</v>
      </c>
      <c r="AF2145" t="s">
        <v>7528</v>
      </c>
      <c r="AK2145" t="s">
        <v>98</v>
      </c>
      <c r="AM2145" t="s">
        <v>98</v>
      </c>
      <c r="AN2145" t="s">
        <v>98</v>
      </c>
      <c r="AO2145" t="s">
        <v>98</v>
      </c>
      <c r="AP2145" t="s">
        <v>100</v>
      </c>
      <c r="AQ2145" t="s">
        <v>101</v>
      </c>
      <c r="AV2145" t="s">
        <v>98</v>
      </c>
      <c r="AX2145" t="s">
        <v>7528</v>
      </c>
      <c r="AZ2145" t="s">
        <v>7528</v>
      </c>
      <c r="BB2145" t="s">
        <v>7528</v>
      </c>
      <c r="BC2145" t="s">
        <v>7528</v>
      </c>
      <c r="BD2145" t="s">
        <v>7528</v>
      </c>
      <c r="BF2145" t="s">
        <v>6331</v>
      </c>
      <c r="BG2145" t="s">
        <v>98</v>
      </c>
      <c r="BH2145" t="s">
        <v>98</v>
      </c>
      <c r="BI2145" t="s">
        <v>98</v>
      </c>
      <c r="BK2145" t="s">
        <v>7528</v>
      </c>
      <c r="BL2145" t="s">
        <v>7528</v>
      </c>
      <c r="CA2145" t="s">
        <v>6329</v>
      </c>
      <c r="CB2145" t="s">
        <v>7528</v>
      </c>
      <c r="CL2145" t="s">
        <v>98</v>
      </c>
      <c r="CM2145" t="s">
        <v>98</v>
      </c>
      <c r="CN2145" t="s">
        <v>7528</v>
      </c>
      <c r="CO2145" s="1">
        <v>40284</v>
      </c>
      <c r="CP2145" s="1">
        <v>43633</v>
      </c>
    </row>
    <row r="2146" spans="1:94" x14ac:dyDescent="0.25">
      <c r="A2146" t="s">
        <v>6332</v>
      </c>
      <c r="B2146" t="str">
        <f xml:space="preserve"> "" &amp; 747396069982</f>
        <v>747396069982</v>
      </c>
      <c r="C2146" t="s">
        <v>6333</v>
      </c>
      <c r="D2146" t="s">
        <v>7465</v>
      </c>
      <c r="E2146" t="s">
        <v>7528</v>
      </c>
      <c r="F2146" t="s">
        <v>627</v>
      </c>
      <c r="G2146">
        <v>1</v>
      </c>
      <c r="H2146">
        <v>1</v>
      </c>
      <c r="I2146" t="s">
        <v>97</v>
      </c>
      <c r="J2146" s="10">
        <v>65</v>
      </c>
      <c r="K2146" s="10">
        <v>195</v>
      </c>
      <c r="L2146" s="10">
        <v>0</v>
      </c>
      <c r="N2146" s="10">
        <v>0</v>
      </c>
      <c r="S2146">
        <v>2.75</v>
      </c>
      <c r="U2146">
        <v>18.25</v>
      </c>
      <c r="W2146">
        <v>3.96</v>
      </c>
      <c r="Y2146">
        <v>5.5</v>
      </c>
      <c r="Z2146">
        <v>20.5</v>
      </c>
      <c r="AA2146">
        <v>20.5</v>
      </c>
      <c r="AB2146">
        <v>1.3380000000000001</v>
      </c>
      <c r="AC2146">
        <v>5.5</v>
      </c>
      <c r="AF2146" t="s">
        <v>7528</v>
      </c>
      <c r="AK2146" t="s">
        <v>98</v>
      </c>
      <c r="AM2146" t="s">
        <v>98</v>
      </c>
      <c r="AN2146" t="s">
        <v>98</v>
      </c>
      <c r="AO2146" t="s">
        <v>98</v>
      </c>
      <c r="AP2146" t="s">
        <v>100</v>
      </c>
      <c r="AQ2146" t="s">
        <v>101</v>
      </c>
      <c r="AV2146" t="s">
        <v>98</v>
      </c>
      <c r="AX2146" t="s">
        <v>7528</v>
      </c>
      <c r="AZ2146" t="s">
        <v>7528</v>
      </c>
      <c r="BB2146" t="s">
        <v>7528</v>
      </c>
      <c r="BC2146" t="s">
        <v>7528</v>
      </c>
      <c r="BD2146" t="s">
        <v>7528</v>
      </c>
      <c r="BF2146" t="s">
        <v>6334</v>
      </c>
      <c r="BG2146" t="s">
        <v>98</v>
      </c>
      <c r="BH2146" t="s">
        <v>98</v>
      </c>
      <c r="BI2146" t="s">
        <v>98</v>
      </c>
      <c r="BK2146" t="s">
        <v>7528</v>
      </c>
      <c r="BL2146" t="s">
        <v>7528</v>
      </c>
      <c r="CA2146" t="s">
        <v>6332</v>
      </c>
      <c r="CB2146" t="s">
        <v>7528</v>
      </c>
      <c r="CL2146" t="s">
        <v>98</v>
      </c>
      <c r="CM2146" t="s">
        <v>98</v>
      </c>
      <c r="CN2146" t="s">
        <v>7528</v>
      </c>
      <c r="CO2146" s="1">
        <v>40284</v>
      </c>
      <c r="CP2146" s="1">
        <v>43595</v>
      </c>
    </row>
    <row r="2147" spans="1:94" x14ac:dyDescent="0.25">
      <c r="A2147" t="s">
        <v>6335</v>
      </c>
      <c r="B2147" t="str">
        <f xml:space="preserve"> "" &amp; 747396042664</f>
        <v>747396042664</v>
      </c>
      <c r="C2147" t="s">
        <v>1501</v>
      </c>
      <c r="D2147" t="s">
        <v>7466</v>
      </c>
      <c r="E2147" t="s">
        <v>7528</v>
      </c>
      <c r="F2147" t="s">
        <v>627</v>
      </c>
      <c r="G2147">
        <v>1</v>
      </c>
      <c r="H2147">
        <v>1</v>
      </c>
      <c r="I2147" t="s">
        <v>97</v>
      </c>
      <c r="J2147" s="10">
        <v>20</v>
      </c>
      <c r="K2147" s="10">
        <v>60</v>
      </c>
      <c r="L2147" s="10">
        <v>0</v>
      </c>
      <c r="N2147" s="10">
        <v>0</v>
      </c>
      <c r="S2147">
        <v>9.25</v>
      </c>
      <c r="U2147">
        <v>5.88</v>
      </c>
      <c r="V2147">
        <v>2.88</v>
      </c>
      <c r="W2147">
        <v>0.94</v>
      </c>
      <c r="X2147">
        <v>1</v>
      </c>
      <c r="Y2147">
        <v>7.75</v>
      </c>
      <c r="Z2147">
        <v>11.25</v>
      </c>
      <c r="AA2147">
        <v>7.75</v>
      </c>
      <c r="AB2147">
        <v>0.39100000000000001</v>
      </c>
      <c r="AC2147">
        <v>1.24</v>
      </c>
      <c r="AF2147" t="s">
        <v>7528</v>
      </c>
      <c r="AK2147" t="s">
        <v>98</v>
      </c>
      <c r="AM2147" t="s">
        <v>98</v>
      </c>
      <c r="AN2147" t="s">
        <v>98</v>
      </c>
      <c r="AO2147" t="s">
        <v>98</v>
      </c>
      <c r="AP2147" t="s">
        <v>100</v>
      </c>
      <c r="AQ2147" t="s">
        <v>101</v>
      </c>
      <c r="AV2147" t="s">
        <v>98</v>
      </c>
      <c r="AX2147" t="s">
        <v>7528</v>
      </c>
      <c r="AZ2147" t="s">
        <v>7528</v>
      </c>
      <c r="BB2147" t="s">
        <v>7528</v>
      </c>
      <c r="BC2147" t="s">
        <v>7528</v>
      </c>
      <c r="BD2147" t="s">
        <v>7528</v>
      </c>
      <c r="BF2147" t="s">
        <v>6336</v>
      </c>
      <c r="BG2147" t="s">
        <v>98</v>
      </c>
      <c r="BH2147" t="s">
        <v>98</v>
      </c>
      <c r="BI2147" t="s">
        <v>98</v>
      </c>
      <c r="BK2147" t="s">
        <v>7528</v>
      </c>
      <c r="BL2147" t="s">
        <v>7528</v>
      </c>
      <c r="CA2147" t="s">
        <v>6335</v>
      </c>
      <c r="CB2147" t="s">
        <v>7528</v>
      </c>
      <c r="CL2147" t="s">
        <v>98</v>
      </c>
      <c r="CM2147" t="s">
        <v>98</v>
      </c>
      <c r="CN2147" t="s">
        <v>7528</v>
      </c>
      <c r="CO2147" s="1">
        <v>40584</v>
      </c>
      <c r="CP2147" s="1">
        <v>43633</v>
      </c>
    </row>
    <row r="2148" spans="1:94" x14ac:dyDescent="0.25">
      <c r="A2148" t="s">
        <v>6337</v>
      </c>
      <c r="B2148" t="str">
        <f xml:space="preserve"> "" &amp; 747396042671</f>
        <v>747396042671</v>
      </c>
      <c r="C2148" t="s">
        <v>1501</v>
      </c>
      <c r="D2148" t="s">
        <v>7467</v>
      </c>
      <c r="E2148" t="s">
        <v>7528</v>
      </c>
      <c r="F2148" t="s">
        <v>627</v>
      </c>
      <c r="G2148">
        <v>1</v>
      </c>
      <c r="H2148">
        <v>1</v>
      </c>
      <c r="I2148" t="s">
        <v>97</v>
      </c>
      <c r="J2148" s="10">
        <v>30</v>
      </c>
      <c r="K2148" s="10">
        <v>90</v>
      </c>
      <c r="L2148" s="10">
        <v>0</v>
      </c>
      <c r="N2148" s="10">
        <v>0</v>
      </c>
      <c r="S2148">
        <v>11.88</v>
      </c>
      <c r="U2148">
        <v>6.63</v>
      </c>
      <c r="V2148">
        <v>3.13</v>
      </c>
      <c r="W2148">
        <v>1.76</v>
      </c>
      <c r="X2148">
        <v>1</v>
      </c>
      <c r="Y2148">
        <v>8</v>
      </c>
      <c r="Z2148">
        <v>13.88</v>
      </c>
      <c r="AA2148">
        <v>8.3800000000000008</v>
      </c>
      <c r="AB2148">
        <v>0.53800000000000003</v>
      </c>
      <c r="AC2148">
        <v>1.98</v>
      </c>
      <c r="AF2148" t="s">
        <v>7528</v>
      </c>
      <c r="AK2148" t="s">
        <v>98</v>
      </c>
      <c r="AM2148" t="s">
        <v>98</v>
      </c>
      <c r="AN2148" t="s">
        <v>98</v>
      </c>
      <c r="AO2148" t="s">
        <v>98</v>
      </c>
      <c r="AP2148" t="s">
        <v>100</v>
      </c>
      <c r="AQ2148" t="s">
        <v>101</v>
      </c>
      <c r="AV2148" t="s">
        <v>98</v>
      </c>
      <c r="AX2148" t="s">
        <v>7528</v>
      </c>
      <c r="AZ2148" t="s">
        <v>7528</v>
      </c>
      <c r="BB2148" t="s">
        <v>7528</v>
      </c>
      <c r="BC2148" t="s">
        <v>7528</v>
      </c>
      <c r="BD2148" t="s">
        <v>7528</v>
      </c>
      <c r="BF2148" t="s">
        <v>6338</v>
      </c>
      <c r="BG2148" t="s">
        <v>98</v>
      </c>
      <c r="BH2148" t="s">
        <v>98</v>
      </c>
      <c r="BI2148" t="s">
        <v>98</v>
      </c>
      <c r="BK2148" t="s">
        <v>7528</v>
      </c>
      <c r="BL2148" t="s">
        <v>7528</v>
      </c>
      <c r="CA2148" t="s">
        <v>6337</v>
      </c>
      <c r="CB2148" t="s">
        <v>7528</v>
      </c>
      <c r="CL2148" t="s">
        <v>98</v>
      </c>
      <c r="CM2148" t="s">
        <v>98</v>
      </c>
      <c r="CN2148" t="s">
        <v>7528</v>
      </c>
      <c r="CO2148" s="1">
        <v>40584</v>
      </c>
      <c r="CP2148" s="1">
        <v>43633</v>
      </c>
    </row>
    <row r="2149" spans="1:94" x14ac:dyDescent="0.25">
      <c r="A2149" t="s">
        <v>6339</v>
      </c>
      <c r="B2149" t="str">
        <f xml:space="preserve"> "" &amp; 747396042688</f>
        <v>747396042688</v>
      </c>
      <c r="C2149" t="s">
        <v>1501</v>
      </c>
      <c r="D2149" t="s">
        <v>7468</v>
      </c>
      <c r="E2149" t="s">
        <v>7528</v>
      </c>
      <c r="F2149" t="s">
        <v>627</v>
      </c>
      <c r="G2149">
        <v>1</v>
      </c>
      <c r="H2149">
        <v>1</v>
      </c>
      <c r="I2149" t="s">
        <v>97</v>
      </c>
      <c r="J2149" s="10">
        <v>45</v>
      </c>
      <c r="K2149" s="10">
        <v>135</v>
      </c>
      <c r="L2149" s="10">
        <v>0</v>
      </c>
      <c r="N2149" s="10">
        <v>0</v>
      </c>
      <c r="S2149">
        <v>9.1300000000000008</v>
      </c>
      <c r="U2149">
        <v>6.75</v>
      </c>
      <c r="W2149">
        <v>1.86</v>
      </c>
      <c r="X2149">
        <v>1</v>
      </c>
      <c r="Y2149">
        <v>11.38</v>
      </c>
      <c r="Z2149">
        <v>23.38</v>
      </c>
      <c r="AA2149">
        <v>15.88</v>
      </c>
      <c r="AB2149">
        <v>2.4449999999999998</v>
      </c>
      <c r="AC2149">
        <v>2.23</v>
      </c>
      <c r="AF2149" t="s">
        <v>7528</v>
      </c>
      <c r="AK2149" t="s">
        <v>98</v>
      </c>
      <c r="AM2149" t="s">
        <v>98</v>
      </c>
      <c r="AN2149" t="s">
        <v>98</v>
      </c>
      <c r="AO2149" t="s">
        <v>98</v>
      </c>
      <c r="AP2149" t="s">
        <v>100</v>
      </c>
      <c r="AQ2149" t="s">
        <v>101</v>
      </c>
      <c r="AV2149" t="s">
        <v>98</v>
      </c>
      <c r="AX2149" t="s">
        <v>7528</v>
      </c>
      <c r="AZ2149" t="s">
        <v>7528</v>
      </c>
      <c r="BB2149" t="s">
        <v>7528</v>
      </c>
      <c r="BC2149" t="s">
        <v>7528</v>
      </c>
      <c r="BD2149" t="s">
        <v>7528</v>
      </c>
      <c r="BF2149" t="s">
        <v>6340</v>
      </c>
      <c r="BG2149" t="s">
        <v>98</v>
      </c>
      <c r="BH2149" t="s">
        <v>98</v>
      </c>
      <c r="BI2149" t="s">
        <v>98</v>
      </c>
      <c r="BK2149" t="s">
        <v>7528</v>
      </c>
      <c r="BL2149" t="s">
        <v>7528</v>
      </c>
      <c r="CA2149" t="s">
        <v>6339</v>
      </c>
      <c r="CB2149" t="s">
        <v>7528</v>
      </c>
      <c r="CL2149" t="s">
        <v>98</v>
      </c>
      <c r="CM2149" t="s">
        <v>98</v>
      </c>
      <c r="CN2149" t="s">
        <v>7528</v>
      </c>
      <c r="CO2149" s="1">
        <v>40584</v>
      </c>
      <c r="CP2149" s="1">
        <v>43633</v>
      </c>
    </row>
    <row r="2150" spans="1:94" x14ac:dyDescent="0.25">
      <c r="A2150" t="s">
        <v>6341</v>
      </c>
      <c r="B2150" t="str">
        <f xml:space="preserve"> "" &amp; 747396051079</f>
        <v>747396051079</v>
      </c>
      <c r="C2150" t="s">
        <v>5649</v>
      </c>
      <c r="D2150" t="s">
        <v>7469</v>
      </c>
      <c r="E2150" t="s">
        <v>7528</v>
      </c>
      <c r="F2150" t="s">
        <v>627</v>
      </c>
      <c r="G2150">
        <v>1</v>
      </c>
      <c r="H2150">
        <v>1</v>
      </c>
      <c r="I2150" t="s">
        <v>97</v>
      </c>
      <c r="J2150" s="10">
        <v>13.95</v>
      </c>
      <c r="K2150" s="10">
        <v>41.85</v>
      </c>
      <c r="L2150" s="10">
        <v>0</v>
      </c>
      <c r="N2150" s="10">
        <v>0</v>
      </c>
      <c r="S2150">
        <v>11.17</v>
      </c>
      <c r="T2150">
        <v>4.88</v>
      </c>
      <c r="U2150">
        <v>11.17</v>
      </c>
      <c r="W2150">
        <v>0.5</v>
      </c>
      <c r="X2150">
        <v>1</v>
      </c>
      <c r="Y2150">
        <v>0</v>
      </c>
      <c r="Z2150">
        <v>0</v>
      </c>
      <c r="AA2150">
        <v>0</v>
      </c>
      <c r="AB2150">
        <v>0</v>
      </c>
      <c r="AC2150">
        <v>0.71</v>
      </c>
      <c r="AF2150" t="s">
        <v>7528</v>
      </c>
      <c r="AK2150" t="s">
        <v>98</v>
      </c>
      <c r="AM2150" t="s">
        <v>98</v>
      </c>
      <c r="AN2150" t="s">
        <v>98</v>
      </c>
      <c r="AO2150" t="s">
        <v>98</v>
      </c>
      <c r="AP2150" t="s">
        <v>100</v>
      </c>
      <c r="AQ2150" t="s">
        <v>101</v>
      </c>
      <c r="AV2150" t="s">
        <v>98</v>
      </c>
      <c r="AX2150" t="s">
        <v>7528</v>
      </c>
      <c r="AZ2150" t="s">
        <v>7528</v>
      </c>
      <c r="BB2150" t="s">
        <v>7528</v>
      </c>
      <c r="BC2150" t="s">
        <v>7528</v>
      </c>
      <c r="BD2150" t="s">
        <v>7528</v>
      </c>
      <c r="BF2150" t="s">
        <v>6342</v>
      </c>
      <c r="BG2150" t="s">
        <v>98</v>
      </c>
      <c r="BH2150" t="s">
        <v>98</v>
      </c>
      <c r="BI2150" t="s">
        <v>98</v>
      </c>
      <c r="BK2150" t="s">
        <v>7528</v>
      </c>
      <c r="BL2150" t="s">
        <v>7528</v>
      </c>
      <c r="CA2150" t="s">
        <v>6341</v>
      </c>
      <c r="CB2150" t="s">
        <v>7528</v>
      </c>
      <c r="CL2150" t="s">
        <v>98</v>
      </c>
      <c r="CM2150" t="s">
        <v>98</v>
      </c>
      <c r="CN2150" t="s">
        <v>7528</v>
      </c>
      <c r="CO2150" s="1">
        <v>40317</v>
      </c>
      <c r="CP2150" s="1">
        <v>43633</v>
      </c>
    </row>
    <row r="2151" spans="1:94" x14ac:dyDescent="0.25">
      <c r="A2151" t="s">
        <v>6343</v>
      </c>
      <c r="B2151" t="str">
        <f xml:space="preserve"> "" &amp; 747396037301</f>
        <v>747396037301</v>
      </c>
      <c r="C2151" t="s">
        <v>5809</v>
      </c>
      <c r="D2151" t="s">
        <v>7470</v>
      </c>
      <c r="E2151" t="s">
        <v>7528</v>
      </c>
      <c r="F2151" t="s">
        <v>627</v>
      </c>
      <c r="G2151">
        <v>1</v>
      </c>
      <c r="H2151">
        <v>1</v>
      </c>
      <c r="I2151" t="s">
        <v>97</v>
      </c>
      <c r="J2151" s="10">
        <v>24.5</v>
      </c>
      <c r="K2151" s="10">
        <v>73.5</v>
      </c>
      <c r="L2151" s="10">
        <v>0</v>
      </c>
      <c r="N2151" s="10">
        <v>0</v>
      </c>
      <c r="S2151">
        <v>4.75</v>
      </c>
      <c r="U2151">
        <v>9.5</v>
      </c>
      <c r="W2151">
        <v>2.16</v>
      </c>
      <c r="X2151">
        <v>1</v>
      </c>
      <c r="Y2151">
        <v>13.75</v>
      </c>
      <c r="Z2151">
        <v>22</v>
      </c>
      <c r="AA2151">
        <v>22</v>
      </c>
      <c r="AB2151">
        <v>3.851</v>
      </c>
      <c r="AC2151">
        <v>2.66</v>
      </c>
      <c r="AF2151" t="s">
        <v>7528</v>
      </c>
      <c r="AK2151" t="s">
        <v>98</v>
      </c>
      <c r="AM2151" t="s">
        <v>98</v>
      </c>
      <c r="AN2151" t="s">
        <v>98</v>
      </c>
      <c r="AO2151" t="s">
        <v>98</v>
      </c>
      <c r="AP2151" t="s">
        <v>100</v>
      </c>
      <c r="AQ2151" t="s">
        <v>101</v>
      </c>
      <c r="AV2151" t="s">
        <v>98</v>
      </c>
      <c r="AX2151" t="s">
        <v>7528</v>
      </c>
      <c r="AZ2151" t="s">
        <v>7528</v>
      </c>
      <c r="BB2151" t="s">
        <v>7528</v>
      </c>
      <c r="BC2151" t="s">
        <v>7528</v>
      </c>
      <c r="BD2151" t="s">
        <v>7528</v>
      </c>
      <c r="BF2151" t="s">
        <v>6344</v>
      </c>
      <c r="BG2151" t="s">
        <v>98</v>
      </c>
      <c r="BH2151" t="s">
        <v>98</v>
      </c>
      <c r="BI2151" t="s">
        <v>98</v>
      </c>
      <c r="BK2151" t="s">
        <v>7528</v>
      </c>
      <c r="BL2151" t="s">
        <v>7528</v>
      </c>
      <c r="CA2151" t="s">
        <v>6343</v>
      </c>
      <c r="CB2151" t="s">
        <v>7528</v>
      </c>
      <c r="CL2151" t="s">
        <v>98</v>
      </c>
      <c r="CM2151" t="s">
        <v>98</v>
      </c>
      <c r="CN2151" t="s">
        <v>7528</v>
      </c>
      <c r="CO2151" s="1">
        <v>40318</v>
      </c>
      <c r="CP2151" s="1">
        <v>43633</v>
      </c>
    </row>
    <row r="2152" spans="1:94" x14ac:dyDescent="0.25">
      <c r="A2152" t="s">
        <v>6345</v>
      </c>
      <c r="B2152" t="str">
        <f xml:space="preserve"> "" &amp; 747396058528</f>
        <v>747396058528</v>
      </c>
      <c r="C2152" t="s">
        <v>5649</v>
      </c>
      <c r="D2152" t="s">
        <v>7471</v>
      </c>
      <c r="E2152" t="s">
        <v>7528</v>
      </c>
      <c r="F2152" t="s">
        <v>627</v>
      </c>
      <c r="G2152">
        <v>1</v>
      </c>
      <c r="H2152">
        <v>1</v>
      </c>
      <c r="I2152" t="s">
        <v>97</v>
      </c>
      <c r="J2152" s="10">
        <v>24.5</v>
      </c>
      <c r="K2152" s="10">
        <v>73.5</v>
      </c>
      <c r="L2152" s="10">
        <v>0</v>
      </c>
      <c r="N2152" s="10">
        <v>0</v>
      </c>
      <c r="W2152">
        <v>1.32</v>
      </c>
      <c r="X2152">
        <v>1</v>
      </c>
      <c r="Y2152">
        <v>13.75</v>
      </c>
      <c r="Z2152">
        <v>22</v>
      </c>
      <c r="AA2152">
        <v>22</v>
      </c>
      <c r="AB2152">
        <v>3.851</v>
      </c>
      <c r="AC2152">
        <v>2.7</v>
      </c>
      <c r="AF2152" t="s">
        <v>7528</v>
      </c>
      <c r="AK2152" t="s">
        <v>98</v>
      </c>
      <c r="AM2152" t="s">
        <v>98</v>
      </c>
      <c r="AN2152" t="s">
        <v>98</v>
      </c>
      <c r="AO2152" t="s">
        <v>98</v>
      </c>
      <c r="AP2152" t="s">
        <v>100</v>
      </c>
      <c r="AQ2152" t="s">
        <v>101</v>
      </c>
      <c r="AV2152" t="s">
        <v>98</v>
      </c>
      <c r="AX2152" t="s">
        <v>7528</v>
      </c>
      <c r="AZ2152" t="s">
        <v>7528</v>
      </c>
      <c r="BB2152" t="s">
        <v>7528</v>
      </c>
      <c r="BC2152" t="s">
        <v>7528</v>
      </c>
      <c r="BD2152" t="s">
        <v>7528</v>
      </c>
      <c r="BF2152" t="s">
        <v>6346</v>
      </c>
      <c r="BG2152" t="s">
        <v>98</v>
      </c>
      <c r="BH2152" t="s">
        <v>98</v>
      </c>
      <c r="BI2152" t="s">
        <v>98</v>
      </c>
      <c r="BK2152" t="s">
        <v>7528</v>
      </c>
      <c r="BL2152" t="s">
        <v>7528</v>
      </c>
      <c r="CA2152" t="s">
        <v>6345</v>
      </c>
      <c r="CB2152" t="s">
        <v>7528</v>
      </c>
      <c r="CL2152" t="s">
        <v>98</v>
      </c>
      <c r="CM2152" t="s">
        <v>98</v>
      </c>
      <c r="CN2152" t="s">
        <v>7528</v>
      </c>
      <c r="CO2152" s="1">
        <v>40585</v>
      </c>
      <c r="CP2152" s="1">
        <v>43633</v>
      </c>
    </row>
    <row r="2153" spans="1:94" x14ac:dyDescent="0.25">
      <c r="A2153" t="s">
        <v>6347</v>
      </c>
      <c r="B2153" t="str">
        <f xml:space="preserve"> "" &amp; 747396051444</f>
        <v>747396051444</v>
      </c>
      <c r="C2153" t="s">
        <v>6348</v>
      </c>
      <c r="D2153" t="s">
        <v>7472</v>
      </c>
      <c r="E2153" t="s">
        <v>7528</v>
      </c>
      <c r="F2153" t="s">
        <v>627</v>
      </c>
      <c r="G2153">
        <v>1</v>
      </c>
      <c r="H2153">
        <v>1</v>
      </c>
      <c r="I2153" t="s">
        <v>97</v>
      </c>
      <c r="J2153" s="10">
        <v>14.5</v>
      </c>
      <c r="K2153" s="10">
        <v>43.5</v>
      </c>
      <c r="L2153" s="10">
        <v>0</v>
      </c>
      <c r="N2153" s="10">
        <v>0</v>
      </c>
      <c r="S2153">
        <v>4.75</v>
      </c>
      <c r="U2153">
        <v>9.5</v>
      </c>
      <c r="W2153">
        <v>1.32</v>
      </c>
      <c r="X2153">
        <v>1</v>
      </c>
      <c r="Y2153">
        <v>13.88</v>
      </c>
      <c r="Z2153">
        <v>23.75</v>
      </c>
      <c r="AA2153">
        <v>23.75</v>
      </c>
      <c r="AB2153">
        <v>4.5309999999999997</v>
      </c>
      <c r="AC2153">
        <v>2.5</v>
      </c>
      <c r="AF2153" t="s">
        <v>7528</v>
      </c>
      <c r="AK2153" t="s">
        <v>98</v>
      </c>
      <c r="AM2153" t="s">
        <v>98</v>
      </c>
      <c r="AN2153" t="s">
        <v>98</v>
      </c>
      <c r="AO2153" t="s">
        <v>98</v>
      </c>
      <c r="AP2153" t="s">
        <v>100</v>
      </c>
      <c r="AQ2153" t="s">
        <v>101</v>
      </c>
      <c r="AV2153" t="s">
        <v>98</v>
      </c>
      <c r="AX2153" t="s">
        <v>7528</v>
      </c>
      <c r="AZ2153" t="s">
        <v>7528</v>
      </c>
      <c r="BB2153" t="s">
        <v>7528</v>
      </c>
      <c r="BC2153" t="s">
        <v>7528</v>
      </c>
      <c r="BD2153" t="s">
        <v>7528</v>
      </c>
      <c r="BF2153" t="s">
        <v>6349</v>
      </c>
      <c r="BG2153" t="s">
        <v>98</v>
      </c>
      <c r="BH2153" t="s">
        <v>98</v>
      </c>
      <c r="BI2153" t="s">
        <v>98</v>
      </c>
      <c r="BK2153" t="s">
        <v>7528</v>
      </c>
      <c r="BL2153" t="s">
        <v>7528</v>
      </c>
      <c r="CA2153" t="s">
        <v>6347</v>
      </c>
      <c r="CB2153" t="s">
        <v>7528</v>
      </c>
      <c r="CL2153" t="s">
        <v>98</v>
      </c>
      <c r="CM2153" t="s">
        <v>98</v>
      </c>
      <c r="CN2153" t="s">
        <v>7528</v>
      </c>
      <c r="CO2153" s="1">
        <v>40318</v>
      </c>
      <c r="CP2153" s="1">
        <v>43633</v>
      </c>
    </row>
    <row r="2154" spans="1:94" x14ac:dyDescent="0.25">
      <c r="A2154" t="s">
        <v>6350</v>
      </c>
      <c r="B2154" t="str">
        <f xml:space="preserve"> "" &amp; 747396051451</f>
        <v>747396051451</v>
      </c>
      <c r="C2154" t="s">
        <v>4741</v>
      </c>
      <c r="D2154" t="s">
        <v>7473</v>
      </c>
      <c r="E2154" t="s">
        <v>7528</v>
      </c>
      <c r="F2154" t="s">
        <v>627</v>
      </c>
      <c r="G2154">
        <v>1</v>
      </c>
      <c r="H2154">
        <v>1</v>
      </c>
      <c r="I2154" t="s">
        <v>97</v>
      </c>
      <c r="J2154" s="10">
        <v>24.5</v>
      </c>
      <c r="K2154" s="10">
        <v>73.5</v>
      </c>
      <c r="L2154" s="10">
        <v>0</v>
      </c>
      <c r="N2154" s="10">
        <v>0</v>
      </c>
      <c r="S2154">
        <v>5.5</v>
      </c>
      <c r="T2154">
        <v>9.86</v>
      </c>
      <c r="U2154">
        <v>9.86</v>
      </c>
      <c r="W2154">
        <v>1.17</v>
      </c>
      <c r="X2154">
        <v>1</v>
      </c>
      <c r="Y2154">
        <v>5.5</v>
      </c>
      <c r="Z2154">
        <v>9.86</v>
      </c>
      <c r="AA2154">
        <v>9.86</v>
      </c>
      <c r="AB2154">
        <v>0.309</v>
      </c>
      <c r="AC2154">
        <v>1.32</v>
      </c>
      <c r="AF2154" t="s">
        <v>7528</v>
      </c>
      <c r="AK2154" t="s">
        <v>98</v>
      </c>
      <c r="AM2154" t="s">
        <v>98</v>
      </c>
      <c r="AN2154" t="s">
        <v>98</v>
      </c>
      <c r="AO2154" t="s">
        <v>98</v>
      </c>
      <c r="AP2154" t="s">
        <v>100</v>
      </c>
      <c r="AQ2154" t="s">
        <v>101</v>
      </c>
      <c r="AV2154" t="s">
        <v>98</v>
      </c>
      <c r="AX2154" t="s">
        <v>7528</v>
      </c>
      <c r="AZ2154" t="s">
        <v>7528</v>
      </c>
      <c r="BB2154" t="s">
        <v>7528</v>
      </c>
      <c r="BC2154" t="s">
        <v>7528</v>
      </c>
      <c r="BD2154" t="s">
        <v>7528</v>
      </c>
      <c r="BF2154" t="s">
        <v>6351</v>
      </c>
      <c r="BG2154" t="s">
        <v>98</v>
      </c>
      <c r="BH2154" t="s">
        <v>98</v>
      </c>
      <c r="BI2154" t="s">
        <v>98</v>
      </c>
      <c r="BK2154" t="s">
        <v>7528</v>
      </c>
      <c r="BL2154" t="s">
        <v>7528</v>
      </c>
      <c r="CA2154" t="s">
        <v>6350</v>
      </c>
      <c r="CB2154" t="s">
        <v>7528</v>
      </c>
      <c r="CL2154" t="s">
        <v>98</v>
      </c>
      <c r="CM2154" t="s">
        <v>98</v>
      </c>
      <c r="CN2154" t="s">
        <v>7528</v>
      </c>
      <c r="CO2154" s="1">
        <v>40585</v>
      </c>
      <c r="CP2154" s="1">
        <v>43633</v>
      </c>
    </row>
    <row r="2155" spans="1:94" x14ac:dyDescent="0.25">
      <c r="A2155" t="s">
        <v>6352</v>
      </c>
      <c r="B2155" t="str">
        <f xml:space="preserve"> "" &amp; 747396054865</f>
        <v>747396054865</v>
      </c>
      <c r="C2155" t="s">
        <v>6353</v>
      </c>
      <c r="D2155" t="s">
        <v>7474</v>
      </c>
      <c r="E2155" t="s">
        <v>7528</v>
      </c>
      <c r="F2155" t="s">
        <v>627</v>
      </c>
      <c r="G2155">
        <v>1</v>
      </c>
      <c r="H2155">
        <v>1</v>
      </c>
      <c r="I2155" t="s">
        <v>97</v>
      </c>
      <c r="J2155" s="10">
        <v>5.25</v>
      </c>
      <c r="K2155" s="10">
        <v>15.75</v>
      </c>
      <c r="L2155" s="10">
        <v>0</v>
      </c>
      <c r="N2155" s="10">
        <v>0</v>
      </c>
      <c r="W2155">
        <v>1</v>
      </c>
      <c r="X2155">
        <v>1</v>
      </c>
      <c r="AB2155">
        <v>6.6E-3</v>
      </c>
      <c r="AC2155">
        <v>0.19</v>
      </c>
      <c r="AF2155" t="s">
        <v>7528</v>
      </c>
      <c r="AK2155" t="s">
        <v>98</v>
      </c>
      <c r="AM2155" t="s">
        <v>98</v>
      </c>
      <c r="AN2155" t="s">
        <v>98</v>
      </c>
      <c r="AO2155" t="s">
        <v>98</v>
      </c>
      <c r="AP2155" t="s">
        <v>100</v>
      </c>
      <c r="AQ2155" t="s">
        <v>101</v>
      </c>
      <c r="AV2155" t="s">
        <v>98</v>
      </c>
      <c r="AX2155" t="s">
        <v>7528</v>
      </c>
      <c r="AZ2155" t="s">
        <v>7528</v>
      </c>
      <c r="BB2155" t="s">
        <v>7528</v>
      </c>
      <c r="BC2155" t="s">
        <v>7528</v>
      </c>
      <c r="BD2155" t="s">
        <v>7528</v>
      </c>
      <c r="BF2155" t="s">
        <v>6354</v>
      </c>
      <c r="BG2155" t="s">
        <v>98</v>
      </c>
      <c r="BH2155" t="s">
        <v>98</v>
      </c>
      <c r="BI2155" t="s">
        <v>98</v>
      </c>
      <c r="BK2155" t="s">
        <v>7528</v>
      </c>
      <c r="BL2155" t="s">
        <v>7528</v>
      </c>
      <c r="CA2155" t="s">
        <v>6352</v>
      </c>
      <c r="CB2155" t="s">
        <v>7528</v>
      </c>
      <c r="CL2155" t="s">
        <v>98</v>
      </c>
      <c r="CM2155" t="s">
        <v>98</v>
      </c>
      <c r="CN2155" t="s">
        <v>7528</v>
      </c>
      <c r="CO2155" s="1">
        <v>40585</v>
      </c>
      <c r="CP2155" s="1">
        <v>43633</v>
      </c>
    </row>
    <row r="2156" spans="1:94" x14ac:dyDescent="0.25">
      <c r="A2156" t="s">
        <v>6355</v>
      </c>
      <c r="B2156" t="str">
        <f xml:space="preserve"> "" &amp; 747396054889</f>
        <v>747396054889</v>
      </c>
      <c r="C2156" t="s">
        <v>6356</v>
      </c>
      <c r="D2156" t="s">
        <v>7475</v>
      </c>
      <c r="E2156" t="s">
        <v>7528</v>
      </c>
      <c r="F2156" t="s">
        <v>627</v>
      </c>
      <c r="G2156">
        <v>1</v>
      </c>
      <c r="H2156">
        <v>1</v>
      </c>
      <c r="I2156" t="s">
        <v>97</v>
      </c>
      <c r="J2156" s="10">
        <v>19.95</v>
      </c>
      <c r="K2156" s="10">
        <v>59.85</v>
      </c>
      <c r="L2156" s="10">
        <v>0</v>
      </c>
      <c r="N2156" s="10">
        <v>0</v>
      </c>
      <c r="W2156">
        <v>1</v>
      </c>
      <c r="X2156">
        <v>1</v>
      </c>
      <c r="AB2156">
        <v>0.22420000000000001</v>
      </c>
      <c r="AC2156">
        <v>2.66</v>
      </c>
      <c r="AF2156" t="s">
        <v>7528</v>
      </c>
      <c r="AK2156" t="s">
        <v>98</v>
      </c>
      <c r="AM2156" t="s">
        <v>98</v>
      </c>
      <c r="AN2156" t="s">
        <v>98</v>
      </c>
      <c r="AO2156" t="s">
        <v>98</v>
      </c>
      <c r="AP2156" t="s">
        <v>100</v>
      </c>
      <c r="AQ2156" t="s">
        <v>101</v>
      </c>
      <c r="AV2156" t="s">
        <v>98</v>
      </c>
      <c r="AX2156" t="s">
        <v>7528</v>
      </c>
      <c r="AZ2156" t="s">
        <v>7528</v>
      </c>
      <c r="BB2156" t="s">
        <v>7528</v>
      </c>
      <c r="BC2156" t="s">
        <v>7528</v>
      </c>
      <c r="BD2156" t="s">
        <v>7528</v>
      </c>
      <c r="BF2156" t="s">
        <v>6357</v>
      </c>
      <c r="BG2156" t="s">
        <v>98</v>
      </c>
      <c r="BH2156" t="s">
        <v>98</v>
      </c>
      <c r="BI2156" t="s">
        <v>98</v>
      </c>
      <c r="BK2156" t="s">
        <v>7528</v>
      </c>
      <c r="BL2156" t="s">
        <v>7528</v>
      </c>
      <c r="CA2156" t="s">
        <v>6355</v>
      </c>
      <c r="CB2156" t="s">
        <v>7528</v>
      </c>
      <c r="CL2156" t="s">
        <v>98</v>
      </c>
      <c r="CM2156" t="s">
        <v>98</v>
      </c>
      <c r="CN2156" t="s">
        <v>7528</v>
      </c>
      <c r="CO2156" s="1">
        <v>40585</v>
      </c>
      <c r="CP2156" s="1">
        <v>43633</v>
      </c>
    </row>
    <row r="2157" spans="1:94" x14ac:dyDescent="0.25">
      <c r="A2157" t="s">
        <v>6358</v>
      </c>
      <c r="B2157" t="str">
        <f xml:space="preserve"> "" &amp; 747396093109</f>
        <v>747396093109</v>
      </c>
      <c r="C2157" t="s">
        <v>5154</v>
      </c>
      <c r="D2157" t="s">
        <v>7476</v>
      </c>
      <c r="E2157" t="s">
        <v>2556</v>
      </c>
      <c r="F2157" t="s">
        <v>627</v>
      </c>
      <c r="G2157">
        <v>1</v>
      </c>
      <c r="H2157">
        <v>1</v>
      </c>
      <c r="I2157" t="s">
        <v>97</v>
      </c>
      <c r="J2157" s="10">
        <v>2.5</v>
      </c>
      <c r="K2157" s="10">
        <v>7.5</v>
      </c>
      <c r="L2157" s="10">
        <v>0</v>
      </c>
      <c r="N2157" s="10">
        <v>0</v>
      </c>
      <c r="W2157">
        <v>0.03</v>
      </c>
      <c r="Y2157">
        <v>7.88</v>
      </c>
      <c r="Z2157">
        <v>7.88</v>
      </c>
      <c r="AA2157">
        <v>7.88</v>
      </c>
      <c r="AB2157">
        <v>0.28299999999999997</v>
      </c>
      <c r="AC2157">
        <v>0.04</v>
      </c>
      <c r="AF2157" t="s">
        <v>7528</v>
      </c>
      <c r="AK2157" t="s">
        <v>98</v>
      </c>
      <c r="AM2157" t="s">
        <v>98</v>
      </c>
      <c r="AN2157" t="s">
        <v>98</v>
      </c>
      <c r="AO2157" t="s">
        <v>98</v>
      </c>
      <c r="AP2157" t="s">
        <v>259</v>
      </c>
      <c r="AV2157" t="s">
        <v>98</v>
      </c>
      <c r="AX2157" t="s">
        <v>7528</v>
      </c>
      <c r="AZ2157" t="s">
        <v>7528</v>
      </c>
      <c r="BB2157" t="s">
        <v>7528</v>
      </c>
      <c r="BC2157" t="s">
        <v>7528</v>
      </c>
      <c r="BD2157" t="s">
        <v>7528</v>
      </c>
      <c r="BF2157" t="s">
        <v>6359</v>
      </c>
      <c r="BG2157" t="s">
        <v>98</v>
      </c>
      <c r="BH2157" t="s">
        <v>98</v>
      </c>
      <c r="BI2157" t="s">
        <v>98</v>
      </c>
      <c r="BK2157" t="s">
        <v>7528</v>
      </c>
      <c r="BL2157" t="s">
        <v>7528</v>
      </c>
      <c r="CB2157" t="s">
        <v>7528</v>
      </c>
      <c r="CL2157" t="s">
        <v>98</v>
      </c>
      <c r="CM2157" t="s">
        <v>98</v>
      </c>
      <c r="CN2157" t="s">
        <v>7528</v>
      </c>
    </row>
    <row r="2158" spans="1:94" x14ac:dyDescent="0.25">
      <c r="A2158" t="s">
        <v>6360</v>
      </c>
      <c r="B2158" t="str">
        <f xml:space="preserve"> "" &amp; 747396093208</f>
        <v>747396093208</v>
      </c>
      <c r="C2158" t="s">
        <v>5154</v>
      </c>
      <c r="D2158" t="s">
        <v>7477</v>
      </c>
      <c r="E2158" t="s">
        <v>2556</v>
      </c>
      <c r="F2158" t="s">
        <v>627</v>
      </c>
      <c r="G2158">
        <v>1</v>
      </c>
      <c r="H2158">
        <v>1</v>
      </c>
      <c r="I2158" t="s">
        <v>97</v>
      </c>
      <c r="J2158" s="10">
        <v>3.5</v>
      </c>
      <c r="K2158" s="10">
        <v>10.5</v>
      </c>
      <c r="L2158" s="10">
        <v>0</v>
      </c>
      <c r="N2158" s="10">
        <v>0</v>
      </c>
      <c r="W2158">
        <v>0.11</v>
      </c>
      <c r="Y2158">
        <v>3.88</v>
      </c>
      <c r="Z2158">
        <v>19.75</v>
      </c>
      <c r="AA2158">
        <v>3.88</v>
      </c>
      <c r="AB2158">
        <v>0.17199999999999999</v>
      </c>
      <c r="AC2158">
        <v>0.15</v>
      </c>
      <c r="AF2158" t="s">
        <v>7528</v>
      </c>
      <c r="AK2158" t="s">
        <v>98</v>
      </c>
      <c r="AM2158" t="s">
        <v>98</v>
      </c>
      <c r="AN2158" t="s">
        <v>98</v>
      </c>
      <c r="AO2158" t="s">
        <v>98</v>
      </c>
      <c r="AP2158" t="s">
        <v>259</v>
      </c>
      <c r="AV2158" t="s">
        <v>98</v>
      </c>
      <c r="AX2158" t="s">
        <v>7528</v>
      </c>
      <c r="AZ2158" t="s">
        <v>7528</v>
      </c>
      <c r="BB2158" t="s">
        <v>7528</v>
      </c>
      <c r="BC2158" t="s">
        <v>7528</v>
      </c>
      <c r="BD2158" t="s">
        <v>7528</v>
      </c>
      <c r="BF2158" t="s">
        <v>6361</v>
      </c>
      <c r="BG2158" t="s">
        <v>98</v>
      </c>
      <c r="BH2158" t="s">
        <v>98</v>
      </c>
      <c r="BI2158" t="s">
        <v>98</v>
      </c>
      <c r="BK2158" t="s">
        <v>7528</v>
      </c>
      <c r="BL2158" t="s">
        <v>7528</v>
      </c>
      <c r="CB2158" t="s">
        <v>7528</v>
      </c>
      <c r="CL2158" t="s">
        <v>98</v>
      </c>
      <c r="CM2158" t="s">
        <v>98</v>
      </c>
      <c r="CN2158" t="s">
        <v>7528</v>
      </c>
      <c r="CP2158" s="1">
        <v>43633</v>
      </c>
    </row>
    <row r="2159" spans="1:94" x14ac:dyDescent="0.25">
      <c r="A2159" t="s">
        <v>6362</v>
      </c>
      <c r="B2159" t="str">
        <f xml:space="preserve"> "" &amp; 747396093215</f>
        <v>747396093215</v>
      </c>
      <c r="C2159" t="s">
        <v>5154</v>
      </c>
      <c r="D2159" t="s">
        <v>7478</v>
      </c>
      <c r="E2159" t="s">
        <v>2556</v>
      </c>
      <c r="F2159" t="s">
        <v>627</v>
      </c>
      <c r="G2159">
        <v>1</v>
      </c>
      <c r="H2159">
        <v>1</v>
      </c>
      <c r="I2159" t="s">
        <v>97</v>
      </c>
      <c r="J2159" s="10">
        <v>20</v>
      </c>
      <c r="K2159" s="10">
        <v>60</v>
      </c>
      <c r="L2159" s="10">
        <v>0</v>
      </c>
      <c r="N2159" s="10">
        <v>0</v>
      </c>
      <c r="W2159">
        <v>0.44</v>
      </c>
      <c r="Y2159">
        <v>3.13</v>
      </c>
      <c r="Z2159">
        <v>5.5</v>
      </c>
      <c r="AA2159">
        <v>5.5</v>
      </c>
      <c r="AB2159">
        <v>5.5E-2</v>
      </c>
      <c r="AC2159">
        <v>0.57999999999999996</v>
      </c>
      <c r="AF2159" t="s">
        <v>7528</v>
      </c>
      <c r="AK2159" t="s">
        <v>98</v>
      </c>
      <c r="AM2159" t="s">
        <v>98</v>
      </c>
      <c r="AN2159" t="s">
        <v>98</v>
      </c>
      <c r="AO2159" t="s">
        <v>98</v>
      </c>
      <c r="AP2159" t="s">
        <v>100</v>
      </c>
      <c r="AV2159" t="s">
        <v>98</v>
      </c>
      <c r="AX2159" t="s">
        <v>7528</v>
      </c>
      <c r="AZ2159" t="s">
        <v>7528</v>
      </c>
      <c r="BB2159" t="s">
        <v>7528</v>
      </c>
      <c r="BC2159" t="s">
        <v>7528</v>
      </c>
      <c r="BD2159" t="s">
        <v>7528</v>
      </c>
      <c r="BF2159" t="s">
        <v>6363</v>
      </c>
      <c r="BG2159" t="s">
        <v>98</v>
      </c>
      <c r="BH2159" t="s">
        <v>98</v>
      </c>
      <c r="BI2159" t="s">
        <v>98</v>
      </c>
      <c r="BK2159" t="s">
        <v>7528</v>
      </c>
      <c r="BL2159" t="s">
        <v>7528</v>
      </c>
      <c r="CB2159" t="s">
        <v>7528</v>
      </c>
      <c r="CL2159" t="s">
        <v>98</v>
      </c>
      <c r="CM2159" t="s">
        <v>98</v>
      </c>
      <c r="CN2159" t="s">
        <v>7528</v>
      </c>
      <c r="CP2159" s="1">
        <v>43633</v>
      </c>
    </row>
    <row r="2160" spans="1:94" x14ac:dyDescent="0.25">
      <c r="A2160" t="s">
        <v>6364</v>
      </c>
      <c r="B2160" t="str">
        <f xml:space="preserve"> "" &amp; 747396093222</f>
        <v>747396093222</v>
      </c>
      <c r="C2160" t="s">
        <v>5154</v>
      </c>
      <c r="D2160" t="s">
        <v>7479</v>
      </c>
      <c r="E2160" t="s">
        <v>2556</v>
      </c>
      <c r="F2160" t="s">
        <v>627</v>
      </c>
      <c r="G2160">
        <v>1</v>
      </c>
      <c r="H2160">
        <v>1</v>
      </c>
      <c r="I2160" t="s">
        <v>97</v>
      </c>
      <c r="J2160" s="10">
        <v>5</v>
      </c>
      <c r="K2160" s="10">
        <v>15</v>
      </c>
      <c r="L2160" s="10">
        <v>0</v>
      </c>
      <c r="N2160" s="10">
        <v>0</v>
      </c>
      <c r="W2160">
        <v>0.17</v>
      </c>
      <c r="Y2160">
        <v>3.5</v>
      </c>
      <c r="Z2160">
        <v>7.88</v>
      </c>
      <c r="AA2160">
        <v>7.88</v>
      </c>
      <c r="AB2160">
        <v>0.126</v>
      </c>
      <c r="AC2160">
        <v>0.22</v>
      </c>
      <c r="AF2160" t="s">
        <v>7528</v>
      </c>
      <c r="AK2160" t="s">
        <v>98</v>
      </c>
      <c r="AM2160" t="s">
        <v>98</v>
      </c>
      <c r="AN2160" t="s">
        <v>98</v>
      </c>
      <c r="AO2160" t="s">
        <v>98</v>
      </c>
      <c r="AP2160" t="s">
        <v>100</v>
      </c>
      <c r="AV2160" t="s">
        <v>98</v>
      </c>
      <c r="AX2160" t="s">
        <v>7528</v>
      </c>
      <c r="AZ2160" t="s">
        <v>7528</v>
      </c>
      <c r="BB2160" t="s">
        <v>7528</v>
      </c>
      <c r="BC2160" t="s">
        <v>7528</v>
      </c>
      <c r="BD2160" t="s">
        <v>7528</v>
      </c>
      <c r="BF2160" t="s">
        <v>6365</v>
      </c>
      <c r="BG2160" t="s">
        <v>98</v>
      </c>
      <c r="BH2160" t="s">
        <v>98</v>
      </c>
      <c r="BI2160" t="s">
        <v>98</v>
      </c>
      <c r="BK2160" t="s">
        <v>7528</v>
      </c>
      <c r="BL2160" t="s">
        <v>7528</v>
      </c>
      <c r="CB2160" t="s">
        <v>7528</v>
      </c>
      <c r="CL2160" t="s">
        <v>98</v>
      </c>
      <c r="CM2160" t="s">
        <v>98</v>
      </c>
      <c r="CN2160" t="s">
        <v>7528</v>
      </c>
      <c r="CP2160" s="1">
        <v>43633</v>
      </c>
    </row>
    <row r="2161" spans="1:94" x14ac:dyDescent="0.25">
      <c r="A2161" t="s">
        <v>6366</v>
      </c>
      <c r="B2161" t="str">
        <f xml:space="preserve"> "" &amp; 747396093116</f>
        <v>747396093116</v>
      </c>
      <c r="C2161" t="s">
        <v>5154</v>
      </c>
      <c r="D2161" t="s">
        <v>7480</v>
      </c>
      <c r="E2161" t="s">
        <v>2556</v>
      </c>
      <c r="F2161" t="s">
        <v>627</v>
      </c>
      <c r="G2161">
        <v>1</v>
      </c>
      <c r="H2161">
        <v>1</v>
      </c>
      <c r="I2161" t="s">
        <v>97</v>
      </c>
      <c r="J2161" s="10">
        <v>5</v>
      </c>
      <c r="K2161" s="10">
        <v>15</v>
      </c>
      <c r="L2161" s="10">
        <v>0</v>
      </c>
      <c r="N2161" s="10">
        <v>0</v>
      </c>
      <c r="W2161">
        <v>0.2</v>
      </c>
      <c r="Y2161">
        <v>3.5</v>
      </c>
      <c r="Z2161">
        <v>7.88</v>
      </c>
      <c r="AA2161">
        <v>7.88</v>
      </c>
      <c r="AB2161">
        <v>0.126</v>
      </c>
      <c r="AC2161">
        <v>0.26</v>
      </c>
      <c r="AF2161" t="s">
        <v>7528</v>
      </c>
      <c r="AK2161" t="s">
        <v>98</v>
      </c>
      <c r="AM2161" t="s">
        <v>98</v>
      </c>
      <c r="AN2161" t="s">
        <v>98</v>
      </c>
      <c r="AO2161" t="s">
        <v>98</v>
      </c>
      <c r="AP2161" t="s">
        <v>100</v>
      </c>
      <c r="AV2161" t="s">
        <v>98</v>
      </c>
      <c r="AX2161" t="s">
        <v>7528</v>
      </c>
      <c r="AZ2161" t="s">
        <v>7528</v>
      </c>
      <c r="BB2161" t="s">
        <v>7528</v>
      </c>
      <c r="BC2161" t="s">
        <v>7528</v>
      </c>
      <c r="BD2161" t="s">
        <v>7528</v>
      </c>
      <c r="BF2161" t="s">
        <v>6367</v>
      </c>
      <c r="BG2161" t="s">
        <v>98</v>
      </c>
      <c r="BH2161" t="s">
        <v>98</v>
      </c>
      <c r="BI2161" t="s">
        <v>98</v>
      </c>
      <c r="BK2161" t="s">
        <v>7528</v>
      </c>
      <c r="BL2161" t="s">
        <v>7528</v>
      </c>
      <c r="CB2161" t="s">
        <v>7528</v>
      </c>
      <c r="CL2161" t="s">
        <v>98</v>
      </c>
      <c r="CM2161" t="s">
        <v>98</v>
      </c>
      <c r="CN2161" t="s">
        <v>7528</v>
      </c>
      <c r="CP2161" s="1">
        <v>43633</v>
      </c>
    </row>
    <row r="2162" spans="1:94" x14ac:dyDescent="0.25">
      <c r="A2162" t="s">
        <v>6368</v>
      </c>
      <c r="B2162" t="str">
        <f xml:space="preserve"> "" &amp; 747396093123</f>
        <v>747396093123</v>
      </c>
      <c r="C2162" t="s">
        <v>5154</v>
      </c>
      <c r="D2162" t="s">
        <v>7481</v>
      </c>
      <c r="E2162" t="s">
        <v>2556</v>
      </c>
      <c r="F2162" t="s">
        <v>627</v>
      </c>
      <c r="G2162">
        <v>1</v>
      </c>
      <c r="H2162">
        <v>1</v>
      </c>
      <c r="I2162" t="s">
        <v>97</v>
      </c>
      <c r="J2162" s="10">
        <v>25</v>
      </c>
      <c r="K2162" s="10">
        <v>75</v>
      </c>
      <c r="L2162" s="10">
        <v>0</v>
      </c>
      <c r="N2162" s="10">
        <v>0</v>
      </c>
      <c r="W2162">
        <v>0.5</v>
      </c>
      <c r="Y2162">
        <v>4</v>
      </c>
      <c r="Z2162">
        <v>6</v>
      </c>
      <c r="AA2162">
        <v>6</v>
      </c>
      <c r="AB2162">
        <v>8.3000000000000004E-2</v>
      </c>
      <c r="AC2162">
        <v>0.63</v>
      </c>
      <c r="AF2162" t="s">
        <v>7528</v>
      </c>
      <c r="AK2162" t="s">
        <v>98</v>
      </c>
      <c r="AM2162" t="s">
        <v>98</v>
      </c>
      <c r="AN2162" t="s">
        <v>98</v>
      </c>
      <c r="AO2162" t="s">
        <v>98</v>
      </c>
      <c r="AP2162" t="s">
        <v>100</v>
      </c>
      <c r="AV2162" t="s">
        <v>98</v>
      </c>
      <c r="AX2162" t="s">
        <v>7528</v>
      </c>
      <c r="AZ2162" t="s">
        <v>7528</v>
      </c>
      <c r="BB2162" t="s">
        <v>7528</v>
      </c>
      <c r="BC2162" t="s">
        <v>7528</v>
      </c>
      <c r="BD2162" t="s">
        <v>7528</v>
      </c>
      <c r="BF2162" t="s">
        <v>6369</v>
      </c>
      <c r="BG2162" t="s">
        <v>98</v>
      </c>
      <c r="BH2162" t="s">
        <v>98</v>
      </c>
      <c r="BI2162" t="s">
        <v>98</v>
      </c>
      <c r="BK2162" t="s">
        <v>7528</v>
      </c>
      <c r="BL2162" t="s">
        <v>7528</v>
      </c>
      <c r="CB2162" t="s">
        <v>7528</v>
      </c>
      <c r="CL2162" t="s">
        <v>98</v>
      </c>
      <c r="CM2162" t="s">
        <v>98</v>
      </c>
      <c r="CN2162" t="s">
        <v>7528</v>
      </c>
      <c r="CP2162" s="1">
        <v>43633</v>
      </c>
    </row>
    <row r="2163" spans="1:94" x14ac:dyDescent="0.25">
      <c r="A2163" t="s">
        <v>6370</v>
      </c>
      <c r="B2163" t="str">
        <f xml:space="preserve"> "" &amp; 747396093239</f>
        <v>747396093239</v>
      </c>
      <c r="C2163" t="s">
        <v>5154</v>
      </c>
      <c r="D2163" t="s">
        <v>7482</v>
      </c>
      <c r="E2163" t="s">
        <v>2556</v>
      </c>
      <c r="F2163" t="s">
        <v>627</v>
      </c>
      <c r="G2163">
        <v>1</v>
      </c>
      <c r="H2163">
        <v>1</v>
      </c>
      <c r="I2163" t="s">
        <v>97</v>
      </c>
      <c r="J2163" s="10">
        <v>4.5</v>
      </c>
      <c r="K2163" s="10">
        <v>13.5</v>
      </c>
      <c r="L2163" s="10">
        <v>0</v>
      </c>
      <c r="N2163" s="10">
        <v>0</v>
      </c>
      <c r="W2163">
        <v>0.15</v>
      </c>
      <c r="Y2163">
        <v>3.5</v>
      </c>
      <c r="Z2163">
        <v>7.88</v>
      </c>
      <c r="AA2163">
        <v>7.88</v>
      </c>
      <c r="AB2163">
        <v>0.126</v>
      </c>
      <c r="AC2163">
        <v>0.21</v>
      </c>
      <c r="AF2163" t="s">
        <v>7528</v>
      </c>
      <c r="AK2163" t="s">
        <v>98</v>
      </c>
      <c r="AM2163" t="s">
        <v>98</v>
      </c>
      <c r="AN2163" t="s">
        <v>98</v>
      </c>
      <c r="AO2163" t="s">
        <v>98</v>
      </c>
      <c r="AP2163" t="s">
        <v>100</v>
      </c>
      <c r="AV2163" t="s">
        <v>98</v>
      </c>
      <c r="AX2163" t="s">
        <v>7528</v>
      </c>
      <c r="AZ2163" t="s">
        <v>7528</v>
      </c>
      <c r="BB2163" t="s">
        <v>7528</v>
      </c>
      <c r="BC2163" t="s">
        <v>7528</v>
      </c>
      <c r="BD2163" t="s">
        <v>7528</v>
      </c>
      <c r="BF2163" t="s">
        <v>6371</v>
      </c>
      <c r="BG2163" t="s">
        <v>98</v>
      </c>
      <c r="BH2163" t="s">
        <v>98</v>
      </c>
      <c r="BI2163" t="s">
        <v>98</v>
      </c>
      <c r="BK2163" t="s">
        <v>7528</v>
      </c>
      <c r="BL2163" t="s">
        <v>7528</v>
      </c>
      <c r="CB2163" t="s">
        <v>7528</v>
      </c>
      <c r="CL2163" t="s">
        <v>98</v>
      </c>
      <c r="CM2163" t="s">
        <v>98</v>
      </c>
      <c r="CN2163" t="s">
        <v>7528</v>
      </c>
      <c r="CP2163" s="1">
        <v>43633</v>
      </c>
    </row>
    <row r="2164" spans="1:94" x14ac:dyDescent="0.25">
      <c r="A2164" t="s">
        <v>6372</v>
      </c>
      <c r="B2164" t="str">
        <f xml:space="preserve"> "" &amp; 747396093079</f>
        <v>747396093079</v>
      </c>
      <c r="C2164" t="s">
        <v>5154</v>
      </c>
      <c r="D2164" t="s">
        <v>7483</v>
      </c>
      <c r="E2164" t="s">
        <v>2556</v>
      </c>
      <c r="F2164" t="s">
        <v>627</v>
      </c>
      <c r="G2164">
        <v>1</v>
      </c>
      <c r="H2164">
        <v>1</v>
      </c>
      <c r="I2164" t="s">
        <v>97</v>
      </c>
      <c r="J2164" s="10">
        <v>2.5</v>
      </c>
      <c r="K2164" s="10">
        <v>7.5</v>
      </c>
      <c r="L2164" s="10">
        <v>0</v>
      </c>
      <c r="N2164" s="10">
        <v>0</v>
      </c>
      <c r="W2164">
        <v>0.06</v>
      </c>
      <c r="Y2164">
        <v>3.88</v>
      </c>
      <c r="Z2164">
        <v>11.75</v>
      </c>
      <c r="AA2164">
        <v>3.88</v>
      </c>
      <c r="AB2164">
        <v>0.10199999999999999</v>
      </c>
      <c r="AC2164">
        <v>0.09</v>
      </c>
      <c r="AF2164" t="s">
        <v>7528</v>
      </c>
      <c r="AK2164" t="s">
        <v>98</v>
      </c>
      <c r="AM2164" t="s">
        <v>98</v>
      </c>
      <c r="AN2164" t="s">
        <v>98</v>
      </c>
      <c r="AO2164" t="s">
        <v>98</v>
      </c>
      <c r="AP2164" t="s">
        <v>100</v>
      </c>
      <c r="AV2164" t="s">
        <v>98</v>
      </c>
      <c r="AX2164" t="s">
        <v>7528</v>
      </c>
      <c r="AZ2164" t="s">
        <v>7528</v>
      </c>
      <c r="BB2164" t="s">
        <v>7528</v>
      </c>
      <c r="BC2164" t="s">
        <v>7528</v>
      </c>
      <c r="BD2164" t="s">
        <v>7528</v>
      </c>
      <c r="BF2164" t="s">
        <v>6373</v>
      </c>
      <c r="BG2164" t="s">
        <v>98</v>
      </c>
      <c r="BH2164" t="s">
        <v>98</v>
      </c>
      <c r="BI2164" t="s">
        <v>98</v>
      </c>
      <c r="BK2164" t="s">
        <v>7528</v>
      </c>
      <c r="BL2164" t="s">
        <v>7528</v>
      </c>
      <c r="CB2164" t="s">
        <v>7528</v>
      </c>
      <c r="CL2164" t="s">
        <v>98</v>
      </c>
      <c r="CM2164" t="s">
        <v>98</v>
      </c>
      <c r="CN2164" t="s">
        <v>7528</v>
      </c>
      <c r="CP2164" s="1">
        <v>43633</v>
      </c>
    </row>
    <row r="2165" spans="1:94" x14ac:dyDescent="0.25">
      <c r="A2165" t="s">
        <v>6374</v>
      </c>
      <c r="B2165" t="str">
        <f xml:space="preserve"> "" &amp; 747396093086</f>
        <v>747396093086</v>
      </c>
      <c r="C2165" t="s">
        <v>5154</v>
      </c>
      <c r="D2165" t="s">
        <v>7484</v>
      </c>
      <c r="E2165" t="s">
        <v>2556</v>
      </c>
      <c r="F2165" t="s">
        <v>627</v>
      </c>
      <c r="G2165">
        <v>1</v>
      </c>
      <c r="H2165">
        <v>1</v>
      </c>
      <c r="I2165" t="s">
        <v>97</v>
      </c>
      <c r="J2165" s="10">
        <v>2</v>
      </c>
      <c r="K2165" s="10">
        <v>6</v>
      </c>
      <c r="L2165" s="10">
        <v>0</v>
      </c>
      <c r="N2165" s="10">
        <v>0</v>
      </c>
      <c r="W2165">
        <v>0.06</v>
      </c>
      <c r="Y2165">
        <v>3.88</v>
      </c>
      <c r="Z2165">
        <v>11.13</v>
      </c>
      <c r="AA2165">
        <v>3.88</v>
      </c>
      <c r="AB2165">
        <v>9.7000000000000003E-2</v>
      </c>
      <c r="AC2165">
        <v>0.08</v>
      </c>
      <c r="AF2165" t="s">
        <v>7528</v>
      </c>
      <c r="AK2165" t="s">
        <v>98</v>
      </c>
      <c r="AM2165" t="s">
        <v>98</v>
      </c>
      <c r="AN2165" t="s">
        <v>98</v>
      </c>
      <c r="AO2165" t="s">
        <v>98</v>
      </c>
      <c r="AP2165" t="s">
        <v>100</v>
      </c>
      <c r="AV2165" t="s">
        <v>98</v>
      </c>
      <c r="AX2165" t="s">
        <v>7528</v>
      </c>
      <c r="AZ2165" t="s">
        <v>7528</v>
      </c>
      <c r="BB2165" t="s">
        <v>7528</v>
      </c>
      <c r="BC2165" t="s">
        <v>7528</v>
      </c>
      <c r="BD2165" t="s">
        <v>7528</v>
      </c>
      <c r="BF2165" t="s">
        <v>6375</v>
      </c>
      <c r="BG2165" t="s">
        <v>98</v>
      </c>
      <c r="BH2165" t="s">
        <v>98</v>
      </c>
      <c r="BI2165" t="s">
        <v>98</v>
      </c>
      <c r="BK2165" t="s">
        <v>7528</v>
      </c>
      <c r="BL2165" t="s">
        <v>7528</v>
      </c>
      <c r="CB2165" t="s">
        <v>7528</v>
      </c>
      <c r="CL2165" t="s">
        <v>98</v>
      </c>
      <c r="CM2165" t="s">
        <v>98</v>
      </c>
      <c r="CN2165" t="s">
        <v>7528</v>
      </c>
      <c r="CP2165" s="1">
        <v>43633</v>
      </c>
    </row>
    <row r="2166" spans="1:94" x14ac:dyDescent="0.25">
      <c r="A2166" t="s">
        <v>6376</v>
      </c>
      <c r="B2166" t="str">
        <f xml:space="preserve"> "" &amp; 747396093093</f>
        <v>747396093093</v>
      </c>
      <c r="C2166" t="s">
        <v>5154</v>
      </c>
      <c r="D2166" t="s">
        <v>7485</v>
      </c>
      <c r="E2166" t="s">
        <v>2556</v>
      </c>
      <c r="F2166" t="s">
        <v>627</v>
      </c>
      <c r="G2166">
        <v>1</v>
      </c>
      <c r="H2166">
        <v>1</v>
      </c>
      <c r="I2166" t="s">
        <v>97</v>
      </c>
      <c r="J2166" s="10">
        <v>20</v>
      </c>
      <c r="K2166" s="10">
        <v>60</v>
      </c>
      <c r="L2166" s="10">
        <v>0</v>
      </c>
      <c r="N2166" s="10">
        <v>0</v>
      </c>
      <c r="W2166">
        <v>0.41</v>
      </c>
      <c r="Y2166">
        <v>3.13</v>
      </c>
      <c r="Z2166">
        <v>5.5</v>
      </c>
      <c r="AA2166">
        <v>5.5</v>
      </c>
      <c r="AB2166">
        <v>5.5E-2</v>
      </c>
      <c r="AC2166">
        <v>0.55000000000000004</v>
      </c>
      <c r="AF2166" t="s">
        <v>7528</v>
      </c>
      <c r="AK2166" t="s">
        <v>98</v>
      </c>
      <c r="AM2166" t="s">
        <v>98</v>
      </c>
      <c r="AN2166" t="s">
        <v>98</v>
      </c>
      <c r="AO2166" t="s">
        <v>98</v>
      </c>
      <c r="AP2166" t="s">
        <v>100</v>
      </c>
      <c r="AV2166" t="s">
        <v>98</v>
      </c>
      <c r="AX2166" t="s">
        <v>7528</v>
      </c>
      <c r="AZ2166" t="s">
        <v>7528</v>
      </c>
      <c r="BB2166" t="s">
        <v>7528</v>
      </c>
      <c r="BC2166" t="s">
        <v>7528</v>
      </c>
      <c r="BD2166" t="s">
        <v>7528</v>
      </c>
      <c r="BF2166" t="s">
        <v>6377</v>
      </c>
      <c r="BG2166" t="s">
        <v>98</v>
      </c>
      <c r="BH2166" t="s">
        <v>98</v>
      </c>
      <c r="BI2166" t="s">
        <v>98</v>
      </c>
      <c r="BK2166" t="s">
        <v>7528</v>
      </c>
      <c r="BL2166" t="s">
        <v>7528</v>
      </c>
      <c r="CB2166" t="s">
        <v>7528</v>
      </c>
      <c r="CL2166" t="s">
        <v>98</v>
      </c>
      <c r="CM2166" t="s">
        <v>98</v>
      </c>
      <c r="CN2166" t="s">
        <v>7528</v>
      </c>
      <c r="CP2166" s="1">
        <v>43633</v>
      </c>
    </row>
    <row r="2167" spans="1:94" x14ac:dyDescent="0.25">
      <c r="A2167" t="s">
        <v>6378</v>
      </c>
      <c r="B2167" t="str">
        <f xml:space="preserve"> "" &amp; 747396093130</f>
        <v>747396093130</v>
      </c>
      <c r="C2167" t="s">
        <v>5154</v>
      </c>
      <c r="D2167" t="s">
        <v>7486</v>
      </c>
      <c r="E2167" t="s">
        <v>2556</v>
      </c>
      <c r="F2167" t="s">
        <v>627</v>
      </c>
      <c r="G2167">
        <v>1</v>
      </c>
      <c r="H2167">
        <v>1</v>
      </c>
      <c r="I2167" t="s">
        <v>97</v>
      </c>
      <c r="J2167" s="10">
        <v>3.5</v>
      </c>
      <c r="K2167" s="10">
        <v>10.5</v>
      </c>
      <c r="L2167" s="10">
        <v>0</v>
      </c>
      <c r="N2167" s="10">
        <v>0</v>
      </c>
      <c r="W2167">
        <v>7.0000000000000007E-2</v>
      </c>
      <c r="Y2167">
        <v>3.88</v>
      </c>
      <c r="Z2167">
        <v>13.75</v>
      </c>
      <c r="AA2167">
        <v>3.88</v>
      </c>
      <c r="AB2167">
        <v>0.12</v>
      </c>
      <c r="AC2167">
        <v>0.09</v>
      </c>
      <c r="AF2167" t="s">
        <v>7528</v>
      </c>
      <c r="AK2167" t="s">
        <v>98</v>
      </c>
      <c r="AM2167" t="s">
        <v>98</v>
      </c>
      <c r="AN2167" t="s">
        <v>98</v>
      </c>
      <c r="AO2167" t="s">
        <v>98</v>
      </c>
      <c r="AP2167" t="s">
        <v>100</v>
      </c>
      <c r="AV2167" t="s">
        <v>98</v>
      </c>
      <c r="AX2167" t="s">
        <v>7528</v>
      </c>
      <c r="AZ2167" t="s">
        <v>7528</v>
      </c>
      <c r="BB2167" t="s">
        <v>7528</v>
      </c>
      <c r="BC2167" t="s">
        <v>7528</v>
      </c>
      <c r="BD2167" t="s">
        <v>7528</v>
      </c>
      <c r="BF2167" t="s">
        <v>6379</v>
      </c>
      <c r="BG2167" t="s">
        <v>98</v>
      </c>
      <c r="BH2167" t="s">
        <v>98</v>
      </c>
      <c r="BI2167" t="s">
        <v>98</v>
      </c>
      <c r="BK2167" t="s">
        <v>7528</v>
      </c>
      <c r="BL2167" t="s">
        <v>7528</v>
      </c>
      <c r="CB2167" t="s">
        <v>7528</v>
      </c>
      <c r="CL2167" t="s">
        <v>98</v>
      </c>
      <c r="CM2167" t="s">
        <v>98</v>
      </c>
      <c r="CN2167" t="s">
        <v>7528</v>
      </c>
      <c r="CP2167" s="1">
        <v>43633</v>
      </c>
    </row>
    <row r="2168" spans="1:94" x14ac:dyDescent="0.25">
      <c r="A2168" t="s">
        <v>6380</v>
      </c>
      <c r="B2168" t="str">
        <f xml:space="preserve"> "" &amp; 747396093147</f>
        <v>747396093147</v>
      </c>
      <c r="C2168" t="s">
        <v>5154</v>
      </c>
      <c r="D2168" t="s">
        <v>7487</v>
      </c>
      <c r="E2168" t="s">
        <v>2556</v>
      </c>
      <c r="F2168" t="s">
        <v>627</v>
      </c>
      <c r="G2168">
        <v>1</v>
      </c>
      <c r="H2168">
        <v>1</v>
      </c>
      <c r="I2168" t="s">
        <v>97</v>
      </c>
      <c r="J2168" s="10">
        <v>4.5</v>
      </c>
      <c r="K2168" s="10">
        <v>13.5</v>
      </c>
      <c r="L2168" s="10">
        <v>0</v>
      </c>
      <c r="N2168" s="10">
        <v>0</v>
      </c>
      <c r="W2168">
        <v>0.17</v>
      </c>
      <c r="Y2168">
        <v>3.5</v>
      </c>
      <c r="Z2168">
        <v>7.88</v>
      </c>
      <c r="AA2168">
        <v>7.88</v>
      </c>
      <c r="AB2168">
        <v>0.126</v>
      </c>
      <c r="AC2168">
        <v>0.22</v>
      </c>
      <c r="AF2168" t="s">
        <v>7528</v>
      </c>
      <c r="AK2168" t="s">
        <v>98</v>
      </c>
      <c r="AM2168" t="s">
        <v>98</v>
      </c>
      <c r="AN2168" t="s">
        <v>98</v>
      </c>
      <c r="AO2168" t="s">
        <v>98</v>
      </c>
      <c r="AP2168" t="s">
        <v>100</v>
      </c>
      <c r="AV2168" t="s">
        <v>98</v>
      </c>
      <c r="AX2168" t="s">
        <v>7528</v>
      </c>
      <c r="AZ2168" t="s">
        <v>7528</v>
      </c>
      <c r="BB2168" t="s">
        <v>7528</v>
      </c>
      <c r="BC2168" t="s">
        <v>7528</v>
      </c>
      <c r="BD2168" t="s">
        <v>7528</v>
      </c>
      <c r="BF2168" t="s">
        <v>6381</v>
      </c>
      <c r="BG2168" t="s">
        <v>98</v>
      </c>
      <c r="BH2168" t="s">
        <v>98</v>
      </c>
      <c r="BI2168" t="s">
        <v>98</v>
      </c>
      <c r="BK2168" t="s">
        <v>7528</v>
      </c>
      <c r="BL2168" t="s">
        <v>7528</v>
      </c>
      <c r="CB2168" t="s">
        <v>7528</v>
      </c>
      <c r="CL2168" t="s">
        <v>98</v>
      </c>
      <c r="CM2168" t="s">
        <v>98</v>
      </c>
      <c r="CN2168" t="s">
        <v>7528</v>
      </c>
      <c r="CP2168" s="1">
        <v>43633</v>
      </c>
    </row>
    <row r="2169" spans="1:94" x14ac:dyDescent="0.25">
      <c r="A2169" t="s">
        <v>6382</v>
      </c>
      <c r="B2169" t="str">
        <f xml:space="preserve"> "" &amp; 747396093154</f>
        <v>747396093154</v>
      </c>
      <c r="C2169" t="s">
        <v>5154</v>
      </c>
      <c r="D2169" t="s">
        <v>7488</v>
      </c>
      <c r="E2169" t="s">
        <v>2556</v>
      </c>
      <c r="F2169" t="s">
        <v>627</v>
      </c>
      <c r="G2169">
        <v>1</v>
      </c>
      <c r="H2169">
        <v>1</v>
      </c>
      <c r="I2169" t="s">
        <v>97</v>
      </c>
      <c r="J2169" s="10">
        <v>7.5</v>
      </c>
      <c r="K2169" s="10">
        <v>22.5</v>
      </c>
      <c r="L2169" s="10">
        <v>0</v>
      </c>
      <c r="N2169" s="10">
        <v>0</v>
      </c>
      <c r="W2169">
        <v>0.22</v>
      </c>
      <c r="Y2169">
        <v>3.5</v>
      </c>
      <c r="Z2169">
        <v>7.88</v>
      </c>
      <c r="AA2169">
        <v>7.88</v>
      </c>
      <c r="AB2169">
        <v>0.126</v>
      </c>
      <c r="AC2169">
        <v>0.28000000000000003</v>
      </c>
      <c r="AF2169" t="s">
        <v>7528</v>
      </c>
      <c r="AK2169" t="s">
        <v>98</v>
      </c>
      <c r="AM2169" t="s">
        <v>98</v>
      </c>
      <c r="AN2169" t="s">
        <v>98</v>
      </c>
      <c r="AO2169" t="s">
        <v>98</v>
      </c>
      <c r="AP2169" t="s">
        <v>100</v>
      </c>
      <c r="AV2169" t="s">
        <v>98</v>
      </c>
      <c r="AX2169" t="s">
        <v>7528</v>
      </c>
      <c r="AZ2169" t="s">
        <v>7528</v>
      </c>
      <c r="BB2169" t="s">
        <v>7528</v>
      </c>
      <c r="BC2169" t="s">
        <v>7528</v>
      </c>
      <c r="BD2169" t="s">
        <v>7528</v>
      </c>
      <c r="BF2169" t="s">
        <v>6383</v>
      </c>
      <c r="BG2169" t="s">
        <v>98</v>
      </c>
      <c r="BH2169" t="s">
        <v>98</v>
      </c>
      <c r="BI2169" t="s">
        <v>98</v>
      </c>
      <c r="BK2169" t="s">
        <v>7528</v>
      </c>
      <c r="BL2169" t="s">
        <v>7528</v>
      </c>
      <c r="CB2169" t="s">
        <v>7528</v>
      </c>
      <c r="CL2169" t="s">
        <v>98</v>
      </c>
      <c r="CM2169" t="s">
        <v>98</v>
      </c>
      <c r="CN2169" t="s">
        <v>7528</v>
      </c>
      <c r="CP2169" s="1">
        <v>43633</v>
      </c>
    </row>
    <row r="2170" spans="1:94" x14ac:dyDescent="0.25">
      <c r="A2170" t="s">
        <v>6384</v>
      </c>
      <c r="B2170" t="str">
        <f xml:space="preserve"> "" &amp; 747396093161</f>
        <v>747396093161</v>
      </c>
      <c r="C2170" t="s">
        <v>5154</v>
      </c>
      <c r="D2170" t="s">
        <v>7489</v>
      </c>
      <c r="E2170" t="s">
        <v>2556</v>
      </c>
      <c r="F2170" t="s">
        <v>627</v>
      </c>
      <c r="G2170">
        <v>1</v>
      </c>
      <c r="H2170">
        <v>1</v>
      </c>
      <c r="I2170" t="s">
        <v>97</v>
      </c>
      <c r="J2170" s="10">
        <v>7</v>
      </c>
      <c r="K2170" s="10">
        <v>21</v>
      </c>
      <c r="L2170" s="10">
        <v>0</v>
      </c>
      <c r="N2170" s="10">
        <v>0</v>
      </c>
      <c r="W2170">
        <v>0.08</v>
      </c>
      <c r="Y2170">
        <v>3.5</v>
      </c>
      <c r="Z2170">
        <v>7.88</v>
      </c>
      <c r="AA2170">
        <v>7.88</v>
      </c>
      <c r="AB2170">
        <v>0.126</v>
      </c>
      <c r="AC2170">
        <v>0.12</v>
      </c>
      <c r="AF2170" t="s">
        <v>7528</v>
      </c>
      <c r="AK2170" t="s">
        <v>98</v>
      </c>
      <c r="AM2170" t="s">
        <v>98</v>
      </c>
      <c r="AN2170" t="s">
        <v>98</v>
      </c>
      <c r="AO2170" t="s">
        <v>98</v>
      </c>
      <c r="AP2170" t="s">
        <v>100</v>
      </c>
      <c r="AV2170" t="s">
        <v>98</v>
      </c>
      <c r="AX2170" t="s">
        <v>7528</v>
      </c>
      <c r="AZ2170" t="s">
        <v>7528</v>
      </c>
      <c r="BB2170" t="s">
        <v>7528</v>
      </c>
      <c r="BC2170" t="s">
        <v>7528</v>
      </c>
      <c r="BD2170" t="s">
        <v>7528</v>
      </c>
      <c r="BF2170" t="s">
        <v>6385</v>
      </c>
      <c r="BG2170" t="s">
        <v>98</v>
      </c>
      <c r="BH2170" t="s">
        <v>98</v>
      </c>
      <c r="BI2170" t="s">
        <v>98</v>
      </c>
      <c r="BK2170" t="s">
        <v>7528</v>
      </c>
      <c r="BL2170" t="s">
        <v>7528</v>
      </c>
      <c r="CB2170" t="s">
        <v>7528</v>
      </c>
      <c r="CL2170" t="s">
        <v>98</v>
      </c>
      <c r="CM2170" t="s">
        <v>98</v>
      </c>
      <c r="CN2170" t="s">
        <v>7528</v>
      </c>
      <c r="CP2170" s="1">
        <v>43633</v>
      </c>
    </row>
    <row r="2171" spans="1:94" x14ac:dyDescent="0.25">
      <c r="A2171" t="s">
        <v>6386</v>
      </c>
      <c r="B2171" t="str">
        <f xml:space="preserve"> "" &amp; 747396093178</f>
        <v>747396093178</v>
      </c>
      <c r="C2171" t="s">
        <v>5154</v>
      </c>
      <c r="D2171" t="s">
        <v>7490</v>
      </c>
      <c r="E2171" t="s">
        <v>2556</v>
      </c>
      <c r="F2171" t="s">
        <v>627</v>
      </c>
      <c r="G2171">
        <v>1</v>
      </c>
      <c r="H2171">
        <v>1</v>
      </c>
      <c r="I2171" t="s">
        <v>97</v>
      </c>
      <c r="J2171" s="10">
        <v>27.5</v>
      </c>
      <c r="K2171" s="10">
        <v>82.5</v>
      </c>
      <c r="L2171" s="10">
        <v>0</v>
      </c>
      <c r="N2171" s="10">
        <v>0</v>
      </c>
      <c r="W2171">
        <v>0.44</v>
      </c>
      <c r="Y2171">
        <v>3.88</v>
      </c>
      <c r="Z2171">
        <v>5.88</v>
      </c>
      <c r="AA2171">
        <v>5.88</v>
      </c>
      <c r="AB2171">
        <v>7.8E-2</v>
      </c>
      <c r="AC2171">
        <v>0.21</v>
      </c>
      <c r="AF2171" t="s">
        <v>7528</v>
      </c>
      <c r="AK2171" t="s">
        <v>98</v>
      </c>
      <c r="AM2171" t="s">
        <v>98</v>
      </c>
      <c r="AN2171" t="s">
        <v>98</v>
      </c>
      <c r="AO2171" t="s">
        <v>98</v>
      </c>
      <c r="AP2171" t="s">
        <v>100</v>
      </c>
      <c r="AV2171" t="s">
        <v>98</v>
      </c>
      <c r="AX2171" t="s">
        <v>7528</v>
      </c>
      <c r="AZ2171" t="s">
        <v>7528</v>
      </c>
      <c r="BB2171" t="s">
        <v>7528</v>
      </c>
      <c r="BC2171" t="s">
        <v>7528</v>
      </c>
      <c r="BD2171" t="s">
        <v>7528</v>
      </c>
      <c r="BF2171" t="s">
        <v>6387</v>
      </c>
      <c r="BG2171" t="s">
        <v>98</v>
      </c>
      <c r="BH2171" t="s">
        <v>98</v>
      </c>
      <c r="BI2171" t="s">
        <v>98</v>
      </c>
      <c r="BK2171" t="s">
        <v>7528</v>
      </c>
      <c r="BL2171" t="s">
        <v>7528</v>
      </c>
      <c r="CB2171" t="s">
        <v>7528</v>
      </c>
      <c r="CL2171" t="s">
        <v>98</v>
      </c>
      <c r="CM2171" t="s">
        <v>98</v>
      </c>
      <c r="CN2171" t="s">
        <v>7528</v>
      </c>
      <c r="CP2171" s="1">
        <v>43633</v>
      </c>
    </row>
    <row r="2172" spans="1:94" x14ac:dyDescent="0.25">
      <c r="A2172" t="s">
        <v>6388</v>
      </c>
      <c r="B2172" t="str">
        <f xml:space="preserve"> "" &amp; 747396093185</f>
        <v>747396093185</v>
      </c>
      <c r="C2172" t="s">
        <v>5154</v>
      </c>
      <c r="D2172" t="s">
        <v>7491</v>
      </c>
      <c r="E2172" t="s">
        <v>2556</v>
      </c>
      <c r="F2172" t="s">
        <v>627</v>
      </c>
      <c r="G2172">
        <v>1</v>
      </c>
      <c r="H2172">
        <v>1</v>
      </c>
      <c r="I2172" t="s">
        <v>97</v>
      </c>
      <c r="J2172" s="10">
        <v>2.5</v>
      </c>
      <c r="K2172" s="10">
        <v>7.5</v>
      </c>
      <c r="L2172" s="10">
        <v>0</v>
      </c>
      <c r="N2172" s="10">
        <v>0</v>
      </c>
      <c r="W2172">
        <v>0.06</v>
      </c>
      <c r="Y2172">
        <v>3.88</v>
      </c>
      <c r="Z2172">
        <v>11.75</v>
      </c>
      <c r="AA2172">
        <v>3.88</v>
      </c>
      <c r="AB2172">
        <v>0.10199999999999999</v>
      </c>
      <c r="AC2172">
        <v>0.08</v>
      </c>
      <c r="AF2172" t="s">
        <v>7528</v>
      </c>
      <c r="AK2172" t="s">
        <v>98</v>
      </c>
      <c r="AM2172" t="s">
        <v>98</v>
      </c>
      <c r="AN2172" t="s">
        <v>98</v>
      </c>
      <c r="AO2172" t="s">
        <v>98</v>
      </c>
      <c r="AP2172" t="s">
        <v>100</v>
      </c>
      <c r="AV2172" t="s">
        <v>98</v>
      </c>
      <c r="AX2172" t="s">
        <v>7528</v>
      </c>
      <c r="AZ2172" t="s">
        <v>7528</v>
      </c>
      <c r="BB2172" t="s">
        <v>7528</v>
      </c>
      <c r="BC2172" t="s">
        <v>7528</v>
      </c>
      <c r="BD2172" t="s">
        <v>7528</v>
      </c>
      <c r="BF2172" t="s">
        <v>6389</v>
      </c>
      <c r="BG2172" t="s">
        <v>98</v>
      </c>
      <c r="BH2172" t="s">
        <v>98</v>
      </c>
      <c r="BI2172" t="s">
        <v>98</v>
      </c>
      <c r="BK2172" t="s">
        <v>7528</v>
      </c>
      <c r="BL2172" t="s">
        <v>7528</v>
      </c>
      <c r="CB2172" t="s">
        <v>7528</v>
      </c>
      <c r="CL2172" t="s">
        <v>98</v>
      </c>
      <c r="CM2172" t="s">
        <v>98</v>
      </c>
      <c r="CN2172" t="s">
        <v>7528</v>
      </c>
      <c r="CP2172" s="1">
        <v>43633</v>
      </c>
    </row>
    <row r="2173" spans="1:94" x14ac:dyDescent="0.25">
      <c r="A2173" t="s">
        <v>6390</v>
      </c>
      <c r="B2173" t="str">
        <f xml:space="preserve"> "" &amp; 747396093246</f>
        <v>747396093246</v>
      </c>
      <c r="C2173" t="s">
        <v>5154</v>
      </c>
      <c r="D2173" t="s">
        <v>7492</v>
      </c>
      <c r="E2173" t="s">
        <v>2556</v>
      </c>
      <c r="F2173" t="s">
        <v>627</v>
      </c>
      <c r="G2173">
        <v>1</v>
      </c>
      <c r="H2173">
        <v>1</v>
      </c>
      <c r="I2173" t="s">
        <v>97</v>
      </c>
      <c r="J2173" s="10">
        <v>1.75</v>
      </c>
      <c r="K2173" s="10">
        <v>5.25</v>
      </c>
      <c r="L2173" s="10">
        <v>0</v>
      </c>
      <c r="N2173" s="10">
        <v>0</v>
      </c>
      <c r="W2173">
        <v>0.03</v>
      </c>
      <c r="Y2173">
        <v>3.13</v>
      </c>
      <c r="Z2173">
        <v>6.25</v>
      </c>
      <c r="AA2173">
        <v>5.5</v>
      </c>
      <c r="AB2173">
        <v>6.2E-2</v>
      </c>
      <c r="AC2173">
        <v>0.06</v>
      </c>
      <c r="AF2173" t="s">
        <v>7528</v>
      </c>
      <c r="AK2173" t="s">
        <v>98</v>
      </c>
      <c r="AM2173" t="s">
        <v>98</v>
      </c>
      <c r="AN2173" t="s">
        <v>98</v>
      </c>
      <c r="AO2173" t="s">
        <v>98</v>
      </c>
      <c r="AP2173" t="s">
        <v>100</v>
      </c>
      <c r="AV2173" t="s">
        <v>98</v>
      </c>
      <c r="AX2173" t="s">
        <v>7528</v>
      </c>
      <c r="AZ2173" t="s">
        <v>7528</v>
      </c>
      <c r="BB2173" t="s">
        <v>7528</v>
      </c>
      <c r="BC2173" t="s">
        <v>7528</v>
      </c>
      <c r="BD2173" t="s">
        <v>7528</v>
      </c>
      <c r="BF2173" t="s">
        <v>6391</v>
      </c>
      <c r="BG2173" t="s">
        <v>98</v>
      </c>
      <c r="BH2173" t="s">
        <v>98</v>
      </c>
      <c r="BI2173" t="s">
        <v>98</v>
      </c>
      <c r="BK2173" t="s">
        <v>7528</v>
      </c>
      <c r="BL2173" t="s">
        <v>7528</v>
      </c>
      <c r="CB2173" t="s">
        <v>7528</v>
      </c>
      <c r="CL2173" t="s">
        <v>98</v>
      </c>
      <c r="CM2173" t="s">
        <v>98</v>
      </c>
      <c r="CN2173" t="s">
        <v>7528</v>
      </c>
      <c r="CP2173" s="1">
        <v>43633</v>
      </c>
    </row>
    <row r="2174" spans="1:94" x14ac:dyDescent="0.25">
      <c r="A2174" t="s">
        <v>6392</v>
      </c>
      <c r="B2174" t="str">
        <f xml:space="preserve"> "" &amp; 747396093260</f>
        <v>747396093260</v>
      </c>
      <c r="C2174" t="s">
        <v>5154</v>
      </c>
      <c r="D2174" t="s">
        <v>7493</v>
      </c>
      <c r="E2174" t="s">
        <v>2708</v>
      </c>
      <c r="F2174" t="s">
        <v>627</v>
      </c>
      <c r="G2174">
        <v>1</v>
      </c>
      <c r="H2174">
        <v>1</v>
      </c>
      <c r="I2174" t="s">
        <v>97</v>
      </c>
      <c r="J2174" s="10">
        <v>1.75</v>
      </c>
      <c r="K2174" s="10">
        <v>5.25</v>
      </c>
      <c r="L2174" s="10">
        <v>0</v>
      </c>
      <c r="N2174" s="10">
        <v>0</v>
      </c>
      <c r="W2174">
        <v>1</v>
      </c>
      <c r="Y2174">
        <v>4.75</v>
      </c>
      <c r="Z2174">
        <v>6</v>
      </c>
      <c r="AA2174">
        <v>6</v>
      </c>
      <c r="AB2174">
        <v>9.9000000000000005E-2</v>
      </c>
      <c r="AC2174">
        <v>0.02</v>
      </c>
      <c r="AF2174" t="s">
        <v>7528</v>
      </c>
      <c r="AK2174" t="s">
        <v>98</v>
      </c>
      <c r="AM2174" t="s">
        <v>98</v>
      </c>
      <c r="AN2174" t="s">
        <v>98</v>
      </c>
      <c r="AO2174" t="s">
        <v>98</v>
      </c>
      <c r="AP2174" t="s">
        <v>100</v>
      </c>
      <c r="AV2174" t="s">
        <v>98</v>
      </c>
      <c r="AX2174" t="s">
        <v>7528</v>
      </c>
      <c r="AZ2174" t="s">
        <v>7528</v>
      </c>
      <c r="BB2174" t="s">
        <v>7528</v>
      </c>
      <c r="BC2174" t="s">
        <v>7528</v>
      </c>
      <c r="BD2174" t="s">
        <v>7528</v>
      </c>
      <c r="BF2174" t="s">
        <v>6393</v>
      </c>
      <c r="BG2174" t="s">
        <v>98</v>
      </c>
      <c r="BH2174" t="s">
        <v>98</v>
      </c>
      <c r="BI2174" t="s">
        <v>98</v>
      </c>
      <c r="BK2174" t="s">
        <v>7528</v>
      </c>
      <c r="BL2174" t="s">
        <v>7528</v>
      </c>
      <c r="CB2174" t="s">
        <v>7528</v>
      </c>
      <c r="CL2174" t="s">
        <v>98</v>
      </c>
      <c r="CM2174" t="s">
        <v>98</v>
      </c>
      <c r="CN2174" t="s">
        <v>7528</v>
      </c>
      <c r="CP2174" s="1">
        <v>43633</v>
      </c>
    </row>
    <row r="2175" spans="1:94" x14ac:dyDescent="0.25">
      <c r="A2175" t="s">
        <v>6394</v>
      </c>
      <c r="B2175" t="str">
        <f xml:space="preserve"> "" &amp; 747396093284</f>
        <v>747396093284</v>
      </c>
      <c r="C2175" t="s">
        <v>5154</v>
      </c>
      <c r="D2175" t="s">
        <v>6395</v>
      </c>
      <c r="E2175" t="s">
        <v>2708</v>
      </c>
      <c r="F2175" t="s">
        <v>627</v>
      </c>
      <c r="G2175">
        <v>1</v>
      </c>
      <c r="H2175">
        <v>1</v>
      </c>
      <c r="I2175" t="s">
        <v>97</v>
      </c>
      <c r="J2175" s="10">
        <v>2.25</v>
      </c>
      <c r="K2175" s="10">
        <v>6.75</v>
      </c>
      <c r="L2175" s="10">
        <v>0</v>
      </c>
      <c r="N2175" s="10">
        <v>0</v>
      </c>
      <c r="W2175">
        <v>0.02</v>
      </c>
      <c r="Y2175">
        <v>4.75</v>
      </c>
      <c r="Z2175">
        <v>6</v>
      </c>
      <c r="AA2175">
        <v>6</v>
      </c>
      <c r="AB2175">
        <v>9.9000000000000005E-2</v>
      </c>
      <c r="AC2175">
        <v>0.02</v>
      </c>
      <c r="AF2175" t="s">
        <v>7528</v>
      </c>
      <c r="AK2175" t="s">
        <v>98</v>
      </c>
      <c r="AM2175" t="s">
        <v>98</v>
      </c>
      <c r="AN2175" t="s">
        <v>98</v>
      </c>
      <c r="AO2175" t="s">
        <v>98</v>
      </c>
      <c r="AP2175" t="s">
        <v>100</v>
      </c>
      <c r="AV2175" t="s">
        <v>98</v>
      </c>
      <c r="AX2175" t="s">
        <v>7528</v>
      </c>
      <c r="AZ2175" t="s">
        <v>7528</v>
      </c>
      <c r="BB2175" t="s">
        <v>7528</v>
      </c>
      <c r="BC2175" t="s">
        <v>7528</v>
      </c>
      <c r="BD2175" t="s">
        <v>7528</v>
      </c>
      <c r="BF2175" t="s">
        <v>6396</v>
      </c>
      <c r="BG2175" t="s">
        <v>98</v>
      </c>
      <c r="BH2175" t="s">
        <v>98</v>
      </c>
      <c r="BI2175" t="s">
        <v>98</v>
      </c>
      <c r="BK2175" t="s">
        <v>7528</v>
      </c>
      <c r="BL2175" t="s">
        <v>7528</v>
      </c>
      <c r="CB2175" t="s">
        <v>7528</v>
      </c>
      <c r="CL2175" t="s">
        <v>98</v>
      </c>
      <c r="CM2175" t="s">
        <v>98</v>
      </c>
      <c r="CN2175" t="s">
        <v>7528</v>
      </c>
    </row>
    <row r="2176" spans="1:94" x14ac:dyDescent="0.25">
      <c r="A2176" t="s">
        <v>6397</v>
      </c>
      <c r="B2176" t="str">
        <f xml:space="preserve"> "" &amp; 747396093055</f>
        <v>747396093055</v>
      </c>
      <c r="C2176" t="s">
        <v>5154</v>
      </c>
      <c r="D2176" t="s">
        <v>7494</v>
      </c>
      <c r="E2176" t="s">
        <v>1829</v>
      </c>
      <c r="F2176" t="s">
        <v>627</v>
      </c>
      <c r="G2176">
        <v>1</v>
      </c>
      <c r="H2176">
        <v>1</v>
      </c>
      <c r="I2176" t="s">
        <v>97</v>
      </c>
      <c r="J2176" s="10">
        <v>11.5</v>
      </c>
      <c r="K2176" s="10">
        <v>34.5</v>
      </c>
      <c r="L2176" s="10">
        <v>0</v>
      </c>
      <c r="N2176" s="10">
        <v>0</v>
      </c>
      <c r="W2176">
        <v>1.41</v>
      </c>
      <c r="Y2176">
        <v>7</v>
      </c>
      <c r="Z2176">
        <v>14</v>
      </c>
      <c r="AA2176">
        <v>14</v>
      </c>
      <c r="AB2176">
        <v>0.79400000000000004</v>
      </c>
      <c r="AC2176">
        <v>1.53</v>
      </c>
      <c r="AF2176" t="s">
        <v>7528</v>
      </c>
      <c r="AK2176" t="s">
        <v>98</v>
      </c>
      <c r="AM2176" t="s">
        <v>98</v>
      </c>
      <c r="AN2176" t="s">
        <v>98</v>
      </c>
      <c r="AO2176" t="s">
        <v>98</v>
      </c>
      <c r="AP2176" t="s">
        <v>100</v>
      </c>
      <c r="AV2176" t="s">
        <v>98</v>
      </c>
      <c r="AX2176" t="s">
        <v>7528</v>
      </c>
      <c r="AZ2176" t="s">
        <v>7528</v>
      </c>
      <c r="BB2176" t="s">
        <v>7528</v>
      </c>
      <c r="BC2176" t="s">
        <v>7528</v>
      </c>
      <c r="BD2176" t="s">
        <v>7528</v>
      </c>
      <c r="BF2176" t="s">
        <v>6398</v>
      </c>
      <c r="BG2176" t="s">
        <v>98</v>
      </c>
      <c r="BH2176" t="s">
        <v>98</v>
      </c>
      <c r="BI2176" t="s">
        <v>98</v>
      </c>
      <c r="BK2176" t="s">
        <v>7528</v>
      </c>
      <c r="BL2176" t="s">
        <v>7528</v>
      </c>
      <c r="CB2176" t="s">
        <v>7528</v>
      </c>
      <c r="CL2176" t="s">
        <v>98</v>
      </c>
      <c r="CM2176" t="s">
        <v>98</v>
      </c>
      <c r="CN2176" t="s">
        <v>7528</v>
      </c>
      <c r="CP2176" s="1">
        <v>43633</v>
      </c>
    </row>
    <row r="2177" spans="1:94" x14ac:dyDescent="0.25">
      <c r="A2177" t="s">
        <v>6399</v>
      </c>
      <c r="B2177" t="str">
        <f xml:space="preserve"> "" &amp; 747396093031</f>
        <v>747396093031</v>
      </c>
      <c r="C2177" t="s">
        <v>5154</v>
      </c>
      <c r="D2177" t="s">
        <v>7495</v>
      </c>
      <c r="E2177" t="s">
        <v>1829</v>
      </c>
      <c r="F2177" t="s">
        <v>627</v>
      </c>
      <c r="G2177">
        <v>1</v>
      </c>
      <c r="H2177">
        <v>1</v>
      </c>
      <c r="I2177" t="s">
        <v>97</v>
      </c>
      <c r="J2177" s="10">
        <v>12.5</v>
      </c>
      <c r="K2177" s="10">
        <v>37.5</v>
      </c>
      <c r="L2177" s="10">
        <v>0</v>
      </c>
      <c r="N2177" s="10">
        <v>0</v>
      </c>
      <c r="W2177">
        <v>2.2000000000000002</v>
      </c>
      <c r="Y2177">
        <v>7</v>
      </c>
      <c r="Z2177">
        <v>16.88</v>
      </c>
      <c r="AA2177">
        <v>16.88</v>
      </c>
      <c r="AB2177">
        <v>1.1539999999999999</v>
      </c>
      <c r="AC2177">
        <v>2.37</v>
      </c>
      <c r="AF2177" t="s">
        <v>7528</v>
      </c>
      <c r="AK2177" t="s">
        <v>98</v>
      </c>
      <c r="AM2177" t="s">
        <v>98</v>
      </c>
      <c r="AN2177" t="s">
        <v>98</v>
      </c>
      <c r="AO2177" t="s">
        <v>98</v>
      </c>
      <c r="AP2177" t="s">
        <v>100</v>
      </c>
      <c r="AV2177" t="s">
        <v>98</v>
      </c>
      <c r="AX2177" t="s">
        <v>7528</v>
      </c>
      <c r="AZ2177" t="s">
        <v>7528</v>
      </c>
      <c r="BB2177" t="s">
        <v>7528</v>
      </c>
      <c r="BC2177" t="s">
        <v>7528</v>
      </c>
      <c r="BD2177" t="s">
        <v>7528</v>
      </c>
      <c r="BF2177" t="s">
        <v>6400</v>
      </c>
      <c r="BG2177" t="s">
        <v>98</v>
      </c>
      <c r="BH2177" t="s">
        <v>98</v>
      </c>
      <c r="BI2177" t="s">
        <v>98</v>
      </c>
      <c r="BK2177" t="s">
        <v>7528</v>
      </c>
      <c r="BL2177" t="s">
        <v>7528</v>
      </c>
      <c r="CB2177" t="s">
        <v>7528</v>
      </c>
      <c r="CL2177" t="s">
        <v>98</v>
      </c>
      <c r="CM2177" t="s">
        <v>98</v>
      </c>
      <c r="CN2177" t="s">
        <v>7528</v>
      </c>
      <c r="CP2177" s="1">
        <v>43633</v>
      </c>
    </row>
    <row r="2178" spans="1:94" x14ac:dyDescent="0.25">
      <c r="A2178" t="s">
        <v>6401</v>
      </c>
      <c r="B2178" t="str">
        <f xml:space="preserve"> "" &amp; 747396093291</f>
        <v>747396093291</v>
      </c>
      <c r="C2178" t="s">
        <v>5154</v>
      </c>
      <c r="D2178" t="s">
        <v>7496</v>
      </c>
      <c r="E2178" t="s">
        <v>2649</v>
      </c>
      <c r="F2178" t="s">
        <v>627</v>
      </c>
      <c r="G2178">
        <v>1</v>
      </c>
      <c r="H2178">
        <v>1</v>
      </c>
      <c r="I2178" t="s">
        <v>97</v>
      </c>
      <c r="J2178" s="10">
        <v>12.5</v>
      </c>
      <c r="K2178" s="10">
        <v>37.5</v>
      </c>
      <c r="L2178" s="10">
        <v>0</v>
      </c>
      <c r="N2178" s="10">
        <v>0</v>
      </c>
      <c r="W2178">
        <v>2.84</v>
      </c>
      <c r="Y2178">
        <v>19.899999999999999</v>
      </c>
      <c r="Z2178">
        <v>19.899999999999999</v>
      </c>
      <c r="AA2178">
        <v>19.899999999999999</v>
      </c>
      <c r="AB2178">
        <v>4.5609999999999999</v>
      </c>
      <c r="AC2178">
        <v>3.04</v>
      </c>
      <c r="AF2178" t="s">
        <v>7528</v>
      </c>
      <c r="AK2178" t="s">
        <v>98</v>
      </c>
      <c r="AM2178" t="s">
        <v>98</v>
      </c>
      <c r="AN2178" t="s">
        <v>98</v>
      </c>
      <c r="AO2178" t="s">
        <v>98</v>
      </c>
      <c r="AP2178" t="s">
        <v>100</v>
      </c>
      <c r="AV2178" t="s">
        <v>98</v>
      </c>
      <c r="AX2178" t="s">
        <v>7528</v>
      </c>
      <c r="AZ2178" t="s">
        <v>7528</v>
      </c>
      <c r="BB2178" t="s">
        <v>7528</v>
      </c>
      <c r="BC2178" t="s">
        <v>7528</v>
      </c>
      <c r="BD2178" t="s">
        <v>7528</v>
      </c>
      <c r="BF2178" t="s">
        <v>6402</v>
      </c>
      <c r="BG2178" t="s">
        <v>98</v>
      </c>
      <c r="BH2178" t="s">
        <v>98</v>
      </c>
      <c r="BI2178" t="s">
        <v>98</v>
      </c>
      <c r="BK2178" t="s">
        <v>7528</v>
      </c>
      <c r="BL2178" t="s">
        <v>7528</v>
      </c>
      <c r="CB2178" t="s">
        <v>7528</v>
      </c>
      <c r="CL2178" t="s">
        <v>98</v>
      </c>
      <c r="CM2178" t="s">
        <v>98</v>
      </c>
      <c r="CN2178" t="s">
        <v>7528</v>
      </c>
      <c r="CP2178" s="1">
        <v>43633</v>
      </c>
    </row>
    <row r="2179" spans="1:94" x14ac:dyDescent="0.25">
      <c r="A2179" t="s">
        <v>6403</v>
      </c>
      <c r="B2179" t="str">
        <f xml:space="preserve"> "" &amp; 874944008046</f>
        <v>874944008046</v>
      </c>
      <c r="C2179" t="s">
        <v>6404</v>
      </c>
      <c r="D2179" t="s">
        <v>6405</v>
      </c>
      <c r="E2179" t="s">
        <v>6406</v>
      </c>
      <c r="F2179" t="s">
        <v>627</v>
      </c>
      <c r="G2179">
        <v>1</v>
      </c>
      <c r="H2179">
        <v>1</v>
      </c>
      <c r="I2179" t="s">
        <v>97</v>
      </c>
      <c r="J2179" s="10">
        <v>2</v>
      </c>
      <c r="K2179" s="10">
        <v>6</v>
      </c>
      <c r="L2179" s="10">
        <v>0</v>
      </c>
      <c r="N2179" s="10">
        <v>0</v>
      </c>
      <c r="W2179">
        <v>7.0000000000000007E-2</v>
      </c>
      <c r="X2179">
        <v>1</v>
      </c>
      <c r="Y2179">
        <v>7.13</v>
      </c>
      <c r="Z2179">
        <v>11</v>
      </c>
      <c r="AA2179">
        <v>11</v>
      </c>
      <c r="AB2179">
        <v>0.499</v>
      </c>
      <c r="AC2179">
        <v>0.1</v>
      </c>
      <c r="AF2179" t="s">
        <v>7528</v>
      </c>
      <c r="AK2179" t="s">
        <v>98</v>
      </c>
      <c r="AM2179" t="s">
        <v>98</v>
      </c>
      <c r="AN2179" t="s">
        <v>98</v>
      </c>
      <c r="AO2179" t="s">
        <v>98</v>
      </c>
      <c r="AP2179" t="s">
        <v>100</v>
      </c>
      <c r="AV2179" t="s">
        <v>98</v>
      </c>
      <c r="AX2179" t="s">
        <v>1919</v>
      </c>
      <c r="AZ2179" t="s">
        <v>7528</v>
      </c>
      <c r="BB2179" t="s">
        <v>7528</v>
      </c>
      <c r="BC2179" t="s">
        <v>7528</v>
      </c>
      <c r="BD2179" t="s">
        <v>7528</v>
      </c>
      <c r="BF2179" t="s">
        <v>6407</v>
      </c>
      <c r="BG2179" t="s">
        <v>98</v>
      </c>
      <c r="BH2179" t="s">
        <v>98</v>
      </c>
      <c r="BI2179" t="s">
        <v>98</v>
      </c>
      <c r="BK2179" t="s">
        <v>7528</v>
      </c>
      <c r="BL2179" t="s">
        <v>7528</v>
      </c>
      <c r="CB2179" t="s">
        <v>1919</v>
      </c>
      <c r="CL2179" t="s">
        <v>98</v>
      </c>
      <c r="CM2179" t="s">
        <v>98</v>
      </c>
      <c r="CN2179" t="s">
        <v>7528</v>
      </c>
    </row>
    <row r="2180" spans="1:94" x14ac:dyDescent="0.25">
      <c r="A2180" t="s">
        <v>6408</v>
      </c>
      <c r="B2180" t="str">
        <f xml:space="preserve"> "" &amp; 879440008053</f>
        <v>879440008053</v>
      </c>
      <c r="C2180" t="s">
        <v>6409</v>
      </c>
      <c r="D2180" t="s">
        <v>6410</v>
      </c>
      <c r="E2180" t="s">
        <v>6406</v>
      </c>
      <c r="F2180" t="s">
        <v>627</v>
      </c>
      <c r="G2180">
        <v>1</v>
      </c>
      <c r="H2180">
        <v>1</v>
      </c>
      <c r="I2180" t="s">
        <v>97</v>
      </c>
      <c r="J2180" s="10">
        <v>12.5</v>
      </c>
      <c r="K2180" s="10">
        <v>37.5</v>
      </c>
      <c r="L2180" s="10">
        <v>0</v>
      </c>
      <c r="N2180" s="10">
        <v>0</v>
      </c>
      <c r="W2180">
        <v>1.1399999999999999</v>
      </c>
      <c r="X2180">
        <v>1</v>
      </c>
      <c r="Y2180">
        <v>9.6300000000000008</v>
      </c>
      <c r="Z2180">
        <v>53.13</v>
      </c>
      <c r="AA2180">
        <v>6.75</v>
      </c>
      <c r="AB2180">
        <v>1.9990000000000001</v>
      </c>
      <c r="AC2180">
        <v>1.83</v>
      </c>
      <c r="AF2180" t="s">
        <v>7528</v>
      </c>
      <c r="AK2180" t="s">
        <v>98</v>
      </c>
      <c r="AM2180" t="s">
        <v>98</v>
      </c>
      <c r="AN2180" t="s">
        <v>98</v>
      </c>
      <c r="AO2180" t="s">
        <v>98</v>
      </c>
      <c r="AP2180" t="s">
        <v>100</v>
      </c>
      <c r="AV2180" t="s">
        <v>98</v>
      </c>
      <c r="AX2180" t="s">
        <v>1919</v>
      </c>
      <c r="AZ2180" t="s">
        <v>7528</v>
      </c>
      <c r="BB2180" t="s">
        <v>7528</v>
      </c>
      <c r="BC2180" t="s">
        <v>7528</v>
      </c>
      <c r="BD2180" t="s">
        <v>7528</v>
      </c>
      <c r="BF2180" t="s">
        <v>6411</v>
      </c>
      <c r="BG2180" t="s">
        <v>98</v>
      </c>
      <c r="BH2180" t="s">
        <v>98</v>
      </c>
      <c r="BI2180" t="s">
        <v>98</v>
      </c>
      <c r="BK2180" t="s">
        <v>7528</v>
      </c>
      <c r="BL2180" t="s">
        <v>7528</v>
      </c>
      <c r="CB2180" t="s">
        <v>1919</v>
      </c>
      <c r="CL2180" t="s">
        <v>98</v>
      </c>
      <c r="CM2180" t="s">
        <v>98</v>
      </c>
      <c r="CN2180" t="s">
        <v>7528</v>
      </c>
    </row>
    <row r="2181" spans="1:94" x14ac:dyDescent="0.25">
      <c r="A2181" t="s">
        <v>6412</v>
      </c>
      <c r="B2181" t="str">
        <f xml:space="preserve"> "" &amp; 844371017416</f>
        <v>844371017416</v>
      </c>
      <c r="C2181" t="s">
        <v>6413</v>
      </c>
      <c r="D2181" t="s">
        <v>6414</v>
      </c>
      <c r="E2181" t="s">
        <v>6406</v>
      </c>
      <c r="F2181" t="s">
        <v>627</v>
      </c>
      <c r="G2181">
        <v>1</v>
      </c>
      <c r="H2181">
        <v>1</v>
      </c>
      <c r="I2181" t="s">
        <v>97</v>
      </c>
      <c r="J2181" s="10">
        <v>9.9499999999999993</v>
      </c>
      <c r="K2181" s="10">
        <v>29.85</v>
      </c>
      <c r="L2181" s="10">
        <v>0</v>
      </c>
      <c r="N2181" s="10">
        <v>0</v>
      </c>
      <c r="W2181">
        <v>0.55000000000000004</v>
      </c>
      <c r="Y2181">
        <v>6.5</v>
      </c>
      <c r="Z2181">
        <v>11</v>
      </c>
      <c r="AA2181">
        <v>11</v>
      </c>
      <c r="AB2181">
        <v>0.45500000000000002</v>
      </c>
      <c r="AC2181">
        <v>0.8</v>
      </c>
      <c r="AF2181" t="s">
        <v>7528</v>
      </c>
      <c r="AK2181" t="s">
        <v>98</v>
      </c>
      <c r="AM2181" t="s">
        <v>98</v>
      </c>
      <c r="AN2181" t="s">
        <v>98</v>
      </c>
      <c r="AO2181" t="s">
        <v>98</v>
      </c>
      <c r="AP2181" t="s">
        <v>100</v>
      </c>
      <c r="AV2181" t="s">
        <v>98</v>
      </c>
      <c r="AX2181" t="s">
        <v>1919</v>
      </c>
      <c r="AZ2181" t="s">
        <v>7528</v>
      </c>
      <c r="BB2181" t="s">
        <v>7528</v>
      </c>
      <c r="BC2181" t="s">
        <v>7528</v>
      </c>
      <c r="BD2181" t="s">
        <v>7528</v>
      </c>
      <c r="BF2181" t="s">
        <v>6415</v>
      </c>
      <c r="BG2181" t="s">
        <v>98</v>
      </c>
      <c r="BH2181" t="s">
        <v>98</v>
      </c>
      <c r="BI2181" t="s">
        <v>98</v>
      </c>
      <c r="BK2181" t="s">
        <v>7528</v>
      </c>
      <c r="BL2181" t="s">
        <v>7528</v>
      </c>
      <c r="CB2181" t="s">
        <v>1919</v>
      </c>
      <c r="CL2181" t="s">
        <v>98</v>
      </c>
      <c r="CM2181" t="s">
        <v>98</v>
      </c>
      <c r="CN2181" t="s">
        <v>7528</v>
      </c>
    </row>
    <row r="2182" spans="1:94" x14ac:dyDescent="0.25">
      <c r="A2182" t="s">
        <v>6416</v>
      </c>
      <c r="B2182" t="str">
        <f xml:space="preserve"> "" &amp; 874944008114</f>
        <v>874944008114</v>
      </c>
      <c r="C2182" t="s">
        <v>6417</v>
      </c>
      <c r="D2182" t="s">
        <v>6418</v>
      </c>
      <c r="E2182" t="s">
        <v>6406</v>
      </c>
      <c r="F2182" t="s">
        <v>627</v>
      </c>
      <c r="G2182">
        <v>1</v>
      </c>
      <c r="H2182">
        <v>1</v>
      </c>
      <c r="I2182" t="s">
        <v>97</v>
      </c>
      <c r="J2182" s="10">
        <v>2.5</v>
      </c>
      <c r="K2182" s="10">
        <v>7.5</v>
      </c>
      <c r="L2182" s="10">
        <v>0</v>
      </c>
      <c r="N2182" s="10">
        <v>0</v>
      </c>
      <c r="S2182">
        <v>5.875</v>
      </c>
      <c r="T2182">
        <v>1.75</v>
      </c>
      <c r="U2182">
        <v>1.75</v>
      </c>
      <c r="W2182">
        <v>6.6000000000000003E-2</v>
      </c>
      <c r="X2182">
        <v>1</v>
      </c>
      <c r="Y2182">
        <v>5.875</v>
      </c>
      <c r="Z2182">
        <v>1.75</v>
      </c>
      <c r="AA2182">
        <v>1.75</v>
      </c>
      <c r="AB2182">
        <v>0.01</v>
      </c>
      <c r="AC2182">
        <v>0.22</v>
      </c>
      <c r="AF2182" t="s">
        <v>7528</v>
      </c>
      <c r="AK2182" t="s">
        <v>98</v>
      </c>
      <c r="AM2182" t="s">
        <v>98</v>
      </c>
      <c r="AN2182" t="s">
        <v>98</v>
      </c>
      <c r="AO2182" t="s">
        <v>98</v>
      </c>
      <c r="AP2182" t="s">
        <v>100</v>
      </c>
      <c r="AV2182" t="s">
        <v>98</v>
      </c>
      <c r="AX2182" t="s">
        <v>1919</v>
      </c>
      <c r="AZ2182" t="s">
        <v>7528</v>
      </c>
      <c r="BB2182" t="s">
        <v>7528</v>
      </c>
      <c r="BC2182" t="s">
        <v>7528</v>
      </c>
      <c r="BD2182" t="s">
        <v>7528</v>
      </c>
      <c r="BF2182" t="s">
        <v>6419</v>
      </c>
      <c r="BG2182" t="s">
        <v>98</v>
      </c>
      <c r="BH2182" t="s">
        <v>98</v>
      </c>
      <c r="BI2182" t="s">
        <v>98</v>
      </c>
      <c r="BK2182" t="s">
        <v>7528</v>
      </c>
      <c r="BL2182" t="s">
        <v>7528</v>
      </c>
      <c r="CB2182" t="s">
        <v>1919</v>
      </c>
      <c r="CL2182" t="s">
        <v>98</v>
      </c>
      <c r="CM2182" t="s">
        <v>98</v>
      </c>
      <c r="CN2182" t="s">
        <v>7528</v>
      </c>
    </row>
    <row r="2183" spans="1:94" x14ac:dyDescent="0.25">
      <c r="A2183" t="s">
        <v>6420</v>
      </c>
      <c r="B2183" t="str">
        <f xml:space="preserve"> "" &amp; 874944005588</f>
        <v>874944005588</v>
      </c>
      <c r="C2183" t="s">
        <v>6421</v>
      </c>
      <c r="D2183" t="s">
        <v>7497</v>
      </c>
      <c r="E2183" t="s">
        <v>7528</v>
      </c>
      <c r="F2183" t="s">
        <v>627</v>
      </c>
      <c r="G2183">
        <v>1</v>
      </c>
      <c r="H2183">
        <v>1</v>
      </c>
      <c r="I2183" t="s">
        <v>97</v>
      </c>
      <c r="J2183" s="10">
        <v>12</v>
      </c>
      <c r="K2183" s="10">
        <v>36</v>
      </c>
      <c r="L2183" s="10">
        <v>0</v>
      </c>
      <c r="N2183" s="10">
        <v>0</v>
      </c>
      <c r="S2183">
        <v>5.25</v>
      </c>
      <c r="U2183">
        <v>4.75</v>
      </c>
      <c r="V2183">
        <v>3.25</v>
      </c>
      <c r="W2183">
        <v>1</v>
      </c>
      <c r="AB2183">
        <v>0.1336</v>
      </c>
      <c r="AC2183">
        <v>1.38</v>
      </c>
      <c r="AF2183" t="s">
        <v>7528</v>
      </c>
      <c r="AK2183" t="s">
        <v>98</v>
      </c>
      <c r="AM2183" t="s">
        <v>98</v>
      </c>
      <c r="AN2183" t="s">
        <v>98</v>
      </c>
      <c r="AO2183" t="s">
        <v>98</v>
      </c>
      <c r="AP2183" t="s">
        <v>100</v>
      </c>
      <c r="AQ2183" t="s">
        <v>101</v>
      </c>
      <c r="AV2183" t="s">
        <v>98</v>
      </c>
      <c r="AX2183" t="s">
        <v>7528</v>
      </c>
      <c r="AZ2183" t="s">
        <v>7528</v>
      </c>
      <c r="BB2183" t="s">
        <v>7528</v>
      </c>
      <c r="BC2183" t="s">
        <v>7528</v>
      </c>
      <c r="BD2183" t="s">
        <v>7528</v>
      </c>
      <c r="BF2183" t="s">
        <v>6422</v>
      </c>
      <c r="BG2183" t="s">
        <v>98</v>
      </c>
      <c r="BH2183" t="s">
        <v>98</v>
      </c>
      <c r="BI2183" t="s">
        <v>98</v>
      </c>
      <c r="BK2183" t="s">
        <v>7528</v>
      </c>
      <c r="BL2183" t="s">
        <v>7528</v>
      </c>
      <c r="CA2183" t="s">
        <v>6420</v>
      </c>
      <c r="CB2183" t="s">
        <v>7528</v>
      </c>
      <c r="CL2183" t="s">
        <v>98</v>
      </c>
      <c r="CM2183" t="s">
        <v>98</v>
      </c>
      <c r="CN2183" t="s">
        <v>7528</v>
      </c>
      <c r="CO2183" s="1">
        <v>40414</v>
      </c>
      <c r="CP2183" s="1">
        <v>43595</v>
      </c>
    </row>
    <row r="2184" spans="1:94" x14ac:dyDescent="0.25">
      <c r="A2184" t="s">
        <v>6423</v>
      </c>
      <c r="B2184" t="str">
        <f xml:space="preserve"> "" &amp; 747396074207</f>
        <v>747396074207</v>
      </c>
      <c r="C2184" t="s">
        <v>235</v>
      </c>
      <c r="D2184" t="s">
        <v>7498</v>
      </c>
      <c r="E2184" t="s">
        <v>7528</v>
      </c>
      <c r="F2184" t="s">
        <v>627</v>
      </c>
      <c r="G2184">
        <v>1</v>
      </c>
      <c r="H2184">
        <v>1</v>
      </c>
      <c r="I2184" t="s">
        <v>97</v>
      </c>
      <c r="J2184" s="10">
        <v>32.5</v>
      </c>
      <c r="K2184" s="10">
        <v>97.5</v>
      </c>
      <c r="L2184" s="10">
        <v>0</v>
      </c>
      <c r="N2184" s="10">
        <v>0</v>
      </c>
      <c r="T2184">
        <v>19.63</v>
      </c>
      <c r="W2184">
        <v>0.88</v>
      </c>
      <c r="Y2184">
        <v>11.25</v>
      </c>
      <c r="Z2184">
        <v>19.88</v>
      </c>
      <c r="AA2184">
        <v>19.88</v>
      </c>
      <c r="AB2184">
        <v>2.573</v>
      </c>
      <c r="AC2184">
        <v>5.5</v>
      </c>
      <c r="AF2184" t="s">
        <v>7528</v>
      </c>
      <c r="AK2184" t="s">
        <v>98</v>
      </c>
      <c r="AM2184" t="s">
        <v>98</v>
      </c>
      <c r="AN2184" t="s">
        <v>98</v>
      </c>
      <c r="AO2184" t="s">
        <v>98</v>
      </c>
      <c r="AP2184" t="s">
        <v>100</v>
      </c>
      <c r="AQ2184" t="s">
        <v>101</v>
      </c>
      <c r="AV2184" t="s">
        <v>98</v>
      </c>
      <c r="AX2184" t="s">
        <v>7528</v>
      </c>
      <c r="AZ2184" t="s">
        <v>7528</v>
      </c>
      <c r="BB2184" t="s">
        <v>235</v>
      </c>
      <c r="BC2184" t="s">
        <v>7528</v>
      </c>
      <c r="BD2184" t="s">
        <v>7528</v>
      </c>
      <c r="BF2184" t="s">
        <v>6424</v>
      </c>
      <c r="BG2184" t="s">
        <v>98</v>
      </c>
      <c r="BH2184" t="s">
        <v>98</v>
      </c>
      <c r="BI2184" t="s">
        <v>98</v>
      </c>
      <c r="BK2184" t="s">
        <v>7528</v>
      </c>
      <c r="BL2184" t="s">
        <v>7528</v>
      </c>
      <c r="CA2184" t="s">
        <v>6423</v>
      </c>
      <c r="CB2184" t="s">
        <v>7528</v>
      </c>
      <c r="CL2184" t="s">
        <v>98</v>
      </c>
      <c r="CM2184" t="s">
        <v>98</v>
      </c>
      <c r="CN2184" t="s">
        <v>235</v>
      </c>
      <c r="CO2184" s="1">
        <v>40353</v>
      </c>
      <c r="CP2184" s="1">
        <v>43633</v>
      </c>
    </row>
    <row r="2185" spans="1:94" x14ac:dyDescent="0.25">
      <c r="A2185" t="s">
        <v>6425</v>
      </c>
      <c r="B2185" t="str">
        <f xml:space="preserve"> "" &amp; 747396074870</f>
        <v>747396074870</v>
      </c>
      <c r="C2185" t="s">
        <v>6426</v>
      </c>
      <c r="D2185" t="s">
        <v>7499</v>
      </c>
      <c r="E2185" t="s">
        <v>7528</v>
      </c>
      <c r="F2185" t="s">
        <v>627</v>
      </c>
      <c r="G2185">
        <v>1</v>
      </c>
      <c r="H2185">
        <v>1</v>
      </c>
      <c r="I2185" t="s">
        <v>97</v>
      </c>
      <c r="J2185" s="10">
        <v>22.5</v>
      </c>
      <c r="K2185" s="10">
        <v>67.5</v>
      </c>
      <c r="L2185" s="10">
        <v>0</v>
      </c>
      <c r="N2185" s="10">
        <v>0</v>
      </c>
      <c r="W2185">
        <v>2.0699999999999998</v>
      </c>
      <c r="Y2185">
        <v>16</v>
      </c>
      <c r="Z2185">
        <v>28.5</v>
      </c>
      <c r="AA2185">
        <v>14.5</v>
      </c>
      <c r="AB2185">
        <v>3.8260000000000001</v>
      </c>
      <c r="AC2185">
        <v>3.15</v>
      </c>
      <c r="AF2185" t="s">
        <v>7528</v>
      </c>
      <c r="AK2185" t="s">
        <v>98</v>
      </c>
      <c r="AM2185" t="s">
        <v>98</v>
      </c>
      <c r="AN2185" t="s">
        <v>98</v>
      </c>
      <c r="AO2185" t="s">
        <v>98</v>
      </c>
      <c r="AP2185" t="s">
        <v>100</v>
      </c>
      <c r="AQ2185" t="s">
        <v>101</v>
      </c>
      <c r="AV2185" t="s">
        <v>98</v>
      </c>
      <c r="AX2185" t="s">
        <v>7528</v>
      </c>
      <c r="AZ2185" t="s">
        <v>7528</v>
      </c>
      <c r="BB2185" t="s">
        <v>285</v>
      </c>
      <c r="BC2185" t="s">
        <v>7528</v>
      </c>
      <c r="BD2185" t="s">
        <v>7528</v>
      </c>
      <c r="BF2185" t="s">
        <v>6427</v>
      </c>
      <c r="BG2185" t="s">
        <v>98</v>
      </c>
      <c r="BH2185" t="s">
        <v>98</v>
      </c>
      <c r="BI2185" t="s">
        <v>98</v>
      </c>
      <c r="BK2185" t="s">
        <v>7528</v>
      </c>
      <c r="BL2185" t="s">
        <v>7528</v>
      </c>
      <c r="CA2185" t="s">
        <v>6425</v>
      </c>
      <c r="CB2185" t="s">
        <v>7528</v>
      </c>
      <c r="CL2185" t="s">
        <v>98</v>
      </c>
      <c r="CM2185" t="s">
        <v>98</v>
      </c>
      <c r="CN2185" t="s">
        <v>285</v>
      </c>
      <c r="CO2185" s="1">
        <v>40353</v>
      </c>
      <c r="CP2185" s="1">
        <v>43633</v>
      </c>
    </row>
    <row r="2186" spans="1:94" x14ac:dyDescent="0.25">
      <c r="A2186" t="s">
        <v>6428</v>
      </c>
      <c r="B2186" t="str">
        <f xml:space="preserve"> "" &amp; 747396074894</f>
        <v>747396074894</v>
      </c>
      <c r="C2186" t="s">
        <v>6429</v>
      </c>
      <c r="D2186" t="s">
        <v>7500</v>
      </c>
      <c r="E2186" t="s">
        <v>7528</v>
      </c>
      <c r="F2186" t="s">
        <v>627</v>
      </c>
      <c r="G2186">
        <v>1</v>
      </c>
      <c r="H2186">
        <v>1</v>
      </c>
      <c r="I2186" t="s">
        <v>97</v>
      </c>
      <c r="J2186" s="10">
        <v>69.5</v>
      </c>
      <c r="K2186" s="10">
        <v>208.5</v>
      </c>
      <c r="L2186" s="10">
        <v>0</v>
      </c>
      <c r="N2186" s="10">
        <v>0</v>
      </c>
      <c r="S2186">
        <v>6.5</v>
      </c>
      <c r="U2186">
        <v>21</v>
      </c>
      <c r="W2186">
        <v>4.4000000000000004</v>
      </c>
      <c r="Y2186">
        <v>8.75</v>
      </c>
      <c r="Z2186">
        <v>23</v>
      </c>
      <c r="AA2186">
        <v>23</v>
      </c>
      <c r="AB2186">
        <v>2.6789999999999998</v>
      </c>
      <c r="AC2186">
        <v>7.7</v>
      </c>
      <c r="AF2186" t="s">
        <v>7528</v>
      </c>
      <c r="AK2186" t="s">
        <v>98</v>
      </c>
      <c r="AM2186" t="s">
        <v>98</v>
      </c>
      <c r="AN2186" t="s">
        <v>98</v>
      </c>
      <c r="AO2186" t="s">
        <v>98</v>
      </c>
      <c r="AP2186" t="s">
        <v>100</v>
      </c>
      <c r="AQ2186" t="s">
        <v>101</v>
      </c>
      <c r="AV2186" t="s">
        <v>98</v>
      </c>
      <c r="AX2186" t="s">
        <v>285</v>
      </c>
      <c r="AZ2186" t="s">
        <v>7528</v>
      </c>
      <c r="BB2186" t="s">
        <v>7528</v>
      </c>
      <c r="BC2186" t="s">
        <v>285</v>
      </c>
      <c r="BD2186" t="s">
        <v>7528</v>
      </c>
      <c r="BF2186" t="s">
        <v>6430</v>
      </c>
      <c r="BG2186" t="s">
        <v>98</v>
      </c>
      <c r="BH2186" t="s">
        <v>98</v>
      </c>
      <c r="BI2186" t="s">
        <v>98</v>
      </c>
      <c r="BK2186" t="s">
        <v>7528</v>
      </c>
      <c r="BL2186" t="s">
        <v>7528</v>
      </c>
      <c r="CA2186" t="s">
        <v>6428</v>
      </c>
      <c r="CB2186" t="s">
        <v>285</v>
      </c>
      <c r="CL2186" t="s">
        <v>98</v>
      </c>
      <c r="CM2186" t="s">
        <v>98</v>
      </c>
      <c r="CN2186" t="s">
        <v>7528</v>
      </c>
      <c r="CO2186" s="1">
        <v>40353</v>
      </c>
      <c r="CP2186" s="1">
        <v>43633</v>
      </c>
    </row>
    <row r="2187" spans="1:94" x14ac:dyDescent="0.25">
      <c r="A2187" t="s">
        <v>6431</v>
      </c>
      <c r="B2187" t="str">
        <f xml:space="preserve"> "" &amp; 747396074900</f>
        <v>747396074900</v>
      </c>
      <c r="C2187" t="s">
        <v>6429</v>
      </c>
      <c r="D2187" t="s">
        <v>7501</v>
      </c>
      <c r="E2187" t="s">
        <v>7528</v>
      </c>
      <c r="F2187" t="s">
        <v>627</v>
      </c>
      <c r="G2187">
        <v>1</v>
      </c>
      <c r="H2187">
        <v>1</v>
      </c>
      <c r="I2187" t="s">
        <v>97</v>
      </c>
      <c r="J2187" s="10">
        <v>89</v>
      </c>
      <c r="K2187" s="10">
        <v>267</v>
      </c>
      <c r="L2187" s="10">
        <v>0</v>
      </c>
      <c r="N2187" s="10">
        <v>0</v>
      </c>
      <c r="W2187">
        <v>6.82</v>
      </c>
      <c r="Y2187">
        <v>23.5</v>
      </c>
      <c r="Z2187">
        <v>15</v>
      </c>
      <c r="AA2187">
        <v>15</v>
      </c>
      <c r="AB2187">
        <v>3.06</v>
      </c>
      <c r="AC2187">
        <v>10.56</v>
      </c>
      <c r="AF2187" t="s">
        <v>7528</v>
      </c>
      <c r="AK2187" t="s">
        <v>98</v>
      </c>
      <c r="AM2187" t="s">
        <v>98</v>
      </c>
      <c r="AN2187" t="s">
        <v>98</v>
      </c>
      <c r="AO2187" t="s">
        <v>98</v>
      </c>
      <c r="AP2187" t="s">
        <v>100</v>
      </c>
      <c r="AQ2187" t="s">
        <v>101</v>
      </c>
      <c r="AV2187" t="s">
        <v>98</v>
      </c>
      <c r="AX2187" t="s">
        <v>7528</v>
      </c>
      <c r="AZ2187" t="s">
        <v>7528</v>
      </c>
      <c r="BB2187" t="s">
        <v>197</v>
      </c>
      <c r="BC2187" t="s">
        <v>7528</v>
      </c>
      <c r="BD2187" t="s">
        <v>7528</v>
      </c>
      <c r="BF2187" t="s">
        <v>6432</v>
      </c>
      <c r="BG2187" t="s">
        <v>98</v>
      </c>
      <c r="BH2187" t="s">
        <v>98</v>
      </c>
      <c r="BI2187" t="s">
        <v>98</v>
      </c>
      <c r="BK2187" t="s">
        <v>7528</v>
      </c>
      <c r="BL2187" t="s">
        <v>7528</v>
      </c>
      <c r="CA2187" t="s">
        <v>6431</v>
      </c>
      <c r="CB2187" t="s">
        <v>7528</v>
      </c>
      <c r="CL2187" t="s">
        <v>98</v>
      </c>
      <c r="CM2187" t="s">
        <v>98</v>
      </c>
      <c r="CN2187" t="s">
        <v>197</v>
      </c>
      <c r="CO2187" s="1">
        <v>40353</v>
      </c>
      <c r="CP2187" s="1">
        <v>43633</v>
      </c>
    </row>
    <row r="2188" spans="1:94" x14ac:dyDescent="0.25">
      <c r="A2188" t="s">
        <v>6433</v>
      </c>
      <c r="B2188" t="str">
        <f xml:space="preserve"> "" &amp; 747396074917</f>
        <v>747396074917</v>
      </c>
      <c r="C2188" t="s">
        <v>6429</v>
      </c>
      <c r="D2188" t="s">
        <v>7502</v>
      </c>
      <c r="E2188" t="s">
        <v>7528</v>
      </c>
      <c r="F2188" t="s">
        <v>627</v>
      </c>
      <c r="G2188">
        <v>1</v>
      </c>
      <c r="H2188">
        <v>1</v>
      </c>
      <c r="I2188" t="s">
        <v>97</v>
      </c>
      <c r="J2188" s="10">
        <v>42.5</v>
      </c>
      <c r="K2188" s="10">
        <v>127.5</v>
      </c>
      <c r="L2188" s="10">
        <v>0</v>
      </c>
      <c r="N2188" s="10">
        <v>0</v>
      </c>
      <c r="W2188">
        <v>1.98</v>
      </c>
      <c r="Y2188">
        <v>7</v>
      </c>
      <c r="Z2188">
        <v>19</v>
      </c>
      <c r="AA2188">
        <v>18.5</v>
      </c>
      <c r="AB2188">
        <v>1.4239999999999999</v>
      </c>
      <c r="AC2188">
        <v>3.12</v>
      </c>
      <c r="AF2188" t="s">
        <v>7528</v>
      </c>
      <c r="AK2188" t="s">
        <v>98</v>
      </c>
      <c r="AM2188" t="s">
        <v>98</v>
      </c>
      <c r="AN2188" t="s">
        <v>98</v>
      </c>
      <c r="AO2188" t="s">
        <v>98</v>
      </c>
      <c r="AP2188" t="s">
        <v>100</v>
      </c>
      <c r="AQ2188" t="s">
        <v>101</v>
      </c>
      <c r="AV2188" t="s">
        <v>98</v>
      </c>
      <c r="AX2188" t="s">
        <v>7528</v>
      </c>
      <c r="AZ2188" t="s">
        <v>7528</v>
      </c>
      <c r="BB2188" t="s">
        <v>6434</v>
      </c>
      <c r="BC2188" t="s">
        <v>7528</v>
      </c>
      <c r="BD2188" t="s">
        <v>7528</v>
      </c>
      <c r="BF2188" t="s">
        <v>6435</v>
      </c>
      <c r="BG2188" t="s">
        <v>98</v>
      </c>
      <c r="BH2188" t="s">
        <v>98</v>
      </c>
      <c r="BI2188" t="s">
        <v>98</v>
      </c>
      <c r="BK2188" t="s">
        <v>7528</v>
      </c>
      <c r="BL2188" t="s">
        <v>7528</v>
      </c>
      <c r="CA2188" t="s">
        <v>6433</v>
      </c>
      <c r="CB2188" t="s">
        <v>7528</v>
      </c>
      <c r="CL2188" t="s">
        <v>98</v>
      </c>
      <c r="CM2188" t="s">
        <v>98</v>
      </c>
      <c r="CN2188" t="s">
        <v>6434</v>
      </c>
      <c r="CO2188" s="1">
        <v>40353</v>
      </c>
      <c r="CP2188" s="1">
        <v>43633</v>
      </c>
    </row>
    <row r="2189" spans="1:94" x14ac:dyDescent="0.25">
      <c r="A2189" t="s">
        <v>6436</v>
      </c>
      <c r="B2189" t="str">
        <f xml:space="preserve"> "" &amp; 840253045560</f>
        <v>840253045560</v>
      </c>
      <c r="C2189" t="s">
        <v>6437</v>
      </c>
      <c r="D2189" t="s">
        <v>7503</v>
      </c>
      <c r="E2189" t="s">
        <v>7528</v>
      </c>
      <c r="F2189" t="s">
        <v>627</v>
      </c>
      <c r="G2189">
        <v>1</v>
      </c>
      <c r="H2189">
        <v>1</v>
      </c>
      <c r="I2189" t="s">
        <v>97</v>
      </c>
      <c r="J2189" s="10">
        <v>16.95</v>
      </c>
      <c r="K2189" s="10">
        <v>50.85</v>
      </c>
      <c r="L2189" s="10">
        <v>0</v>
      </c>
      <c r="N2189" s="10">
        <v>0</v>
      </c>
      <c r="W2189">
        <v>2.86</v>
      </c>
      <c r="AC2189">
        <v>3.28</v>
      </c>
      <c r="AF2189" t="s">
        <v>7528</v>
      </c>
      <c r="AK2189" t="s">
        <v>98</v>
      </c>
      <c r="AM2189" t="s">
        <v>98</v>
      </c>
      <c r="AN2189" t="s">
        <v>98</v>
      </c>
      <c r="AO2189" t="s">
        <v>98</v>
      </c>
      <c r="AP2189" t="s">
        <v>100</v>
      </c>
      <c r="AQ2189" t="s">
        <v>101</v>
      </c>
      <c r="AV2189" t="s">
        <v>98</v>
      </c>
      <c r="AX2189" t="s">
        <v>6438</v>
      </c>
      <c r="AZ2189" t="s">
        <v>7528</v>
      </c>
      <c r="BB2189" t="s">
        <v>197</v>
      </c>
      <c r="BC2189" t="s">
        <v>6438</v>
      </c>
      <c r="BD2189" t="s">
        <v>7528</v>
      </c>
      <c r="BF2189" t="s">
        <v>6439</v>
      </c>
      <c r="BG2189" t="s">
        <v>98</v>
      </c>
      <c r="BH2189" t="s">
        <v>98</v>
      </c>
      <c r="BI2189" t="s">
        <v>98</v>
      </c>
      <c r="BK2189" t="s">
        <v>7528</v>
      </c>
      <c r="BL2189" t="s">
        <v>7528</v>
      </c>
      <c r="CA2189" t="s">
        <v>6436</v>
      </c>
      <c r="CB2189" t="s">
        <v>6438</v>
      </c>
      <c r="CL2189" t="s">
        <v>98</v>
      </c>
      <c r="CM2189" t="s">
        <v>98</v>
      </c>
      <c r="CN2189" t="s">
        <v>197</v>
      </c>
      <c r="CO2189" s="1">
        <v>40413</v>
      </c>
      <c r="CP2189" s="1">
        <v>43633</v>
      </c>
    </row>
    <row r="2190" spans="1:94" x14ac:dyDescent="0.25">
      <c r="A2190" t="s">
        <v>6440</v>
      </c>
      <c r="B2190" t="str">
        <f xml:space="preserve"> "" &amp; 840253045478</f>
        <v>840253045478</v>
      </c>
      <c r="C2190" t="s">
        <v>6441</v>
      </c>
      <c r="D2190" t="s">
        <v>7504</v>
      </c>
      <c r="E2190" t="s">
        <v>7528</v>
      </c>
      <c r="F2190" t="s">
        <v>627</v>
      </c>
      <c r="G2190">
        <v>1</v>
      </c>
      <c r="H2190">
        <v>1</v>
      </c>
      <c r="I2190" t="s">
        <v>97</v>
      </c>
      <c r="J2190" s="10">
        <v>22.95</v>
      </c>
      <c r="K2190" s="10">
        <v>68.849999999999994</v>
      </c>
      <c r="L2190" s="10">
        <v>0</v>
      </c>
      <c r="N2190" s="10">
        <v>0</v>
      </c>
      <c r="W2190">
        <v>0.55000000000000004</v>
      </c>
      <c r="AC2190">
        <v>2.2000000000000002</v>
      </c>
      <c r="AF2190" t="s">
        <v>7528</v>
      </c>
      <c r="AK2190" t="s">
        <v>98</v>
      </c>
      <c r="AM2190" t="s">
        <v>98</v>
      </c>
      <c r="AN2190" t="s">
        <v>98</v>
      </c>
      <c r="AO2190" t="s">
        <v>98</v>
      </c>
      <c r="AP2190" t="s">
        <v>100</v>
      </c>
      <c r="AQ2190" t="s">
        <v>101</v>
      </c>
      <c r="AV2190" t="s">
        <v>98</v>
      </c>
      <c r="AX2190" t="s">
        <v>7528</v>
      </c>
      <c r="AZ2190" t="s">
        <v>7528</v>
      </c>
      <c r="BB2190" t="s">
        <v>6442</v>
      </c>
      <c r="BC2190" t="s">
        <v>7528</v>
      </c>
      <c r="BD2190" t="s">
        <v>7528</v>
      </c>
      <c r="BF2190" t="s">
        <v>6443</v>
      </c>
      <c r="BG2190" t="s">
        <v>98</v>
      </c>
      <c r="BH2190" t="s">
        <v>98</v>
      </c>
      <c r="BI2190" t="s">
        <v>98</v>
      </c>
      <c r="BK2190" t="s">
        <v>7528</v>
      </c>
      <c r="BL2190" t="s">
        <v>7528</v>
      </c>
      <c r="CA2190" t="s">
        <v>6440</v>
      </c>
      <c r="CB2190" t="s">
        <v>7528</v>
      </c>
      <c r="CL2190" t="s">
        <v>98</v>
      </c>
      <c r="CM2190" t="s">
        <v>98</v>
      </c>
      <c r="CN2190" t="s">
        <v>6442</v>
      </c>
      <c r="CO2190" s="1">
        <v>40414</v>
      </c>
      <c r="CP2190" s="1">
        <v>43633</v>
      </c>
    </row>
    <row r="2191" spans="1:94" x14ac:dyDescent="0.25">
      <c r="A2191" t="s">
        <v>6444</v>
      </c>
      <c r="B2191" t="str">
        <f xml:space="preserve"> "" &amp; 840253049353</f>
        <v>840253049353</v>
      </c>
      <c r="C2191" t="s">
        <v>6445</v>
      </c>
      <c r="D2191" t="s">
        <v>7505</v>
      </c>
      <c r="E2191" t="s">
        <v>7528</v>
      </c>
      <c r="F2191" t="s">
        <v>627</v>
      </c>
      <c r="G2191">
        <v>1</v>
      </c>
      <c r="H2191">
        <v>1</v>
      </c>
      <c r="I2191" t="s">
        <v>97</v>
      </c>
      <c r="J2191" s="10">
        <v>21.5</v>
      </c>
      <c r="K2191" s="10">
        <v>64.5</v>
      </c>
      <c r="L2191" s="10">
        <v>0</v>
      </c>
      <c r="N2191" s="10">
        <v>0</v>
      </c>
      <c r="W2191">
        <v>2.2000000000000002</v>
      </c>
      <c r="Y2191">
        <v>17</v>
      </c>
      <c r="Z2191">
        <v>22</v>
      </c>
      <c r="AA2191">
        <v>17.5</v>
      </c>
      <c r="AB2191">
        <v>3.7879999999999998</v>
      </c>
      <c r="AC2191">
        <v>2.64</v>
      </c>
      <c r="AF2191" t="s">
        <v>7528</v>
      </c>
      <c r="AK2191" t="s">
        <v>98</v>
      </c>
      <c r="AM2191" t="s">
        <v>98</v>
      </c>
      <c r="AN2191" t="s">
        <v>98</v>
      </c>
      <c r="AO2191" t="s">
        <v>98</v>
      </c>
      <c r="AP2191" t="s">
        <v>100</v>
      </c>
      <c r="AQ2191" t="s">
        <v>101</v>
      </c>
      <c r="AV2191" t="s">
        <v>98</v>
      </c>
      <c r="AX2191" t="s">
        <v>7528</v>
      </c>
      <c r="AZ2191" t="s">
        <v>7528</v>
      </c>
      <c r="BB2191" t="s">
        <v>197</v>
      </c>
      <c r="BC2191" t="s">
        <v>7528</v>
      </c>
      <c r="BD2191" t="s">
        <v>7528</v>
      </c>
      <c r="BF2191" t="s">
        <v>6446</v>
      </c>
      <c r="BG2191" t="s">
        <v>98</v>
      </c>
      <c r="BH2191" t="s">
        <v>98</v>
      </c>
      <c r="BI2191" t="s">
        <v>98</v>
      </c>
      <c r="BK2191" t="s">
        <v>7528</v>
      </c>
      <c r="BL2191" t="s">
        <v>7528</v>
      </c>
      <c r="CA2191" t="s">
        <v>6444</v>
      </c>
      <c r="CB2191" t="s">
        <v>7528</v>
      </c>
      <c r="CL2191" t="s">
        <v>98</v>
      </c>
      <c r="CM2191" t="s">
        <v>98</v>
      </c>
      <c r="CN2191" t="s">
        <v>197</v>
      </c>
      <c r="CO2191" s="1">
        <v>40413</v>
      </c>
      <c r="CP2191" s="1">
        <v>43633</v>
      </c>
    </row>
    <row r="2192" spans="1:94" x14ac:dyDescent="0.25">
      <c r="A2192" t="s">
        <v>6447</v>
      </c>
      <c r="B2192" t="str">
        <f xml:space="preserve"> "" &amp; 840253049179</f>
        <v>840253049179</v>
      </c>
      <c r="C2192" t="s">
        <v>5139</v>
      </c>
      <c r="D2192" t="s">
        <v>7506</v>
      </c>
      <c r="E2192" t="s">
        <v>7528</v>
      </c>
      <c r="F2192" t="s">
        <v>627</v>
      </c>
      <c r="G2192">
        <v>1</v>
      </c>
      <c r="H2192">
        <v>1</v>
      </c>
      <c r="I2192" t="s">
        <v>97</v>
      </c>
      <c r="J2192" s="10">
        <v>14.95</v>
      </c>
      <c r="K2192" s="10">
        <v>44.85</v>
      </c>
      <c r="L2192" s="10">
        <v>0</v>
      </c>
      <c r="N2192" s="10">
        <v>0</v>
      </c>
      <c r="W2192">
        <v>0.51</v>
      </c>
      <c r="AC2192">
        <v>0.84</v>
      </c>
      <c r="AF2192" t="s">
        <v>7528</v>
      </c>
      <c r="AK2192" t="s">
        <v>98</v>
      </c>
      <c r="AM2192" t="s">
        <v>98</v>
      </c>
      <c r="AN2192" t="s">
        <v>98</v>
      </c>
      <c r="AO2192" t="s">
        <v>98</v>
      </c>
      <c r="AP2192" t="s">
        <v>100</v>
      </c>
      <c r="AQ2192" t="s">
        <v>101</v>
      </c>
      <c r="AV2192" t="s">
        <v>98</v>
      </c>
      <c r="AX2192" t="s">
        <v>7528</v>
      </c>
      <c r="AZ2192" t="s">
        <v>7528</v>
      </c>
      <c r="BB2192" t="s">
        <v>197</v>
      </c>
      <c r="BC2192" t="s">
        <v>7528</v>
      </c>
      <c r="BD2192" t="s">
        <v>7528</v>
      </c>
      <c r="BF2192" t="s">
        <v>6448</v>
      </c>
      <c r="BG2192" t="s">
        <v>98</v>
      </c>
      <c r="BH2192" t="s">
        <v>98</v>
      </c>
      <c r="BI2192" t="s">
        <v>98</v>
      </c>
      <c r="BK2192" t="s">
        <v>7528</v>
      </c>
      <c r="BL2192" t="s">
        <v>7528</v>
      </c>
      <c r="CA2192" t="s">
        <v>6447</v>
      </c>
      <c r="CB2192" t="s">
        <v>7528</v>
      </c>
      <c r="CL2192" t="s">
        <v>98</v>
      </c>
      <c r="CM2192" t="s">
        <v>98</v>
      </c>
      <c r="CN2192" t="s">
        <v>197</v>
      </c>
      <c r="CO2192" s="1">
        <v>40414</v>
      </c>
      <c r="CP2192" s="1">
        <v>43633</v>
      </c>
    </row>
    <row r="2193" spans="1:94" x14ac:dyDescent="0.25">
      <c r="A2193" t="s">
        <v>6449</v>
      </c>
      <c r="B2193" t="str">
        <f xml:space="preserve"> "" &amp; 840253014658</f>
        <v>840253014658</v>
      </c>
      <c r="C2193" t="s">
        <v>6450</v>
      </c>
      <c r="D2193" t="s">
        <v>6451</v>
      </c>
      <c r="E2193" t="s">
        <v>7528</v>
      </c>
      <c r="F2193" t="s">
        <v>627</v>
      </c>
      <c r="G2193">
        <v>1</v>
      </c>
      <c r="H2193">
        <v>1</v>
      </c>
      <c r="I2193" t="s">
        <v>97</v>
      </c>
      <c r="J2193" s="10">
        <v>28.5</v>
      </c>
      <c r="K2193" s="10">
        <v>85.5</v>
      </c>
      <c r="L2193" s="10">
        <v>0</v>
      </c>
      <c r="N2193" s="10">
        <v>0</v>
      </c>
      <c r="W2193">
        <v>1.52</v>
      </c>
      <c r="X2193">
        <v>1</v>
      </c>
      <c r="Y2193">
        <v>25</v>
      </c>
      <c r="Z2193">
        <v>24.5</v>
      </c>
      <c r="AA2193">
        <v>24.5</v>
      </c>
      <c r="AB2193">
        <v>8.6839999999999993</v>
      </c>
      <c r="AC2193">
        <v>2.41</v>
      </c>
      <c r="AF2193" t="s">
        <v>7528</v>
      </c>
      <c r="AK2193" t="s">
        <v>98</v>
      </c>
      <c r="AM2193" t="s">
        <v>98</v>
      </c>
      <c r="AN2193" t="s">
        <v>98</v>
      </c>
      <c r="AO2193" t="s">
        <v>98</v>
      </c>
      <c r="AP2193" t="s">
        <v>100</v>
      </c>
      <c r="AQ2193" t="s">
        <v>101</v>
      </c>
      <c r="AV2193" t="s">
        <v>98</v>
      </c>
      <c r="AX2193" t="s">
        <v>6452</v>
      </c>
      <c r="AZ2193" t="s">
        <v>7528</v>
      </c>
      <c r="BB2193" t="s">
        <v>6453</v>
      </c>
      <c r="BC2193" t="s">
        <v>6452</v>
      </c>
      <c r="BD2193" t="s">
        <v>7528</v>
      </c>
      <c r="BF2193" t="s">
        <v>6454</v>
      </c>
      <c r="BG2193" t="s">
        <v>98</v>
      </c>
      <c r="BH2193" t="s">
        <v>98</v>
      </c>
      <c r="BI2193" t="s">
        <v>98</v>
      </c>
      <c r="BK2193" t="s">
        <v>7528</v>
      </c>
      <c r="BL2193" t="s">
        <v>7528</v>
      </c>
      <c r="CA2193" t="s">
        <v>6449</v>
      </c>
      <c r="CB2193" t="s">
        <v>6452</v>
      </c>
      <c r="CL2193" t="s">
        <v>98</v>
      </c>
      <c r="CM2193" t="s">
        <v>98</v>
      </c>
      <c r="CN2193" t="s">
        <v>6453</v>
      </c>
      <c r="CO2193" s="1">
        <v>40382</v>
      </c>
      <c r="CP2193" s="1">
        <v>43633</v>
      </c>
    </row>
    <row r="2194" spans="1:94" x14ac:dyDescent="0.25">
      <c r="A2194" t="s">
        <v>6455</v>
      </c>
      <c r="B2194" t="str">
        <f xml:space="preserve"> "" &amp; 747396061252</f>
        <v>747396061252</v>
      </c>
      <c r="C2194" t="s">
        <v>5162</v>
      </c>
      <c r="D2194" t="s">
        <v>7507</v>
      </c>
      <c r="E2194" t="s">
        <v>7528</v>
      </c>
      <c r="F2194" t="s">
        <v>627</v>
      </c>
      <c r="G2194">
        <v>1</v>
      </c>
      <c r="H2194">
        <v>1</v>
      </c>
      <c r="I2194" t="s">
        <v>97</v>
      </c>
      <c r="J2194" s="10">
        <v>5.95</v>
      </c>
      <c r="K2194" s="10">
        <v>17.850000000000001</v>
      </c>
      <c r="L2194" s="10">
        <v>0</v>
      </c>
      <c r="N2194" s="10">
        <v>0</v>
      </c>
      <c r="S2194">
        <v>6.5</v>
      </c>
      <c r="U2194">
        <v>5.5</v>
      </c>
      <c r="W2194">
        <v>0.28999999999999998</v>
      </c>
      <c r="X2194">
        <v>1</v>
      </c>
      <c r="Y2194">
        <v>13.75</v>
      </c>
      <c r="Z2194">
        <v>21.5</v>
      </c>
      <c r="AA2194">
        <v>25.75</v>
      </c>
      <c r="AB2194">
        <v>4.4050000000000002</v>
      </c>
      <c r="AC2194">
        <v>0.37</v>
      </c>
      <c r="AF2194" t="s">
        <v>7528</v>
      </c>
      <c r="AK2194" t="s">
        <v>98</v>
      </c>
      <c r="AM2194" t="s">
        <v>98</v>
      </c>
      <c r="AN2194" t="s">
        <v>98</v>
      </c>
      <c r="AO2194" t="s">
        <v>98</v>
      </c>
      <c r="AP2194" t="s">
        <v>100</v>
      </c>
      <c r="AQ2194" t="s">
        <v>101</v>
      </c>
      <c r="AV2194" t="s">
        <v>98</v>
      </c>
      <c r="AX2194" t="s">
        <v>7528</v>
      </c>
      <c r="AZ2194" t="s">
        <v>7528</v>
      </c>
      <c r="BB2194" t="s">
        <v>197</v>
      </c>
      <c r="BC2194" t="s">
        <v>7528</v>
      </c>
      <c r="BD2194" t="s">
        <v>7528</v>
      </c>
      <c r="BF2194" t="s">
        <v>6456</v>
      </c>
      <c r="BG2194" t="s">
        <v>98</v>
      </c>
      <c r="BH2194" t="s">
        <v>98</v>
      </c>
      <c r="BI2194" t="s">
        <v>98</v>
      </c>
      <c r="BK2194" t="s">
        <v>7528</v>
      </c>
      <c r="BL2194" t="s">
        <v>7528</v>
      </c>
      <c r="CA2194" t="s">
        <v>6455</v>
      </c>
      <c r="CB2194" t="s">
        <v>7528</v>
      </c>
      <c r="CL2194" t="s">
        <v>98</v>
      </c>
      <c r="CM2194" t="s">
        <v>98</v>
      </c>
      <c r="CN2194" t="s">
        <v>197</v>
      </c>
      <c r="CO2194" s="1">
        <v>39821</v>
      </c>
      <c r="CP2194" s="1">
        <v>43595</v>
      </c>
    </row>
    <row r="2195" spans="1:94" x14ac:dyDescent="0.25">
      <c r="A2195" t="s">
        <v>6458</v>
      </c>
      <c r="B2195" t="str">
        <f xml:space="preserve"> "" &amp; 747396067575</f>
        <v>747396067575</v>
      </c>
      <c r="C2195" t="s">
        <v>6459</v>
      </c>
      <c r="D2195" t="s">
        <v>7508</v>
      </c>
      <c r="E2195" t="s">
        <v>7528</v>
      </c>
      <c r="F2195" t="s">
        <v>627</v>
      </c>
      <c r="G2195">
        <v>1</v>
      </c>
      <c r="H2195">
        <v>1</v>
      </c>
      <c r="I2195" t="s">
        <v>97</v>
      </c>
      <c r="J2195" s="10">
        <v>10</v>
      </c>
      <c r="K2195" s="10">
        <v>30</v>
      </c>
      <c r="L2195" s="10">
        <v>0</v>
      </c>
      <c r="N2195" s="10">
        <v>0</v>
      </c>
      <c r="S2195">
        <v>5</v>
      </c>
      <c r="W2195">
        <v>0.48</v>
      </c>
      <c r="X2195">
        <v>1</v>
      </c>
      <c r="Y2195">
        <v>18</v>
      </c>
      <c r="Z2195">
        <v>13</v>
      </c>
      <c r="AA2195">
        <v>7</v>
      </c>
      <c r="AB2195">
        <v>0.94799999999999995</v>
      </c>
      <c r="AC2195">
        <v>0.66</v>
      </c>
      <c r="AF2195" t="s">
        <v>7528</v>
      </c>
      <c r="AK2195" t="s">
        <v>98</v>
      </c>
      <c r="AM2195" t="s">
        <v>98</v>
      </c>
      <c r="AN2195" t="s">
        <v>98</v>
      </c>
      <c r="AO2195" t="s">
        <v>98</v>
      </c>
      <c r="AP2195" t="s">
        <v>100</v>
      </c>
      <c r="AQ2195" t="s">
        <v>101</v>
      </c>
      <c r="AV2195" t="s">
        <v>98</v>
      </c>
      <c r="AX2195" t="s">
        <v>7528</v>
      </c>
      <c r="AZ2195" t="s">
        <v>7528</v>
      </c>
      <c r="BB2195" t="s">
        <v>7528</v>
      </c>
      <c r="BC2195" t="s">
        <v>7528</v>
      </c>
      <c r="BD2195" t="s">
        <v>7528</v>
      </c>
      <c r="BF2195" t="s">
        <v>6460</v>
      </c>
      <c r="BG2195" t="s">
        <v>98</v>
      </c>
      <c r="BH2195" t="s">
        <v>98</v>
      </c>
      <c r="BI2195" t="s">
        <v>98</v>
      </c>
      <c r="BK2195" t="s">
        <v>7528</v>
      </c>
      <c r="BL2195" t="s">
        <v>7528</v>
      </c>
      <c r="CA2195" t="s">
        <v>6458</v>
      </c>
      <c r="CB2195" t="s">
        <v>7528</v>
      </c>
      <c r="CL2195" t="s">
        <v>98</v>
      </c>
      <c r="CM2195" t="s">
        <v>98</v>
      </c>
      <c r="CN2195" t="s">
        <v>7528</v>
      </c>
      <c r="CO2195" s="1">
        <v>39821</v>
      </c>
      <c r="CP2195" s="1">
        <v>43595</v>
      </c>
    </row>
    <row r="2196" spans="1:94" x14ac:dyDescent="0.25">
      <c r="A2196" t="s">
        <v>6461</v>
      </c>
      <c r="B2196" t="str">
        <f xml:space="preserve"> "" &amp; 747396093048</f>
        <v>747396093048</v>
      </c>
      <c r="C2196" t="s">
        <v>6462</v>
      </c>
      <c r="D2196" t="s">
        <v>7509</v>
      </c>
      <c r="E2196" t="s">
        <v>1829</v>
      </c>
      <c r="F2196" t="s">
        <v>627</v>
      </c>
      <c r="G2196">
        <v>1</v>
      </c>
      <c r="H2196">
        <v>1</v>
      </c>
      <c r="I2196" t="s">
        <v>97</v>
      </c>
      <c r="J2196" s="10">
        <v>60</v>
      </c>
      <c r="K2196" s="10">
        <v>180</v>
      </c>
      <c r="L2196" s="10">
        <v>0</v>
      </c>
      <c r="N2196" s="10">
        <v>0</v>
      </c>
      <c r="W2196">
        <v>1.83</v>
      </c>
      <c r="Y2196">
        <v>6.75</v>
      </c>
      <c r="Z2196">
        <v>20.5</v>
      </c>
      <c r="AA2196">
        <v>20.5</v>
      </c>
      <c r="AB2196">
        <v>1.6419999999999999</v>
      </c>
      <c r="AC2196">
        <v>4.55</v>
      </c>
      <c r="AF2196" t="s">
        <v>7528</v>
      </c>
      <c r="AK2196" t="s">
        <v>98</v>
      </c>
      <c r="AM2196" t="s">
        <v>98</v>
      </c>
      <c r="AN2196" t="s">
        <v>98</v>
      </c>
      <c r="AO2196" t="s">
        <v>98</v>
      </c>
      <c r="AP2196" t="s">
        <v>100</v>
      </c>
      <c r="AV2196" t="s">
        <v>98</v>
      </c>
      <c r="AX2196" t="s">
        <v>7528</v>
      </c>
      <c r="AZ2196" t="s">
        <v>7528</v>
      </c>
      <c r="BB2196" t="s">
        <v>7528</v>
      </c>
      <c r="BC2196" t="s">
        <v>7528</v>
      </c>
      <c r="BD2196" t="s">
        <v>7528</v>
      </c>
      <c r="BF2196" t="s">
        <v>6463</v>
      </c>
      <c r="BG2196" t="s">
        <v>98</v>
      </c>
      <c r="BH2196" t="s">
        <v>98</v>
      </c>
      <c r="BI2196" t="s">
        <v>98</v>
      </c>
      <c r="BK2196" t="s">
        <v>7528</v>
      </c>
      <c r="BL2196" t="s">
        <v>7528</v>
      </c>
      <c r="CB2196" t="s">
        <v>7528</v>
      </c>
      <c r="CL2196" t="s">
        <v>98</v>
      </c>
      <c r="CM2196" t="s">
        <v>98</v>
      </c>
      <c r="CN2196" t="s">
        <v>7528</v>
      </c>
      <c r="CP2196" s="1">
        <v>43633</v>
      </c>
    </row>
    <row r="2197" spans="1:94" x14ac:dyDescent="0.25">
      <c r="A2197" t="s">
        <v>6464</v>
      </c>
      <c r="B2197" t="str">
        <f xml:space="preserve"> "" &amp; 747396093062</f>
        <v>747396093062</v>
      </c>
      <c r="C2197" t="s">
        <v>6462</v>
      </c>
      <c r="D2197" t="s">
        <v>7510</v>
      </c>
      <c r="E2197" t="s">
        <v>1829</v>
      </c>
      <c r="F2197" t="s">
        <v>627</v>
      </c>
      <c r="G2197">
        <v>1</v>
      </c>
      <c r="H2197">
        <v>1</v>
      </c>
      <c r="I2197" t="s">
        <v>97</v>
      </c>
      <c r="J2197" s="10">
        <v>42.5</v>
      </c>
      <c r="K2197" s="10">
        <v>127.5</v>
      </c>
      <c r="L2197" s="10">
        <v>0</v>
      </c>
      <c r="N2197" s="10">
        <v>0</v>
      </c>
      <c r="W2197">
        <v>1.3</v>
      </c>
      <c r="Y2197">
        <v>6.25</v>
      </c>
      <c r="Z2197">
        <v>16.5</v>
      </c>
      <c r="AA2197">
        <v>16.5</v>
      </c>
      <c r="AB2197">
        <v>0.98499999999999999</v>
      </c>
      <c r="AC2197">
        <v>3.17</v>
      </c>
      <c r="AF2197" t="s">
        <v>7528</v>
      </c>
      <c r="AK2197" t="s">
        <v>98</v>
      </c>
      <c r="AM2197" t="s">
        <v>98</v>
      </c>
      <c r="AN2197" t="s">
        <v>98</v>
      </c>
      <c r="AO2197" t="s">
        <v>98</v>
      </c>
      <c r="AP2197" t="s">
        <v>100</v>
      </c>
      <c r="AV2197" t="s">
        <v>98</v>
      </c>
      <c r="AX2197" t="s">
        <v>7528</v>
      </c>
      <c r="AZ2197" t="s">
        <v>7528</v>
      </c>
      <c r="BB2197" t="s">
        <v>7528</v>
      </c>
      <c r="BC2197" t="s">
        <v>7528</v>
      </c>
      <c r="BD2197" t="s">
        <v>7528</v>
      </c>
      <c r="BF2197" t="s">
        <v>6465</v>
      </c>
      <c r="BG2197" t="s">
        <v>98</v>
      </c>
      <c r="BH2197" t="s">
        <v>98</v>
      </c>
      <c r="BI2197" t="s">
        <v>98</v>
      </c>
      <c r="BK2197" t="s">
        <v>7528</v>
      </c>
      <c r="BL2197" t="s">
        <v>7528</v>
      </c>
      <c r="CB2197" t="s">
        <v>7528</v>
      </c>
      <c r="CL2197" t="s">
        <v>98</v>
      </c>
      <c r="CM2197" t="s">
        <v>98</v>
      </c>
      <c r="CN2197" t="s">
        <v>7528</v>
      </c>
      <c r="CP2197" s="1">
        <v>43633</v>
      </c>
    </row>
    <row r="2198" spans="1:94" x14ac:dyDescent="0.25">
      <c r="A2198" t="s">
        <v>6466</v>
      </c>
      <c r="B2198" t="str">
        <f xml:space="preserve"> "" &amp; 747396067582</f>
        <v>747396067582</v>
      </c>
      <c r="C2198" t="s">
        <v>6467</v>
      </c>
      <c r="D2198" t="s">
        <v>7511</v>
      </c>
      <c r="E2198" t="s">
        <v>7528</v>
      </c>
      <c r="F2198" t="s">
        <v>627</v>
      </c>
      <c r="G2198">
        <v>1</v>
      </c>
      <c r="H2198">
        <v>1</v>
      </c>
      <c r="I2198" t="s">
        <v>97</v>
      </c>
      <c r="J2198" s="10">
        <v>6.5</v>
      </c>
      <c r="K2198" s="10">
        <v>19.5</v>
      </c>
      <c r="L2198" s="10">
        <v>0</v>
      </c>
      <c r="N2198" s="10">
        <v>0</v>
      </c>
      <c r="T2198">
        <v>4.5</v>
      </c>
      <c r="U2198">
        <v>6</v>
      </c>
      <c r="W2198">
        <v>0.26</v>
      </c>
      <c r="X2198">
        <v>1</v>
      </c>
      <c r="AC2198">
        <v>0.86</v>
      </c>
      <c r="AF2198" t="s">
        <v>7528</v>
      </c>
      <c r="AK2198" t="s">
        <v>98</v>
      </c>
      <c r="AM2198" t="s">
        <v>98</v>
      </c>
      <c r="AN2198" t="s">
        <v>98</v>
      </c>
      <c r="AO2198" t="s">
        <v>98</v>
      </c>
      <c r="AP2198" t="s">
        <v>100</v>
      </c>
      <c r="AQ2198" t="s">
        <v>101</v>
      </c>
      <c r="AV2198" t="s">
        <v>98</v>
      </c>
      <c r="AX2198" t="s">
        <v>7528</v>
      </c>
      <c r="AZ2198" t="s">
        <v>7528</v>
      </c>
      <c r="BB2198" t="s">
        <v>7528</v>
      </c>
      <c r="BC2198" t="s">
        <v>7528</v>
      </c>
      <c r="BD2198" t="s">
        <v>7528</v>
      </c>
      <c r="BF2198" t="s">
        <v>6468</v>
      </c>
      <c r="BG2198" t="s">
        <v>98</v>
      </c>
      <c r="BH2198" t="s">
        <v>98</v>
      </c>
      <c r="BI2198" t="s">
        <v>98</v>
      </c>
      <c r="BK2198" t="s">
        <v>7528</v>
      </c>
      <c r="BL2198" t="s">
        <v>7528</v>
      </c>
      <c r="CA2198" t="s">
        <v>6466</v>
      </c>
      <c r="CB2198" t="s">
        <v>7528</v>
      </c>
      <c r="CL2198" t="s">
        <v>98</v>
      </c>
      <c r="CM2198" t="s">
        <v>98</v>
      </c>
      <c r="CN2198" t="s">
        <v>7528</v>
      </c>
      <c r="CO2198" s="1">
        <v>39821</v>
      </c>
      <c r="CP2198" s="1">
        <v>43595</v>
      </c>
    </row>
    <row r="2199" spans="1:94" x14ac:dyDescent="0.25">
      <c r="A2199" t="s">
        <v>6469</v>
      </c>
      <c r="B2199" t="str">
        <f xml:space="preserve"> "" &amp; 747396067599</f>
        <v>747396067599</v>
      </c>
      <c r="C2199" t="s">
        <v>6437</v>
      </c>
      <c r="D2199" t="s">
        <v>7512</v>
      </c>
      <c r="E2199" t="s">
        <v>7528</v>
      </c>
      <c r="F2199" t="s">
        <v>627</v>
      </c>
      <c r="G2199">
        <v>1</v>
      </c>
      <c r="H2199">
        <v>1</v>
      </c>
      <c r="I2199" t="s">
        <v>97</v>
      </c>
      <c r="J2199" s="10">
        <v>7.5</v>
      </c>
      <c r="K2199" s="10">
        <v>22.5</v>
      </c>
      <c r="L2199" s="10">
        <v>0</v>
      </c>
      <c r="N2199" s="10">
        <v>0</v>
      </c>
      <c r="S2199">
        <v>5.75</v>
      </c>
      <c r="U2199">
        <v>4</v>
      </c>
      <c r="W2199">
        <v>1</v>
      </c>
      <c r="AB2199">
        <v>0.2621</v>
      </c>
      <c r="AC2199">
        <v>0.28999999999999998</v>
      </c>
      <c r="AF2199" t="s">
        <v>7528</v>
      </c>
      <c r="AK2199" t="s">
        <v>98</v>
      </c>
      <c r="AM2199" t="s">
        <v>98</v>
      </c>
      <c r="AN2199" t="s">
        <v>98</v>
      </c>
      <c r="AO2199" t="s">
        <v>98</v>
      </c>
      <c r="AP2199" t="s">
        <v>100</v>
      </c>
      <c r="AQ2199" t="s">
        <v>101</v>
      </c>
      <c r="AV2199" t="s">
        <v>98</v>
      </c>
      <c r="AX2199" t="s">
        <v>6470</v>
      </c>
      <c r="AZ2199" t="s">
        <v>7528</v>
      </c>
      <c r="BB2199" t="s">
        <v>197</v>
      </c>
      <c r="BC2199" t="s">
        <v>6470</v>
      </c>
      <c r="BD2199" t="s">
        <v>7528</v>
      </c>
      <c r="BF2199" t="s">
        <v>6471</v>
      </c>
      <c r="BG2199" t="s">
        <v>98</v>
      </c>
      <c r="BH2199" t="s">
        <v>98</v>
      </c>
      <c r="BI2199" t="s">
        <v>98</v>
      </c>
      <c r="BK2199" t="s">
        <v>7528</v>
      </c>
      <c r="BL2199" t="s">
        <v>7528</v>
      </c>
      <c r="CA2199" t="s">
        <v>6469</v>
      </c>
      <c r="CB2199" t="s">
        <v>6470</v>
      </c>
      <c r="CL2199" t="s">
        <v>98</v>
      </c>
      <c r="CM2199" t="s">
        <v>98</v>
      </c>
      <c r="CN2199" t="s">
        <v>197</v>
      </c>
      <c r="CO2199" s="1">
        <v>39821</v>
      </c>
      <c r="CP2199" s="1">
        <v>43595</v>
      </c>
    </row>
    <row r="2200" spans="1:94" x14ac:dyDescent="0.25">
      <c r="A2200" t="s">
        <v>6472</v>
      </c>
      <c r="B2200" t="str">
        <f xml:space="preserve"> "" &amp; 747396802602</f>
        <v>747396802602</v>
      </c>
      <c r="C2200" t="s">
        <v>6462</v>
      </c>
      <c r="D2200" t="s">
        <v>7513</v>
      </c>
      <c r="E2200" t="s">
        <v>1973</v>
      </c>
      <c r="F2200" t="s">
        <v>6457</v>
      </c>
      <c r="G2200">
        <v>1</v>
      </c>
      <c r="H2200">
        <v>1</v>
      </c>
      <c r="I2200" t="s">
        <v>97</v>
      </c>
      <c r="J2200" s="10">
        <v>35</v>
      </c>
      <c r="K2200" s="10">
        <v>105</v>
      </c>
      <c r="L2200" s="10">
        <v>0</v>
      </c>
      <c r="N2200" s="10">
        <v>0</v>
      </c>
      <c r="W2200">
        <v>2.79</v>
      </c>
      <c r="Y2200">
        <v>7.5</v>
      </c>
      <c r="Z2200">
        <v>14.5</v>
      </c>
      <c r="AA2200">
        <v>14.5</v>
      </c>
      <c r="AB2200">
        <v>0.91300000000000003</v>
      </c>
      <c r="AC2200">
        <v>9.02</v>
      </c>
      <c r="AF2200" t="s">
        <v>7528</v>
      </c>
      <c r="AK2200" t="s">
        <v>98</v>
      </c>
      <c r="AM2200" t="s">
        <v>98</v>
      </c>
      <c r="AN2200" t="s">
        <v>98</v>
      </c>
      <c r="AO2200" t="s">
        <v>98</v>
      </c>
      <c r="AP2200" t="s">
        <v>100</v>
      </c>
      <c r="AV2200" t="s">
        <v>98</v>
      </c>
      <c r="AX2200" t="s">
        <v>7528</v>
      </c>
      <c r="AZ2200" t="s">
        <v>7528</v>
      </c>
      <c r="BB2200" t="s">
        <v>7528</v>
      </c>
      <c r="BC2200" t="s">
        <v>7528</v>
      </c>
      <c r="BD2200" t="s">
        <v>7528</v>
      </c>
      <c r="BF2200" t="s">
        <v>6473</v>
      </c>
      <c r="BG2200" t="s">
        <v>98</v>
      </c>
      <c r="BH2200" t="s">
        <v>98</v>
      </c>
      <c r="BI2200" t="s">
        <v>98</v>
      </c>
      <c r="BK2200" t="s">
        <v>7528</v>
      </c>
      <c r="BL2200" t="s">
        <v>7528</v>
      </c>
      <c r="CB2200" t="s">
        <v>7528</v>
      </c>
      <c r="CL2200" t="s">
        <v>98</v>
      </c>
      <c r="CM2200" t="s">
        <v>98</v>
      </c>
      <c r="CN2200" t="s">
        <v>7528</v>
      </c>
      <c r="CP2200" s="1">
        <v>43633</v>
      </c>
    </row>
    <row r="2201" spans="1:94" x14ac:dyDescent="0.25">
      <c r="A2201" t="s">
        <v>6474</v>
      </c>
      <c r="B2201" t="str">
        <f xml:space="preserve"> "" &amp; 747396802619</f>
        <v>747396802619</v>
      </c>
      <c r="C2201" t="s">
        <v>6462</v>
      </c>
      <c r="D2201" t="s">
        <v>7514</v>
      </c>
      <c r="E2201" t="s">
        <v>1973</v>
      </c>
      <c r="F2201" t="s">
        <v>6457</v>
      </c>
      <c r="G2201">
        <v>1</v>
      </c>
      <c r="H2201">
        <v>1</v>
      </c>
      <c r="I2201" t="s">
        <v>97</v>
      </c>
      <c r="J2201" s="10">
        <v>35</v>
      </c>
      <c r="K2201" s="10">
        <v>105</v>
      </c>
      <c r="L2201" s="10">
        <v>0</v>
      </c>
      <c r="N2201" s="10">
        <v>0</v>
      </c>
      <c r="W2201">
        <v>3.3</v>
      </c>
      <c r="Y2201">
        <v>7.5</v>
      </c>
      <c r="Z2201">
        <v>21</v>
      </c>
      <c r="AA2201">
        <v>21</v>
      </c>
      <c r="AB2201">
        <v>1.9139999999999999</v>
      </c>
      <c r="AC2201">
        <v>10.41</v>
      </c>
      <c r="AF2201" t="s">
        <v>7528</v>
      </c>
      <c r="AK2201" t="s">
        <v>98</v>
      </c>
      <c r="AM2201" t="s">
        <v>98</v>
      </c>
      <c r="AN2201" t="s">
        <v>98</v>
      </c>
      <c r="AO2201" t="s">
        <v>98</v>
      </c>
      <c r="AP2201" t="s">
        <v>100</v>
      </c>
      <c r="AV2201" t="s">
        <v>98</v>
      </c>
      <c r="AX2201" t="s">
        <v>7528</v>
      </c>
      <c r="AZ2201" t="s">
        <v>7528</v>
      </c>
      <c r="BB2201" t="s">
        <v>7528</v>
      </c>
      <c r="BC2201" t="s">
        <v>7528</v>
      </c>
      <c r="BD2201" t="s">
        <v>7528</v>
      </c>
      <c r="BF2201" t="s">
        <v>6475</v>
      </c>
      <c r="BG2201" t="s">
        <v>98</v>
      </c>
      <c r="BH2201" t="s">
        <v>98</v>
      </c>
      <c r="BI2201" t="s">
        <v>98</v>
      </c>
      <c r="BK2201" t="s">
        <v>7528</v>
      </c>
      <c r="BL2201" t="s">
        <v>7528</v>
      </c>
      <c r="CB2201" t="s">
        <v>7528</v>
      </c>
      <c r="CL2201" t="s">
        <v>98</v>
      </c>
      <c r="CM2201" t="s">
        <v>98</v>
      </c>
      <c r="CN2201" t="s">
        <v>7528</v>
      </c>
      <c r="CP2201" s="1">
        <v>43633</v>
      </c>
    </row>
    <row r="2202" spans="1:94" x14ac:dyDescent="0.25">
      <c r="A2202" t="s">
        <v>6476</v>
      </c>
      <c r="B2202" t="str">
        <f xml:space="preserve"> "" &amp; 747396075266</f>
        <v>747396075266</v>
      </c>
      <c r="C2202" t="s">
        <v>6477</v>
      </c>
      <c r="D2202" t="s">
        <v>7515</v>
      </c>
      <c r="E2202" t="s">
        <v>7528</v>
      </c>
      <c r="F2202" t="s">
        <v>627</v>
      </c>
      <c r="G2202">
        <v>1</v>
      </c>
      <c r="H2202">
        <v>1</v>
      </c>
      <c r="I2202" t="s">
        <v>97</v>
      </c>
      <c r="J2202" s="10">
        <v>2.75</v>
      </c>
      <c r="K2202" s="10">
        <v>8.25</v>
      </c>
      <c r="L2202" s="10">
        <v>0</v>
      </c>
      <c r="N2202" s="10">
        <v>0</v>
      </c>
      <c r="W2202">
        <v>1</v>
      </c>
      <c r="Y2202">
        <v>5</v>
      </c>
      <c r="Z2202">
        <v>5</v>
      </c>
      <c r="AA2202">
        <v>5</v>
      </c>
      <c r="AB2202">
        <v>7.1999999999999995E-2</v>
      </c>
      <c r="AC2202">
        <v>0.28999999999999998</v>
      </c>
      <c r="AF2202" t="s">
        <v>7528</v>
      </c>
      <c r="AK2202" t="s">
        <v>98</v>
      </c>
      <c r="AM2202" t="s">
        <v>98</v>
      </c>
      <c r="AN2202" t="s">
        <v>98</v>
      </c>
      <c r="AO2202" t="s">
        <v>98</v>
      </c>
      <c r="AP2202" t="s">
        <v>100</v>
      </c>
      <c r="AV2202" t="s">
        <v>98</v>
      </c>
      <c r="AX2202" t="s">
        <v>1250</v>
      </c>
      <c r="AZ2202" t="s">
        <v>7528</v>
      </c>
      <c r="BB2202" t="s">
        <v>7528</v>
      </c>
      <c r="BC2202" t="s">
        <v>7528</v>
      </c>
      <c r="BD2202" t="s">
        <v>7528</v>
      </c>
      <c r="BF2202" t="s">
        <v>6478</v>
      </c>
      <c r="BG2202" t="s">
        <v>98</v>
      </c>
      <c r="BH2202" t="s">
        <v>98</v>
      </c>
      <c r="BI2202" t="s">
        <v>98</v>
      </c>
      <c r="BK2202" t="s">
        <v>7528</v>
      </c>
      <c r="BL2202" t="s">
        <v>7528</v>
      </c>
      <c r="CB2202" t="s">
        <v>1250</v>
      </c>
      <c r="CL2202" t="s">
        <v>98</v>
      </c>
      <c r="CM2202" t="s">
        <v>98</v>
      </c>
      <c r="CN2202" t="s">
        <v>7528</v>
      </c>
      <c r="CP2202" s="1">
        <v>43633</v>
      </c>
    </row>
    <row r="2203" spans="1:94" x14ac:dyDescent="0.25">
      <c r="A2203" t="s">
        <v>6479</v>
      </c>
      <c r="B2203" t="str">
        <f xml:space="preserve"> "" &amp; 747396059365</f>
        <v>747396059365</v>
      </c>
      <c r="C2203" t="s">
        <v>751</v>
      </c>
      <c r="D2203" t="s">
        <v>751</v>
      </c>
      <c r="E2203" t="s">
        <v>6480</v>
      </c>
      <c r="F2203" t="s">
        <v>323</v>
      </c>
      <c r="G2203">
        <v>1</v>
      </c>
      <c r="H2203">
        <v>1</v>
      </c>
      <c r="I2203" t="s">
        <v>97</v>
      </c>
      <c r="J2203" s="10">
        <v>19.75</v>
      </c>
      <c r="K2203" s="10">
        <v>59.25</v>
      </c>
      <c r="L2203" s="10">
        <v>0</v>
      </c>
      <c r="N2203" s="10">
        <v>0</v>
      </c>
      <c r="S2203">
        <v>8</v>
      </c>
      <c r="T2203">
        <v>9.5</v>
      </c>
      <c r="U2203">
        <v>5.25</v>
      </c>
      <c r="V2203">
        <v>7</v>
      </c>
      <c r="W2203">
        <v>1.3</v>
      </c>
      <c r="X2203">
        <v>1</v>
      </c>
      <c r="Y2203">
        <v>8</v>
      </c>
      <c r="Z2203">
        <v>9.5</v>
      </c>
      <c r="AA2203">
        <v>7</v>
      </c>
      <c r="AB2203">
        <v>0.308</v>
      </c>
      <c r="AC2203">
        <v>2.09</v>
      </c>
      <c r="AE2203">
        <v>1</v>
      </c>
      <c r="AF2203" t="s">
        <v>233</v>
      </c>
      <c r="AG2203">
        <v>100</v>
      </c>
      <c r="AK2203" t="s">
        <v>98</v>
      </c>
      <c r="AM2203" t="s">
        <v>98</v>
      </c>
      <c r="AN2203" t="s">
        <v>98</v>
      </c>
      <c r="AO2203" t="s">
        <v>99</v>
      </c>
      <c r="AP2203" t="s">
        <v>100</v>
      </c>
      <c r="AQ2203" t="s">
        <v>101</v>
      </c>
      <c r="AV2203" t="s">
        <v>98</v>
      </c>
      <c r="AX2203" t="s">
        <v>279</v>
      </c>
      <c r="AZ2203" t="s">
        <v>7528</v>
      </c>
      <c r="BB2203" t="s">
        <v>7528</v>
      </c>
      <c r="BC2203" t="s">
        <v>7528</v>
      </c>
      <c r="BD2203" t="s">
        <v>7528</v>
      </c>
      <c r="BF2203" t="s">
        <v>6481</v>
      </c>
      <c r="BG2203" t="s">
        <v>98</v>
      </c>
      <c r="BH2203" t="s">
        <v>98</v>
      </c>
      <c r="BI2203" t="s">
        <v>98</v>
      </c>
      <c r="BK2203" t="s">
        <v>127</v>
      </c>
      <c r="BL2203" t="s">
        <v>7528</v>
      </c>
      <c r="CA2203" t="s">
        <v>6482</v>
      </c>
      <c r="CB2203" t="s">
        <v>279</v>
      </c>
      <c r="CL2203" t="s">
        <v>98</v>
      </c>
      <c r="CM2203" t="s">
        <v>98</v>
      </c>
      <c r="CN2203" t="s">
        <v>692</v>
      </c>
      <c r="CO2203" s="1">
        <v>39085</v>
      </c>
      <c r="CP2203" s="1">
        <v>43633</v>
      </c>
    </row>
    <row r="2204" spans="1:94" x14ac:dyDescent="0.25">
      <c r="A2204" t="s">
        <v>6483</v>
      </c>
      <c r="B2204" t="str">
        <f xml:space="preserve"> "" &amp; 747396073170</f>
        <v>747396073170</v>
      </c>
      <c r="C2204" t="s">
        <v>6484</v>
      </c>
      <c r="D2204" t="s">
        <v>7516</v>
      </c>
      <c r="E2204" t="s">
        <v>7528</v>
      </c>
      <c r="F2204" t="s">
        <v>358</v>
      </c>
      <c r="G2204">
        <v>1</v>
      </c>
      <c r="H2204">
        <v>1</v>
      </c>
      <c r="I2204" t="s">
        <v>97</v>
      </c>
      <c r="J2204" s="10">
        <v>5</v>
      </c>
      <c r="K2204" s="10">
        <v>15</v>
      </c>
      <c r="L2204" s="10">
        <v>0</v>
      </c>
      <c r="N2204" s="10">
        <v>0</v>
      </c>
      <c r="U2204">
        <v>5.25</v>
      </c>
      <c r="V2204">
        <v>1</v>
      </c>
      <c r="W2204">
        <v>1</v>
      </c>
      <c r="AB2204">
        <v>0.05</v>
      </c>
      <c r="AC2204">
        <v>0.6</v>
      </c>
      <c r="AF2204" t="s">
        <v>7528</v>
      </c>
      <c r="AK2204" t="s">
        <v>98</v>
      </c>
      <c r="AM2204" t="s">
        <v>98</v>
      </c>
      <c r="AN2204" t="s">
        <v>98</v>
      </c>
      <c r="AO2204" t="s">
        <v>98</v>
      </c>
      <c r="AP2204" t="s">
        <v>100</v>
      </c>
      <c r="AQ2204" t="s">
        <v>101</v>
      </c>
      <c r="AV2204" t="s">
        <v>98</v>
      </c>
      <c r="AX2204" t="s">
        <v>7528</v>
      </c>
      <c r="AZ2204" t="s">
        <v>7528</v>
      </c>
      <c r="BB2204" t="s">
        <v>235</v>
      </c>
      <c r="BC2204" t="s">
        <v>7628</v>
      </c>
      <c r="BD2204" t="s">
        <v>7528</v>
      </c>
      <c r="BF2204" t="s">
        <v>6485</v>
      </c>
      <c r="BG2204" t="s">
        <v>98</v>
      </c>
      <c r="BH2204" t="s">
        <v>98</v>
      </c>
      <c r="BI2204" t="s">
        <v>98</v>
      </c>
      <c r="BK2204" t="s">
        <v>110</v>
      </c>
      <c r="BL2204" t="s">
        <v>7528</v>
      </c>
      <c r="CA2204" t="s">
        <v>6486</v>
      </c>
      <c r="CB2204" t="s">
        <v>7528</v>
      </c>
      <c r="CL2204" t="s">
        <v>98</v>
      </c>
      <c r="CM2204" t="s">
        <v>98</v>
      </c>
      <c r="CN2204" t="s">
        <v>237</v>
      </c>
      <c r="CO2204" s="1">
        <v>40235</v>
      </c>
      <c r="CP2204" s="1">
        <v>43633</v>
      </c>
    </row>
    <row r="2205" spans="1:94" x14ac:dyDescent="0.25">
      <c r="A2205" t="s">
        <v>6487</v>
      </c>
      <c r="B2205" t="str">
        <f xml:space="preserve"> "" &amp; 747396073217</f>
        <v>747396073217</v>
      </c>
      <c r="C2205" t="s">
        <v>6484</v>
      </c>
      <c r="D2205" t="s">
        <v>7517</v>
      </c>
      <c r="E2205" t="s">
        <v>7528</v>
      </c>
      <c r="F2205" t="s">
        <v>358</v>
      </c>
      <c r="G2205">
        <v>1</v>
      </c>
      <c r="H2205">
        <v>1</v>
      </c>
      <c r="I2205" t="s">
        <v>97</v>
      </c>
      <c r="J2205" s="10">
        <v>5</v>
      </c>
      <c r="K2205" s="10">
        <v>15</v>
      </c>
      <c r="L2205" s="10">
        <v>0</v>
      </c>
      <c r="N2205" s="10">
        <v>0</v>
      </c>
      <c r="U2205">
        <v>5.25</v>
      </c>
      <c r="V2205">
        <v>1</v>
      </c>
      <c r="W2205">
        <v>1</v>
      </c>
      <c r="AB2205">
        <v>0.05</v>
      </c>
      <c r="AC2205">
        <v>0.6</v>
      </c>
      <c r="AF2205" t="s">
        <v>7528</v>
      </c>
      <c r="AK2205" t="s">
        <v>98</v>
      </c>
      <c r="AM2205" t="s">
        <v>98</v>
      </c>
      <c r="AN2205" t="s">
        <v>98</v>
      </c>
      <c r="AO2205" t="s">
        <v>98</v>
      </c>
      <c r="AP2205" t="s">
        <v>100</v>
      </c>
      <c r="AQ2205" t="s">
        <v>101</v>
      </c>
      <c r="AV2205" t="s">
        <v>98</v>
      </c>
      <c r="AX2205" t="s">
        <v>7528</v>
      </c>
      <c r="AZ2205" t="s">
        <v>7528</v>
      </c>
      <c r="BB2205" t="s">
        <v>235</v>
      </c>
      <c r="BC2205" t="s">
        <v>7629</v>
      </c>
      <c r="BD2205" t="s">
        <v>7528</v>
      </c>
      <c r="BF2205" t="s">
        <v>6488</v>
      </c>
      <c r="BG2205" t="s">
        <v>98</v>
      </c>
      <c r="BH2205" t="s">
        <v>98</v>
      </c>
      <c r="BI2205" t="s">
        <v>98</v>
      </c>
      <c r="BK2205" t="s">
        <v>110</v>
      </c>
      <c r="BL2205" t="s">
        <v>7528</v>
      </c>
      <c r="CA2205" t="s">
        <v>6486</v>
      </c>
      <c r="CB2205" t="s">
        <v>7528</v>
      </c>
      <c r="CL2205" t="s">
        <v>98</v>
      </c>
      <c r="CM2205" t="s">
        <v>98</v>
      </c>
      <c r="CN2205" t="s">
        <v>237</v>
      </c>
      <c r="CO2205" s="1">
        <v>40235</v>
      </c>
      <c r="CP2205" s="1">
        <v>43633</v>
      </c>
    </row>
    <row r="2206" spans="1:94" x14ac:dyDescent="0.25">
      <c r="A2206" t="s">
        <v>6489</v>
      </c>
      <c r="B2206" t="str">
        <f xml:space="preserve"> "" &amp; 747396073248</f>
        <v>747396073248</v>
      </c>
      <c r="C2206" t="s">
        <v>6484</v>
      </c>
      <c r="D2206" t="s">
        <v>7517</v>
      </c>
      <c r="E2206" t="s">
        <v>7528</v>
      </c>
      <c r="F2206" t="s">
        <v>358</v>
      </c>
      <c r="G2206">
        <v>1</v>
      </c>
      <c r="H2206">
        <v>1</v>
      </c>
      <c r="I2206" t="s">
        <v>97</v>
      </c>
      <c r="J2206" s="10">
        <v>5</v>
      </c>
      <c r="K2206" s="10">
        <v>15</v>
      </c>
      <c r="L2206" s="10">
        <v>0</v>
      </c>
      <c r="N2206" s="10">
        <v>0</v>
      </c>
      <c r="U2206">
        <v>5.25</v>
      </c>
      <c r="V2206">
        <v>1</v>
      </c>
      <c r="W2206">
        <v>1</v>
      </c>
      <c r="AB2206">
        <v>0.05</v>
      </c>
      <c r="AC2206">
        <v>0.6</v>
      </c>
      <c r="AF2206" t="s">
        <v>7528</v>
      </c>
      <c r="AK2206" t="s">
        <v>98</v>
      </c>
      <c r="AM2206" t="s">
        <v>98</v>
      </c>
      <c r="AN2206" t="s">
        <v>98</v>
      </c>
      <c r="AO2206" t="s">
        <v>98</v>
      </c>
      <c r="AP2206" t="s">
        <v>100</v>
      </c>
      <c r="AQ2206" t="s">
        <v>101</v>
      </c>
      <c r="AV2206" t="s">
        <v>98</v>
      </c>
      <c r="AX2206" t="s">
        <v>7528</v>
      </c>
      <c r="AZ2206" t="s">
        <v>7528</v>
      </c>
      <c r="BB2206" t="s">
        <v>235</v>
      </c>
      <c r="BC2206" t="s">
        <v>7630</v>
      </c>
      <c r="BD2206" t="s">
        <v>7528</v>
      </c>
      <c r="BF2206" t="s">
        <v>6490</v>
      </c>
      <c r="BG2206" t="s">
        <v>98</v>
      </c>
      <c r="BH2206" t="s">
        <v>98</v>
      </c>
      <c r="BI2206" t="s">
        <v>98</v>
      </c>
      <c r="BK2206" t="s">
        <v>110</v>
      </c>
      <c r="BL2206" t="s">
        <v>7528</v>
      </c>
      <c r="CA2206" t="s">
        <v>6486</v>
      </c>
      <c r="CB2206" t="s">
        <v>7528</v>
      </c>
      <c r="CL2206" t="s">
        <v>98</v>
      </c>
      <c r="CM2206" t="s">
        <v>98</v>
      </c>
      <c r="CN2206" t="s">
        <v>237</v>
      </c>
      <c r="CO2206" s="1">
        <v>40235</v>
      </c>
      <c r="CP2206" s="1">
        <v>43633</v>
      </c>
    </row>
    <row r="2207" spans="1:94" x14ac:dyDescent="0.25">
      <c r="A2207" t="s">
        <v>6491</v>
      </c>
      <c r="B2207" t="str">
        <f xml:space="preserve"> "" &amp; 747396073255</f>
        <v>747396073255</v>
      </c>
      <c r="C2207" t="s">
        <v>6484</v>
      </c>
      <c r="D2207" t="s">
        <v>7517</v>
      </c>
      <c r="E2207" t="s">
        <v>7528</v>
      </c>
      <c r="F2207" t="s">
        <v>358</v>
      </c>
      <c r="G2207">
        <v>1</v>
      </c>
      <c r="H2207">
        <v>1</v>
      </c>
      <c r="I2207" t="s">
        <v>97</v>
      </c>
      <c r="J2207" s="10">
        <v>5</v>
      </c>
      <c r="K2207" s="10">
        <v>15</v>
      </c>
      <c r="L2207" s="10">
        <v>0</v>
      </c>
      <c r="N2207" s="10">
        <v>0</v>
      </c>
      <c r="U2207">
        <v>5.25</v>
      </c>
      <c r="V2207">
        <v>1</v>
      </c>
      <c r="W2207">
        <v>1</v>
      </c>
      <c r="AB2207">
        <v>0.05</v>
      </c>
      <c r="AC2207">
        <v>0.6</v>
      </c>
      <c r="AF2207" t="s">
        <v>7528</v>
      </c>
      <c r="AK2207" t="s">
        <v>98</v>
      </c>
      <c r="AM2207" t="s">
        <v>98</v>
      </c>
      <c r="AN2207" t="s">
        <v>98</v>
      </c>
      <c r="AO2207" t="s">
        <v>98</v>
      </c>
      <c r="AP2207" t="s">
        <v>100</v>
      </c>
      <c r="AQ2207" t="s">
        <v>101</v>
      </c>
      <c r="AV2207" t="s">
        <v>98</v>
      </c>
      <c r="AX2207" t="s">
        <v>7528</v>
      </c>
      <c r="AZ2207" t="s">
        <v>7528</v>
      </c>
      <c r="BB2207" t="s">
        <v>235</v>
      </c>
      <c r="BC2207" t="s">
        <v>7631</v>
      </c>
      <c r="BD2207" t="s">
        <v>7528</v>
      </c>
      <c r="BF2207" t="s">
        <v>6492</v>
      </c>
      <c r="BG2207" t="s">
        <v>98</v>
      </c>
      <c r="BH2207" t="s">
        <v>98</v>
      </c>
      <c r="BI2207" t="s">
        <v>98</v>
      </c>
      <c r="BK2207" t="s">
        <v>110</v>
      </c>
      <c r="BL2207" t="s">
        <v>7528</v>
      </c>
      <c r="CA2207" t="s">
        <v>6486</v>
      </c>
      <c r="CB2207" t="s">
        <v>7528</v>
      </c>
      <c r="CL2207" t="s">
        <v>98</v>
      </c>
      <c r="CM2207" t="s">
        <v>98</v>
      </c>
      <c r="CN2207" t="s">
        <v>237</v>
      </c>
      <c r="CO2207" s="1">
        <v>40235</v>
      </c>
      <c r="CP2207" s="1">
        <v>43633</v>
      </c>
    </row>
    <row r="2208" spans="1:94" x14ac:dyDescent="0.25">
      <c r="A2208" t="s">
        <v>6493</v>
      </c>
      <c r="B2208" t="str">
        <f xml:space="preserve"> "" &amp; 747396073316</f>
        <v>747396073316</v>
      </c>
      <c r="C2208" t="s">
        <v>6484</v>
      </c>
      <c r="D2208" t="s">
        <v>7517</v>
      </c>
      <c r="E2208" t="s">
        <v>7528</v>
      </c>
      <c r="F2208" t="s">
        <v>358</v>
      </c>
      <c r="G2208">
        <v>1</v>
      </c>
      <c r="H2208">
        <v>1</v>
      </c>
      <c r="I2208" t="s">
        <v>97</v>
      </c>
      <c r="J2208" s="10">
        <v>5</v>
      </c>
      <c r="K2208" s="10">
        <v>15</v>
      </c>
      <c r="L2208" s="10">
        <v>0</v>
      </c>
      <c r="N2208" s="10">
        <v>0</v>
      </c>
      <c r="U2208">
        <v>5.25</v>
      </c>
      <c r="V2208">
        <v>1</v>
      </c>
      <c r="W2208">
        <v>1</v>
      </c>
      <c r="AB2208">
        <v>0.05</v>
      </c>
      <c r="AC2208">
        <v>0.6</v>
      </c>
      <c r="AF2208" t="s">
        <v>7528</v>
      </c>
      <c r="AK2208" t="s">
        <v>98</v>
      </c>
      <c r="AM2208" t="s">
        <v>98</v>
      </c>
      <c r="AN2208" t="s">
        <v>98</v>
      </c>
      <c r="AO2208" t="s">
        <v>98</v>
      </c>
      <c r="AP2208" t="s">
        <v>100</v>
      </c>
      <c r="AQ2208" t="s">
        <v>101</v>
      </c>
      <c r="AV2208" t="s">
        <v>98</v>
      </c>
      <c r="AX2208" t="s">
        <v>7528</v>
      </c>
      <c r="AZ2208" t="s">
        <v>7528</v>
      </c>
      <c r="BB2208" t="s">
        <v>235</v>
      </c>
      <c r="BC2208" t="s">
        <v>7629</v>
      </c>
      <c r="BD2208" t="s">
        <v>7528</v>
      </c>
      <c r="BF2208" t="s">
        <v>6494</v>
      </c>
      <c r="BG2208" t="s">
        <v>98</v>
      </c>
      <c r="BH2208" t="s">
        <v>98</v>
      </c>
      <c r="BI2208" t="s">
        <v>98</v>
      </c>
      <c r="BK2208" t="s">
        <v>110</v>
      </c>
      <c r="BL2208" t="s">
        <v>7528</v>
      </c>
      <c r="CA2208" t="s">
        <v>6495</v>
      </c>
      <c r="CB2208" t="s">
        <v>7528</v>
      </c>
      <c r="CL2208" t="s">
        <v>98</v>
      </c>
      <c r="CM2208" t="s">
        <v>98</v>
      </c>
      <c r="CN2208" t="s">
        <v>237</v>
      </c>
      <c r="CO2208" s="1">
        <v>40235</v>
      </c>
      <c r="CP2208" s="1">
        <v>43633</v>
      </c>
    </row>
    <row r="2209" spans="1:94" x14ac:dyDescent="0.25">
      <c r="A2209" t="s">
        <v>6496</v>
      </c>
      <c r="B2209" t="str">
        <f xml:space="preserve"> "" &amp; 747396073330</f>
        <v>747396073330</v>
      </c>
      <c r="C2209" t="s">
        <v>6484</v>
      </c>
      <c r="D2209" t="s">
        <v>7517</v>
      </c>
      <c r="E2209" t="s">
        <v>7528</v>
      </c>
      <c r="F2209" t="s">
        <v>358</v>
      </c>
      <c r="G2209">
        <v>1</v>
      </c>
      <c r="H2209">
        <v>1</v>
      </c>
      <c r="I2209" t="s">
        <v>97</v>
      </c>
      <c r="J2209" s="10">
        <v>5</v>
      </c>
      <c r="K2209" s="10">
        <v>15</v>
      </c>
      <c r="L2209" s="10">
        <v>0</v>
      </c>
      <c r="N2209" s="10">
        <v>0</v>
      </c>
      <c r="U2209">
        <v>5.25</v>
      </c>
      <c r="V2209">
        <v>1</v>
      </c>
      <c r="W2209">
        <v>1</v>
      </c>
      <c r="AB2209">
        <v>0.05</v>
      </c>
      <c r="AC2209">
        <v>0.6</v>
      </c>
      <c r="AF2209" t="s">
        <v>7528</v>
      </c>
      <c r="AK2209" t="s">
        <v>98</v>
      </c>
      <c r="AM2209" t="s">
        <v>98</v>
      </c>
      <c r="AN2209" t="s">
        <v>98</v>
      </c>
      <c r="AO2209" t="s">
        <v>98</v>
      </c>
      <c r="AP2209" t="s">
        <v>100</v>
      </c>
      <c r="AQ2209" t="s">
        <v>101</v>
      </c>
      <c r="AV2209" t="s">
        <v>98</v>
      </c>
      <c r="AX2209" t="s">
        <v>7528</v>
      </c>
      <c r="AZ2209" t="s">
        <v>7528</v>
      </c>
      <c r="BB2209" t="s">
        <v>235</v>
      </c>
      <c r="BC2209" t="s">
        <v>7631</v>
      </c>
      <c r="BD2209" t="s">
        <v>7528</v>
      </c>
      <c r="BF2209" t="s">
        <v>6497</v>
      </c>
      <c r="BG2209" t="s">
        <v>98</v>
      </c>
      <c r="BH2209" t="s">
        <v>98</v>
      </c>
      <c r="BI2209" t="s">
        <v>98</v>
      </c>
      <c r="BK2209" t="s">
        <v>110</v>
      </c>
      <c r="BL2209" t="s">
        <v>7528</v>
      </c>
      <c r="CA2209" t="s">
        <v>6495</v>
      </c>
      <c r="CB2209" t="s">
        <v>7528</v>
      </c>
      <c r="CL2209" t="s">
        <v>98</v>
      </c>
      <c r="CM2209" t="s">
        <v>98</v>
      </c>
      <c r="CN2209" t="s">
        <v>237</v>
      </c>
      <c r="CO2209" s="1">
        <v>40235</v>
      </c>
      <c r="CP2209" s="1">
        <v>43633</v>
      </c>
    </row>
  </sheetData>
  <sortState ref="A2:CV2329">
    <sortCondition ref="A2:A232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ALA File 081419</vt:lpstr>
      <vt:lpstr>'ALA File 081419'!updated_ALA_rpt__081419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Mejia</dc:creator>
  <cp:lastModifiedBy>Carina Mejia</cp:lastModifiedBy>
  <dcterms:created xsi:type="dcterms:W3CDTF">2019-08-14T21:30:52Z</dcterms:created>
  <dcterms:modified xsi:type="dcterms:W3CDTF">2019-08-15T14:40:52Z</dcterms:modified>
</cp:coreProperties>
</file>