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KOVACS ALA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7" i="1"/>
  <c r="B68" i="1"/>
  <c r="B69" i="1"/>
  <c r="B70" i="1"/>
  <c r="B71" i="1"/>
  <c r="B72" i="1"/>
  <c r="B73" i="1"/>
  <c r="B64" i="1"/>
  <c r="B65" i="1"/>
  <c r="B66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3" i="1"/>
  <c r="B362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90" i="1"/>
  <c r="B389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</calcChain>
</file>

<file path=xl/sharedStrings.xml><?xml version="1.0" encoding="utf-8"?>
<sst xmlns="http://schemas.openxmlformats.org/spreadsheetml/2006/main" count="22964" uniqueCount="3716">
  <si>
    <t>Item SKU</t>
  </si>
  <si>
    <t>UPC</t>
  </si>
  <si>
    <t>Product Name</t>
  </si>
  <si>
    <t>Short Description</t>
  </si>
  <si>
    <t>Theme</t>
  </si>
  <si>
    <t>Category</t>
  </si>
  <si>
    <t>Unit Increment</t>
  </si>
  <si>
    <t>Order Minimum</t>
  </si>
  <si>
    <t>Order UOM</t>
  </si>
  <si>
    <t>Wholesale Price</t>
  </si>
  <si>
    <t>Retail Price</t>
  </si>
  <si>
    <t>Sale Price</t>
  </si>
  <si>
    <t>IMAP</t>
  </si>
  <si>
    <t>IMAP Price</t>
  </si>
  <si>
    <t>UMAP</t>
  </si>
  <si>
    <t>UMAP Price</t>
  </si>
  <si>
    <t>UMRP</t>
  </si>
  <si>
    <t>UMRP Price</t>
  </si>
  <si>
    <t>Height</t>
  </si>
  <si>
    <t>Length</t>
  </si>
  <si>
    <t>Width</t>
  </si>
  <si>
    <t>Extends</t>
  </si>
  <si>
    <t>Weight</t>
  </si>
  <si>
    <t>Cartons Per Unit</t>
  </si>
  <si>
    <t>Carton Height</t>
  </si>
  <si>
    <t>Carton Length</t>
  </si>
  <si>
    <t>Carton Width</t>
  </si>
  <si>
    <t>Carton Cubic Feet</t>
  </si>
  <si>
    <t>Gross Weight</t>
  </si>
  <si>
    <t>Voltage</t>
  </si>
  <si>
    <t>Number of Bulbs</t>
  </si>
  <si>
    <t>Type of Bulbs</t>
  </si>
  <si>
    <t>Max Wattage</t>
  </si>
  <si>
    <t>Number of Bulbs2</t>
  </si>
  <si>
    <t>Type of Bulbs2</t>
  </si>
  <si>
    <t>Max_Wattage2</t>
  </si>
  <si>
    <t>Bulb Included</t>
  </si>
  <si>
    <t>Number of Arms</t>
  </si>
  <si>
    <t>CSA</t>
  </si>
  <si>
    <t>ETL</t>
  </si>
  <si>
    <t>UL</t>
  </si>
  <si>
    <t>Shipped Via</t>
  </si>
  <si>
    <t>Status</t>
  </si>
  <si>
    <t>Status Date</t>
  </si>
  <si>
    <t>Master Pack Barcode</t>
  </si>
  <si>
    <t>Ranking</t>
  </si>
  <si>
    <t>Sales Price Info</t>
  </si>
  <si>
    <t>Energy Star</t>
  </si>
  <si>
    <t>Designer</t>
  </si>
  <si>
    <t>Finish</t>
  </si>
  <si>
    <t>Special Features</t>
  </si>
  <si>
    <t>Style</t>
  </si>
  <si>
    <t>Style Category</t>
  </si>
  <si>
    <t>Shade</t>
  </si>
  <si>
    <t>Glass</t>
  </si>
  <si>
    <t>Crystal</t>
  </si>
  <si>
    <t>Long description</t>
  </si>
  <si>
    <t>Image Name</t>
  </si>
  <si>
    <t>Dark Sky</t>
  </si>
  <si>
    <t>ADA</t>
  </si>
  <si>
    <t>Title 24</t>
  </si>
  <si>
    <t>Outdoor Listed</t>
  </si>
  <si>
    <t>Environment Location</t>
  </si>
  <si>
    <t>Install Position</t>
  </si>
  <si>
    <t>Backplate Width</t>
  </si>
  <si>
    <t>Backplate Height</t>
  </si>
  <si>
    <t>Backplate Diameter</t>
  </si>
  <si>
    <t>Backplate Length</t>
  </si>
  <si>
    <t>Canopy Plate Diameter</t>
  </si>
  <si>
    <t>Canopy Plate Height</t>
  </si>
  <si>
    <t>Canopy Plate Length</t>
  </si>
  <si>
    <t>Canopy Plate Width</t>
  </si>
  <si>
    <t>Downrod 1 Length</t>
  </si>
  <si>
    <t>Downrod 2 Length</t>
  </si>
  <si>
    <t>Downrod Width</t>
  </si>
  <si>
    <t>Blade Pitch</t>
  </si>
  <si>
    <t>Light Kit Included</t>
  </si>
  <si>
    <t>Blade Finish</t>
  </si>
  <si>
    <t>Base Item Number 1</t>
  </si>
  <si>
    <t>Finish Category</t>
  </si>
  <si>
    <t>rpm</t>
  </si>
  <si>
    <t>amps</t>
  </si>
  <si>
    <t>watts</t>
  </si>
  <si>
    <t>Hight CFM</t>
  </si>
  <si>
    <t>Color Temp</t>
  </si>
  <si>
    <t>cri</t>
  </si>
  <si>
    <t>Initial Lumens</t>
  </si>
  <si>
    <t>Delivered Lumens</t>
  </si>
  <si>
    <t>Rated Life Hours</t>
  </si>
  <si>
    <t>Dimmable</t>
  </si>
  <si>
    <t>Slope</t>
  </si>
  <si>
    <t>Material</t>
  </si>
  <si>
    <t>Initial Date</t>
  </si>
  <si>
    <t>Last Update</t>
  </si>
  <si>
    <t>EA</t>
  </si>
  <si>
    <t>N</t>
  </si>
  <si>
    <t>Y</t>
  </si>
  <si>
    <t>UPS</t>
  </si>
  <si>
    <t>A</t>
  </si>
  <si>
    <t>White</t>
  </si>
  <si>
    <t>DRY</t>
  </si>
  <si>
    <t>Wood</t>
  </si>
  <si>
    <t>FLUSH MOUNTS</t>
  </si>
  <si>
    <t>GD13H-A</t>
  </si>
  <si>
    <t>GLASS DIFFUSER</t>
  </si>
  <si>
    <t>REPLACEMENT GLASS DIFFUSER FOR P035/P036-077</t>
  </si>
  <si>
    <t>REPLACEMENT GLASS &amp; PARTS</t>
  </si>
  <si>
    <t>GD13H-A.JPG</t>
  </si>
  <si>
    <t>GD17H-A</t>
  </si>
  <si>
    <t>WHITE/CLEAR GLASS</t>
  </si>
  <si>
    <t>REPLACEMENT ETCHED DIFFUSER FOR P194-084</t>
  </si>
  <si>
    <t>GD17H-A.JPG</t>
  </si>
  <si>
    <t>GKADP0000-084</t>
  </si>
  <si>
    <t>ADAPTOR FOR POWER FEED</t>
  </si>
  <si>
    <t>ADAPTER FOR POWER FEED FOR GKPF0248-084</t>
  </si>
  <si>
    <t>ACCESSORIES, COMPONENTS</t>
  </si>
  <si>
    <t>BRUSHED NICKEL</t>
  </si>
  <si>
    <t>GKADP0000-084.JPG</t>
  </si>
  <si>
    <t>GKADP0000-467</t>
  </si>
  <si>
    <t>ADAPTER FOR POWER FEED FOR GKPF0296-467</t>
  </si>
  <si>
    <t>SABLE BRONZE PATINA</t>
  </si>
  <si>
    <t>GKADP0000-467.JPG</t>
  </si>
  <si>
    <t>GKADP0005-467</t>
  </si>
  <si>
    <t>PENDANT ADAPTOR</t>
  </si>
  <si>
    <t>ADAPTER FOR USE WITH ONE-TEN GEORGE KOVACS LIGHTRAIL</t>
  </si>
  <si>
    <t>GK LIGHTRAIL</t>
  </si>
  <si>
    <t>N/A</t>
  </si>
  <si>
    <t>GKADP0005-467.JPG</t>
  </si>
  <si>
    <t>GKADP0005</t>
  </si>
  <si>
    <t>GKADP0005-609</t>
  </si>
  <si>
    <t>SILVER</t>
  </si>
  <si>
    <t>GKADP0005-609.JPG</t>
  </si>
  <si>
    <t>GKCI-084</t>
  </si>
  <si>
    <t>I-CONNECTOR</t>
  </si>
  <si>
    <t>CONNECTOR-FOR USE WITH LOW VOLTAGE GEORGE KOVACS LIGHTRAILS</t>
  </si>
  <si>
    <t>Brushed Nickel</t>
  </si>
  <si>
    <t>GKCI-084.JPG</t>
  </si>
  <si>
    <t>GKCI</t>
  </si>
  <si>
    <t>GKCI-1-467</t>
  </si>
  <si>
    <t>IN-LINE CONNECTOR</t>
  </si>
  <si>
    <t>IN-LINE CONNECTOR-FOR USE WITH ONE-TEN GEORGE KOVACS LIGHTRAILS</t>
  </si>
  <si>
    <t>Sable Bronze Patina</t>
  </si>
  <si>
    <t>GKCI-1-467.JPG</t>
  </si>
  <si>
    <t>GKCI-1-609</t>
  </si>
  <si>
    <t>Silver</t>
  </si>
  <si>
    <t>GKCI-1-609.JPG</t>
  </si>
  <si>
    <t>GKCI-467</t>
  </si>
  <si>
    <t>GKCI-467.JPG</t>
  </si>
  <si>
    <t>GKCL-B-467</t>
  </si>
  <si>
    <t>L-FLEX CONNECTOR</t>
  </si>
  <si>
    <t>GKCL-B-467.JPG</t>
  </si>
  <si>
    <t>GKCL-B</t>
  </si>
  <si>
    <t>GKLR0036-467</t>
  </si>
  <si>
    <t xml:space="preserve">RAIL </t>
  </si>
  <si>
    <t>RAIL-FOR USE WITH LOW VOLTAGE GEORGE KOVACS LIGHTRAILS</t>
  </si>
  <si>
    <t>GKLR0036-467.JPG</t>
  </si>
  <si>
    <t>GKLR0036</t>
  </si>
  <si>
    <t>GKLR048-084</t>
  </si>
  <si>
    <t>FLEX RAIL</t>
  </si>
  <si>
    <t>GKLR048-084.JPG</t>
  </si>
  <si>
    <t>GKLR048</t>
  </si>
  <si>
    <t>GKLR048-467</t>
  </si>
  <si>
    <t>GKLR048-467.JPG</t>
  </si>
  <si>
    <t>GKLR096-084</t>
  </si>
  <si>
    <t>GKLR096-084.JPG</t>
  </si>
  <si>
    <t>GKLR096</t>
  </si>
  <si>
    <t>GKLR096-467</t>
  </si>
  <si>
    <t>GKLR096-467.JPG</t>
  </si>
  <si>
    <t>GKLR148-467</t>
  </si>
  <si>
    <t>RAIL-FOR USE WITH ONE-TEN GEORGE KOVACS LIGHTRAILS</t>
  </si>
  <si>
    <t>GKLR148-467.JPG</t>
  </si>
  <si>
    <t>GKLR148</t>
  </si>
  <si>
    <t>GKLR148-609</t>
  </si>
  <si>
    <t>GKLR148-609.JPG</t>
  </si>
  <si>
    <t>GKMP11-084</t>
  </si>
  <si>
    <t>LED MONO-POINT CANOPY WITH MINI TRANSFORMER</t>
  </si>
  <si>
    <t>LED MONO-POINT CANOPY-FOR USE WITH LOW VOLIGHT AGE GEORGE KOVACS LIGHTRAILS</t>
  </si>
  <si>
    <t>Traditional</t>
  </si>
  <si>
    <t>GKMP11-084.JPG</t>
  </si>
  <si>
    <t>GKMP11-467</t>
  </si>
  <si>
    <t>GKMP11-467.JPG</t>
  </si>
  <si>
    <t>GKMP11</t>
  </si>
  <si>
    <t>GKPF0248-084</t>
  </si>
  <si>
    <t>ADJUSTABLE POWER FEED</t>
  </si>
  <si>
    <t>ADJUSTABLE POWER FEED FOR USE WITH GEORGE KOVACS LIGHTRAILS</t>
  </si>
  <si>
    <t>GKPF0248-084.JPG</t>
  </si>
  <si>
    <t>GKPF0248</t>
  </si>
  <si>
    <t>GKPF0248-467</t>
  </si>
  <si>
    <t>GKPF0248-467.JPG</t>
  </si>
  <si>
    <t>GKPF0296-084</t>
  </si>
  <si>
    <t>POWER FEED 96"</t>
  </si>
  <si>
    <t>GKPF0296-084.JPG</t>
  </si>
  <si>
    <t>GKPF0296</t>
  </si>
  <si>
    <t>GKPF0296-467</t>
  </si>
  <si>
    <t>GKPF0296-467.JPG</t>
  </si>
  <si>
    <t>GKPF050-467</t>
  </si>
  <si>
    <t>POWER FEED &amp; CANOPY</t>
  </si>
  <si>
    <t>POWER FEED &amp; CANOPY-FOR USE WITH ONE-TEN GEORGE KOVACS LIGHTRAILS</t>
  </si>
  <si>
    <t>GKPF050-467.JPG</t>
  </si>
  <si>
    <t>GKPF050-609</t>
  </si>
  <si>
    <t>POWER FEED AND CANOPY-FOR USE WITH ONE-TEN GEORGE KOVACS LIGHTRAILS</t>
  </si>
  <si>
    <t>GKPF050-609.JPG</t>
  </si>
  <si>
    <t>GKPS1001-066</t>
  </si>
  <si>
    <t>BAFFLE</t>
  </si>
  <si>
    <t>BAFFLE-FOR USE WITH LOW VOLIGHT AGE GEORGE KOVACS LIGHTRAILS</t>
  </si>
  <si>
    <t>BLACK</t>
  </si>
  <si>
    <t>GKPS1001-066.JPG</t>
  </si>
  <si>
    <t>GKPS1001</t>
  </si>
  <si>
    <t>GKSH2200-084</t>
  </si>
  <si>
    <t>METAL SHADE</t>
  </si>
  <si>
    <t>SHADE-FOR USE WITH LOW VOLIGHT AGE GEORGE KOVACS LIGHTRAILS</t>
  </si>
  <si>
    <t>GLASS SHADE</t>
  </si>
  <si>
    <t>METAL</t>
  </si>
  <si>
    <t>GKSH2200-084.JPG</t>
  </si>
  <si>
    <t>GKSH2200</t>
  </si>
  <si>
    <t>GKSH2201-467</t>
  </si>
  <si>
    <t xml:space="preserve">METAL SHADE  </t>
  </si>
  <si>
    <t>GKSH2201-467.JPG</t>
  </si>
  <si>
    <t>GKSH2201</t>
  </si>
  <si>
    <t>Steel</t>
  </si>
  <si>
    <t>GKST1000-084</t>
  </si>
  <si>
    <t>STANDOFF</t>
  </si>
  <si>
    <t>STANDOFF-FOR USE WITH LOW VOLIGHT AGE GEORGE KOVACS LIGHTRAILS</t>
  </si>
  <si>
    <t>GKST1000-084.JPG</t>
  </si>
  <si>
    <t>GKST1000</t>
  </si>
  <si>
    <t>GKST1000-084-A</t>
  </si>
  <si>
    <t>STAND OFF</t>
  </si>
  <si>
    <t>STANDOFF GKST1000-084 P4065-084</t>
  </si>
  <si>
    <t>GKST1000-084-A.JPG</t>
  </si>
  <si>
    <t>GKST</t>
  </si>
  <si>
    <t>STEEL</t>
  </si>
  <si>
    <t>GKST1000-467</t>
  </si>
  <si>
    <t>GKST1000-467.JPG</t>
  </si>
  <si>
    <t>GKST1001-084</t>
  </si>
  <si>
    <t xml:space="preserve">STANDOFF  </t>
  </si>
  <si>
    <t>STANDOFF FOR P4078 6-3/4" STAND OFF</t>
  </si>
  <si>
    <t>GKST1001-084.JPG</t>
  </si>
  <si>
    <t>GKST1001</t>
  </si>
  <si>
    <t>GKST1001-467</t>
  </si>
  <si>
    <t>STANDOFF FOR P4078 7-1/8</t>
  </si>
  <si>
    <t>GKST1001-467.JPG</t>
  </si>
  <si>
    <t>GKST1002-467</t>
  </si>
  <si>
    <t>STANDOFF-FOR USE WITH ONE-TEN GEORGE KOVACS LIGHTRAILS</t>
  </si>
  <si>
    <t>GKST1002-467.JPG</t>
  </si>
  <si>
    <t>GKST1002</t>
  </si>
  <si>
    <t>GKST1002-609</t>
  </si>
  <si>
    <t>GKST1002-609.JPG</t>
  </si>
  <si>
    <t>GKST1004-084</t>
  </si>
  <si>
    <t>TELESCOPING STANDOFF</t>
  </si>
  <si>
    <t>TELESCOPING STANDOFF-FOR USE WITH LOW VOLIGHT AGE GEORGE KOVACS LIGHTRAILS</t>
  </si>
  <si>
    <t>GKST1004-084.JPG</t>
  </si>
  <si>
    <t>GKST1004</t>
  </si>
  <si>
    <t>GKST1004-467</t>
  </si>
  <si>
    <t>GKST1004-467.JPG</t>
  </si>
  <si>
    <t>GKST1006-084</t>
  </si>
  <si>
    <t>GKST1006-084.JPG</t>
  </si>
  <si>
    <t>GKST1006</t>
  </si>
  <si>
    <t>GKST1006-467</t>
  </si>
  <si>
    <t>GKST1006-467.JPG</t>
  </si>
  <si>
    <t>GKST1012-084</t>
  </si>
  <si>
    <t>GKST1012-084.JPG</t>
  </si>
  <si>
    <t>GKST1012</t>
  </si>
  <si>
    <t>GKST1012-467</t>
  </si>
  <si>
    <t>GKST1012-467.JPG</t>
  </si>
  <si>
    <t>GKST1024-084</t>
  </si>
  <si>
    <t>GKST1024-084.JPG</t>
  </si>
  <si>
    <t>GKST1024</t>
  </si>
  <si>
    <t>GKST1024-467</t>
  </si>
  <si>
    <t>GKST1024-467.JPG</t>
  </si>
  <si>
    <t>GKST1048-084</t>
  </si>
  <si>
    <t>GKST1048-084.JPG</t>
  </si>
  <si>
    <t>GKST1048</t>
  </si>
  <si>
    <t>GKST1048-467</t>
  </si>
  <si>
    <t>GKST1048-467.JPG</t>
  </si>
  <si>
    <t>GKTF01-084</t>
  </si>
  <si>
    <t>150W SURFACE MOUNT ELECTRONIC TRANSFORMER</t>
  </si>
  <si>
    <t>150W TRANSFORMER WITH CANOPY</t>
  </si>
  <si>
    <t>GKTF01-084.JPG</t>
  </si>
  <si>
    <t>GKTF01</t>
  </si>
  <si>
    <t>GKTF06L-084</t>
  </si>
  <si>
    <t>SURFANCE MOUNT LED MAGNETIC TRANSFORMER</t>
  </si>
  <si>
    <t>TRANSFORMER-FOR USE WITH LOW VOLIGHT AGE GEORGE KOVACS LIGHTRAILS</t>
  </si>
  <si>
    <t>TRACK LIGHTING</t>
  </si>
  <si>
    <t>GKTF06L-084.JPG</t>
  </si>
  <si>
    <t>GKTF06L</t>
  </si>
  <si>
    <t>GKTF06L-467</t>
  </si>
  <si>
    <t>GKTF06L-467.JPG</t>
  </si>
  <si>
    <t>GKTF300</t>
  </si>
  <si>
    <t>TRANSFORMER</t>
  </si>
  <si>
    <t>TRANSFORMER FOR P8003/8024/4086-084/467, GKTF02-1-084/467</t>
  </si>
  <si>
    <t>GKTF300.JPG</t>
  </si>
  <si>
    <t>GKTH1000-084</t>
  </si>
  <si>
    <t>LOW VOLTAGE PENDANT FIXTURE</t>
  </si>
  <si>
    <t>PENDANTFIXTURE-FOR USE WITH LOW VOLIGHT AGE GEORGE KOVACS LIGHTRAILS</t>
  </si>
  <si>
    <t>GKTH1000-084.JPG</t>
  </si>
  <si>
    <t>GKTH1000</t>
  </si>
  <si>
    <t>GKTH1000-467</t>
  </si>
  <si>
    <t>GKTH1000-467.JPG</t>
  </si>
  <si>
    <t>GKTH1001-467</t>
  </si>
  <si>
    <t>LOW VOLTAGE MINI PENDANT FIXTURE</t>
  </si>
  <si>
    <t>MINI PENDANTFIXTURE-FOR USE WITH LOW VOLIGHT AGE GEORGE KOVACS LIGHTRAILS</t>
  </si>
  <si>
    <t>GKTH1001-467.JPG</t>
  </si>
  <si>
    <t>GKTH1001</t>
  </si>
  <si>
    <t>GKTH1106-467</t>
  </si>
  <si>
    <t>LOW VOLTAGE FIXTURE</t>
  </si>
  <si>
    <t>SPOT HEAD-FOR USE WITH LOW VOLIGHT AGE GEORGE KOVACS LIGHTRAILS</t>
  </si>
  <si>
    <t>GKTH1106-467.JPG</t>
  </si>
  <si>
    <t>GKTH1106</t>
  </si>
  <si>
    <t>GKTH1109-467</t>
  </si>
  <si>
    <t>GKTH1109-467.JPG</t>
  </si>
  <si>
    <t>GKTH1109</t>
  </si>
  <si>
    <t>GKTH1112-467</t>
  </si>
  <si>
    <t>GKTH1112-467.JPG</t>
  </si>
  <si>
    <t>GKTH1112</t>
  </si>
  <si>
    <t>GKTH1203-084</t>
  </si>
  <si>
    <t>GKTH1203-084.JPG</t>
  </si>
  <si>
    <t>GKTH1203</t>
  </si>
  <si>
    <t>GKTH2001-467</t>
  </si>
  <si>
    <t>1 LIGHT SPOT HEAD W/OPTIONAL DIFFUSER</t>
  </si>
  <si>
    <t>GKTH2001-467.JPG</t>
  </si>
  <si>
    <t>GKTH2001</t>
  </si>
  <si>
    <t>GKTH4116-609</t>
  </si>
  <si>
    <t>TRACK HEAD</t>
  </si>
  <si>
    <t>TRACK HEAD-FOR USE WITH LINE VOLIGHT AGE GEORGE KOVACS LIGHTRAILS</t>
  </si>
  <si>
    <t>GU10</t>
  </si>
  <si>
    <t>GKTH4116-609.JPG</t>
  </si>
  <si>
    <t>GKTH4116</t>
  </si>
  <si>
    <t>METAL+COPPER+PLASTIC</t>
  </si>
  <si>
    <t>GKTH4216-467</t>
  </si>
  <si>
    <t>GLASS</t>
  </si>
  <si>
    <t>ETCHED WHITE</t>
  </si>
  <si>
    <t>GKTH4216-467.JPG</t>
  </si>
  <si>
    <t>GKTH4216</t>
  </si>
  <si>
    <t>STEEL+ALUM+BRASS+GLASS</t>
  </si>
  <si>
    <t>GKTH4216-609</t>
  </si>
  <si>
    <t>GKTH4216-609.JPG</t>
  </si>
  <si>
    <t>GKUC-JB2-044</t>
  </si>
  <si>
    <t>LED UNDER-CABINET JUNCTION BOX</t>
  </si>
  <si>
    <t>LED UNDER-CABINET - JUNCTION BOX-FOR USE WITH UNDER-CABINET PRODUCTS.</t>
  </si>
  <si>
    <t>LED UNDER-CABINET</t>
  </si>
  <si>
    <t>LED FIXTURES</t>
  </si>
  <si>
    <t xml:space="preserve">WHITE </t>
  </si>
  <si>
    <t>CONTEMPORARY</t>
  </si>
  <si>
    <t>GKUC-JB2-044.JPG</t>
  </si>
  <si>
    <t>Aluminum + PC</t>
  </si>
  <si>
    <t>GKUC-L-609</t>
  </si>
  <si>
    <t>L CONNECTOR</t>
  </si>
  <si>
    <t>LED</t>
  </si>
  <si>
    <t>ACRYLIC</t>
  </si>
  <si>
    <t>GKUC-L-609.JPG</t>
  </si>
  <si>
    <t>HORIZ/VERT</t>
  </si>
  <si>
    <t>GKUC-L</t>
  </si>
  <si>
    <t>Aliminum + Acrylic</t>
  </si>
  <si>
    <t>GKUC-MF-044</t>
  </si>
  <si>
    <t>LED UNDER-CABINET FLEX CONNECTOR</t>
  </si>
  <si>
    <t>LED UNDER-CABINET - FLEX CONNECTOR FOR USE WITH UNDER-CABINET PRODUCTS</t>
  </si>
  <si>
    <t>GKUC-MF-044.JPG</t>
  </si>
  <si>
    <t>GKUC-MF</t>
  </si>
  <si>
    <t>PVC</t>
  </si>
  <si>
    <t>GKUC-P-044</t>
  </si>
  <si>
    <t>LED UNDER-CABINET POWER CORD</t>
  </si>
  <si>
    <t>LED UNDER-CABINET - POWER CORD-FOR USE WITH UNDER-CABINET PRODUCTS.</t>
  </si>
  <si>
    <t>GKUC-P-044.JPG</t>
  </si>
  <si>
    <t>GKUC-P</t>
  </si>
  <si>
    <t>Plastic</t>
  </si>
  <si>
    <t>GKUC-T-609</t>
  </si>
  <si>
    <t>T CONNECTOR</t>
  </si>
  <si>
    <t>GKUC-T-609.JPG</t>
  </si>
  <si>
    <t>GKUC-T</t>
  </si>
  <si>
    <t>Aluminum + Acrylic</t>
  </si>
  <si>
    <t>GKUC-W11-044</t>
  </si>
  <si>
    <t>LED UNDER-CABINET - FLEX CONNECTOR-FOR USE WITH UNDER-CABINET PRODUCTS.</t>
  </si>
  <si>
    <t>GKUC-W11-044.JPG</t>
  </si>
  <si>
    <t>GKUC-W11</t>
  </si>
  <si>
    <t>GKUC-W60-044</t>
  </si>
  <si>
    <t>GKUC-W60-044.JPG</t>
  </si>
  <si>
    <t>GKUC-W60</t>
  </si>
  <si>
    <t>GKUC10-609</t>
  </si>
  <si>
    <t>LED UNDER-CABINET - LIGHT BAR-FOR USE WITH UNDER-CABINET PRODUCTS</t>
  </si>
  <si>
    <t>WHITE</t>
  </si>
  <si>
    <t>GKUC10-609.JPG</t>
  </si>
  <si>
    <t>GKUC10</t>
  </si>
  <si>
    <t>GKUC21-609</t>
  </si>
  <si>
    <t>UNDER-CABINET LIGHT</t>
  </si>
  <si>
    <t>LED UNDER-CABINET - LIGHT BAR-FOR USE WITH UNDER-CABINET PRODUCTS.</t>
  </si>
  <si>
    <t>GKUC21-609.JPG</t>
  </si>
  <si>
    <t>GKUC21</t>
  </si>
  <si>
    <t>GKUC40-609</t>
  </si>
  <si>
    <t>GKUC40-609.JPG</t>
  </si>
  <si>
    <t>GKUC40</t>
  </si>
  <si>
    <t>P031-077</t>
  </si>
  <si>
    <t>1 LIGHT MINI PENDANT</t>
  </si>
  <si>
    <t>BLING BLING</t>
  </si>
  <si>
    <t>PENDANTS/SUSPENSION</t>
  </si>
  <si>
    <t>A19 MED</t>
  </si>
  <si>
    <t>CHROME</t>
  </si>
  <si>
    <t>Perforated Steel w/Crystals</t>
  </si>
  <si>
    <t>Chrome</t>
  </si>
  <si>
    <t>P031-077.JPG</t>
  </si>
  <si>
    <t>P031</t>
  </si>
  <si>
    <t>PERFORATED STEEL/CRYSTALS</t>
  </si>
  <si>
    <t>P033-077</t>
  </si>
  <si>
    <t>3 LIGHT PENDANT</t>
  </si>
  <si>
    <t>P033-077.JPG</t>
  </si>
  <si>
    <t>P033</t>
  </si>
  <si>
    <t>P034-077</t>
  </si>
  <si>
    <t>4 LIGHT PENDANT</t>
  </si>
  <si>
    <t>P034-077.JPG</t>
  </si>
  <si>
    <t>P034</t>
  </si>
  <si>
    <t>PERFORATED STEEL W/CRYSTALS</t>
  </si>
  <si>
    <t>P035-077</t>
  </si>
  <si>
    <t>3 LIGHT SEMI FLUSH MOUNT</t>
  </si>
  <si>
    <t>SEMI-FLUSH MOUNTS</t>
  </si>
  <si>
    <t>P035-077.JPG</t>
  </si>
  <si>
    <t>DAMP</t>
  </si>
  <si>
    <t>P035</t>
  </si>
  <si>
    <t>P037-077</t>
  </si>
  <si>
    <t>1 LIGHT WALL SCONCE</t>
  </si>
  <si>
    <t>WALL SCONCES</t>
  </si>
  <si>
    <t>Clear</t>
  </si>
  <si>
    <t>P037-077.JPG</t>
  </si>
  <si>
    <t>VERTICAL</t>
  </si>
  <si>
    <t>P037</t>
  </si>
  <si>
    <t>P053-077</t>
  </si>
  <si>
    <t>1 LIGHT ARC FLOOR LAMP</t>
  </si>
  <si>
    <t>GEORGE'S READING ROOM</t>
  </si>
  <si>
    <t>FLOOR LAMPS</t>
  </si>
  <si>
    <t>JA8 A18 LED BULB</t>
  </si>
  <si>
    <t>TRK</t>
  </si>
  <si>
    <t>P053-077.JPG</t>
  </si>
  <si>
    <t>P053</t>
  </si>
  <si>
    <t>METAL + MARBLE</t>
  </si>
  <si>
    <t>P054-084</t>
  </si>
  <si>
    <t>A-21, Medium</t>
  </si>
  <si>
    <t>Metal</t>
  </si>
  <si>
    <t>P054-084.JPG</t>
  </si>
  <si>
    <t>P054</t>
  </si>
  <si>
    <t>Metal + Marble</t>
  </si>
  <si>
    <t>P075-084</t>
  </si>
  <si>
    <t>3 LIGHT DRUM PENDANT</t>
  </si>
  <si>
    <t>A-19,MED</t>
  </si>
  <si>
    <t>CLOTH</t>
  </si>
  <si>
    <t>P075-084.JPG</t>
  </si>
  <si>
    <t>P075</t>
  </si>
  <si>
    <t>Metal + Glass + Cloth</t>
  </si>
  <si>
    <t>P1030-077-L</t>
  </si>
  <si>
    <t>WALL SCONCE</t>
  </si>
  <si>
    <t>CROWNED - LED WALL SCONCE</t>
  </si>
  <si>
    <t>CROWNED</t>
  </si>
  <si>
    <t>Transitional</t>
  </si>
  <si>
    <t>CLEAR CRYSTAL</t>
  </si>
  <si>
    <t>CLEAR</t>
  </si>
  <si>
    <t>P1030-077-L.JPG</t>
  </si>
  <si>
    <t>P1030</t>
  </si>
  <si>
    <t>STEEL+ALUM+GLASS</t>
  </si>
  <si>
    <t>P1032-077-L</t>
  </si>
  <si>
    <t>LED PENDANT (CONVERTIBLE TO SEMI FLUSH)</t>
  </si>
  <si>
    <t>CROWNED - LED PENDANT (CONVERTIBLE TO SEMI FLUSH)</t>
  </si>
  <si>
    <t>P1032-077-L.JPG</t>
  </si>
  <si>
    <t>P1032</t>
  </si>
  <si>
    <t>STEEL+GLASS</t>
  </si>
  <si>
    <t>P1034-077-L</t>
  </si>
  <si>
    <t>PENDANT</t>
  </si>
  <si>
    <t>CROWNED - LED PENDANT</t>
  </si>
  <si>
    <t>P1034-077-L.JPG</t>
  </si>
  <si>
    <t>P1034</t>
  </si>
  <si>
    <t>P1035-077-L</t>
  </si>
  <si>
    <t>LED PENDANT</t>
  </si>
  <si>
    <t>CRYSTAL</t>
  </si>
  <si>
    <t>P1035-077-L.JPG</t>
  </si>
  <si>
    <t>P1035</t>
  </si>
  <si>
    <t>STEEL+ALUMINUM+GLASS</t>
  </si>
  <si>
    <t>P1050-084</t>
  </si>
  <si>
    <t>1 LIGHT SWING ARM WALL LAMP WITH READING LIGHT</t>
  </si>
  <si>
    <t>A19, MED</t>
  </si>
  <si>
    <t>P1050-084.JPG</t>
  </si>
  <si>
    <t>UP</t>
  </si>
  <si>
    <t>P1050</t>
  </si>
  <si>
    <t>METAL/GLASS/CLOTH</t>
  </si>
  <si>
    <t>P1070-657-L</t>
  </si>
  <si>
    <t>LEVELS - LED WALL SCONCE</t>
  </si>
  <si>
    <t>LEVELS</t>
  </si>
  <si>
    <t>POLISHED NICKEL W/HONEY GOLD</t>
  </si>
  <si>
    <t>Contemporary</t>
  </si>
  <si>
    <t>WHITE GLASS</t>
  </si>
  <si>
    <t>P1070-657-L.JPG</t>
  </si>
  <si>
    <t>P1070</t>
  </si>
  <si>
    <t>P1071-657-L</t>
  </si>
  <si>
    <t>LED MINI PENDANT</t>
  </si>
  <si>
    <t>LEVELS - LED PENDANT</t>
  </si>
  <si>
    <t>FABRIC</t>
  </si>
  <si>
    <t>PURE WHITE</t>
  </si>
  <si>
    <t>P1071-657-L.JPG</t>
  </si>
  <si>
    <t>P1071</t>
  </si>
  <si>
    <t>STEEL+SHADE+GLASS</t>
  </si>
  <si>
    <t>P1072-657-L</t>
  </si>
  <si>
    <t>LED SEMI FLUSH (CONVERTIBLE)</t>
  </si>
  <si>
    <t>LEVELS - LED SEMI FLUSH</t>
  </si>
  <si>
    <t>WHITE LINEN</t>
  </si>
  <si>
    <t>P1072-657-L.JPG</t>
  </si>
  <si>
    <t>P1072</t>
  </si>
  <si>
    <t>P1073-657-L</t>
  </si>
  <si>
    <t>P1073-657-L.JPG</t>
  </si>
  <si>
    <t>P1073</t>
  </si>
  <si>
    <t>STEEL+ALUMINUM+SHADE+GLASS</t>
  </si>
  <si>
    <t>P1074-657-L</t>
  </si>
  <si>
    <t>P1074-657-L.JPG</t>
  </si>
  <si>
    <t>P1074</t>
  </si>
  <si>
    <t>steel+shade+glass</t>
  </si>
  <si>
    <t>P1077-657-L</t>
  </si>
  <si>
    <t>LED ISLAND</t>
  </si>
  <si>
    <t>LEVELS - LED ISLAND</t>
  </si>
  <si>
    <t>P1077-657-L.JPG</t>
  </si>
  <si>
    <t>P1077</t>
  </si>
  <si>
    <t>P1082-631</t>
  </si>
  <si>
    <t>1 LIGHT TABLE LAMP</t>
  </si>
  <si>
    <t>BLING BANG - 1 LIGHT TABLE LAMP</t>
  </si>
  <si>
    <t>BLING BANG</t>
  </si>
  <si>
    <t>pendant blow outs</t>
  </si>
  <si>
    <t>A-19, MED</t>
  </si>
  <si>
    <t>CFL</t>
  </si>
  <si>
    <t>Chocolate Chrome</t>
  </si>
  <si>
    <t>Perforated Steel w/Teak Crystals</t>
  </si>
  <si>
    <t>P1082-631.JPG</t>
  </si>
  <si>
    <t>P1082</t>
  </si>
  <si>
    <t>P1110-613-L</t>
  </si>
  <si>
    <t>LED WALL SCONCE</t>
  </si>
  <si>
    <t>HOOKED - LED BATH</t>
  </si>
  <si>
    <t>HOOKED</t>
  </si>
  <si>
    <t>POLISHED NICKEL</t>
  </si>
  <si>
    <t>WHITE SCREEN PAINTED GLASS</t>
  </si>
  <si>
    <t>P1110-613-L.JPG</t>
  </si>
  <si>
    <t>P1110-L</t>
  </si>
  <si>
    <t>ALUM CAST+STEEL+GLASS</t>
  </si>
  <si>
    <t>P1111-613-L</t>
  </si>
  <si>
    <t>LED FLUSH MOUNT</t>
  </si>
  <si>
    <t>HOOKED - LED FLUSH MOUNT</t>
  </si>
  <si>
    <t>Clear/White Inside</t>
  </si>
  <si>
    <t>P1111-613-L.JPG</t>
  </si>
  <si>
    <t>Damp</t>
  </si>
  <si>
    <t>P1111-L</t>
  </si>
  <si>
    <t>Alum Cast+Steel+Glass</t>
  </si>
  <si>
    <t>P1120-084-L</t>
  </si>
  <si>
    <t>CUFF LINK - LED BATH</t>
  </si>
  <si>
    <t>CUFF LINK</t>
  </si>
  <si>
    <t>P1120-084-L.JPG</t>
  </si>
  <si>
    <t>P1120-L</t>
  </si>
  <si>
    <t>Steel+Glass</t>
  </si>
  <si>
    <t>P1140-613-L</t>
  </si>
  <si>
    <t>Clear / White Inside</t>
  </si>
  <si>
    <t>P1140-613-L.JPG</t>
  </si>
  <si>
    <t>P1140-L</t>
  </si>
  <si>
    <t>STEEL + GLASS</t>
  </si>
  <si>
    <t>P1141-084-L</t>
  </si>
  <si>
    <t>FRAMEWORK - LED WALL SCONCE</t>
  </si>
  <si>
    <t>Mitered / White Inside</t>
  </si>
  <si>
    <t>P1141-084-L.JPG</t>
  </si>
  <si>
    <t>P1141-L</t>
  </si>
  <si>
    <t>P1142-084-L</t>
  </si>
  <si>
    <t>P1142-084-L.JPG</t>
  </si>
  <si>
    <t>P1142-L</t>
  </si>
  <si>
    <t>P1143-066-L</t>
  </si>
  <si>
    <t>OBSCURITY - LED WALL SCONCE</t>
  </si>
  <si>
    <t>OBSCURITY</t>
  </si>
  <si>
    <t>OUTDOOR LED</t>
  </si>
  <si>
    <t>ETCHED WHITE GLASS</t>
  </si>
  <si>
    <t>P1143-066-L.JPG</t>
  </si>
  <si>
    <t>WET</t>
  </si>
  <si>
    <t>P1143</t>
  </si>
  <si>
    <t>aluminum+glass</t>
  </si>
  <si>
    <t>P1144-039-L</t>
  </si>
  <si>
    <t>SIRATO - LED WALL SCONCE</t>
  </si>
  <si>
    <t>SIRATO</t>
  </si>
  <si>
    <t>SPANISH IRON</t>
  </si>
  <si>
    <t>MITERED</t>
  </si>
  <si>
    <t>P1144-039-L.JPG</t>
  </si>
  <si>
    <t>P1144</t>
  </si>
  <si>
    <t>ALUMINUM+GLASS</t>
  </si>
  <si>
    <t>P1145-143-L</t>
  </si>
  <si>
    <t>RADIUN - LED WALL SCONCE</t>
  </si>
  <si>
    <t>RADIUN</t>
  </si>
  <si>
    <t>OIL RUBBED BRONZE</t>
  </si>
  <si>
    <t>ETCHED TEXTURED GLASS</t>
  </si>
  <si>
    <t>P1145-143-L.JPG</t>
  </si>
  <si>
    <t>P1145-A144-L</t>
  </si>
  <si>
    <t>BRUSHED ALUMINUM</t>
  </si>
  <si>
    <t>ETCHED TEXTURED</t>
  </si>
  <si>
    <t>P1145-A144-L.JPG</t>
  </si>
  <si>
    <t>P1145</t>
  </si>
  <si>
    <t>P1146-286-L</t>
  </si>
  <si>
    <t>MORIDA - LED WALL SCONCE</t>
  </si>
  <si>
    <t>MORIDA</t>
  </si>
  <si>
    <t>PEBBLE BRONZE</t>
  </si>
  <si>
    <t>ETCHED OPAL</t>
  </si>
  <si>
    <t>P1146-286-L.JPG</t>
  </si>
  <si>
    <t>P1146</t>
  </si>
  <si>
    <t>P1147-658-L</t>
  </si>
  <si>
    <t>DUVERA - LED WALL SCONCE</t>
  </si>
  <si>
    <t>DUVERA</t>
  </si>
  <si>
    <t>SAND SILVER+SAND BLACK</t>
  </si>
  <si>
    <t>P1147-658-L.JPG</t>
  </si>
  <si>
    <t>P1147</t>
  </si>
  <si>
    <t>ALDER BRONZE</t>
  </si>
  <si>
    <t>P1148</t>
  </si>
  <si>
    <t>P1148-246S-L</t>
  </si>
  <si>
    <t>RIZER - LED WALL SONCE</t>
  </si>
  <si>
    <t>RIZER</t>
  </si>
  <si>
    <t>SAND BRONZE</t>
  </si>
  <si>
    <t>CLEAR WITH INSIDE WHITE GLASS</t>
  </si>
  <si>
    <t>P1148-246S-L.JPG</t>
  </si>
  <si>
    <t>P1151-084-L</t>
  </si>
  <si>
    <t>ISLAND LIGHT</t>
  </si>
  <si>
    <t>TUBE - LED ISLAND</t>
  </si>
  <si>
    <t>TUBE</t>
  </si>
  <si>
    <t>ISLAND LITES</t>
  </si>
  <si>
    <t>Etched Opal White</t>
  </si>
  <si>
    <t>P1151-084-L.JPG</t>
  </si>
  <si>
    <t>DOWN</t>
  </si>
  <si>
    <t>P1151</t>
  </si>
  <si>
    <t>Aluminum+Glass+Steel</t>
  </si>
  <si>
    <t>P1152-084-L</t>
  </si>
  <si>
    <t>Etched Opal White Glass</t>
  </si>
  <si>
    <t>P1152-084-L.JPG</t>
  </si>
  <si>
    <t>P1152</t>
  </si>
  <si>
    <t>P1153-609-L</t>
  </si>
  <si>
    <t>LED ISLAND LIGHT</t>
  </si>
  <si>
    <t>TIDALIST - LED ISLAND</t>
  </si>
  <si>
    <t>TIDALIST</t>
  </si>
  <si>
    <t>P1153-609-L.JPG</t>
  </si>
  <si>
    <t>P1153</t>
  </si>
  <si>
    <t>ALUM+IRON+ACRYLIC</t>
  </si>
  <si>
    <t>P1154-655-L</t>
  </si>
  <si>
    <t>SO INCLINED - LED ISLAND LIGHT</t>
  </si>
  <si>
    <t>SO INCLINED</t>
  </si>
  <si>
    <t>SAND WHITE</t>
  </si>
  <si>
    <t>P1154-655-L.JPG</t>
  </si>
  <si>
    <t>P1154</t>
  </si>
  <si>
    <t>P1155-655-L</t>
  </si>
  <si>
    <t>P1155-655-L.JPG</t>
  </si>
  <si>
    <t>P1155</t>
  </si>
  <si>
    <t>P1156-044B-L</t>
  </si>
  <si>
    <t>EYE SPY - LED ISLAND LIGHT</t>
  </si>
  <si>
    <t>MATTE WHITE</t>
  </si>
  <si>
    <t>P1156-044B-L.JPG</t>
  </si>
  <si>
    <t>P1156</t>
  </si>
  <si>
    <t>P1157-675-L</t>
  </si>
  <si>
    <t>STAKE OUT - LED PENDANT</t>
  </si>
  <si>
    <t>STAKE OUT</t>
  </si>
  <si>
    <t>CHOCOLATE</t>
  </si>
  <si>
    <t>P1157-675-L.JPG</t>
  </si>
  <si>
    <t>P1157</t>
  </si>
  <si>
    <t>P1158-675-L</t>
  </si>
  <si>
    <t>P1158-675-L.JPG</t>
  </si>
  <si>
    <t>P1158</t>
  </si>
  <si>
    <t>P1161-077-L</t>
  </si>
  <si>
    <t>LED BATH</t>
  </si>
  <si>
    <t>FRAMED - LED BATH</t>
  </si>
  <si>
    <t>FRAMED</t>
  </si>
  <si>
    <t>BATH-BAR LITE</t>
  </si>
  <si>
    <t>White Glass</t>
  </si>
  <si>
    <t>P1161-077-L.JPG</t>
  </si>
  <si>
    <t>P1161</t>
  </si>
  <si>
    <t>Steel+Aluminum Alloy+Zinc Alloy+Glass</t>
  </si>
  <si>
    <t>P1162-077-L</t>
  </si>
  <si>
    <t>P1162-077-L.JPG</t>
  </si>
  <si>
    <t>P1162</t>
  </si>
  <si>
    <t>P1163-077-L</t>
  </si>
  <si>
    <t>P1163-077-L.JPG</t>
  </si>
  <si>
    <t>P1163</t>
  </si>
  <si>
    <t>P1170-617-L</t>
  </si>
  <si>
    <t>LED PENDANT LIGHT</t>
  </si>
  <si>
    <t>STEP UP - LED PENDANT</t>
  </si>
  <si>
    <t>STEP UP</t>
  </si>
  <si>
    <t>Z29 LED</t>
  </si>
  <si>
    <t>BRONZE</t>
  </si>
  <si>
    <t>P1170-617-L.JPG</t>
  </si>
  <si>
    <t>P1170-L</t>
  </si>
  <si>
    <t>STEEL+ALUMINUM+ACRYLIC</t>
  </si>
  <si>
    <t>P1181-613-L</t>
  </si>
  <si>
    <t>CRYSTAL-CLEAR - LED BATH</t>
  </si>
  <si>
    <t>CRYSTAL CLEAR</t>
  </si>
  <si>
    <t>MITERED WHITE</t>
  </si>
  <si>
    <t>P1181-613-L.JPG</t>
  </si>
  <si>
    <t>P1181</t>
  </si>
  <si>
    <t>IRON+GLASS+ACRYLIC</t>
  </si>
  <si>
    <t>P1182-613-L</t>
  </si>
  <si>
    <t>P1182-613-L.JPG</t>
  </si>
  <si>
    <t>P1182</t>
  </si>
  <si>
    <t>P1183-613-L</t>
  </si>
  <si>
    <t>P1183-613-L.JPG</t>
  </si>
  <si>
    <t>P1183</t>
  </si>
  <si>
    <t>P1191-077-L</t>
  </si>
  <si>
    <t>AC LED BATH LAMP</t>
  </si>
  <si>
    <t>DIAMONDS - LED BATH</t>
  </si>
  <si>
    <t>DIAMONDS</t>
  </si>
  <si>
    <t>12W LED MODULE</t>
  </si>
  <si>
    <t>CLEAR GLASS</t>
  </si>
  <si>
    <t>P1191-077-L.JPG</t>
  </si>
  <si>
    <t>P1191</t>
  </si>
  <si>
    <t>P1192-077-L</t>
  </si>
  <si>
    <t>23W LED MODULE</t>
  </si>
  <si>
    <t>P1192-077-L.JPG</t>
  </si>
  <si>
    <t>P1192</t>
  </si>
  <si>
    <t>P1193-077-L</t>
  </si>
  <si>
    <t>32W LED MODULE</t>
  </si>
  <si>
    <t>P1193-077-L.JPG</t>
  </si>
  <si>
    <t>P1193</t>
  </si>
  <si>
    <t>P1200-615C-L</t>
  </si>
  <si>
    <t>SKYLIGHT - LED WALL SCONCE</t>
  </si>
  <si>
    <t>SKYLIGHT</t>
  </si>
  <si>
    <t>Z10 30W LED</t>
  </si>
  <si>
    <t>TEXTURED DORIAN BRONZE</t>
  </si>
  <si>
    <t>ETCHED WITH GLASS</t>
  </si>
  <si>
    <t>P1200-615C-L.JPG</t>
  </si>
  <si>
    <t>P1200</t>
  </si>
  <si>
    <t>P1201-615C-L</t>
  </si>
  <si>
    <t>Z27 45W LED</t>
  </si>
  <si>
    <t>P1201-615C-L.JPG</t>
  </si>
  <si>
    <t>P1201</t>
  </si>
  <si>
    <t>P1202-287-L</t>
  </si>
  <si>
    <t>LED POCKET LANTERN</t>
  </si>
  <si>
    <t>OUTLINE - LED POCKET LANTERN (CONVERTIBLE TO FLUSH MOUNT)</t>
  </si>
  <si>
    <t>OUTLINE</t>
  </si>
  <si>
    <t>Z12 7W LED</t>
  </si>
  <si>
    <t>P1202-287-L.JPG</t>
  </si>
  <si>
    <t>P1202</t>
  </si>
  <si>
    <t>STAINLESS STEEL+ALUMINUM+GLASS</t>
  </si>
  <si>
    <t>P1203-287-L</t>
  </si>
  <si>
    <t>L-MD-R050-159</t>
  </si>
  <si>
    <t>P1203-287-L.JPG</t>
  </si>
  <si>
    <t>P1203</t>
  </si>
  <si>
    <t>P1204-066-L</t>
  </si>
  <si>
    <t>PITCH - LED WALL SCONCE</t>
  </si>
  <si>
    <t>PITCH</t>
  </si>
  <si>
    <t>P1204-066-L.JPG</t>
  </si>
  <si>
    <t>P1204</t>
  </si>
  <si>
    <t>P1205-066-L</t>
  </si>
  <si>
    <t>Z28,23W LED</t>
  </si>
  <si>
    <t>P1205-066-L.JPG</t>
  </si>
  <si>
    <t>P1205</t>
  </si>
  <si>
    <t>P1206-615B-L</t>
  </si>
  <si>
    <t>SIDELIGHT - LED WALL SCONCE</t>
  </si>
  <si>
    <t>SIDELIGHT</t>
  </si>
  <si>
    <t>L-MD-R030-242</t>
  </si>
  <si>
    <t>DORIAN BRONZE</t>
  </si>
  <si>
    <t>CLEAR WATER GLASS</t>
  </si>
  <si>
    <t>P1206-615B-L.JPG</t>
  </si>
  <si>
    <t>P1206</t>
  </si>
  <si>
    <t>ALUMINUM+GLASS+STAINLESS STEEL</t>
  </si>
  <si>
    <t>P1207-615B-L</t>
  </si>
  <si>
    <t>Z23</t>
  </si>
  <si>
    <t>P1207-615B-L.JPG</t>
  </si>
  <si>
    <t>P1207</t>
  </si>
  <si>
    <t>P1208-615C-L</t>
  </si>
  <si>
    <t>HEDGE - LED POCKET LATERN</t>
  </si>
  <si>
    <t>HEDGE</t>
  </si>
  <si>
    <t>L-MD-R030-180</t>
  </si>
  <si>
    <t>ETCHED GLASS WITH WHITE INSIDE</t>
  </si>
  <si>
    <t>P1208-615C-L.JPG</t>
  </si>
  <si>
    <t>P1208</t>
  </si>
  <si>
    <t>ALUMINUM+STAINLESS+GLASS</t>
  </si>
  <si>
    <t>P1209-615C-L</t>
  </si>
  <si>
    <t>HEDGE - LED POCKET LANTERN</t>
  </si>
  <si>
    <t>Z22 LED</t>
  </si>
  <si>
    <t>P1209-615C-L.JPG</t>
  </si>
  <si>
    <t>P1209</t>
  </si>
  <si>
    <t>P1212-287-L</t>
  </si>
  <si>
    <t>TUNE - LED WALL SCONCE</t>
  </si>
  <si>
    <t>TUNE</t>
  </si>
  <si>
    <t>P1212-287-L.JPG</t>
  </si>
  <si>
    <t>P1212</t>
  </si>
  <si>
    <t>P1213-287-L</t>
  </si>
  <si>
    <t>P1213-287-L.JPG</t>
  </si>
  <si>
    <t>P1213</t>
  </si>
  <si>
    <t>P1221-287-L</t>
  </si>
  <si>
    <t>POCKET LANTERN</t>
  </si>
  <si>
    <t>ALECIA'S NECKLACE</t>
  </si>
  <si>
    <t>P1221-287-L.JPG</t>
  </si>
  <si>
    <t>P1221</t>
  </si>
  <si>
    <t>P1222-287-L</t>
  </si>
  <si>
    <t>P1222-287-L.JPG</t>
  </si>
  <si>
    <t>P1222</t>
  </si>
  <si>
    <t>P1224-066-L</t>
  </si>
  <si>
    <t>PEDIMENT - LED WALL SCONCE</t>
  </si>
  <si>
    <t>PEDIMENT</t>
  </si>
  <si>
    <t>OUTDOOR BLOW OUT</t>
  </si>
  <si>
    <t>L-MD-R152-336</t>
  </si>
  <si>
    <t>WHITE GLASS PANEL</t>
  </si>
  <si>
    <t>P1224-066-L.JPG</t>
  </si>
  <si>
    <t>P1224</t>
  </si>
  <si>
    <t>P1224-297-L</t>
  </si>
  <si>
    <t>L-MD-R109-55</t>
  </si>
  <si>
    <t>SOLDERED SILVER</t>
  </si>
  <si>
    <t>P1224-297-L.JPG</t>
  </si>
  <si>
    <t>P1225-066-L</t>
  </si>
  <si>
    <t>P1225-066-L.JPG</t>
  </si>
  <si>
    <t>P1225</t>
  </si>
  <si>
    <t>P1225-297-L</t>
  </si>
  <si>
    <t>P1225-297-L.JPG</t>
  </si>
  <si>
    <t>P1227-564-L</t>
  </si>
  <si>
    <t>PINBALL - LED POCKET LANTERN</t>
  </si>
  <si>
    <t>PINBALL</t>
  </si>
  <si>
    <t>L-MD-R020-111</t>
  </si>
  <si>
    <t>OIL RUBBED BRONZE W/SILVER DUS</t>
  </si>
  <si>
    <t>CLEAR W/SAND BLASTING ONE SIDE</t>
  </si>
  <si>
    <t>P1227-564-L.JPG</t>
  </si>
  <si>
    <t>P1227</t>
  </si>
  <si>
    <t>P1228-564-L</t>
  </si>
  <si>
    <t>L-MD-R020-160</t>
  </si>
  <si>
    <t>SAND BRONZE WITH SILVER DUST</t>
  </si>
  <si>
    <t>P1228-564-L.JPG</t>
  </si>
  <si>
    <t>P1228</t>
  </si>
  <si>
    <t>P1229-566-L</t>
  </si>
  <si>
    <t>DROPLETS - LED WALL SCONCE</t>
  </si>
  <si>
    <t>DROPLET</t>
  </si>
  <si>
    <t>L-MD-C015-065</t>
  </si>
  <si>
    <t>SILVER DUST</t>
  </si>
  <si>
    <t>POLY</t>
  </si>
  <si>
    <t>WHITE OPAL GLASS</t>
  </si>
  <si>
    <t>P1229-566-L.JPG</t>
  </si>
  <si>
    <t>P1229</t>
  </si>
  <si>
    <t>P1230-286-L</t>
  </si>
  <si>
    <t>INSERT - LED WALL SCONCE</t>
  </si>
  <si>
    <t>INSERT</t>
  </si>
  <si>
    <t>L-MD-R109-45</t>
  </si>
  <si>
    <t>WHITE GLASS PANNEL</t>
  </si>
  <si>
    <t>P1230-286-L.JPG</t>
  </si>
  <si>
    <t>P1230</t>
  </si>
  <si>
    <t>P1231-286-L</t>
  </si>
  <si>
    <t>L-MD-R152-300</t>
  </si>
  <si>
    <t>WHITE SCREEN PRINTED</t>
  </si>
  <si>
    <t>P1231-286-L.JPG</t>
  </si>
  <si>
    <t>P1231</t>
  </si>
  <si>
    <t>P1234-066-L</t>
  </si>
  <si>
    <t>FLIPOUT - LED WALL SCONCE</t>
  </si>
  <si>
    <t>FLIPOUT</t>
  </si>
  <si>
    <t>CLEAR W/SAND BLASTING INSIDE</t>
  </si>
  <si>
    <t>P1234-066-L.JPG</t>
  </si>
  <si>
    <t>P1234</t>
  </si>
  <si>
    <t>P1234-295-L</t>
  </si>
  <si>
    <t>SAND SILVER</t>
  </si>
  <si>
    <t>P1234-295-L.JPG</t>
  </si>
  <si>
    <t>P1235-066-L</t>
  </si>
  <si>
    <t>P1235-066-L.JPG</t>
  </si>
  <si>
    <t>P1235</t>
  </si>
  <si>
    <t>P1235-295-L</t>
  </si>
  <si>
    <t>P1235-295-L.JPG</t>
  </si>
  <si>
    <t>P1236-066-L</t>
  </si>
  <si>
    <t>WEDGE - LED OUTDOOR WALL MOUNT</t>
  </si>
  <si>
    <t>WEDGE</t>
  </si>
  <si>
    <t>ETCHED GLASS</t>
  </si>
  <si>
    <t>P1236-066-L.JPG</t>
  </si>
  <si>
    <t>P1236</t>
  </si>
  <si>
    <t>ALUMINUM+BLACK</t>
  </si>
  <si>
    <t>P1236-566-L</t>
  </si>
  <si>
    <t>P1236-566-L.JPG</t>
  </si>
  <si>
    <t>P1237-066-L</t>
  </si>
  <si>
    <t>P1237-066-L.JPG</t>
  </si>
  <si>
    <t>P1237</t>
  </si>
  <si>
    <t>P1237-566-L</t>
  </si>
  <si>
    <t>P1237-566-L.JPG</t>
  </si>
  <si>
    <t>P1238-246-L</t>
  </si>
  <si>
    <t>COPULA - LED POCKET LANTERN</t>
  </si>
  <si>
    <t>COPULA</t>
  </si>
  <si>
    <t>L-MD-R020-152</t>
  </si>
  <si>
    <t>Etched Opal</t>
  </si>
  <si>
    <t>P1238-246-L.JPG</t>
  </si>
  <si>
    <t>P1238</t>
  </si>
  <si>
    <t>P1239-246-L</t>
  </si>
  <si>
    <t>L-MD-R050-257</t>
  </si>
  <si>
    <t>P1239-246-L.JPG</t>
  </si>
  <si>
    <t>P1239</t>
  </si>
  <si>
    <t>P1240-143-L</t>
  </si>
  <si>
    <t>1 LIGHT LED WALL SCONCE (CONVERTIBLE TO FLUSH MOUNT)</t>
  </si>
  <si>
    <t>COMET - LED WALL SCONCE (CONVERTIBLE TO FLUSH MOUNT)</t>
  </si>
  <si>
    <t>COMET</t>
  </si>
  <si>
    <t>Z05 LED</t>
  </si>
  <si>
    <t>P1240-143-L.JPG</t>
  </si>
  <si>
    <t>CEILING/WALL</t>
  </si>
  <si>
    <t>P1240</t>
  </si>
  <si>
    <t>ALUMINUM ALLOY+GLASS</t>
  </si>
  <si>
    <t>P1240-A144-L</t>
  </si>
  <si>
    <t>Z05,LED</t>
  </si>
  <si>
    <t>BRUSHED STAINLESS STEEL</t>
  </si>
  <si>
    <t>P1240-A144-L.JPG</t>
  </si>
  <si>
    <t>P1241-286-L</t>
  </si>
  <si>
    <t>TEETER - LED POCKET LANTERN</t>
  </si>
  <si>
    <t>TEETER</t>
  </si>
  <si>
    <t>L-MD-R043-192</t>
  </si>
  <si>
    <t>P1241-286-L.JPG</t>
  </si>
  <si>
    <t>P1241</t>
  </si>
  <si>
    <t>P1242-286-L</t>
  </si>
  <si>
    <t>L-MD-R076-340</t>
  </si>
  <si>
    <t>P1242-286-L.JPG</t>
  </si>
  <si>
    <t>P1242</t>
  </si>
  <si>
    <t>P1243-566-L</t>
  </si>
  <si>
    <t>LED SCONCE</t>
  </si>
  <si>
    <t>BAFFLED - LED WALL MOUNT</t>
  </si>
  <si>
    <t>BAFFLED</t>
  </si>
  <si>
    <t>Z11 LED</t>
  </si>
  <si>
    <t>P1243-566-L.JPG</t>
  </si>
  <si>
    <t>P1243-L</t>
  </si>
  <si>
    <t>P1244-066-L</t>
  </si>
  <si>
    <t>2 LIGHT LED TWISTABLE OUTDOOR WALL SCONCE</t>
  </si>
  <si>
    <t>REVOLVE - LED WALL SCONCE</t>
  </si>
  <si>
    <t>REVOLVE</t>
  </si>
  <si>
    <t>Z02 3W LED</t>
  </si>
  <si>
    <t>CLEAR GLASS WITH BLACK SILK</t>
  </si>
  <si>
    <t>P1244-066-L.JPG</t>
  </si>
  <si>
    <t>P1244-L</t>
  </si>
  <si>
    <t>ALUMINUM</t>
  </si>
  <si>
    <t>P1245-066-L</t>
  </si>
  <si>
    <t>P1245-066-L.JPG</t>
  </si>
  <si>
    <t>P1245-L</t>
  </si>
  <si>
    <t>P1252-084-L</t>
  </si>
  <si>
    <t>2 LIGHT LED BATH</t>
  </si>
  <si>
    <t>ANGLE - LED BATH</t>
  </si>
  <si>
    <t>ANGLE</t>
  </si>
  <si>
    <t>Z21,LED</t>
  </si>
  <si>
    <t>P1252-084-L.JPG</t>
  </si>
  <si>
    <t>P1252</t>
  </si>
  <si>
    <t>STEEL+GLASS+ALU</t>
  </si>
  <si>
    <t>P1259-143-L</t>
  </si>
  <si>
    <t>1 LIGHT OUTDOOR</t>
  </si>
  <si>
    <t>ANGLE - LED WALL SCONCE</t>
  </si>
  <si>
    <t>P1259-143-L.JPG</t>
  </si>
  <si>
    <t>P1259</t>
  </si>
  <si>
    <t>ALUM+GLASS+STEEL</t>
  </si>
  <si>
    <t>P1259-566-L</t>
  </si>
  <si>
    <t>1 LIGHT LED OUTDOOR</t>
  </si>
  <si>
    <t>P1259-566-L.JPG</t>
  </si>
  <si>
    <t>P1261-084-L</t>
  </si>
  <si>
    <t>BATH</t>
  </si>
  <si>
    <t>DOTS - LED BATH</t>
  </si>
  <si>
    <t>DOTS</t>
  </si>
  <si>
    <t>P1261-084-L.JPG</t>
  </si>
  <si>
    <t>P1261</t>
  </si>
  <si>
    <t>METAL+GLASS</t>
  </si>
  <si>
    <t>P1262-084-L</t>
  </si>
  <si>
    <t>P1262-084-L.JPG</t>
  </si>
  <si>
    <t>P1262</t>
  </si>
  <si>
    <t>P1266-084</t>
  </si>
  <si>
    <t>DOTS - 3 LIGHT PENDANT</t>
  </si>
  <si>
    <t>A19,MEDIUM</t>
  </si>
  <si>
    <t>P1266-084.JPG</t>
  </si>
  <si>
    <t>P1266</t>
  </si>
  <si>
    <t>METAL+GLASS+FIBER</t>
  </si>
  <si>
    <t>P1267-084</t>
  </si>
  <si>
    <t>DOTS - 3 LIGHT SEMI FLUSH</t>
  </si>
  <si>
    <t>P1267-084.JPG</t>
  </si>
  <si>
    <t>P1267</t>
  </si>
  <si>
    <t>P1271-650-L</t>
  </si>
  <si>
    <t>LED POCKET</t>
  </si>
  <si>
    <t>BARS - LED POCKET LANTERN</t>
  </si>
  <si>
    <t>BARS</t>
  </si>
  <si>
    <t>Z17,LED MODULE</t>
  </si>
  <si>
    <t>BRONZE W/SILVER</t>
  </si>
  <si>
    <t>P1271-650-L.JPG</t>
  </si>
  <si>
    <t>P1271</t>
  </si>
  <si>
    <t>ALUNINUM+GLASS</t>
  </si>
  <si>
    <t>P1272-650-L</t>
  </si>
  <si>
    <t>Z22,LED</t>
  </si>
  <si>
    <t>P1272-650-L.JPG</t>
  </si>
  <si>
    <t>P1272</t>
  </si>
  <si>
    <t>P128-077</t>
  </si>
  <si>
    <t>4 LIGHT ISLAND LIGHT</t>
  </si>
  <si>
    <t>CUBISM - 4 LIGHT ISLAND</t>
  </si>
  <si>
    <t>CUBISM</t>
  </si>
  <si>
    <t>XENON G9 (FROSTED)</t>
  </si>
  <si>
    <t>Mitered/White Iside</t>
  </si>
  <si>
    <t>P128-077.JPG</t>
  </si>
  <si>
    <t>P128</t>
  </si>
  <si>
    <t>P1281-286-L</t>
  </si>
  <si>
    <t>LED BRACKET</t>
  </si>
  <si>
    <t>FLOATING OVAL - LED WALL SCONCE</t>
  </si>
  <si>
    <t>FLOATING OVAL</t>
  </si>
  <si>
    <t>ETCHED OPAL GLASS</t>
  </si>
  <si>
    <t>P1281-286-L.JPG</t>
  </si>
  <si>
    <t>P1281</t>
  </si>
  <si>
    <t>P1282-286-L</t>
  </si>
  <si>
    <t>P1282-286-L.JPG</t>
  </si>
  <si>
    <t>P1282</t>
  </si>
  <si>
    <t>P1282-295-L</t>
  </si>
  <si>
    <t>P1282-295-L.JPG</t>
  </si>
  <si>
    <t>P1290-077</t>
  </si>
  <si>
    <t>ARCTIC - 1 LIGHT MINI PENDANT</t>
  </si>
  <si>
    <t>ARCTIC</t>
  </si>
  <si>
    <t>P1290-077.JPG</t>
  </si>
  <si>
    <t>P1290</t>
  </si>
  <si>
    <t>P1291-077</t>
  </si>
  <si>
    <t>1 LIGHT BATH</t>
  </si>
  <si>
    <t>ARCTIC - 1 LIGHT BATH</t>
  </si>
  <si>
    <t>P1291-077.JPG</t>
  </si>
  <si>
    <t>REVERSIBLE</t>
  </si>
  <si>
    <t>P1291</t>
  </si>
  <si>
    <t>P1292-077</t>
  </si>
  <si>
    <t>2 LIGHT BATH</t>
  </si>
  <si>
    <t>ARCTIC - 2 LIGHT BATH</t>
  </si>
  <si>
    <t>P1292-077.JPG</t>
  </si>
  <si>
    <t>P1292</t>
  </si>
  <si>
    <t>P1293-077</t>
  </si>
  <si>
    <t>3 LIGHT BATH</t>
  </si>
  <si>
    <t>ARCTIC - 3 LIGHT BATH</t>
  </si>
  <si>
    <t>P1293-077.JPG</t>
  </si>
  <si>
    <t>P1293</t>
  </si>
  <si>
    <t>P1294-077</t>
  </si>
  <si>
    <t>4 LIGHT BATH</t>
  </si>
  <si>
    <t>ARCTIC - 4 LIGHT BATH</t>
  </si>
  <si>
    <t>P1294-077.JPG</t>
  </si>
  <si>
    <t>P1294</t>
  </si>
  <si>
    <t>P1300-655-L</t>
  </si>
  <si>
    <t>COASTAL CURRENT - LED WALL SCONCE</t>
  </si>
  <si>
    <t>COASTAL CURRENT</t>
  </si>
  <si>
    <t>P1300-655-L.JPG</t>
  </si>
  <si>
    <t>P1300</t>
  </si>
  <si>
    <t>STEEL+ALUM+SHADE+GLASS</t>
  </si>
  <si>
    <t>P1301-655-L</t>
  </si>
  <si>
    <t>COASTAL CURRENT - LED MINI PENDANT</t>
  </si>
  <si>
    <t>P1301-655-L.JPG</t>
  </si>
  <si>
    <t>P1301</t>
  </si>
  <si>
    <t>P1302-655-L</t>
  </si>
  <si>
    <t>LED SEMI FLUSH</t>
  </si>
  <si>
    <t>COASTAL CURRENT - LED SEMI FLUSH</t>
  </si>
  <si>
    <t>P1302-655-L.JPG</t>
  </si>
  <si>
    <t>P1302</t>
  </si>
  <si>
    <t>P1304-655-L</t>
  </si>
  <si>
    <t>COASTAL CURRENT - LED PENDANT</t>
  </si>
  <si>
    <t>P1304-655-L.JPG</t>
  </si>
  <si>
    <t>P1304</t>
  </si>
  <si>
    <t>P1305-655-L</t>
  </si>
  <si>
    <t>P1305-655-L.JPG</t>
  </si>
  <si>
    <t>P1306-655-L</t>
  </si>
  <si>
    <t>COASTAL CURRENT - LED ISLAND LIGHT</t>
  </si>
  <si>
    <t>P1306-655-L.JPG</t>
  </si>
  <si>
    <t>P1306</t>
  </si>
  <si>
    <t>P1313-077-L</t>
  </si>
  <si>
    <t>WOVEN GEMS - LED PENDANT</t>
  </si>
  <si>
    <t>WOVEN GEMS</t>
  </si>
  <si>
    <t>Z09 40W LED</t>
  </si>
  <si>
    <t>P1313-077-L.JPG</t>
  </si>
  <si>
    <t>P1313</t>
  </si>
  <si>
    <t>Steel + Crystal</t>
  </si>
  <si>
    <t>P1321-084-L</t>
  </si>
  <si>
    <t>AC LED PENDANT</t>
  </si>
  <si>
    <t>BUTTON - LED MINI PENDANT</t>
  </si>
  <si>
    <t>BUTTON</t>
  </si>
  <si>
    <t>Z18,LED MODULE</t>
  </si>
  <si>
    <t>ETCHED WHITE REEDED GLASS</t>
  </si>
  <si>
    <t>P1321-084-L.JPG</t>
  </si>
  <si>
    <t>P1321</t>
  </si>
  <si>
    <t>P1323-084-L</t>
  </si>
  <si>
    <t>BUTTON - LED BATH</t>
  </si>
  <si>
    <t>Z46,LED MODULE</t>
  </si>
  <si>
    <t>P1323-084-L.JPG</t>
  </si>
  <si>
    <t>P1323</t>
  </si>
  <si>
    <t>P1324-084-L</t>
  </si>
  <si>
    <t>Z29,LED</t>
  </si>
  <si>
    <t>P1324-084-L.JPG</t>
  </si>
  <si>
    <t>P1324</t>
  </si>
  <si>
    <t>P1326-084-L</t>
  </si>
  <si>
    <t>BUTTON - LED ISLAND LIGHT</t>
  </si>
  <si>
    <t>P1326-084-L.JPG</t>
  </si>
  <si>
    <t>P1326</t>
  </si>
  <si>
    <t>P1336-665-L</t>
  </si>
  <si>
    <t>SWING TIME - LED PENDANT</t>
  </si>
  <si>
    <t>SWING TIME</t>
  </si>
  <si>
    <t>BRUSHED SILVER</t>
  </si>
  <si>
    <t>P1336-665-L.JPG</t>
  </si>
  <si>
    <t>P1336</t>
  </si>
  <si>
    <t>aluminum+steel+acrylic</t>
  </si>
  <si>
    <t>P1337-665-L</t>
  </si>
  <si>
    <t>P1337-665-L.JPG</t>
  </si>
  <si>
    <t>P1337</t>
  </si>
  <si>
    <t>alum+steel+arcylic</t>
  </si>
  <si>
    <t>P1340-039-L</t>
  </si>
  <si>
    <t>SIRATO - OUTDOOR LED WALL SCONCE (CONVERTIBLE TO FLUSH MOUNT)</t>
  </si>
  <si>
    <t>P1340-039-L.JPG</t>
  </si>
  <si>
    <t>P1341-039-L</t>
  </si>
  <si>
    <t>SIRATO - OUTDOOR LED WALL SCONCE / FLUSH MOUNT</t>
  </si>
  <si>
    <t>WHITE MITERED</t>
  </si>
  <si>
    <t>P1341-039-L.JPG</t>
  </si>
  <si>
    <t>P1341</t>
  </si>
  <si>
    <t>P1342-039-L</t>
  </si>
  <si>
    <t>SIRATO - OUTDOOR LED WALL SCONCE</t>
  </si>
  <si>
    <t>P1342-039-L.JPG</t>
  </si>
  <si>
    <t>P1342</t>
  </si>
  <si>
    <t>P1343-039-L</t>
  </si>
  <si>
    <t>P1343-039-L.JPG</t>
  </si>
  <si>
    <t>P1343</t>
  </si>
  <si>
    <t>P1349-039-L</t>
  </si>
  <si>
    <t>SIRATO - OUTDOOR LED WALL SCONCE/ FLUSH MOUNT</t>
  </si>
  <si>
    <t>P1349-039-L.JPG</t>
  </si>
  <si>
    <t>P1349</t>
  </si>
  <si>
    <t>P1350-618</t>
  </si>
  <si>
    <t>1 LIGHT WALL MOUNT</t>
  </si>
  <si>
    <t>ALLURIA - 1 LIGHT WALL SCONCE</t>
  </si>
  <si>
    <t>ALLURIA</t>
  </si>
  <si>
    <t>G9,T4</t>
  </si>
  <si>
    <t>WEATHERED BLACK W/AUTUMN GOLD</t>
  </si>
  <si>
    <t>P1350-618.JPG</t>
  </si>
  <si>
    <t>P1350</t>
  </si>
  <si>
    <t>P1351-618</t>
  </si>
  <si>
    <t>2 LIGHT WALL MOUNT</t>
  </si>
  <si>
    <t>ALLURIA - 2 LIGHT WALL SCONCE</t>
  </si>
  <si>
    <t>P1351-618.JPG</t>
  </si>
  <si>
    <t>HORIZONTAL</t>
  </si>
  <si>
    <t>P1351</t>
  </si>
  <si>
    <t>P1352-618</t>
  </si>
  <si>
    <t>ALLURIA - 2 LIGHT BATH</t>
  </si>
  <si>
    <t>P1352-618.JPG</t>
  </si>
  <si>
    <t>P1352</t>
  </si>
  <si>
    <t>P1353-618</t>
  </si>
  <si>
    <t>ALLURIA - 3 LIGHT BATH</t>
  </si>
  <si>
    <t>P1353-618.JPG</t>
  </si>
  <si>
    <t>P1353</t>
  </si>
  <si>
    <t>P1354-618</t>
  </si>
  <si>
    <t>ALLURIA - 4 LIGHT BATH</t>
  </si>
  <si>
    <t>P1354-618.JPG</t>
  </si>
  <si>
    <t>P1354</t>
  </si>
  <si>
    <t>P1355-618</t>
  </si>
  <si>
    <t>5 LIGHT ISLAND LIGHT</t>
  </si>
  <si>
    <t>ALLURIA - 5 LIGHT ISLAND</t>
  </si>
  <si>
    <t>P1355-618.JPG</t>
  </si>
  <si>
    <t>P1355</t>
  </si>
  <si>
    <t>P1356-618</t>
  </si>
  <si>
    <t>ALLURIA - 6 LIGHT PENDANT</t>
  </si>
  <si>
    <t>OTHER CHANDELIER FIXTURES</t>
  </si>
  <si>
    <t>ETHCHED OPAL</t>
  </si>
  <si>
    <t>P1356-618.JPG</t>
  </si>
  <si>
    <t>P1356</t>
  </si>
  <si>
    <t>P1357-618</t>
  </si>
  <si>
    <t>3 LIGHT SEMI FLUSH</t>
  </si>
  <si>
    <t>ALLURIA - 3 LIGHT SEMI FLUSH</t>
  </si>
  <si>
    <t>P1357-618.JPG</t>
  </si>
  <si>
    <t>P1357</t>
  </si>
  <si>
    <t>P1358-618</t>
  </si>
  <si>
    <t>10 LIGHT CHANDELIER</t>
  </si>
  <si>
    <t>ALLURIA - 10 LIGHT CHANDELIER</t>
  </si>
  <si>
    <t>P1358-618.JPG</t>
  </si>
  <si>
    <t>P1358</t>
  </si>
  <si>
    <t>P1359-618</t>
  </si>
  <si>
    <t>CHANDELIER</t>
  </si>
  <si>
    <t>ALLURIA - 16 LIGHT CHANDELIER</t>
  </si>
  <si>
    <t>P1359-618.JPG</t>
  </si>
  <si>
    <t>P1359</t>
  </si>
  <si>
    <t>P1363-619</t>
  </si>
  <si>
    <t>NEXPO - 3 LIGHT SEMI FLUSH</t>
  </si>
  <si>
    <t>NEXPO</t>
  </si>
  <si>
    <t>T8,CAND</t>
  </si>
  <si>
    <t>BRUSHED NICKEL W/BLACK ACCENTS</t>
  </si>
  <si>
    <t>P1363-619.JPG</t>
  </si>
  <si>
    <t>P1363</t>
  </si>
  <si>
    <t>P1365-619</t>
  </si>
  <si>
    <t>8 LIGHT PENDANT</t>
  </si>
  <si>
    <t>NEXPO - 8 LIGHT PENDANT</t>
  </si>
  <si>
    <t>P1365-619.JPG</t>
  </si>
  <si>
    <t>P1365</t>
  </si>
  <si>
    <t>P1366-619</t>
  </si>
  <si>
    <t>6 LIGHT PENDANT</t>
  </si>
  <si>
    <t>NEXPO - 6 LIGHT PENDANT</t>
  </si>
  <si>
    <t>P1366-619.JPG</t>
  </si>
  <si>
    <t>P1366</t>
  </si>
  <si>
    <t>P1368-619</t>
  </si>
  <si>
    <t>8 LIGHT CHANDELIER</t>
  </si>
  <si>
    <t>NEXPO - 8 LIGHT CHANDELIER</t>
  </si>
  <si>
    <t>P1368-619.JPG</t>
  </si>
  <si>
    <t>P1368</t>
  </si>
  <si>
    <t>P1369-619</t>
  </si>
  <si>
    <t>9 LIGHT CHANDELIER</t>
  </si>
  <si>
    <t>NEXPO - 9 LIGHT CHANDELIER</t>
  </si>
  <si>
    <t>P1369-619.JPG</t>
  </si>
  <si>
    <t>P1369</t>
  </si>
  <si>
    <t>P1370-613</t>
  </si>
  <si>
    <t>CRYSTAL CHROME - 4 LIGHT 20" PENDANT</t>
  </si>
  <si>
    <t>CRYSTAL CHROME</t>
  </si>
  <si>
    <t>T10,MED</t>
  </si>
  <si>
    <t>P1370-613.JPG</t>
  </si>
  <si>
    <t>P1370</t>
  </si>
  <si>
    <t>STEEL+CLEAR ACRYLIC</t>
  </si>
  <si>
    <t>P1371-613</t>
  </si>
  <si>
    <t>CRYSTAL CHROME - 1 LIGHT BATH</t>
  </si>
  <si>
    <t>T10, MED</t>
  </si>
  <si>
    <t>P1371-613.JPG</t>
  </si>
  <si>
    <t>P1371</t>
  </si>
  <si>
    <t>P1372-613</t>
  </si>
  <si>
    <t>CRYSTAL CHROME - 2 LIGHT BATH</t>
  </si>
  <si>
    <t>P1372-613.JPG</t>
  </si>
  <si>
    <t>P1372</t>
  </si>
  <si>
    <t>P1373-613</t>
  </si>
  <si>
    <t>CRYSTAL CHROME - 3 LIGHT BATH</t>
  </si>
  <si>
    <t>P1373-613.JPG</t>
  </si>
  <si>
    <t>P1373</t>
  </si>
  <si>
    <t>P1374-613</t>
  </si>
  <si>
    <t>CRYSTAL CHROME - 4 LIGHT BATH</t>
  </si>
  <si>
    <t>P1374-613.JPG</t>
  </si>
  <si>
    <t>P1374</t>
  </si>
  <si>
    <t>P1375-613</t>
  </si>
  <si>
    <t>CRYSTAL CHROME - 4 LIGHT 13" PENDANT</t>
  </si>
  <si>
    <t>P1375-613.JPG</t>
  </si>
  <si>
    <t>P1375</t>
  </si>
  <si>
    <t>P1376-613</t>
  </si>
  <si>
    <t>6 LIGHT ISLAND</t>
  </si>
  <si>
    <t>CRYSTAL CHROME - 6 LIGHT ISLAND</t>
  </si>
  <si>
    <t>P1376-613.JPG</t>
  </si>
  <si>
    <t>P1376</t>
  </si>
  <si>
    <t>P1377-613</t>
  </si>
  <si>
    <t>CRYSTAL CHROME- 1 LIGHT MINI PENDANT</t>
  </si>
  <si>
    <t>P1377-613.JPG</t>
  </si>
  <si>
    <t>P1377</t>
  </si>
  <si>
    <t>P1378-613</t>
  </si>
  <si>
    <t>CRYSTAL CHROME - 6 LIGHT PENDANT</t>
  </si>
  <si>
    <t>P1378-613.JPG</t>
  </si>
  <si>
    <t>P1378</t>
  </si>
  <si>
    <t>P1379-613</t>
  </si>
  <si>
    <t>4 LIGHT FLUSH MOUNT</t>
  </si>
  <si>
    <t>CRYSTAL CHROME - 4 LIGHT FLUSH MOUNT</t>
  </si>
  <si>
    <t>P1379-613.JPG</t>
  </si>
  <si>
    <t>P1379</t>
  </si>
  <si>
    <t>P1380-077-L</t>
  </si>
  <si>
    <t>FOREST ICE - LED MINI PENDANT</t>
  </si>
  <si>
    <t>FOREST ICE</t>
  </si>
  <si>
    <t>ICE GLASS</t>
  </si>
  <si>
    <t>P1380-077-L.JPG</t>
  </si>
  <si>
    <t>P1380</t>
  </si>
  <si>
    <t>ALUM+STEEL+GLASS</t>
  </si>
  <si>
    <t>P1381-077-L</t>
  </si>
  <si>
    <t>FOREST ICE II - LED BATH</t>
  </si>
  <si>
    <t>FOREST ICE II</t>
  </si>
  <si>
    <t>P1381-077-L.JPG</t>
  </si>
  <si>
    <t>P1381</t>
  </si>
  <si>
    <t>alum+steel+glass</t>
  </si>
  <si>
    <t>P1382-077-L</t>
  </si>
  <si>
    <t>P1382-077-L.JPG</t>
  </si>
  <si>
    <t>P1382</t>
  </si>
  <si>
    <t>P1383-077-L</t>
  </si>
  <si>
    <t>P1383-077-L.JPG</t>
  </si>
  <si>
    <t>P1383</t>
  </si>
  <si>
    <t>P1384-077-L</t>
  </si>
  <si>
    <t>P1384-077-L.JPG</t>
  </si>
  <si>
    <t>P1384</t>
  </si>
  <si>
    <t>P1386-077-L</t>
  </si>
  <si>
    <t>FOREST ICE - LED ISLAND</t>
  </si>
  <si>
    <t>P1386-077-L.JPG</t>
  </si>
  <si>
    <t>P1386</t>
  </si>
  <si>
    <t>P1387-077-L</t>
  </si>
  <si>
    <t>FOREST ICE - LED PENDANT (CONVERTIBLE TO SEMI FLUSH)</t>
  </si>
  <si>
    <t>P1387-077-L.JPG</t>
  </si>
  <si>
    <t>P1387</t>
  </si>
  <si>
    <t>P1388-077-L</t>
  </si>
  <si>
    <t>PENDANT (CONVERTIBLE TO SEMI FLUSH)</t>
  </si>
  <si>
    <t>P1388-077-L.JPG</t>
  </si>
  <si>
    <t>P1388</t>
  </si>
  <si>
    <t>P1389-077-L</t>
  </si>
  <si>
    <t>PENDANT(CONVERTIBLE TO SEMI FLUSH)</t>
  </si>
  <si>
    <t>P1389-077-L.JPG</t>
  </si>
  <si>
    <t>P1389</t>
  </si>
  <si>
    <t>P1390-044G-L</t>
  </si>
  <si>
    <t>MINI PENDANT</t>
  </si>
  <si>
    <t>FIVE-O - LED MINI PENDANT</t>
  </si>
  <si>
    <t>FIVE-O</t>
  </si>
  <si>
    <t>TEXTURED WHITE W/GOLD LEAF</t>
  </si>
  <si>
    <t>P1390-044G-L.JPG</t>
  </si>
  <si>
    <t>P1390</t>
  </si>
  <si>
    <t>P1391-044G-L</t>
  </si>
  <si>
    <t>FIVE-O - 1 LIGHT LED BATH</t>
  </si>
  <si>
    <t>P1391-044G-L.JPG</t>
  </si>
  <si>
    <t>P1391</t>
  </si>
  <si>
    <t>P1392-044G-L</t>
  </si>
  <si>
    <t>FIVE-O - 2 LIGHT LED BATH</t>
  </si>
  <si>
    <t>P1392-044G-L.JPG</t>
  </si>
  <si>
    <t>P1392</t>
  </si>
  <si>
    <t>P1393-044G-L</t>
  </si>
  <si>
    <t>FIVE-O - 3 LIGHT LED BATH</t>
  </si>
  <si>
    <t>P1393-044G-L.JPG</t>
  </si>
  <si>
    <t>P1393</t>
  </si>
  <si>
    <t>P1395-044G-L</t>
  </si>
  <si>
    <t>FIVE-O - LED PENDANT</t>
  </si>
  <si>
    <t>P1395-044G-L.JPG</t>
  </si>
  <si>
    <t>P1395</t>
  </si>
  <si>
    <t>P1396-044G-L</t>
  </si>
  <si>
    <t>FIVE-O - LED ISLAND LIGHT</t>
  </si>
  <si>
    <t>P1396-044G-L.JPG</t>
  </si>
  <si>
    <t>P1396</t>
  </si>
  <si>
    <t>P1399-044G-L</t>
  </si>
  <si>
    <t>FIVE-O - LED PENDANT/ SEMI FLUSH</t>
  </si>
  <si>
    <t>P1399-044G-L.JPG</t>
  </si>
  <si>
    <t>P1399</t>
  </si>
  <si>
    <t>P1401-613</t>
  </si>
  <si>
    <t>CRYSTAL CLEAR - 1 LIGHT MINI PENDANT</t>
  </si>
  <si>
    <t>T10 MED</t>
  </si>
  <si>
    <t>CLEAR ACRYLIC</t>
  </si>
  <si>
    <t>P1401-613.JPG</t>
  </si>
  <si>
    <t>P1401</t>
  </si>
  <si>
    <t>STEEL+ACRYLIC</t>
  </si>
  <si>
    <t>P1403-613</t>
  </si>
  <si>
    <t>4 LIGHT SEMI FLUSH (CONVERTIBLE TO PENDANT)</t>
  </si>
  <si>
    <t>CRYSTAL CLEAR - 4 LIGHT SEMI FLUSH</t>
  </si>
  <si>
    <t>T-10 MED</t>
  </si>
  <si>
    <t>P1403-613.JPG</t>
  </si>
  <si>
    <t>P1403</t>
  </si>
  <si>
    <t>P1404-613</t>
  </si>
  <si>
    <t>CRYSTAL CLEAR - 4 LIGHT PENDANT</t>
  </si>
  <si>
    <t>T-10, MED</t>
  </si>
  <si>
    <t>P1404-613.JPG</t>
  </si>
  <si>
    <t>P1404</t>
  </si>
  <si>
    <t>P1405-613</t>
  </si>
  <si>
    <t>CRYSTAL CLEAR - 5 LIGHT ISLAND</t>
  </si>
  <si>
    <t>T-10,MED</t>
  </si>
  <si>
    <t>P1405-613.JPG</t>
  </si>
  <si>
    <t>P1405</t>
  </si>
  <si>
    <t>P1410-600-L</t>
  </si>
  <si>
    <t>GRADUAL - LED PENDANT</t>
  </si>
  <si>
    <t>GRADUAL</t>
  </si>
  <si>
    <t>FROSTED</t>
  </si>
  <si>
    <t>P1410-600-L.JPG</t>
  </si>
  <si>
    <t>P1410</t>
  </si>
  <si>
    <t>P1412-066-L</t>
  </si>
  <si>
    <t>GANBARE - LED PENDANT</t>
  </si>
  <si>
    <t>GANBARE</t>
  </si>
  <si>
    <t>P1412-066-L.JPG</t>
  </si>
  <si>
    <t>P1420-674-L</t>
  </si>
  <si>
    <t>ALECIA'S TIERS - LED PENDANT</t>
  </si>
  <si>
    <t>ALECIA'S TIERS</t>
  </si>
  <si>
    <t>BRUSHED NICKEL &amp; BRONZE PATINA</t>
  </si>
  <si>
    <t>P1420-674-L.JPG</t>
  </si>
  <si>
    <t>P1420</t>
  </si>
  <si>
    <t>P1421-674-L</t>
  </si>
  <si>
    <t>ALECIA'S TIERS - LED BATH</t>
  </si>
  <si>
    <t>FROSTED WHITE</t>
  </si>
  <si>
    <t>P1421-674-L.JPG</t>
  </si>
  <si>
    <t>P1422-674-L</t>
  </si>
  <si>
    <t>P1422-674-L.JPG</t>
  </si>
  <si>
    <t>P1422</t>
  </si>
  <si>
    <t>P1423-674-L</t>
  </si>
  <si>
    <t>P1423-674-L.JPG</t>
  </si>
  <si>
    <t>P1423</t>
  </si>
  <si>
    <t>P1424-674-L</t>
  </si>
  <si>
    <t>P1424-674-L.JPG</t>
  </si>
  <si>
    <t>P1424</t>
  </si>
  <si>
    <t>P1425-674-L</t>
  </si>
  <si>
    <t>P1425-674-L.JPG</t>
  </si>
  <si>
    <t>P1426-674-L</t>
  </si>
  <si>
    <t>P1426-674-L.JPG</t>
  </si>
  <si>
    <t>P1426</t>
  </si>
  <si>
    <t>P1427-674-L</t>
  </si>
  <si>
    <t>P1427-674-L.JPG</t>
  </si>
  <si>
    <t>P1427</t>
  </si>
  <si>
    <t>P1430-613</t>
  </si>
  <si>
    <t>CRYSTAL CHROME - 4 LIGHT PENDANT</t>
  </si>
  <si>
    <t>P1430-613.JPG</t>
  </si>
  <si>
    <t>P1430</t>
  </si>
  <si>
    <t>P1431-077-L</t>
  </si>
  <si>
    <t>1 LIGHT LED BATH</t>
  </si>
  <si>
    <t>SILVER SLICE - 1 LIGHT LED BATH</t>
  </si>
  <si>
    <t>SILVER SLICE</t>
  </si>
  <si>
    <t>LED BULB</t>
  </si>
  <si>
    <t>METAL+ACRYLIC+CRYSTAL SAND</t>
  </si>
  <si>
    <t>P1431-077-L.JPG</t>
  </si>
  <si>
    <t>P1431-L</t>
  </si>
  <si>
    <t>P1432-077-L</t>
  </si>
  <si>
    <t>SILVER SLICE - 2 LIGHT LED BATH</t>
  </si>
  <si>
    <t>P1432-077-L.JPG</t>
  </si>
  <si>
    <t>P1432-L</t>
  </si>
  <si>
    <t>P1433-077-L</t>
  </si>
  <si>
    <t>3 LIGHT LED BATH</t>
  </si>
  <si>
    <t>SILVER SLICE - 3 LIGHT LED BATH</t>
  </si>
  <si>
    <t>P1433-077-L.JPG</t>
  </si>
  <si>
    <t>P1433-L</t>
  </si>
  <si>
    <t>P1434-077-L</t>
  </si>
  <si>
    <t>4 LIGHT LED BATH</t>
  </si>
  <si>
    <t>SILVER SLICE - 4 LIGHT LED BATH</t>
  </si>
  <si>
    <t>P1434-077-L.JPG</t>
  </si>
  <si>
    <t>P1434-L</t>
  </si>
  <si>
    <t>P1441-077-L</t>
  </si>
  <si>
    <t>1 LIGHT LED MINI PENDANT</t>
  </si>
  <si>
    <t>SILVER SLICE - 1 LIGHT LED MINI PENDANT</t>
  </si>
  <si>
    <t>P1441-077-L.JPG</t>
  </si>
  <si>
    <t>P1441-L</t>
  </si>
  <si>
    <t>P1444-077-L</t>
  </si>
  <si>
    <t>4 LIGHT LED PENDANT</t>
  </si>
  <si>
    <t>SILVER SLICE - 4 LIGHT LED PENDANT</t>
  </si>
  <si>
    <t>P1444-077-L.JPG</t>
  </si>
  <si>
    <t>P1444-L</t>
  </si>
  <si>
    <t>P1445-077-L</t>
  </si>
  <si>
    <t>5 LIGHT LED PENDANT</t>
  </si>
  <si>
    <t>SILVER SLICE - 5 LIGHT LED PENDANT</t>
  </si>
  <si>
    <t>P1445-077-L.JPG</t>
  </si>
  <si>
    <t>P1445-L</t>
  </si>
  <si>
    <t>P1446-077-L</t>
  </si>
  <si>
    <t>6 LIGHT LED PENDANT</t>
  </si>
  <si>
    <t>SILVER SLICE - 6 LIGHT LED PENDANT</t>
  </si>
  <si>
    <t>P1446-077-L.JPG</t>
  </si>
  <si>
    <t>P1446-L</t>
  </si>
  <si>
    <t>P1448-077-L</t>
  </si>
  <si>
    <t>8 LIGHT LED ISLAND LIGHT</t>
  </si>
  <si>
    <t>SILVER SLICE - 8 LIGHT LED ISLAND</t>
  </si>
  <si>
    <t>P1448-077-L.JPG</t>
  </si>
  <si>
    <t>P1448-L</t>
  </si>
  <si>
    <t>P1451-613</t>
  </si>
  <si>
    <t>SQUARED - 1 LIGHT MINI PENDANT</t>
  </si>
  <si>
    <t>SQUARED</t>
  </si>
  <si>
    <t>Clear/Inside Etched</t>
  </si>
  <si>
    <t>P1451-613.JPG</t>
  </si>
  <si>
    <t>P1451</t>
  </si>
  <si>
    <t>STEEL/GLASS</t>
  </si>
  <si>
    <t>P1453-077-L</t>
  </si>
  <si>
    <t>SILVER SLICE - LED MINI PENDANT</t>
  </si>
  <si>
    <t>P1453-077-L.JPG</t>
  </si>
  <si>
    <t>P1453-L</t>
  </si>
  <si>
    <t>P1470-077-L</t>
  </si>
  <si>
    <t>WILD GEMS - 1 LIGHT LED MINI PENDANT</t>
  </si>
  <si>
    <t>WILD GEMS</t>
  </si>
  <si>
    <t>P1470-077-L.JPG</t>
  </si>
  <si>
    <t>P1470-L</t>
  </si>
  <si>
    <t>METAL+GLASS+CRYSTAL</t>
  </si>
  <si>
    <t>P1471-077-L</t>
  </si>
  <si>
    <t>WILD GEMS - 1 LIGHT LED BATH</t>
  </si>
  <si>
    <t>P1471-077-L.JPG</t>
  </si>
  <si>
    <t>P1471-L</t>
  </si>
  <si>
    <t>P1472-077-L</t>
  </si>
  <si>
    <t>WILD GEMS - 2 LIGHT LED BATH</t>
  </si>
  <si>
    <t>P1472-077-L.JPG</t>
  </si>
  <si>
    <t>P1472-L</t>
  </si>
  <si>
    <t>P1473-077-L</t>
  </si>
  <si>
    <t>WILD GEMS - 3 LIGHT LED BATH</t>
  </si>
  <si>
    <t>P1473-077-L.JPG</t>
  </si>
  <si>
    <t>P1473-L</t>
  </si>
  <si>
    <t>P1606-077</t>
  </si>
  <si>
    <t>PORTABLES - 1 LIGHT TABLE LAMP</t>
  </si>
  <si>
    <t>TABLE LAMPS</t>
  </si>
  <si>
    <t>JA8 A19 10W LED BULB</t>
  </si>
  <si>
    <t>PURE WHITE FAUX SILK</t>
  </si>
  <si>
    <t>P1606-077.JPG</t>
  </si>
  <si>
    <t>P1606</t>
  </si>
  <si>
    <t>STEEL+CRYSTAL</t>
  </si>
  <si>
    <t>P1608-077</t>
  </si>
  <si>
    <t>TRANSITIONAL</t>
  </si>
  <si>
    <t>PURE WHITE LINEN</t>
  </si>
  <si>
    <t>P1608-077.JPG</t>
  </si>
  <si>
    <t>P1608</t>
  </si>
  <si>
    <t>P1608-281</t>
  </si>
  <si>
    <t>HARVARD COURT BRONZE</t>
  </si>
  <si>
    <t>OFF WHITE LINEN</t>
  </si>
  <si>
    <t>P1608-281.JPG</t>
  </si>
  <si>
    <t>P1611-0</t>
  </si>
  <si>
    <t>A-19, Medium</t>
  </si>
  <si>
    <t>Dark Walnut w Silver Accents</t>
  </si>
  <si>
    <t>Fabric</t>
  </si>
  <si>
    <t>Pure White Linen</t>
  </si>
  <si>
    <t>P1611-0.JPG</t>
  </si>
  <si>
    <t>P1611</t>
  </si>
  <si>
    <t>P1615-0</t>
  </si>
  <si>
    <t>GUN METAL</t>
  </si>
  <si>
    <t>P1615-0.JPG</t>
  </si>
  <si>
    <t>P1615</t>
  </si>
  <si>
    <t>P1616-0</t>
  </si>
  <si>
    <t>IRON W/ANTIQUE BRONZE ACCENTS</t>
  </si>
  <si>
    <t>LIGHT BROWN SUEDE</t>
  </si>
  <si>
    <t>P1616-0.JPG</t>
  </si>
  <si>
    <t>P1616</t>
  </si>
  <si>
    <t>STEEL+FABRIC</t>
  </si>
  <si>
    <t>P1650-077-L</t>
  </si>
  <si>
    <t>P1650-077-L.JPG</t>
  </si>
  <si>
    <t>P1650</t>
  </si>
  <si>
    <t>ACRYLIC+STEEL+GLASS</t>
  </si>
  <si>
    <t>P1651-077-L</t>
  </si>
  <si>
    <t>LED TABLE LAMP</t>
  </si>
  <si>
    <t>P1651-077-L.JPG</t>
  </si>
  <si>
    <t>P1651</t>
  </si>
  <si>
    <t>STEEL+ALUM+ACRYLIC</t>
  </si>
  <si>
    <t>P1700-613</t>
  </si>
  <si>
    <t>T-10, MEDIUM</t>
  </si>
  <si>
    <t>MITERED/WHITE INSIDE</t>
  </si>
  <si>
    <t>P1700-613.JPG</t>
  </si>
  <si>
    <t>P1700</t>
  </si>
  <si>
    <t>P1702-613</t>
  </si>
  <si>
    <t>WHITE SCREEN INSIDE</t>
  </si>
  <si>
    <t>P1702-613.JPG</t>
  </si>
  <si>
    <t>P1702</t>
  </si>
  <si>
    <t>P1704-613</t>
  </si>
  <si>
    <t>P1704-613.JPG</t>
  </si>
  <si>
    <t>P1704</t>
  </si>
  <si>
    <t>P1704-647</t>
  </si>
  <si>
    <t>COPPER BRONZE PATINA</t>
  </si>
  <si>
    <t>P1704-647.JPG</t>
  </si>
  <si>
    <t>P1705-613</t>
  </si>
  <si>
    <t>SEMISPIRAL13W,SELF-BALLASTGU24</t>
  </si>
  <si>
    <t>CLOTH + GLASS</t>
  </si>
  <si>
    <t>P1705-613.JPG</t>
  </si>
  <si>
    <t>P1705</t>
  </si>
  <si>
    <t>STEEL+GLASS+CLOTH</t>
  </si>
  <si>
    <t>P1705-647</t>
  </si>
  <si>
    <t>P1705-647.JPG</t>
  </si>
  <si>
    <t>P1723-084-L</t>
  </si>
  <si>
    <t>SKINNY - LED PENDANT</t>
  </si>
  <si>
    <t>SKINNY</t>
  </si>
  <si>
    <t>LED MODULE</t>
  </si>
  <si>
    <t>FROSTED ACRYLIC</t>
  </si>
  <si>
    <t>P1723-084-L.JPG</t>
  </si>
  <si>
    <t>P1723</t>
  </si>
  <si>
    <t>STEEL+ALU+ACRYLIC</t>
  </si>
  <si>
    <t>P1724-084-L</t>
  </si>
  <si>
    <t>SKINNY - LED ISLAND LIGHT</t>
  </si>
  <si>
    <t>FROSTED ACYRLIC</t>
  </si>
  <si>
    <t>P1724-084-L.JPG</t>
  </si>
  <si>
    <t>P1724</t>
  </si>
  <si>
    <t>P1731-286-L</t>
  </si>
  <si>
    <t>AFTERGLOW - LED WALL SCONCE</t>
  </si>
  <si>
    <t>AFTER GLOW</t>
  </si>
  <si>
    <t>BLASTED GLASS W/WHITE PAINT</t>
  </si>
  <si>
    <t>P1731-286-L.JPG</t>
  </si>
  <si>
    <t>P1731</t>
  </si>
  <si>
    <t>P1732-286-L</t>
  </si>
  <si>
    <t>P1732-286-L.JPG</t>
  </si>
  <si>
    <t>P1732</t>
  </si>
  <si>
    <t>P1741-286-L</t>
  </si>
  <si>
    <t>BELTED - LED WALL SCONCE</t>
  </si>
  <si>
    <t>BELTED</t>
  </si>
  <si>
    <t>P1741-286-L.JPG</t>
  </si>
  <si>
    <t>P1741</t>
  </si>
  <si>
    <t>P1742-286-L</t>
  </si>
  <si>
    <t>P1742-286-L.JPG</t>
  </si>
  <si>
    <t>P1742</t>
  </si>
  <si>
    <t>P1751-655-L</t>
  </si>
  <si>
    <t>DC LED OUTDOOR WALL SCONCE</t>
  </si>
  <si>
    <t>ROLL UP - OUTDOOR LED WALL SCONCE</t>
  </si>
  <si>
    <t>ROLL UP</t>
  </si>
  <si>
    <t>32W</t>
  </si>
  <si>
    <t>FROSTED WHITE GLASS</t>
  </si>
  <si>
    <t>P1751-655-L.JPG</t>
  </si>
  <si>
    <t>P1751-L</t>
  </si>
  <si>
    <t>P1752-295-L</t>
  </si>
  <si>
    <t>AC LED OUTDOOR WALL SCONCE</t>
  </si>
  <si>
    <t>LAUNCH - OUTDOOR LED WALL SCONCE</t>
  </si>
  <si>
    <t>LAUNCH</t>
  </si>
  <si>
    <t>Z46 LED</t>
  </si>
  <si>
    <t>P1752-295-L.JPG</t>
  </si>
  <si>
    <t>P1752-L</t>
  </si>
  <si>
    <t>P1753-295-L</t>
  </si>
  <si>
    <t>MIDRISE - OUTDOOR LED WALL SCONCE</t>
  </si>
  <si>
    <t>MIDRISE</t>
  </si>
  <si>
    <t>P1753-295-L.JPG</t>
  </si>
  <si>
    <t>P1753-L</t>
  </si>
  <si>
    <t>P1761-066-L</t>
  </si>
  <si>
    <t>GROOVIN - OUTDOOR LED WALL SCONCE</t>
  </si>
  <si>
    <t>GROOVIN</t>
  </si>
  <si>
    <t>P1761-066-L.JPG</t>
  </si>
  <si>
    <t>P1761</t>
  </si>
  <si>
    <t>P1762-066-L</t>
  </si>
  <si>
    <t>P1762-066-L.JPG</t>
  </si>
  <si>
    <t>P1762</t>
  </si>
  <si>
    <t>P1773-044B-L</t>
  </si>
  <si>
    <t>QUILTED - LED WALL SCONCE</t>
  </si>
  <si>
    <t>QUILTED</t>
  </si>
  <si>
    <t>P1773-044B-L.JPG</t>
  </si>
  <si>
    <t>P1773</t>
  </si>
  <si>
    <t>RESIN+ALUM+ACRYLIC</t>
  </si>
  <si>
    <t>P1774-044B-L</t>
  </si>
  <si>
    <t>P1774-044B-L.JPG</t>
  </si>
  <si>
    <t>P1774</t>
  </si>
  <si>
    <t>P1775-655-L</t>
  </si>
  <si>
    <t>WAYPOINT - 8.75" LED WALL SCONCE</t>
  </si>
  <si>
    <t>WAYPOINT</t>
  </si>
  <si>
    <t>P1775-655-L.JPG</t>
  </si>
  <si>
    <t>P1775</t>
  </si>
  <si>
    <t>P1776-655-L</t>
  </si>
  <si>
    <t>WAYPOINT - 13.75" LED WALL SCONCE</t>
  </si>
  <si>
    <t>P1776-655-L.JPG</t>
  </si>
  <si>
    <t>P1776</t>
  </si>
  <si>
    <t>P1777-655-L</t>
  </si>
  <si>
    <t>WAYPOINT - 18" LED WALL SCONCE</t>
  </si>
  <si>
    <t>P1777-655-L.JPG</t>
  </si>
  <si>
    <t>P1777</t>
  </si>
  <si>
    <t>P1779-675-L</t>
  </si>
  <si>
    <t>BYPASS - LED WALL SCONCE</t>
  </si>
  <si>
    <t>BYPASS</t>
  </si>
  <si>
    <t>P1779-675-L.JPG</t>
  </si>
  <si>
    <t>P1779</t>
  </si>
  <si>
    <t>P1780-044B-L</t>
  </si>
  <si>
    <t>KETTLE UP - LED PENDANT</t>
  </si>
  <si>
    <t>KETTLE UP</t>
  </si>
  <si>
    <t>P1780-044B-L.JPG</t>
  </si>
  <si>
    <t>P1780</t>
  </si>
  <si>
    <t>P1780-066A-L</t>
  </si>
  <si>
    <t>MATTE BLACK</t>
  </si>
  <si>
    <t>P1780-066A-L.JPG</t>
  </si>
  <si>
    <t>P1781-044B-L</t>
  </si>
  <si>
    <t>HOVER - LED PENDANT</t>
  </si>
  <si>
    <t>HOVER</t>
  </si>
  <si>
    <t>Z48 LED</t>
  </si>
  <si>
    <t>P1781-044B-L.JPG</t>
  </si>
  <si>
    <t>P1781-L</t>
  </si>
  <si>
    <t>P1781-719-L</t>
  </si>
  <si>
    <t>DARK GREY</t>
  </si>
  <si>
    <t>P1781-719-L.JPG</t>
  </si>
  <si>
    <t>P1782-084-L</t>
  </si>
  <si>
    <t>LIGHT RAY - LED PENDANT</t>
  </si>
  <si>
    <t>LIGHT RAY</t>
  </si>
  <si>
    <t>P1782-084-L.JPG</t>
  </si>
  <si>
    <t>P1782-L</t>
  </si>
  <si>
    <t>P1783-084-L</t>
  </si>
  <si>
    <t>P1783-084-L.JPG</t>
  </si>
  <si>
    <t>F1783-L</t>
  </si>
  <si>
    <t>P1784-720-L</t>
  </si>
  <si>
    <t>LED LIGHT PENDANT</t>
  </si>
  <si>
    <t>SUN CORE - LED PENDANT</t>
  </si>
  <si>
    <t>SUN CORE</t>
  </si>
  <si>
    <t>Z04</t>
  </si>
  <si>
    <t>SAND WHITE WITH HONEY GOLD ACC</t>
  </si>
  <si>
    <t>P1784-720-L.JPG</t>
  </si>
  <si>
    <t>P1784-L</t>
  </si>
  <si>
    <t>P1784-721-L</t>
  </si>
  <si>
    <t>SAND BLACK WITH HONEY GOLD ACC</t>
  </si>
  <si>
    <t>P1784-721-L.JPG</t>
  </si>
  <si>
    <t>P1785-722</t>
  </si>
  <si>
    <t>16 LIGHT ISLAND CHANDELIER</t>
  </si>
  <si>
    <t>STAR CROSSED - 16 LIGHT ISLAND</t>
  </si>
  <si>
    <t>STAR CROSSED</t>
  </si>
  <si>
    <t>T8</t>
  </si>
  <si>
    <t>SAND WHITE WITH HONEY GOLD SOC</t>
  </si>
  <si>
    <t>P1785-722.JPG</t>
  </si>
  <si>
    <t>P1785</t>
  </si>
  <si>
    <t>P1790-077</t>
  </si>
  <si>
    <t>SPIKED - 3 LIGHT WALL SCONCE</t>
  </si>
  <si>
    <t>SPIKED</t>
  </si>
  <si>
    <t>P1790-077.JPG</t>
  </si>
  <si>
    <t>P1790</t>
  </si>
  <si>
    <t>P1790-416</t>
  </si>
  <si>
    <t>Painted Bronze w/Natural Brush</t>
  </si>
  <si>
    <t>P1790-416.JPG</t>
  </si>
  <si>
    <t>P1791-077</t>
  </si>
  <si>
    <t>SPIKED - 6 LIGHT 18" PENDANT</t>
  </si>
  <si>
    <t>P1791-077.JPG</t>
  </si>
  <si>
    <t>P1791</t>
  </si>
  <si>
    <t>P1791-416</t>
  </si>
  <si>
    <t>P1791-416.JPG</t>
  </si>
  <si>
    <t>STEEL+CRYSTAL3.68</t>
  </si>
  <si>
    <t>P1792-077</t>
  </si>
  <si>
    <t>SPIKED - 6 LIGHT 25" PENDANT</t>
  </si>
  <si>
    <t>P1792-077.JPG</t>
  </si>
  <si>
    <t>P1792</t>
  </si>
  <si>
    <t>P1792-416</t>
  </si>
  <si>
    <t>P1792-416.JPG</t>
  </si>
  <si>
    <t>P1793-077</t>
  </si>
  <si>
    <t>SPIKED - 30.5" 6 LIGHT PENDANT</t>
  </si>
  <si>
    <t>P1793-077.JPG</t>
  </si>
  <si>
    <t>P1739</t>
  </si>
  <si>
    <t>P1793-416</t>
  </si>
  <si>
    <t>SPIKED - 6 LIGHT 30.5" PENDANT</t>
  </si>
  <si>
    <t>P1793-416.JPG</t>
  </si>
  <si>
    <t>P1793</t>
  </si>
  <si>
    <t>P1794-077</t>
  </si>
  <si>
    <t>SPIKED - 6 LIGHT 35" PENDANT</t>
  </si>
  <si>
    <t>P1794-077.JPG</t>
  </si>
  <si>
    <t>P1794</t>
  </si>
  <si>
    <t>P1794-416</t>
  </si>
  <si>
    <t>P1794-416.JPG</t>
  </si>
  <si>
    <t>P1797-077-L</t>
  </si>
  <si>
    <t>SPIKED - 6 LIGHT TABLE LAMP</t>
  </si>
  <si>
    <t>E12 CANDELABRA LED</t>
  </si>
  <si>
    <t>P1797-077-L.JPG</t>
  </si>
  <si>
    <t>P1797</t>
  </si>
  <si>
    <t>P1797-416-L</t>
  </si>
  <si>
    <t>SPIKED - LED TABLE LAMP</t>
  </si>
  <si>
    <t>P1797-416-L.JPG</t>
  </si>
  <si>
    <t>P1798-077-L</t>
  </si>
  <si>
    <t>LED FLOOR LAMP</t>
  </si>
  <si>
    <t>SPIKED - LED FLOOR LAMP</t>
  </si>
  <si>
    <t>P1798-077-L.JPG</t>
  </si>
  <si>
    <t>P1798</t>
  </si>
  <si>
    <t>P1798-416-L</t>
  </si>
  <si>
    <t>SPIKED - 6 LIGHT LED FLOOR LAMP</t>
  </si>
  <si>
    <t>P1798-416-L.JPG</t>
  </si>
  <si>
    <t>P1799-077</t>
  </si>
  <si>
    <t>FLUSH MOUNT</t>
  </si>
  <si>
    <t>SPIKED - 4 LIGHT FLUSH MOUNT</t>
  </si>
  <si>
    <t>P1799-077.JPG</t>
  </si>
  <si>
    <t>P1799</t>
  </si>
  <si>
    <t>P1799-416</t>
  </si>
  <si>
    <t>P1799-416.JPG</t>
  </si>
  <si>
    <t>P1801-084</t>
  </si>
  <si>
    <t>PONTIL - 1 LIGHT MINI PENDANT</t>
  </si>
  <si>
    <t>PONTIL</t>
  </si>
  <si>
    <t>G9 XENON (FROSTED)</t>
  </si>
  <si>
    <t>P1801-084.JPG</t>
  </si>
  <si>
    <t>P1801</t>
  </si>
  <si>
    <t>P1801-248</t>
  </si>
  <si>
    <t>PONTIL - 1 LIGHT MINI PENANT</t>
  </si>
  <si>
    <t>HONEY GOLD</t>
  </si>
  <si>
    <t>P1801-248.JPG</t>
  </si>
  <si>
    <t>P1802-084</t>
  </si>
  <si>
    <t>2 LIGHT WALL SCONCE</t>
  </si>
  <si>
    <t>PONTIL - 2 LIGHT WALL SCONCE</t>
  </si>
  <si>
    <t>G9 XENON</t>
  </si>
  <si>
    <t>P1802-084.JPG</t>
  </si>
  <si>
    <t>P1802-248</t>
  </si>
  <si>
    <t>P1802-248.JPG</t>
  </si>
  <si>
    <t>P1802</t>
  </si>
  <si>
    <t>P1803-084</t>
  </si>
  <si>
    <t>3 LIGHT MINI CHANDELIER</t>
  </si>
  <si>
    <t>PONTIL - 3 LIGHT MINI CHANDELIER</t>
  </si>
  <si>
    <t>G9 Xenon (Frosted)</t>
  </si>
  <si>
    <t>Etched Opal Glass</t>
  </si>
  <si>
    <t>P1803-084.JPG</t>
  </si>
  <si>
    <t>P1803</t>
  </si>
  <si>
    <t>Steel + Glass</t>
  </si>
  <si>
    <t>P1806-084</t>
  </si>
  <si>
    <t>6 LIGHT CHANDELIER</t>
  </si>
  <si>
    <t>PONTIL - 6 LIGHT CHANDELIER</t>
  </si>
  <si>
    <t>G9 Xenon</t>
  </si>
  <si>
    <t>P1806-084.JPG</t>
  </si>
  <si>
    <t>P1806</t>
  </si>
  <si>
    <t>P1806-248</t>
  </si>
  <si>
    <t>Etched White Glass</t>
  </si>
  <si>
    <t>P1806-248.JPG</t>
  </si>
  <si>
    <t>Steel &amp; Glas</t>
  </si>
  <si>
    <t>P1807-084</t>
  </si>
  <si>
    <t>PONTIL - 8 LIGHT CHANDELIER</t>
  </si>
  <si>
    <t>P1807-084.JPG</t>
  </si>
  <si>
    <t>P1807-248</t>
  </si>
  <si>
    <t>P1807-248.JPG</t>
  </si>
  <si>
    <t>P1807</t>
  </si>
  <si>
    <t>P1808-084</t>
  </si>
  <si>
    <t>8 LIGHT ISLAND</t>
  </si>
  <si>
    <t>PONTIL - 8 LIGHT ISLAND</t>
  </si>
  <si>
    <t>P1808-084.JPG</t>
  </si>
  <si>
    <t>P1808</t>
  </si>
  <si>
    <t>P1808-248</t>
  </si>
  <si>
    <t>P1808-248.JPG</t>
  </si>
  <si>
    <t>P1811-172</t>
  </si>
  <si>
    <t>CIRCUIT - 1 LIGHT MINI PENDANT</t>
  </si>
  <si>
    <t>CIRCUIT</t>
  </si>
  <si>
    <t>SMOKED IRON</t>
  </si>
  <si>
    <t>White Fabric with Etched Opal Glass</t>
  </si>
  <si>
    <t>P1811-172.JPG</t>
  </si>
  <si>
    <t>P1811</t>
  </si>
  <si>
    <t>Steel/Glass/Fabric</t>
  </si>
  <si>
    <t>P1813-172</t>
  </si>
  <si>
    <t>4 LIGHT DRUM PENDANT</t>
  </si>
  <si>
    <t>CIRCUIT - 4 LIGHT PENDANT</t>
  </si>
  <si>
    <t>A-19, Med</t>
  </si>
  <si>
    <t>P1813-172.JPG</t>
  </si>
  <si>
    <t>P1813</t>
  </si>
  <si>
    <t>P1814-172</t>
  </si>
  <si>
    <t>P1814-172.JPG</t>
  </si>
  <si>
    <t>P1814</t>
  </si>
  <si>
    <t>P1821-248</t>
  </si>
  <si>
    <t>CONIC - 1 LIGHT MINI PENDANT</t>
  </si>
  <si>
    <t>CONIC</t>
  </si>
  <si>
    <t>P1821-248.JPG</t>
  </si>
  <si>
    <t>P1821</t>
  </si>
  <si>
    <t>P1821-44F</t>
  </si>
  <si>
    <t>GLITTER GLOSS WHITE</t>
  </si>
  <si>
    <t>Glitter Gloss White</t>
  </si>
  <si>
    <t>P1821-44F.JPG</t>
  </si>
  <si>
    <t>P1821-651</t>
  </si>
  <si>
    <t>DISTRESSED KOA</t>
  </si>
  <si>
    <t>Distressed Koa</t>
  </si>
  <si>
    <t>P1821-651.JPG</t>
  </si>
  <si>
    <t>P1822-44F-L</t>
  </si>
  <si>
    <t>1 LIGHT LED TABLE LAMP</t>
  </si>
  <si>
    <t>CONIC - LED TABLE LAMP</t>
  </si>
  <si>
    <t>Aluminum</t>
  </si>
  <si>
    <t>P1822-44F-L.JPG</t>
  </si>
  <si>
    <t>P1822-L</t>
  </si>
  <si>
    <t>Steel + Aluminium + Brass</t>
  </si>
  <si>
    <t>P1822-651-L</t>
  </si>
  <si>
    <t>P1822-651-L.JPG</t>
  </si>
  <si>
    <t>P1823-248</t>
  </si>
  <si>
    <t>CONIC - 3 LIGHT CHANDELIER</t>
  </si>
  <si>
    <t>A-19 MEDIUM</t>
  </si>
  <si>
    <t>P1823-248.JPG</t>
  </si>
  <si>
    <t>P1823</t>
  </si>
  <si>
    <t>P1823-44F</t>
  </si>
  <si>
    <t>3 LIGHT CHANDELIER</t>
  </si>
  <si>
    <t>P1823-44F.JPG</t>
  </si>
  <si>
    <t>P1823-651</t>
  </si>
  <si>
    <t>DISTRESSED KOA/BRUSHED NICKEL FRAME</t>
  </si>
  <si>
    <t>P1823-651.JPG</t>
  </si>
  <si>
    <t>P1824-248</t>
  </si>
  <si>
    <t>4 LIGHT ISLAND</t>
  </si>
  <si>
    <t>CONIC - 4 LIGHT ISLAND</t>
  </si>
  <si>
    <t>A19,MED BASE</t>
  </si>
  <si>
    <t>P1824-248.JPG</t>
  </si>
  <si>
    <t>P1824</t>
  </si>
  <si>
    <t>P1824-651</t>
  </si>
  <si>
    <t>A-19,MED BASE</t>
  </si>
  <si>
    <t>P1824-651.JPG</t>
  </si>
  <si>
    <t>P1825-248</t>
  </si>
  <si>
    <t>5 LT CHANDELIER</t>
  </si>
  <si>
    <t>CONIC - 5 LIGHT CHANDELIER</t>
  </si>
  <si>
    <t>A19,MED</t>
  </si>
  <si>
    <t>P1825-248.JPG</t>
  </si>
  <si>
    <t>P1825</t>
  </si>
  <si>
    <t>P1825-44F</t>
  </si>
  <si>
    <t>5 LIGHT CHANDELIER</t>
  </si>
  <si>
    <t>P1825-44F.JPG</t>
  </si>
  <si>
    <t>P1825-651</t>
  </si>
  <si>
    <t>P1825-651.JPG</t>
  </si>
  <si>
    <t>P1831-1-077</t>
  </si>
  <si>
    <t>SIMPLE - 1 LIGHT TABLE LAMP</t>
  </si>
  <si>
    <t>SIMPLE</t>
  </si>
  <si>
    <t>P1831-1-077.JPG</t>
  </si>
  <si>
    <t>P1831</t>
  </si>
  <si>
    <t>P1831-2-077</t>
  </si>
  <si>
    <t>TABLE LAMP</t>
  </si>
  <si>
    <t>P1831-2-077.JPG</t>
  </si>
  <si>
    <t>P1831-3-077</t>
  </si>
  <si>
    <t>1 LIGHT FLOOR LAMP</t>
  </si>
  <si>
    <t>SIMPLE - 1 LIGHT FLOOR LAMP</t>
  </si>
  <si>
    <t>P1831-3-077.JPG</t>
  </si>
  <si>
    <t>P1832-077</t>
  </si>
  <si>
    <t>1 LIGHT PENDANT</t>
  </si>
  <si>
    <t>SIMPLE - 1 LIGHT PENDANT</t>
  </si>
  <si>
    <t>MEDIUM BASE</t>
  </si>
  <si>
    <t>P1832-077.JPG</t>
  </si>
  <si>
    <t>P1832</t>
  </si>
  <si>
    <t>P1833-077</t>
  </si>
  <si>
    <t>P1833-077.JPG</t>
  </si>
  <si>
    <t>P1833</t>
  </si>
  <si>
    <t>P1834-077</t>
  </si>
  <si>
    <t>P1834-077.JPG</t>
  </si>
  <si>
    <t>P1834</t>
  </si>
  <si>
    <t>P1839-077</t>
  </si>
  <si>
    <t>1 LIGHT FLUSH MOUNT</t>
  </si>
  <si>
    <t>SIMPLE - 1 LIGHT FLUSH MOUNT</t>
  </si>
  <si>
    <t>P1839-077.JPG</t>
  </si>
  <si>
    <t>P1839</t>
  </si>
  <si>
    <t>P184-084</t>
  </si>
  <si>
    <t>2 LIGHT TABLE LAMP</t>
  </si>
  <si>
    <t>PORTABLES - 2 LIGHT TABLE LAMP</t>
  </si>
  <si>
    <t>P184-084.JPG</t>
  </si>
  <si>
    <t>P184</t>
  </si>
  <si>
    <t>P1840-077</t>
  </si>
  <si>
    <t>EXPOSED - 1 LIGHT MINI PENDANT</t>
  </si>
  <si>
    <t>EXPOSED</t>
  </si>
  <si>
    <t>G16.5,CAND</t>
  </si>
  <si>
    <t>TINTED SMOKE GLASS</t>
  </si>
  <si>
    <t>P1840-077.JPG</t>
  </si>
  <si>
    <t>P1840</t>
  </si>
  <si>
    <t>P1841-077</t>
  </si>
  <si>
    <t>EXPOSED - 1 LIGHT BATH</t>
  </si>
  <si>
    <t>P1841-077.JPG</t>
  </si>
  <si>
    <t>P1841</t>
  </si>
  <si>
    <t>P1842-077</t>
  </si>
  <si>
    <t>EXPOSED - 2 LIGHT BATH</t>
  </si>
  <si>
    <t xml:space="preserve"> G16.5, CAND</t>
  </si>
  <si>
    <t>P1842-077.JPG</t>
  </si>
  <si>
    <t>P1842</t>
  </si>
  <si>
    <t>P1843-077</t>
  </si>
  <si>
    <t>EXPOSED - 3 LIGHT BATH</t>
  </si>
  <si>
    <t>G16.5, CAND</t>
  </si>
  <si>
    <t>TINTED SMOKE</t>
  </si>
  <si>
    <t>P1843-077.JPG</t>
  </si>
  <si>
    <t>P1843</t>
  </si>
  <si>
    <t>P1844-077</t>
  </si>
  <si>
    <t>EXPOSED - 4 LIGHT BATH</t>
  </si>
  <si>
    <t>P1844-077.JPG</t>
  </si>
  <si>
    <t>P1844</t>
  </si>
  <si>
    <t>P1845-077</t>
  </si>
  <si>
    <t>4 LIGHT SEMI FLUSH MOUNT</t>
  </si>
  <si>
    <t>EXPOSED - SEMI FLUSH</t>
  </si>
  <si>
    <t>P1845-077.JPG</t>
  </si>
  <si>
    <t>P1845</t>
  </si>
  <si>
    <t>P1849-077</t>
  </si>
  <si>
    <t>EXPOSED - 9 LIGHT CHANDELIER</t>
  </si>
  <si>
    <t>P1849-077.JPG</t>
  </si>
  <si>
    <t>P1849</t>
  </si>
  <si>
    <t>P1854-084-L</t>
  </si>
  <si>
    <t>CHANDELIER (CONVERTIBLE TO SEMI FLUSH)</t>
  </si>
  <si>
    <t>TUBE - LED CHANDELIER</t>
  </si>
  <si>
    <t xml:space="preserve"> Z06, LED MODULE</t>
  </si>
  <si>
    <t>P1854-084-L.JPG</t>
  </si>
  <si>
    <t>P1854</t>
  </si>
  <si>
    <t>P1856-084-L</t>
  </si>
  <si>
    <t>6 LIGHT LED CHANDELIER</t>
  </si>
  <si>
    <t>Z06,LED MODULE</t>
  </si>
  <si>
    <t>P1856-084-L.JPG</t>
  </si>
  <si>
    <t>P1856</t>
  </si>
  <si>
    <t>P1857-084-L</t>
  </si>
  <si>
    <t>6 LIGHT LED PENDANT LIGHT</t>
  </si>
  <si>
    <t>TUBE - LED ISLAND LIGHT</t>
  </si>
  <si>
    <t>P1857-084-L.JPG</t>
  </si>
  <si>
    <t>P1857</t>
  </si>
  <si>
    <t>P1858-084-L</t>
  </si>
  <si>
    <t>8 LIGHT LED CHANDELIER</t>
  </si>
  <si>
    <t>P1858-084-L.JPG</t>
  </si>
  <si>
    <t>P1858</t>
  </si>
  <si>
    <t>P188-084</t>
  </si>
  <si>
    <t>2 LIGHT FLOOR LAMP</t>
  </si>
  <si>
    <t>PORTABLES - 2 LIGHT FLOOR LAMP</t>
  </si>
  <si>
    <t>P188-084.JPG</t>
  </si>
  <si>
    <t>P188</t>
  </si>
  <si>
    <t>P1900-077-L</t>
  </si>
  <si>
    <t>TWIST AND SHOUT - LED PENDANT</t>
  </si>
  <si>
    <t>TWIST AND SHOUT</t>
  </si>
  <si>
    <t>P1900-077-L.JPG</t>
  </si>
  <si>
    <t>P1900</t>
  </si>
  <si>
    <t>STEEL+GLASS+ALUMINUM</t>
  </si>
  <si>
    <t>P1902-077-L</t>
  </si>
  <si>
    <t>TWIST AND SHOUT - LED ISLAND</t>
  </si>
  <si>
    <t>40W LED</t>
  </si>
  <si>
    <t>White Screen Painted Glass</t>
  </si>
  <si>
    <t>P1902-077-L.JPG</t>
  </si>
  <si>
    <t>P1902</t>
  </si>
  <si>
    <t>Steel+Glass+Aluminum</t>
  </si>
  <si>
    <t>P194-084</t>
  </si>
  <si>
    <t>P194-084.JPG</t>
  </si>
  <si>
    <t>P194</t>
  </si>
  <si>
    <t>STEEL/SHADE/GLASS</t>
  </si>
  <si>
    <t>P195-084</t>
  </si>
  <si>
    <t>P195-084.JPG</t>
  </si>
  <si>
    <t>P195</t>
  </si>
  <si>
    <t>P196-084</t>
  </si>
  <si>
    <t>P196-084.JPG</t>
  </si>
  <si>
    <t>P196</t>
  </si>
  <si>
    <t>P197-084</t>
  </si>
  <si>
    <t>P197-084.JPG</t>
  </si>
  <si>
    <t>P197</t>
  </si>
  <si>
    <t>STEEL+GLASS+SHADE</t>
  </si>
  <si>
    <t>P197-248</t>
  </si>
  <si>
    <t>P197-248.JPG</t>
  </si>
  <si>
    <t>P198-084</t>
  </si>
  <si>
    <t>P198-084.JPG</t>
  </si>
  <si>
    <t>P198</t>
  </si>
  <si>
    <t>P20-077-L</t>
  </si>
  <si>
    <t>FUNNEL CLOUD - 1 LIGHT LED MINI PENDANNT</t>
  </si>
  <si>
    <t>FUNNEL CLOUD</t>
  </si>
  <si>
    <t>P20-077-L.JPG</t>
  </si>
  <si>
    <t>P20-L</t>
  </si>
  <si>
    <t>METAL+GLASS+ACRYLIC</t>
  </si>
  <si>
    <t>P2012-655-L</t>
  </si>
  <si>
    <t>U.G.O. - 22.5" LED FLUSH MOUNT</t>
  </si>
  <si>
    <t>UGO</t>
  </si>
  <si>
    <t>P2012-655-L.JPG</t>
  </si>
  <si>
    <t>P2012</t>
  </si>
  <si>
    <t>P2013-655-L</t>
  </si>
  <si>
    <t>U.G.O. - 28.5" LED FLUSH MOUNT</t>
  </si>
  <si>
    <t>P2013-655-L.JPG</t>
  </si>
  <si>
    <t>P2013</t>
  </si>
  <si>
    <t>P2014-655-L</t>
  </si>
  <si>
    <t>U.G.O. - 32.5" LED FLUSH MOUNT</t>
  </si>
  <si>
    <t>P2014-655-L.JPG</t>
  </si>
  <si>
    <t>P2014</t>
  </si>
  <si>
    <t>P2015-044-L</t>
  </si>
  <si>
    <t>KNOCK OUT - LED FLUSH MOUNT</t>
  </si>
  <si>
    <t>KNOCK OUT</t>
  </si>
  <si>
    <t>Z25 LED</t>
  </si>
  <si>
    <t>ABS</t>
  </si>
  <si>
    <t>WHITE TYPE</t>
  </si>
  <si>
    <t>P2015-044-L.JPG</t>
  </si>
  <si>
    <t>P2015-L</t>
  </si>
  <si>
    <t>P2016-613-L</t>
  </si>
  <si>
    <t>PRESS - LED FLUSH MOUNT</t>
  </si>
  <si>
    <t>PRESS</t>
  </si>
  <si>
    <t>P2016-613-L.JPG</t>
  </si>
  <si>
    <t>P2016-L</t>
  </si>
  <si>
    <t>P22-077-L</t>
  </si>
  <si>
    <t>1 LIGHT LED PENDANT</t>
  </si>
  <si>
    <t>BOTTLENECK - LED PENDANT</t>
  </si>
  <si>
    <t>BOTTLENECK</t>
  </si>
  <si>
    <t>Z31 LED</t>
  </si>
  <si>
    <t>P22-077-L.JPG</t>
  </si>
  <si>
    <t>P22-L</t>
  </si>
  <si>
    <t>STEEL+ALUMINUN+GLASS+ACRYLIC</t>
  </si>
  <si>
    <t>P220-084</t>
  </si>
  <si>
    <t>1 LIGHT LOW VOLTAGE WALL LAMP</t>
  </si>
  <si>
    <t>MR-16(GU5.3,12V)LED BULB</t>
  </si>
  <si>
    <t>CLEAR+SANDBLAST</t>
  </si>
  <si>
    <t>P220-084.JPG</t>
  </si>
  <si>
    <t>P220</t>
  </si>
  <si>
    <t>P23-084</t>
  </si>
  <si>
    <t>TAPER - 1 LIGHT MINI PENDANT</t>
  </si>
  <si>
    <t>TAPER</t>
  </si>
  <si>
    <t>CLEAR OUTER GLASS</t>
  </si>
  <si>
    <t>P23-084.JPG</t>
  </si>
  <si>
    <t>P23</t>
  </si>
  <si>
    <t>P254-084</t>
  </si>
  <si>
    <t>1 LIGHT TASK WALL LAMP</t>
  </si>
  <si>
    <t>GU10 LED BULB</t>
  </si>
  <si>
    <t>P254-084.JPG</t>
  </si>
  <si>
    <t>P254</t>
  </si>
  <si>
    <t>P255-084</t>
  </si>
  <si>
    <t>1 LIGHT TASK FLOOR LAMP</t>
  </si>
  <si>
    <t>CLEAR ACID ETCHED</t>
  </si>
  <si>
    <t>P255-084.JPG</t>
  </si>
  <si>
    <t>P255</t>
  </si>
  <si>
    <t>P256-084</t>
  </si>
  <si>
    <t>2 LIGHT TORCHIERE W/READING LAMP</t>
  </si>
  <si>
    <t>TORCHIERE</t>
  </si>
  <si>
    <t>ETCHED MARBLE GLASS</t>
  </si>
  <si>
    <t>P256-084.JPG</t>
  </si>
  <si>
    <t>P256</t>
  </si>
  <si>
    <t>P266-1-084-L</t>
  </si>
  <si>
    <t>LED SWING ARM (CONVERTIBLE TO PIN-UP)</t>
  </si>
  <si>
    <t>ALU</t>
  </si>
  <si>
    <t>P266-1-084-L.JPG</t>
  </si>
  <si>
    <t>P266</t>
  </si>
  <si>
    <t>P294-00-634</t>
  </si>
  <si>
    <t>SILVER PLATED</t>
  </si>
  <si>
    <t>BLACK-WHITE INTERIOR</t>
  </si>
  <si>
    <t>P294-00-634.JPG</t>
  </si>
  <si>
    <t>P294-00</t>
  </si>
  <si>
    <t>METAL/BRASS</t>
  </si>
  <si>
    <t>P2974-1-084-L</t>
  </si>
  <si>
    <t>L-L8-MD590</t>
  </si>
  <si>
    <t>P2974-1-084-L.JPG</t>
  </si>
  <si>
    <t>P2974</t>
  </si>
  <si>
    <t>STEEL+ALUMINUM</t>
  </si>
  <si>
    <t>P303-1-077-L</t>
  </si>
  <si>
    <t>LED TASK LAMP</t>
  </si>
  <si>
    <t>P303-1-077-L.JPG</t>
  </si>
  <si>
    <t>P303-L</t>
  </si>
  <si>
    <t>ALUMINUM+IRON</t>
  </si>
  <si>
    <t>P303-2-077-L</t>
  </si>
  <si>
    <t>P303-2-077-L.JPG</t>
  </si>
  <si>
    <t>ALUMINUM+IRON+OTHER</t>
  </si>
  <si>
    <t>P304-1-077-L</t>
  </si>
  <si>
    <t>P304-1-077-L.JPG</t>
  </si>
  <si>
    <t>P304-L</t>
  </si>
  <si>
    <t>IRON+ALUMINUM+OTHER</t>
  </si>
  <si>
    <t>P304-2-077-L</t>
  </si>
  <si>
    <t>LED CLIP TASK LAMP</t>
  </si>
  <si>
    <t>P304-2-077-L.JPG</t>
  </si>
  <si>
    <t>P305-1-044-L</t>
  </si>
  <si>
    <t>TASK PORTABLES - LED TASK LAMP</t>
  </si>
  <si>
    <t>Z08,LED MODULE</t>
  </si>
  <si>
    <t>P305-1-044-L.JPG</t>
  </si>
  <si>
    <t>P305-L</t>
  </si>
  <si>
    <t>BODY-ALUMINUM/ BASE-IRON+OTHER</t>
  </si>
  <si>
    <t>P305-1-654-L</t>
  </si>
  <si>
    <t>Z08,LED</t>
  </si>
  <si>
    <t>CHISELED NICKEL</t>
  </si>
  <si>
    <t>P305-1-654-L.JPG</t>
  </si>
  <si>
    <t>P305-2-044-L</t>
  </si>
  <si>
    <t>TASK PORTABLES - LED FLOOR LAMP</t>
  </si>
  <si>
    <t>P305-2-044-L.JPG</t>
  </si>
  <si>
    <t>P305-2-654-L</t>
  </si>
  <si>
    <t>P305-2-654-L.JPG</t>
  </si>
  <si>
    <t>P305-3-654-L</t>
  </si>
  <si>
    <t>2 LIGHT LED FLOOR LAMP</t>
  </si>
  <si>
    <t>Z19 LED</t>
  </si>
  <si>
    <t>P305-3-654-L.JPG</t>
  </si>
  <si>
    <t>P305-4-044-L</t>
  </si>
  <si>
    <t>Z30 LED</t>
  </si>
  <si>
    <t>P305-4-044-L.JPG</t>
  </si>
  <si>
    <t>P305-4-654-L</t>
  </si>
  <si>
    <t>P305-4-654-L.JPG</t>
  </si>
  <si>
    <t>P305-5-654-L</t>
  </si>
  <si>
    <t>TASK PORTABLES - 2 LIGHT FLOOR LAMP</t>
  </si>
  <si>
    <t>P305-5-654-L.JPG</t>
  </si>
  <si>
    <t>ALUMINUM+METAL</t>
  </si>
  <si>
    <t>P306-1-077-L</t>
  </si>
  <si>
    <t>Black</t>
  </si>
  <si>
    <t>P306-1-077-L.JPG</t>
  </si>
  <si>
    <t>P306</t>
  </si>
  <si>
    <t>P306-3-077-L</t>
  </si>
  <si>
    <t>P306-3-077-L.JPG</t>
  </si>
  <si>
    <t>P306-L</t>
  </si>
  <si>
    <t>P313-077</t>
  </si>
  <si>
    <t>METAL+FABRIC+GLASS</t>
  </si>
  <si>
    <t>TRANSLUCENT SILK</t>
  </si>
  <si>
    <t>P313-077.JPG</t>
  </si>
  <si>
    <t>P313</t>
  </si>
  <si>
    <t>STEEL/CLOTH/GLASS</t>
  </si>
  <si>
    <t>P352-1-084</t>
  </si>
  <si>
    <t>1 LIGHT TABLE LIGHT</t>
  </si>
  <si>
    <t>PARK</t>
  </si>
  <si>
    <t>PLEATED LINEN</t>
  </si>
  <si>
    <t>P352-1-084.JPG</t>
  </si>
  <si>
    <t>P352</t>
  </si>
  <si>
    <t>METAL+SHADE</t>
  </si>
  <si>
    <t>P3801-077</t>
  </si>
  <si>
    <t>1 LIGHT TORCHIERE</t>
  </si>
  <si>
    <t>SOFT</t>
  </si>
  <si>
    <t>P3801-077.JPG</t>
  </si>
  <si>
    <t>P3803-077</t>
  </si>
  <si>
    <t>13W CFL</t>
  </si>
  <si>
    <t>AMBER GLASS</t>
  </si>
  <si>
    <t>P3803-077.JPG</t>
  </si>
  <si>
    <t>P3803</t>
  </si>
  <si>
    <t>GLASS+METAL</t>
  </si>
  <si>
    <t>P3806-077</t>
  </si>
  <si>
    <t>1 LT TORCHIERE</t>
  </si>
  <si>
    <t>P3806-077.JPG</t>
  </si>
  <si>
    <t>P3806</t>
  </si>
  <si>
    <t>P3807-077</t>
  </si>
  <si>
    <t>MED</t>
  </si>
  <si>
    <t>P3807-077.JPG</t>
  </si>
  <si>
    <t>P3807</t>
  </si>
  <si>
    <t>P3808-077</t>
  </si>
  <si>
    <t>P3808-077.JPG</t>
  </si>
  <si>
    <t>P3808</t>
  </si>
  <si>
    <t>P3809-077</t>
  </si>
  <si>
    <t>P3809-077.JPG</t>
  </si>
  <si>
    <t>P3809</t>
  </si>
  <si>
    <t>P3811-077</t>
  </si>
  <si>
    <t>P3811-077.JPG</t>
  </si>
  <si>
    <t>P3834-077</t>
  </si>
  <si>
    <t>E27, MED</t>
  </si>
  <si>
    <t>CLR</t>
  </si>
  <si>
    <t>P3834-077.JPG</t>
  </si>
  <si>
    <t>P3834</t>
  </si>
  <si>
    <t>P3836-077</t>
  </si>
  <si>
    <t>P3836-077.JPG</t>
  </si>
  <si>
    <t>P3840-077</t>
  </si>
  <si>
    <t>P3840-077.JPG</t>
  </si>
  <si>
    <t>P3915-084-L</t>
  </si>
  <si>
    <t>5 LIGHT LED TRACK</t>
  </si>
  <si>
    <t>GK LIGHTRAIL - LED ACCENT LIGHT KIT</t>
  </si>
  <si>
    <t>P3915-084-L.JPG</t>
  </si>
  <si>
    <t>P3915L</t>
  </si>
  <si>
    <t>P3915-467-L</t>
  </si>
  <si>
    <t>P3915-467-L.JPG</t>
  </si>
  <si>
    <t>P3915</t>
  </si>
  <si>
    <t>P3925-084-L</t>
  </si>
  <si>
    <t>LED ACCENT LIGHT KIT</t>
  </si>
  <si>
    <t>P3925-084-L.JPG</t>
  </si>
  <si>
    <t>P3925-L</t>
  </si>
  <si>
    <t>P3925-467-L</t>
  </si>
  <si>
    <t>P3925-467-L.JPG</t>
  </si>
  <si>
    <t>P399-613</t>
  </si>
  <si>
    <t>FABRIC + ACRYLIC</t>
  </si>
  <si>
    <t>P399-613.JPG</t>
  </si>
  <si>
    <t>P399</t>
  </si>
  <si>
    <t>P4015-084</t>
  </si>
  <si>
    <t>5 LIGHT LOW VOLT MONORAIL KIT</t>
  </si>
  <si>
    <t>MR-16,(GU5.3X12V)</t>
  </si>
  <si>
    <t>PRESSED GLASS</t>
  </si>
  <si>
    <t>P4015-084.JPG</t>
  </si>
  <si>
    <t>P4015</t>
  </si>
  <si>
    <t>P4035-084</t>
  </si>
  <si>
    <t>5 LIGHT LOW VOLTAGE MONORAIL KIT</t>
  </si>
  <si>
    <t>MR-16,(GU5.3,12V)</t>
  </si>
  <si>
    <t>P4035-084.JPG</t>
  </si>
  <si>
    <t>P4035</t>
  </si>
  <si>
    <t>P4095-12-467</t>
  </si>
  <si>
    <t>GK LIGHTRAIL - 5 LIGHT LOW VOLTAGE MONORAIL KIT</t>
  </si>
  <si>
    <t>P4095-12-467.JPG</t>
  </si>
  <si>
    <t>P4095-3-467</t>
  </si>
  <si>
    <t>P4095-3-467.JPG</t>
  </si>
  <si>
    <t>P4095-6-467</t>
  </si>
  <si>
    <t>P4095-6-467.JPG</t>
  </si>
  <si>
    <t>P4116-609</t>
  </si>
  <si>
    <t>5 LIGHT 110 LINE VOLTAGE MONORAIL KIT</t>
  </si>
  <si>
    <t>P4116-609.JPG</t>
  </si>
  <si>
    <t>P4116</t>
  </si>
  <si>
    <t>METAL+PLASTIC+ALUMINUM</t>
  </si>
  <si>
    <t>P4216-467</t>
  </si>
  <si>
    <t>P4216-467.JPG</t>
  </si>
  <si>
    <t>P4216</t>
  </si>
  <si>
    <t>steel+copper+glass+plastic+other</t>
  </si>
  <si>
    <t>P4216-609</t>
  </si>
  <si>
    <t>P4216-609.JPG</t>
  </si>
  <si>
    <t>STEEL+COPPER+GLASS+PLASTIC+OTHERS</t>
  </si>
  <si>
    <t>P4304-077</t>
  </si>
  <si>
    <t>FLOOR LAMP</t>
  </si>
  <si>
    <t>ALUM. CASTING</t>
  </si>
  <si>
    <t>P4304-077.JPG</t>
  </si>
  <si>
    <t>P4304</t>
  </si>
  <si>
    <t>STEEL+ALUM+BRASS</t>
  </si>
  <si>
    <t>P4304-084</t>
  </si>
  <si>
    <t>P4304-084.JPG</t>
  </si>
  <si>
    <t>P4304-248</t>
  </si>
  <si>
    <t>ALUM CASTING</t>
  </si>
  <si>
    <t>P4304-248.JPG</t>
  </si>
  <si>
    <t>P4304-647</t>
  </si>
  <si>
    <t>Copper Bronze Patina</t>
  </si>
  <si>
    <t>P4304-647.JPG</t>
  </si>
  <si>
    <t>P4305-084</t>
  </si>
  <si>
    <t>5 LIGHT LED MONORAIL KIT</t>
  </si>
  <si>
    <t>GK LIGHTRAIL- LED</t>
  </si>
  <si>
    <t>1W LED</t>
  </si>
  <si>
    <t>Acrylic</t>
  </si>
  <si>
    <t>Frosted</t>
  </si>
  <si>
    <t>P4305-084.JPG</t>
  </si>
  <si>
    <t>Steel + Aluminum + Brass</t>
  </si>
  <si>
    <t>P4305-467</t>
  </si>
  <si>
    <t>P4305-467.JPG</t>
  </si>
  <si>
    <t>P4305</t>
  </si>
  <si>
    <t>P4306-077</t>
  </si>
  <si>
    <t>P4306-077.JPG</t>
  </si>
  <si>
    <t>P4306</t>
  </si>
  <si>
    <t>P4306-084</t>
  </si>
  <si>
    <t>P4306-084.JPG</t>
  </si>
  <si>
    <t>P4306-248</t>
  </si>
  <si>
    <t>P4306-248.JPG</t>
  </si>
  <si>
    <t>P4306-647</t>
  </si>
  <si>
    <t>P4306-647.JPG</t>
  </si>
  <si>
    <t>P4308-077</t>
  </si>
  <si>
    <t>1 LIGHT LED SWING ARM WALL LAMP</t>
  </si>
  <si>
    <t>P4308-077.JPG</t>
  </si>
  <si>
    <t>P4308</t>
  </si>
  <si>
    <t>STEEL+ALM+BRASS</t>
  </si>
  <si>
    <t>P4308-084</t>
  </si>
  <si>
    <t>P4308-084.JPG</t>
  </si>
  <si>
    <t>P4308-248</t>
  </si>
  <si>
    <t>Alum Casting</t>
  </si>
  <si>
    <t>Honey Gold</t>
  </si>
  <si>
    <t>P4308-248.JPG</t>
  </si>
  <si>
    <t>Dry</t>
  </si>
  <si>
    <t>Steel+Alum+Brass</t>
  </si>
  <si>
    <t>P4308-647</t>
  </si>
  <si>
    <t>P4308-647.JPG</t>
  </si>
  <si>
    <t>P4309-647</t>
  </si>
  <si>
    <t>2 LIGHT LED SWING ARM WALL LAMP</t>
  </si>
  <si>
    <t>P4309-647.JPG</t>
  </si>
  <si>
    <t>P4309</t>
  </si>
  <si>
    <t>P4314-084</t>
  </si>
  <si>
    <t>P4314-084.JPG</t>
  </si>
  <si>
    <t>P4314</t>
  </si>
  <si>
    <t>P4314-248</t>
  </si>
  <si>
    <t>P4314-248.JPG</t>
  </si>
  <si>
    <t>P4314-647</t>
  </si>
  <si>
    <t>P4314-647.JPG</t>
  </si>
  <si>
    <t>P4316-077</t>
  </si>
  <si>
    <t>P4316-077.JPG</t>
  </si>
  <si>
    <t>P4316</t>
  </si>
  <si>
    <t>P4316-084</t>
  </si>
  <si>
    <t>P4316-084.JPG</t>
  </si>
  <si>
    <t>P4316-248</t>
  </si>
  <si>
    <t>P4316-248.JPG</t>
  </si>
  <si>
    <t>P4316-647</t>
  </si>
  <si>
    <t>P4316-647.JPG</t>
  </si>
  <si>
    <t>P4318-077</t>
  </si>
  <si>
    <t>P4318-077.JPG</t>
  </si>
  <si>
    <t>P4318</t>
  </si>
  <si>
    <t>P4318-084</t>
  </si>
  <si>
    <t>P4318-084.JPG</t>
  </si>
  <si>
    <t>P4318-248</t>
  </si>
  <si>
    <t>P4318-248.JPG</t>
  </si>
  <si>
    <t>Steel+Alum+Glass</t>
  </si>
  <si>
    <t>P4318-631</t>
  </si>
  <si>
    <t>CHOCOLATE CHROME</t>
  </si>
  <si>
    <t>P4318-631.JPG</t>
  </si>
  <si>
    <t>P4318-647</t>
  </si>
  <si>
    <t>P4318-647.JPG</t>
  </si>
  <si>
    <t>P4319-084</t>
  </si>
  <si>
    <t>P4319-084.JPG</t>
  </si>
  <si>
    <t>P4319</t>
  </si>
  <si>
    <t>P4319-647</t>
  </si>
  <si>
    <t>P4319-647.JPG</t>
  </si>
  <si>
    <t>P4324-077</t>
  </si>
  <si>
    <t>P4324-077.JPG</t>
  </si>
  <si>
    <t>P4324</t>
  </si>
  <si>
    <t>P4324-084</t>
  </si>
  <si>
    <t>P4324-084.JPG</t>
  </si>
  <si>
    <t>P4324-248</t>
  </si>
  <si>
    <t>P4324-248.JPG</t>
  </si>
  <si>
    <t>P4324-647</t>
  </si>
  <si>
    <t>P4324-647.JPG</t>
  </si>
  <si>
    <t>P4326-077</t>
  </si>
  <si>
    <t>P4326-077.JPG</t>
  </si>
  <si>
    <t>P4326</t>
  </si>
  <si>
    <t>P4326-084</t>
  </si>
  <si>
    <t>P4326-084.JPG</t>
  </si>
  <si>
    <t>P4326-248</t>
  </si>
  <si>
    <t>P4326-248.JPG</t>
  </si>
  <si>
    <t>P4326-647</t>
  </si>
  <si>
    <t>P4326-647.JPG</t>
  </si>
  <si>
    <t>P4328-077</t>
  </si>
  <si>
    <t>P4328-077.JPG</t>
  </si>
  <si>
    <t>P4328</t>
  </si>
  <si>
    <t>P4328-084</t>
  </si>
  <si>
    <t>P4328-084.JPG</t>
  </si>
  <si>
    <t>P4328-248</t>
  </si>
  <si>
    <t>P4328-248.JPG</t>
  </si>
  <si>
    <t>P4328-631</t>
  </si>
  <si>
    <t>P4328-631.JPG</t>
  </si>
  <si>
    <t>P4328-647</t>
  </si>
  <si>
    <t>P4328-647.JPG</t>
  </si>
  <si>
    <t>P4329-084</t>
  </si>
  <si>
    <t>P4329-084.JPG</t>
  </si>
  <si>
    <t>P4329</t>
  </si>
  <si>
    <t>P4334-077</t>
  </si>
  <si>
    <t>1 LIGHT LED FLOOR LAMP</t>
  </si>
  <si>
    <t>LED MODULE (L-L8-MD590)</t>
  </si>
  <si>
    <t>P4334-077.JPG</t>
  </si>
  <si>
    <t>P4334</t>
  </si>
  <si>
    <t>P4334-084</t>
  </si>
  <si>
    <t>P4334-084.JPG</t>
  </si>
  <si>
    <t>P43334</t>
  </si>
  <si>
    <t>P4334-248</t>
  </si>
  <si>
    <t>LED MODULE(L-L8-MD590)</t>
  </si>
  <si>
    <t>P4334-248.JPG</t>
  </si>
  <si>
    <t>P4334-647</t>
  </si>
  <si>
    <t>P4334-647.JPG</t>
  </si>
  <si>
    <t>P4336-077</t>
  </si>
  <si>
    <t>P4336-077.JPG</t>
  </si>
  <si>
    <t>P4336</t>
  </si>
  <si>
    <t>P4336-084</t>
  </si>
  <si>
    <t>P4336-084.JPG</t>
  </si>
  <si>
    <t>P4336-248</t>
  </si>
  <si>
    <t>P4336-248.JPG</t>
  </si>
  <si>
    <t>P4336-647</t>
  </si>
  <si>
    <t>P4336-647.JPG</t>
  </si>
  <si>
    <t>P4338-077</t>
  </si>
  <si>
    <t>P4338-077.JPG</t>
  </si>
  <si>
    <t>P4338</t>
  </si>
  <si>
    <t>P4338-084</t>
  </si>
  <si>
    <t>P4338-084.JPG</t>
  </si>
  <si>
    <t>P4338-248</t>
  </si>
  <si>
    <t>P4338-248.JPG</t>
  </si>
  <si>
    <t>P4338-647</t>
  </si>
  <si>
    <t>P4338-647.JPG</t>
  </si>
  <si>
    <t>P4438</t>
  </si>
  <si>
    <t>P4339-084</t>
  </si>
  <si>
    <t>P4339-084.JPG</t>
  </si>
  <si>
    <t>P4339</t>
  </si>
  <si>
    <t>P4339-647</t>
  </si>
  <si>
    <t>P4339-647.JPG</t>
  </si>
  <si>
    <t>P4344-084</t>
  </si>
  <si>
    <t>P4344-084.JPG</t>
  </si>
  <si>
    <t>P4344</t>
  </si>
  <si>
    <t>P4344-647</t>
  </si>
  <si>
    <t>P4344-647.JPG</t>
  </si>
  <si>
    <t>P4346-084</t>
  </si>
  <si>
    <t>P4346-084.JPG</t>
  </si>
  <si>
    <t>P4346</t>
  </si>
  <si>
    <t>P4346-647</t>
  </si>
  <si>
    <t>P4346-647.JPG</t>
  </si>
  <si>
    <t>P4348-084</t>
  </si>
  <si>
    <t>P4348-084.JPG</t>
  </si>
  <si>
    <t>P4348</t>
  </si>
  <si>
    <t>P4348-647</t>
  </si>
  <si>
    <t>P4348-647.JPG</t>
  </si>
  <si>
    <t>P4358-1-077</t>
  </si>
  <si>
    <t>1 LIGHT SWING ARM WALL LAMP</t>
  </si>
  <si>
    <t>BORING</t>
  </si>
  <si>
    <t>A19, MED.</t>
  </si>
  <si>
    <t>FABRIC + GLASS</t>
  </si>
  <si>
    <t>OYSTER</t>
  </si>
  <si>
    <t>P4358-1-077.JPG</t>
  </si>
  <si>
    <t>P4358-1</t>
  </si>
  <si>
    <t>P4358-1-603</t>
  </si>
  <si>
    <t>MATTE BRUSHED NICKEL</t>
  </si>
  <si>
    <t>P4358-1-603.JPG</t>
  </si>
  <si>
    <t>P4400-084-L</t>
  </si>
  <si>
    <t>2 LIGHT WALL LAMP</t>
  </si>
  <si>
    <t>SAVE YOUR MARRIAGE</t>
  </si>
  <si>
    <t>GU5.3 MR16 LED</t>
  </si>
  <si>
    <t>P4400-084-L.JPG</t>
  </si>
  <si>
    <t>P4401-084-L</t>
  </si>
  <si>
    <t>1 LIGHT WALL LAMP</t>
  </si>
  <si>
    <t>MR16 GU5.3 LED</t>
  </si>
  <si>
    <t>P4401-084-L.JPG</t>
  </si>
  <si>
    <t>P4401-467-L</t>
  </si>
  <si>
    <t>MR16 GC5.3 LED</t>
  </si>
  <si>
    <t>P4401-467-L.JPG</t>
  </si>
  <si>
    <t>P4440-084-L</t>
  </si>
  <si>
    <t>MR16 GU10 LED</t>
  </si>
  <si>
    <t>P4440-084-L.JPG</t>
  </si>
  <si>
    <t>P4440-37B-L</t>
  </si>
  <si>
    <t>DARK RESTORATION BRONZE</t>
  </si>
  <si>
    <t>P4440-37B-L.JPG</t>
  </si>
  <si>
    <t>P4511-084</t>
  </si>
  <si>
    <t>LED SWING ARM</t>
  </si>
  <si>
    <t>P4511-084.JPG</t>
  </si>
  <si>
    <t>P4511</t>
  </si>
  <si>
    <t>P4511-647</t>
  </si>
  <si>
    <t>P4511-647.JPG</t>
  </si>
  <si>
    <t>P4516-647</t>
  </si>
  <si>
    <t>P4516-647.JPG</t>
  </si>
  <si>
    <t>P4516</t>
  </si>
  <si>
    <t>P465-084</t>
  </si>
  <si>
    <t>P465-084.JPG</t>
  </si>
  <si>
    <t>P465</t>
  </si>
  <si>
    <t>P465-084-L</t>
  </si>
  <si>
    <t>1 LIGHT LED WALL SCONCE</t>
  </si>
  <si>
    <t>Z04 LED</t>
  </si>
  <si>
    <t>P465-084-L.JPG</t>
  </si>
  <si>
    <t>P465-L</t>
  </si>
  <si>
    <t>Alum+Steel+Glass</t>
  </si>
  <si>
    <t>P470-077</t>
  </si>
  <si>
    <t>P470-077.JPG</t>
  </si>
  <si>
    <t>P470</t>
  </si>
  <si>
    <t>STEEL/CLOTH</t>
  </si>
  <si>
    <t>P470-077-L</t>
  </si>
  <si>
    <t>P470-077-L.JPG</t>
  </si>
  <si>
    <t>FIBER+STEEL+GLASS</t>
  </si>
  <si>
    <t>P470-084</t>
  </si>
  <si>
    <t>P470-084.JPG</t>
  </si>
  <si>
    <t>STEEL+CLOTH</t>
  </si>
  <si>
    <t>P470-084-L</t>
  </si>
  <si>
    <t>P470-084-L.JPG</t>
  </si>
  <si>
    <t>P470-248</t>
  </si>
  <si>
    <t>P470-248.JPG</t>
  </si>
  <si>
    <t>P470-617</t>
  </si>
  <si>
    <t>P470-617.JPG</t>
  </si>
  <si>
    <t>P470-617-L</t>
  </si>
  <si>
    <t>TEXTURED WHITE</t>
  </si>
  <si>
    <t>P470-617-L.JPG</t>
  </si>
  <si>
    <t>P472-077</t>
  </si>
  <si>
    <t>A15 MED</t>
  </si>
  <si>
    <t>OFF WHITE</t>
  </si>
  <si>
    <t>P472-077.JPG</t>
  </si>
  <si>
    <t>P472</t>
  </si>
  <si>
    <t>P472-077-L</t>
  </si>
  <si>
    <t>P472-077-L.JPG</t>
  </si>
  <si>
    <t>P472-084</t>
  </si>
  <si>
    <t>P472-084.JPG</t>
  </si>
  <si>
    <t>P472-084-L</t>
  </si>
  <si>
    <t>P472-084-L.JPG</t>
  </si>
  <si>
    <t>P472-248</t>
  </si>
  <si>
    <t>A-15, MED</t>
  </si>
  <si>
    <t>P472-248.JPG</t>
  </si>
  <si>
    <t>P472-617</t>
  </si>
  <si>
    <t>A-15 MED</t>
  </si>
  <si>
    <t>P472-617.JPG</t>
  </si>
  <si>
    <t>P472-617-L</t>
  </si>
  <si>
    <t>OFF-WHITE</t>
  </si>
  <si>
    <t>P472-617-L.JPG</t>
  </si>
  <si>
    <t>P477-077</t>
  </si>
  <si>
    <t>1 LIGHT SWING ARM WALL LAMP W/ LED READING LAMP</t>
  </si>
  <si>
    <t>P477-077.JPG</t>
  </si>
  <si>
    <t>P477</t>
  </si>
  <si>
    <t>STEEL+FABRIC+GLASS</t>
  </si>
  <si>
    <t>P478-077</t>
  </si>
  <si>
    <t>P478-077.JPG</t>
  </si>
  <si>
    <t>P478</t>
  </si>
  <si>
    <t>P5003-056</t>
  </si>
  <si>
    <t>CHIMES - 3 LIGHT BATH</t>
  </si>
  <si>
    <t>CHIMES</t>
  </si>
  <si>
    <t>T4 Xenon Mini cand</t>
  </si>
  <si>
    <t>ANTIQUE NICKEL</t>
  </si>
  <si>
    <t>Clear/Acid Etched</t>
  </si>
  <si>
    <t>P5003-056.JPG</t>
  </si>
  <si>
    <t>P5003</t>
  </si>
  <si>
    <t>P5004-056</t>
  </si>
  <si>
    <t>CHIMES - 4 LIGHT BATH</t>
  </si>
  <si>
    <t>T4 Mini cand</t>
  </si>
  <si>
    <t>P5004-056.JPG</t>
  </si>
  <si>
    <t>P5004</t>
  </si>
  <si>
    <t>P5005-056</t>
  </si>
  <si>
    <t>5 LIGHT BATH</t>
  </si>
  <si>
    <t>CHIMES - 5 LIGHT BATH</t>
  </si>
  <si>
    <t>T4 E11 Mini cand</t>
  </si>
  <si>
    <t>Clear/Frost</t>
  </si>
  <si>
    <t>P5005-056.JPG</t>
  </si>
  <si>
    <t>P5005</t>
  </si>
  <si>
    <t>P5013-084</t>
  </si>
  <si>
    <t>SHIMO - 3 LIGHT BATH</t>
  </si>
  <si>
    <t>SHIMO</t>
  </si>
  <si>
    <t>G9 (Frosted)</t>
  </si>
  <si>
    <t>NON-KD</t>
  </si>
  <si>
    <t>P5013-084.JPG</t>
  </si>
  <si>
    <t>P5013</t>
  </si>
  <si>
    <t>P5014-084</t>
  </si>
  <si>
    <t>SHIMO - 4 LIGHT BATH</t>
  </si>
  <si>
    <t>P5014-084.JPG</t>
  </si>
  <si>
    <t>P5014</t>
  </si>
  <si>
    <t>P5015-084</t>
  </si>
  <si>
    <t>SHIMO - 5 LIGHT BATH</t>
  </si>
  <si>
    <t>G9, Xenon</t>
  </si>
  <si>
    <t>P5015-084.JPG</t>
  </si>
  <si>
    <t>P5015</t>
  </si>
  <si>
    <t>P5040-077</t>
  </si>
  <si>
    <t>TUBE - 2 LIGHT WALL SCONCE</t>
  </si>
  <si>
    <t>P5040-077.JPG</t>
  </si>
  <si>
    <t>P5040</t>
  </si>
  <si>
    <t>ALUMINUM-CASTING+STEEL+GLASS</t>
  </si>
  <si>
    <t>P5040-077-L</t>
  </si>
  <si>
    <t>TUBE - 1 LIGHT LED WALL SCONCE</t>
  </si>
  <si>
    <t>P5040-077-L.JPG</t>
  </si>
  <si>
    <t>P5040-L</t>
  </si>
  <si>
    <t>ALUMINUM CASTING+STEEL+GLASS</t>
  </si>
  <si>
    <t>P5040-084</t>
  </si>
  <si>
    <t>P5040-084.JPG</t>
  </si>
  <si>
    <t>P5040-084-L</t>
  </si>
  <si>
    <t>P5040-084-L.JPG</t>
  </si>
  <si>
    <t>P5040-248</t>
  </si>
  <si>
    <t>P5040-248.JPG</t>
  </si>
  <si>
    <t>ALUMINUM+CASTUBG+STEEL+GLASS</t>
  </si>
  <si>
    <t>P5040-248-L</t>
  </si>
  <si>
    <t>TUBE - LED WALL SCONCE</t>
  </si>
  <si>
    <t>ETCHED white</t>
  </si>
  <si>
    <t>P5040-248-L.JPG</t>
  </si>
  <si>
    <t>ALUM CASTING+STEEL+GLASS</t>
  </si>
  <si>
    <t>P5040-37B</t>
  </si>
  <si>
    <t>P5040-37B.JPG</t>
  </si>
  <si>
    <t>P5040-37B-L</t>
  </si>
  <si>
    <t>P5040-37B-L.JPG</t>
  </si>
  <si>
    <t>P5041-077</t>
  </si>
  <si>
    <t>SABER - 1 LIGHT WALL SCONCE</t>
  </si>
  <si>
    <t>SABER</t>
  </si>
  <si>
    <t>P5041-077.JPG</t>
  </si>
  <si>
    <t>P5041</t>
  </si>
  <si>
    <t>STEEL / GLASS</t>
  </si>
  <si>
    <t>P5041-077-L</t>
  </si>
  <si>
    <t>SABER II - LED WALL SCONCE</t>
  </si>
  <si>
    <t>P5041-077-L.JPG</t>
  </si>
  <si>
    <t>ALUMINUM+GLASS+STEEL</t>
  </si>
  <si>
    <t>P5041-077-PL</t>
  </si>
  <si>
    <t>PL 2U 13W (G24q-1.4 PIN)</t>
  </si>
  <si>
    <t>P5041-077-PL.JPG</t>
  </si>
  <si>
    <t>P5041-PL</t>
  </si>
  <si>
    <t>P5041-084</t>
  </si>
  <si>
    <t>P5041-084.JPG</t>
  </si>
  <si>
    <t>P5041-084-L</t>
  </si>
  <si>
    <t>Z08, LED</t>
  </si>
  <si>
    <t>P5041-084-L.JPG</t>
  </si>
  <si>
    <t>P5041-144</t>
  </si>
  <si>
    <t>CASED GLASS</t>
  </si>
  <si>
    <t>P5041-144.JPG</t>
  </si>
  <si>
    <t>P5041-248</t>
  </si>
  <si>
    <t>P5041-248.JPG</t>
  </si>
  <si>
    <t>P5041-647B</t>
  </si>
  <si>
    <t>PAINTED COPPER BRONZE PATINA</t>
  </si>
  <si>
    <t>P5041-647B.JPG</t>
  </si>
  <si>
    <t>P5042-077</t>
  </si>
  <si>
    <t>SABER - 2 LIGHT BATH</t>
  </si>
  <si>
    <t>T10, Medium</t>
  </si>
  <si>
    <t>P5042-077.JPG</t>
  </si>
  <si>
    <t>P5042</t>
  </si>
  <si>
    <t>P5042-077-L</t>
  </si>
  <si>
    <t>SABER II - LED BATH</t>
  </si>
  <si>
    <t>P5042-077-L.JPG</t>
  </si>
  <si>
    <t>P5042-L</t>
  </si>
  <si>
    <t>P5042-077-PL</t>
  </si>
  <si>
    <t>PL.2U-13W (G24q-1.4 Pin)</t>
  </si>
  <si>
    <t>Cased Glass</t>
  </si>
  <si>
    <t>P5042-077-PL.JPG</t>
  </si>
  <si>
    <t>P5042-PL</t>
  </si>
  <si>
    <t>P5042-084</t>
  </si>
  <si>
    <t>T10, Med.</t>
  </si>
  <si>
    <t>P5042-084.JPG</t>
  </si>
  <si>
    <t>P5042-084-L</t>
  </si>
  <si>
    <t>SABER II</t>
  </si>
  <si>
    <t>Z04, LED</t>
  </si>
  <si>
    <t>P5042-084-L.JPG</t>
  </si>
  <si>
    <t>P5042-144</t>
  </si>
  <si>
    <t>SABER - 2 LIGHT WALL SCONCE</t>
  </si>
  <si>
    <t>P5042-144.JPG</t>
  </si>
  <si>
    <t>P5042-248</t>
  </si>
  <si>
    <t>P5042-248.JPG</t>
  </si>
  <si>
    <t>P5042-647B</t>
  </si>
  <si>
    <t>P5042-647B.JPG</t>
  </si>
  <si>
    <t>P5044-077</t>
  </si>
  <si>
    <t>TUBE - 3 LIGHT BATH</t>
  </si>
  <si>
    <t>P5044-077.JPG</t>
  </si>
  <si>
    <t>P5044</t>
  </si>
  <si>
    <t>P5044-077-L</t>
  </si>
  <si>
    <t>TUBE - LED BATH</t>
  </si>
  <si>
    <t>P5044-077-L.JPG</t>
  </si>
  <si>
    <t>P5044-L</t>
  </si>
  <si>
    <t>P5044-077-PL</t>
  </si>
  <si>
    <t>TUBE - 2 LIGHT BATH</t>
  </si>
  <si>
    <t>PL,2U-13W(G24Q-1,4 PIN</t>
  </si>
  <si>
    <t>P5044-077-PL.JPG</t>
  </si>
  <si>
    <t>P5044-PL</t>
  </si>
  <si>
    <t>ALUM CAST/STEEL/GLASS</t>
  </si>
  <si>
    <t>P5044-084</t>
  </si>
  <si>
    <t>3 LIGHT WALL LAMP</t>
  </si>
  <si>
    <t>P5044-084.JPG</t>
  </si>
  <si>
    <t>P5044-084-L</t>
  </si>
  <si>
    <t>P5044-084-L.JPG</t>
  </si>
  <si>
    <t>ALUMINUM+STEEL+GLASS</t>
  </si>
  <si>
    <t>P5044-248</t>
  </si>
  <si>
    <t>3 LIGHT WALL SCONCE</t>
  </si>
  <si>
    <t>TUBE - 3 LIGHT WALL SCONCE</t>
  </si>
  <si>
    <t>P5044-248.JPG</t>
  </si>
  <si>
    <t>Alum Casting+Steel+Glass</t>
  </si>
  <si>
    <t>P5044-248-L</t>
  </si>
  <si>
    <t>P5044-248-L.JPG</t>
  </si>
  <si>
    <t>P5044-37B</t>
  </si>
  <si>
    <t>G9 XENON(FROSTED)</t>
  </si>
  <si>
    <t>P5044-37B.JPG</t>
  </si>
  <si>
    <t>P5044-37B-L</t>
  </si>
  <si>
    <t>P5044-37B-L.JPG</t>
  </si>
  <si>
    <t>P5046-077</t>
  </si>
  <si>
    <t xml:space="preserve">6 LIGHT BATH </t>
  </si>
  <si>
    <t>TUBE - 6 LIGHT BATH</t>
  </si>
  <si>
    <t>P5046-077.JPG</t>
  </si>
  <si>
    <t>P5046</t>
  </si>
  <si>
    <t>ALUMINUM+ZINC-CASTING+STEEL+GLASS</t>
  </si>
  <si>
    <t>P5046-077-L</t>
  </si>
  <si>
    <t>P5046-077-L.JPG</t>
  </si>
  <si>
    <t>P5046-L</t>
  </si>
  <si>
    <t>P5046-084</t>
  </si>
  <si>
    <t>6 LIGHT BATH</t>
  </si>
  <si>
    <t>P5046-084.JPG</t>
  </si>
  <si>
    <t>P5046-084-L</t>
  </si>
  <si>
    <t>P5046-084-L.JPG</t>
  </si>
  <si>
    <t>P5046-248-L</t>
  </si>
  <si>
    <t>P5046-248-L.JPG</t>
  </si>
  <si>
    <t>alum casting+steel+glass</t>
  </si>
  <si>
    <t>P5046-37B-L</t>
  </si>
  <si>
    <t>P5046-37B-L.JPG</t>
  </si>
  <si>
    <t>P5070-077</t>
  </si>
  <si>
    <t>PILLOW - 6 LIGHT BATH</t>
  </si>
  <si>
    <t>PILLOW</t>
  </si>
  <si>
    <t>G16.5</t>
  </si>
  <si>
    <t>Etched</t>
  </si>
  <si>
    <t>P5070-077.JPG</t>
  </si>
  <si>
    <t>P5070</t>
  </si>
  <si>
    <t>P5130-066</t>
  </si>
  <si>
    <t>Pearl Mist</t>
  </si>
  <si>
    <t>P5130-066.JPG</t>
  </si>
  <si>
    <t>P5130</t>
  </si>
  <si>
    <t>P5131-066</t>
  </si>
  <si>
    <t>P5131-066.JPG</t>
  </si>
  <si>
    <t>P5131</t>
  </si>
  <si>
    <t>P5154-077</t>
  </si>
  <si>
    <t>CURVY CORNER - 4 LIGHT BATH</t>
  </si>
  <si>
    <t>CURVY CORNER</t>
  </si>
  <si>
    <t>XENON, MINICAND T4 (E11)</t>
  </si>
  <si>
    <t>P5154-077.JPG</t>
  </si>
  <si>
    <t>P5154</t>
  </si>
  <si>
    <t>METAL + GLASS</t>
  </si>
  <si>
    <t>P516-1-615</t>
  </si>
  <si>
    <t>NEEDLE - 2 LIGHT TABLE LAMP</t>
  </si>
  <si>
    <t>NEEDLE</t>
  </si>
  <si>
    <t>ANTIQUE DORIAN BRONZE</t>
  </si>
  <si>
    <t>LINEN</t>
  </si>
  <si>
    <t>IVORY</t>
  </si>
  <si>
    <t>P516-1-615.JPG</t>
  </si>
  <si>
    <t>P516-1</t>
  </si>
  <si>
    <t>P516-3-615</t>
  </si>
  <si>
    <t>NEEDLE - 2 LIGHT FLOOR LAMP</t>
  </si>
  <si>
    <t>P516-3-615.JPG</t>
  </si>
  <si>
    <t>P516-3</t>
  </si>
  <si>
    <t>POLY + STEEL</t>
  </si>
  <si>
    <t>P5191-077</t>
  </si>
  <si>
    <t>STEM - 1 LIGHT WALL SCONCE</t>
  </si>
  <si>
    <t>STEM</t>
  </si>
  <si>
    <t>P5191-077.JPG</t>
  </si>
  <si>
    <t>P5191</t>
  </si>
  <si>
    <t>P5192-077</t>
  </si>
  <si>
    <t>STEM - 2 LIGHT BATH</t>
  </si>
  <si>
    <t>G16.5 CAND</t>
  </si>
  <si>
    <t>P5192-077.JPG</t>
  </si>
  <si>
    <t>P5192</t>
  </si>
  <si>
    <t>METAL/GLASS</t>
  </si>
  <si>
    <t>P5193-077</t>
  </si>
  <si>
    <t>STEM - 3 LIGHT BATH</t>
  </si>
  <si>
    <t>P5193-077.JPG</t>
  </si>
  <si>
    <t>P5193</t>
  </si>
  <si>
    <t>P5210-077</t>
  </si>
  <si>
    <t>CUBISM - 1 LIGHT WALL SCONCE</t>
  </si>
  <si>
    <t>Mitered/White Inside</t>
  </si>
  <si>
    <t>P5210-077.JPG</t>
  </si>
  <si>
    <t>P5210</t>
  </si>
  <si>
    <t>STEEL+ZINC+CASTING+GLASS</t>
  </si>
  <si>
    <t>P5211-077</t>
  </si>
  <si>
    <t>CUBISM - 1 LIGHT BATH</t>
  </si>
  <si>
    <t>XENON G9(FROSTED)</t>
  </si>
  <si>
    <t>P5211-077.JPG</t>
  </si>
  <si>
    <t>P5211</t>
  </si>
  <si>
    <t>P5212-077</t>
  </si>
  <si>
    <t>CUBISM - 2 LIGHT BATH</t>
  </si>
  <si>
    <t>P5212-077.JPG</t>
  </si>
  <si>
    <t>P5212</t>
  </si>
  <si>
    <t>P5213-077</t>
  </si>
  <si>
    <t>CUBISM - 3 LIGHT BATH</t>
  </si>
  <si>
    <t>P5213-077.JPG</t>
  </si>
  <si>
    <t>P5213</t>
  </si>
  <si>
    <t>P5214-077</t>
  </si>
  <si>
    <t>CUBISM - 4 LIGHT BATH</t>
  </si>
  <si>
    <t>XENON G9 FROSTED</t>
  </si>
  <si>
    <t>P5214-077.JPG</t>
  </si>
  <si>
    <t>P5214</t>
  </si>
  <si>
    <t>P5216-077</t>
  </si>
  <si>
    <t>P5216-077.JPG</t>
  </si>
  <si>
    <t>P5216</t>
  </si>
  <si>
    <t>P5216-077-L</t>
  </si>
  <si>
    <t>CUBISM - LED BATH</t>
  </si>
  <si>
    <t>P5216-077-L.JPG</t>
  </si>
  <si>
    <t>P5216-L</t>
  </si>
  <si>
    <t>Steel+Zinccasting+Glass</t>
  </si>
  <si>
    <t>P5217-077</t>
  </si>
  <si>
    <t>CUBISM - 5 LIGHT BATH</t>
  </si>
  <si>
    <t>P5217-077.JPG</t>
  </si>
  <si>
    <t>P5217</t>
  </si>
  <si>
    <t>P5217-077-L</t>
  </si>
  <si>
    <t>P5217-077-L.JPG</t>
  </si>
  <si>
    <t>P5217-L\</t>
  </si>
  <si>
    <t>Zinc casting+Steel+Chrome</t>
  </si>
  <si>
    <t>P5219-077-L</t>
  </si>
  <si>
    <t>CUBISM - LED WALL SCONCE</t>
  </si>
  <si>
    <t>Mitered Glass White Inside</t>
  </si>
  <si>
    <t>P5219-077-L.JPG</t>
  </si>
  <si>
    <t>P5219-L</t>
  </si>
  <si>
    <t>Steel+Zinc+Glass</t>
  </si>
  <si>
    <t>P5220-613</t>
  </si>
  <si>
    <t>P5220-613.JPG</t>
  </si>
  <si>
    <t>P5220</t>
  </si>
  <si>
    <t>P5220-647</t>
  </si>
  <si>
    <t>P5220-647.JPG</t>
  </si>
  <si>
    <t>P5252-077</t>
  </si>
  <si>
    <t>PILLOW - 2 LIGHT BATH</t>
  </si>
  <si>
    <t>P5252-077.JPG</t>
  </si>
  <si>
    <t>P5252</t>
  </si>
  <si>
    <t>P5253-077</t>
  </si>
  <si>
    <t>PILLOW - 3 LIGHT BATH</t>
  </si>
  <si>
    <t>ETCHED</t>
  </si>
  <si>
    <t>P5253-077.JPG</t>
  </si>
  <si>
    <t>P5253</t>
  </si>
  <si>
    <t>P5254-077</t>
  </si>
  <si>
    <t>PILLOW - 4 LIGHT BATH</t>
  </si>
  <si>
    <t>P5254-077.JPG</t>
  </si>
  <si>
    <t>P5254</t>
  </si>
  <si>
    <t>P5271-613-L</t>
  </si>
  <si>
    <t>VEMO - LED BATH</t>
  </si>
  <si>
    <t>VEMO</t>
  </si>
  <si>
    <t>P5271-613-L.JPG</t>
  </si>
  <si>
    <t>P5271</t>
  </si>
  <si>
    <t>ALU+STEEL+GLASS</t>
  </si>
  <si>
    <t>P5272-613-L</t>
  </si>
  <si>
    <t>P5272-613-L.JPG</t>
  </si>
  <si>
    <t>P5272</t>
  </si>
  <si>
    <t>P5273-613-L</t>
  </si>
  <si>
    <t>P5273-613-L.JPG</t>
  </si>
  <si>
    <t>P5273</t>
  </si>
  <si>
    <t>P5281-077-L</t>
  </si>
  <si>
    <t>FOREST ICE - LED BATH</t>
  </si>
  <si>
    <t>CLEAR ARTISAN GLASS</t>
  </si>
  <si>
    <t>P5281-077-L.JPG</t>
  </si>
  <si>
    <t>P5281</t>
  </si>
  <si>
    <t>ALU+STAINLESS STEEL+GLASS</t>
  </si>
  <si>
    <t>P5282-077-L</t>
  </si>
  <si>
    <t>P5282-077-L.JPG</t>
  </si>
  <si>
    <t>P5282</t>
  </si>
  <si>
    <t>P5283-077-L</t>
  </si>
  <si>
    <t>P5283-077-L.JPG</t>
  </si>
  <si>
    <t>P5283</t>
  </si>
  <si>
    <t>P5284-077-L</t>
  </si>
  <si>
    <t>P5284-077-L.JPG</t>
  </si>
  <si>
    <t>P5284</t>
  </si>
  <si>
    <t>P5301-084-L</t>
  </si>
  <si>
    <t>FROSTED GLASS</t>
  </si>
  <si>
    <t>P5301-084-L.JPG</t>
  </si>
  <si>
    <t>P5301-L</t>
  </si>
  <si>
    <t>P5314-467B-L</t>
  </si>
  <si>
    <t>BATH BLOW OUT</t>
  </si>
  <si>
    <t>SABLE BRONZE</t>
  </si>
  <si>
    <t>Mitered White Glass</t>
  </si>
  <si>
    <t>P5314-467B-L.JPG</t>
  </si>
  <si>
    <t>P5314</t>
  </si>
  <si>
    <t>P5321-077-L</t>
  </si>
  <si>
    <t>BRILLIANT - LED BATH</t>
  </si>
  <si>
    <t>BRILLIANT</t>
  </si>
  <si>
    <t>LED module</t>
  </si>
  <si>
    <t>CLEAR TEXTURED GLASS</t>
  </si>
  <si>
    <t>P5321-077-L.JPG</t>
  </si>
  <si>
    <t>P5321</t>
  </si>
  <si>
    <t>P5322-077-L</t>
  </si>
  <si>
    <t>P5322-077-L.JPG</t>
  </si>
  <si>
    <t>P5322</t>
  </si>
  <si>
    <t>P5323-077-L</t>
  </si>
  <si>
    <t>Z51,LED MODULE</t>
  </si>
  <si>
    <t>P5323-077-L.JPG</t>
  </si>
  <si>
    <t>P5323</t>
  </si>
  <si>
    <t>P5324-077-L</t>
  </si>
  <si>
    <t>P5324-077-L.JPG</t>
  </si>
  <si>
    <t>P5324</t>
  </si>
  <si>
    <t>P542-612</t>
  </si>
  <si>
    <t>COUNTER WEIGHTS - 1 LIGHT PENDANT</t>
  </si>
  <si>
    <t>COUNTER WEIGHTS</t>
  </si>
  <si>
    <t>SATIN STEEL</t>
  </si>
  <si>
    <t>LINEN + ACRYLIC</t>
  </si>
  <si>
    <t>P542-612.JPG</t>
  </si>
  <si>
    <t>P542</t>
  </si>
  <si>
    <t>METAL/FABRIC</t>
  </si>
  <si>
    <t>P561-144A-L</t>
  </si>
  <si>
    <t>12W LED</t>
  </si>
  <si>
    <t>P561-144A-L.JPG</t>
  </si>
  <si>
    <t>P561</t>
  </si>
  <si>
    <t>Metal + Glass</t>
  </si>
  <si>
    <t>P563-144A</t>
  </si>
  <si>
    <t>P563-144A.JPG</t>
  </si>
  <si>
    <t>P563</t>
  </si>
  <si>
    <t>P564-077-L</t>
  </si>
  <si>
    <t>Z04 20W LED</t>
  </si>
  <si>
    <t>P564-077-L.JPG</t>
  </si>
  <si>
    <t>Metal+Glass</t>
  </si>
  <si>
    <t>P565-077</t>
  </si>
  <si>
    <t>P565-077.JPG</t>
  </si>
  <si>
    <t>P565</t>
  </si>
  <si>
    <t>P5710-084</t>
  </si>
  <si>
    <t>LINKS - 1 LIGHT WALL SCONCE</t>
  </si>
  <si>
    <t>LINKS</t>
  </si>
  <si>
    <t>A-19, MEDIUM</t>
  </si>
  <si>
    <t>P5710-084.JPG</t>
  </si>
  <si>
    <t>P5710</t>
  </si>
  <si>
    <t>P5711-084</t>
  </si>
  <si>
    <t>LINKS - 1 LIGHT MINI PENDANT</t>
  </si>
  <si>
    <t>P5711-084.JPG</t>
  </si>
  <si>
    <t>P5711</t>
  </si>
  <si>
    <t>P5712-084</t>
  </si>
  <si>
    <t>LINKS - 2 LIGHT BATH</t>
  </si>
  <si>
    <t>P5712-084.JPG</t>
  </si>
  <si>
    <t>P5712</t>
  </si>
  <si>
    <t>P5713-084</t>
  </si>
  <si>
    <t>LINKS - 3 LIGHT BATH</t>
  </si>
  <si>
    <t>P5713-084.JPG</t>
  </si>
  <si>
    <t>P5713</t>
  </si>
  <si>
    <t>P5715-084</t>
  </si>
  <si>
    <t>LINKS - 5 LIGHT CHANDELIER</t>
  </si>
  <si>
    <t>A-19,MEDIUM</t>
  </si>
  <si>
    <t>P5715-084.JPG</t>
  </si>
  <si>
    <t>P5715</t>
  </si>
  <si>
    <t>P5721-084-L</t>
  </si>
  <si>
    <t>SKINNY - LED BATH</t>
  </si>
  <si>
    <t>P5721-084-L.JPG</t>
  </si>
  <si>
    <t>P5721</t>
  </si>
  <si>
    <t>P5722-084-L</t>
  </si>
  <si>
    <t>P5722-084-L.JPG</t>
  </si>
  <si>
    <t>P5722</t>
  </si>
  <si>
    <t>P5723-084-L</t>
  </si>
  <si>
    <t>P5723-084-L.JPG</t>
  </si>
  <si>
    <t>P5723</t>
  </si>
  <si>
    <t>P5724-084-L</t>
  </si>
  <si>
    <t>P5724-084-L.JPG</t>
  </si>
  <si>
    <t>P5724</t>
  </si>
  <si>
    <t>P574-084-L</t>
  </si>
  <si>
    <t>LED BATH LIGHT</t>
  </si>
  <si>
    <t>P574-084-L.JPG</t>
  </si>
  <si>
    <t>P574-L</t>
  </si>
  <si>
    <t>P5743-084</t>
  </si>
  <si>
    <t>GRID</t>
  </si>
  <si>
    <t>A-19,75W MEDIUM BASE</t>
  </si>
  <si>
    <t>P5743-084.JPG</t>
  </si>
  <si>
    <t>P5743</t>
  </si>
  <si>
    <t>P5745-084</t>
  </si>
  <si>
    <t>P5745-084.JPG</t>
  </si>
  <si>
    <t>P5745</t>
  </si>
  <si>
    <t>P5746-084</t>
  </si>
  <si>
    <t>Perforated Steel</t>
  </si>
  <si>
    <t>P5746-084.JPG</t>
  </si>
  <si>
    <t>P5746</t>
  </si>
  <si>
    <t>P5747-084</t>
  </si>
  <si>
    <t>P5747-084.JPG</t>
  </si>
  <si>
    <t>P5747</t>
  </si>
  <si>
    <t>P575-084-L</t>
  </si>
  <si>
    <t>LED VANITY LIGHT</t>
  </si>
  <si>
    <t>LOUPE - LED BATH</t>
  </si>
  <si>
    <t>LOUPE</t>
  </si>
  <si>
    <t>Z26 26W LED</t>
  </si>
  <si>
    <t>ETCHED ACID INSIDE WHITE</t>
  </si>
  <si>
    <t>P575-084-L.JPG</t>
  </si>
  <si>
    <t>P575-L</t>
  </si>
  <si>
    <t>P5770-084</t>
  </si>
  <si>
    <t>P5770-084.JPG</t>
  </si>
  <si>
    <t>P5770</t>
  </si>
  <si>
    <t>P5803-077</t>
  </si>
  <si>
    <t>JEWEL BOX - 3 LIGHT BATH</t>
  </si>
  <si>
    <t>JEWEL BOX</t>
  </si>
  <si>
    <t>XENON G9,CLEAR</t>
  </si>
  <si>
    <t>Glass + Aluminum</t>
  </si>
  <si>
    <t>Chrome w/Clear Glass</t>
  </si>
  <si>
    <t>P5803-077.JPG</t>
  </si>
  <si>
    <t>P5803</t>
  </si>
  <si>
    <t>IRON+ALUMINUM</t>
  </si>
  <si>
    <t>P5804-077</t>
  </si>
  <si>
    <t>JEWEL BOX - 4 LIGHT BATH</t>
  </si>
  <si>
    <t>XENON G9(CLEAR)</t>
  </si>
  <si>
    <t>Iron + Aluminum</t>
  </si>
  <si>
    <t>P5804-077.JPG</t>
  </si>
  <si>
    <t>P5804</t>
  </si>
  <si>
    <t>IRON + ALUM + GLASS</t>
  </si>
  <si>
    <t>P5805-077</t>
  </si>
  <si>
    <t>JEWEL BOX - 5 LIGHT BATH</t>
  </si>
  <si>
    <t>P5805-077.JPG</t>
  </si>
  <si>
    <t>P5805</t>
  </si>
  <si>
    <t>IRON/ALUM/GLASS</t>
  </si>
  <si>
    <t>P584-084</t>
  </si>
  <si>
    <t>P584-084.JPG</t>
  </si>
  <si>
    <t>P584</t>
  </si>
  <si>
    <t>P591-084</t>
  </si>
  <si>
    <t>SUSPENDED - 3 LIGHT SEMI FLUSH</t>
  </si>
  <si>
    <t>SUSPENDED</t>
  </si>
  <si>
    <t>White Frosted</t>
  </si>
  <si>
    <t>P591-084.JPG</t>
  </si>
  <si>
    <t>P591</t>
  </si>
  <si>
    <t>P591-647</t>
  </si>
  <si>
    <t>WHITE FROSTED</t>
  </si>
  <si>
    <t>P591-647.JPG</t>
  </si>
  <si>
    <t>P592-084</t>
  </si>
  <si>
    <t>SUSPENDED - 4 LIGHT PENDANT</t>
  </si>
  <si>
    <t>P592-084.JPG</t>
  </si>
  <si>
    <t>P592</t>
  </si>
  <si>
    <t>P592-647</t>
  </si>
  <si>
    <t>P592-647.JPG</t>
  </si>
  <si>
    <t>P593-084</t>
  </si>
  <si>
    <t>SUSPENDED - 6 LIGHT PENDANT</t>
  </si>
  <si>
    <t>P593-084.JPG</t>
  </si>
  <si>
    <t>P593</t>
  </si>
  <si>
    <t>METAL / GLASS</t>
  </si>
  <si>
    <t>P593-647</t>
  </si>
  <si>
    <t>P593-647.JPG</t>
  </si>
  <si>
    <t>P5951-077</t>
  </si>
  <si>
    <t>CONVEX - 1 LIGHT WALL MOUNT</t>
  </si>
  <si>
    <t>CONVEX</t>
  </si>
  <si>
    <t>P5951-077.JPG</t>
  </si>
  <si>
    <t>P5951</t>
  </si>
  <si>
    <t>P5952-077</t>
  </si>
  <si>
    <t>CONVEX - 1 LIGHT WALL SCONCE</t>
  </si>
  <si>
    <t>P5952-077.JPG</t>
  </si>
  <si>
    <t>P5952</t>
  </si>
  <si>
    <t>Metal/Glass</t>
  </si>
  <si>
    <t>P5953-077</t>
  </si>
  <si>
    <t>CONVEX - 3 LIGHT BATH</t>
  </si>
  <si>
    <t>P5953-077.JPG</t>
  </si>
  <si>
    <t>P5953</t>
  </si>
  <si>
    <t>P5954-077</t>
  </si>
  <si>
    <t>CONVEX - 4 LIGHT BATH</t>
  </si>
  <si>
    <t>P5954-077.JPG</t>
  </si>
  <si>
    <t>P5954</t>
  </si>
  <si>
    <t>P5955-077</t>
  </si>
  <si>
    <t>CONVEX - 5 LIGHT BATH</t>
  </si>
  <si>
    <t>P5955-077.JPG</t>
  </si>
  <si>
    <t>P5955</t>
  </si>
  <si>
    <t>P600-3-603</t>
  </si>
  <si>
    <t>1 LIGHT SWING ARM WALL SCONCE</t>
  </si>
  <si>
    <t>P600-3-603.JPG</t>
  </si>
  <si>
    <t>P600-3</t>
  </si>
  <si>
    <t>P600-3-615</t>
  </si>
  <si>
    <t>P3</t>
  </si>
  <si>
    <t>Antique Dorian Bronze</t>
  </si>
  <si>
    <t>P600-3-615.JPG</t>
  </si>
  <si>
    <t>P6105</t>
  </si>
  <si>
    <t>LED MIRROR</t>
  </si>
  <si>
    <t>MIRROR</t>
  </si>
  <si>
    <t>P6105.JPG</t>
  </si>
  <si>
    <t>P6106</t>
  </si>
  <si>
    <t>P6106.JPG</t>
  </si>
  <si>
    <t>P6107</t>
  </si>
  <si>
    <t>P6107.JPG</t>
  </si>
  <si>
    <t>P6108</t>
  </si>
  <si>
    <t>P6108.JPG</t>
  </si>
  <si>
    <t>P6109</t>
  </si>
  <si>
    <t>P6109.JPG</t>
  </si>
  <si>
    <t>P611-077</t>
  </si>
  <si>
    <t>JA8 B10 4W LED BULB</t>
  </si>
  <si>
    <t>P611-077.JPG</t>
  </si>
  <si>
    <t>P611</t>
  </si>
  <si>
    <t>P611-077-L</t>
  </si>
  <si>
    <t>P611-077-L.JPG</t>
  </si>
  <si>
    <t>P6115-1-077</t>
  </si>
  <si>
    <t>P6115-1-077.JPG</t>
  </si>
  <si>
    <t>P6115-1</t>
  </si>
  <si>
    <t>P652-077</t>
  </si>
  <si>
    <t>G30,MED</t>
  </si>
  <si>
    <t>ANODIZED ALUMINUM WIRE</t>
  </si>
  <si>
    <t>P652-077.JPG</t>
  </si>
  <si>
    <t>P652</t>
  </si>
  <si>
    <t>ALUMINUM/METAL</t>
  </si>
  <si>
    <t>P661-077</t>
  </si>
  <si>
    <t>1 LIGHT ACCENT LAMP</t>
  </si>
  <si>
    <t>PORTABLES - 1 LIGHT ACCENT LAMP</t>
  </si>
  <si>
    <t>GLOSSY WHITE</t>
  </si>
  <si>
    <t>P661-077.JPG</t>
  </si>
  <si>
    <t>P661</t>
  </si>
  <si>
    <t>P663-077</t>
  </si>
  <si>
    <t>1 LT ACCENT LAMP</t>
  </si>
  <si>
    <t>GLOSSY GREEN</t>
  </si>
  <si>
    <t>P663-077.JPG</t>
  </si>
  <si>
    <t>P663</t>
  </si>
  <si>
    <t>P664-077</t>
  </si>
  <si>
    <t>GLOSSY RED</t>
  </si>
  <si>
    <t>P664-077.JPG</t>
  </si>
  <si>
    <t>P664</t>
  </si>
  <si>
    <t>P6982-077-L</t>
  </si>
  <si>
    <t>HIDDEN GEMS - LED BATH</t>
  </si>
  <si>
    <t>HIDDEN GEMS</t>
  </si>
  <si>
    <t>P6982-077-L.JPG</t>
  </si>
  <si>
    <t>P6982-L</t>
  </si>
  <si>
    <t>STEEL + CRYSTAL</t>
  </si>
  <si>
    <t>P6983-077-L</t>
  </si>
  <si>
    <t>P6983-077-L.JPG</t>
  </si>
  <si>
    <t>P6983-L</t>
  </si>
  <si>
    <t>P722-613</t>
  </si>
  <si>
    <t>P722-613.JPG</t>
  </si>
  <si>
    <t>P722</t>
  </si>
  <si>
    <t>P723-077</t>
  </si>
  <si>
    <t>P723-077.JPG</t>
  </si>
  <si>
    <t>P723</t>
  </si>
  <si>
    <t>P725-077</t>
  </si>
  <si>
    <t>EIDOLON KRYSTAL</t>
  </si>
  <si>
    <t>P725-077.JPG</t>
  </si>
  <si>
    <t>P725</t>
  </si>
  <si>
    <t>P729-077</t>
  </si>
  <si>
    <t>CROSS-SILK</t>
  </si>
  <si>
    <t>GREY CROSS</t>
  </si>
  <si>
    <t>P729-077.JPG</t>
  </si>
  <si>
    <t>P729</t>
  </si>
  <si>
    <t>STEEL + BRASS</t>
  </si>
  <si>
    <t>P733-077</t>
  </si>
  <si>
    <t>DARK CHOCOLATE</t>
  </si>
  <si>
    <t>P733-077.JPG</t>
  </si>
  <si>
    <t>P733</t>
  </si>
  <si>
    <t>P742-077</t>
  </si>
  <si>
    <t>A21 MED</t>
  </si>
  <si>
    <t>P742-077.JPG</t>
  </si>
  <si>
    <t>P742</t>
  </si>
  <si>
    <t>STEEL/ACRYLIC</t>
  </si>
  <si>
    <t>P745-077</t>
  </si>
  <si>
    <t>P745-077.JPG</t>
  </si>
  <si>
    <t>P745</t>
  </si>
  <si>
    <t>P764-613</t>
  </si>
  <si>
    <t>P764-613.JPG</t>
  </si>
  <si>
    <t>P764</t>
  </si>
  <si>
    <t>STEEL + CRYSTAL + KIRSITE</t>
  </si>
  <si>
    <t>P765-613</t>
  </si>
  <si>
    <t>P765-613.JPG</t>
  </si>
  <si>
    <t>P765</t>
  </si>
  <si>
    <t>P767-613</t>
  </si>
  <si>
    <t>P767-613.JPG</t>
  </si>
  <si>
    <t>P767</t>
  </si>
  <si>
    <t>P794-613</t>
  </si>
  <si>
    <t>P794-613.JPG</t>
  </si>
  <si>
    <t>P794</t>
  </si>
  <si>
    <t>P795-613</t>
  </si>
  <si>
    <t>P795-613.JPG</t>
  </si>
  <si>
    <t>P795</t>
  </si>
  <si>
    <t>P7981-077</t>
  </si>
  <si>
    <t>LAYOVER - 1 LIGHT BATH</t>
  </si>
  <si>
    <t>LAYOVER</t>
  </si>
  <si>
    <t>A-19 Med</t>
  </si>
  <si>
    <t>P7981-077.JPG</t>
  </si>
  <si>
    <t>P7981</t>
  </si>
  <si>
    <t>Stainless Steel + Glass</t>
  </si>
  <si>
    <t>P7985-077</t>
  </si>
  <si>
    <t>2 LIGHT DRUM PENDANT</t>
  </si>
  <si>
    <t>LAYOVER - 2 LIGHT PENDANT</t>
  </si>
  <si>
    <t>P7985-077.JPG</t>
  </si>
  <si>
    <t>P7985</t>
  </si>
  <si>
    <t>STAINLESS STEEL+GLASS+FABRIC</t>
  </si>
  <si>
    <t>P7986-077</t>
  </si>
  <si>
    <t>LAYOVER - 4 LIGHT PENDANT</t>
  </si>
  <si>
    <t>P7986-077.JPG</t>
  </si>
  <si>
    <t>P7986</t>
  </si>
  <si>
    <t>Stainless Steel+Glass+Fabric</t>
  </si>
  <si>
    <t>P7987-077</t>
  </si>
  <si>
    <t>3 LIGHT ISLAND LIGHT</t>
  </si>
  <si>
    <t>LAYOVER - 3 LIGHT ISLAND</t>
  </si>
  <si>
    <t>P7987-077.JPG</t>
  </si>
  <si>
    <t>P7987</t>
  </si>
  <si>
    <t>P7988-077</t>
  </si>
  <si>
    <t>2 LIGHT SEMI FLUSH MOUNT</t>
  </si>
  <si>
    <t>LAYOVER - 2 LIGHT SEMI FLUSH</t>
  </si>
  <si>
    <t>P7988-077.JPG</t>
  </si>
  <si>
    <t>P7988</t>
  </si>
  <si>
    <t>P7989-077</t>
  </si>
  <si>
    <t>2 LIGHT FLUSH MOUNT</t>
  </si>
  <si>
    <t>LAYOVER - 2 LIGHT FLUSH MOUNT</t>
  </si>
  <si>
    <t>P7989-077.JPG</t>
  </si>
  <si>
    <t>P7989</t>
  </si>
  <si>
    <t>P800-077</t>
  </si>
  <si>
    <t>JEWEL BOX - 1 LIGHT BATH</t>
  </si>
  <si>
    <t>XENON,G9 (CLEAR)</t>
  </si>
  <si>
    <t>P800-077.JPG</t>
  </si>
  <si>
    <t>P800</t>
  </si>
  <si>
    <t>IRON/ALUMIUM/GLASS</t>
  </si>
  <si>
    <t>P801-077</t>
  </si>
  <si>
    <t>JEWEL BOX - 1 LIGHT MINI PENDANT</t>
  </si>
  <si>
    <t>XENON G9 (CLEAR)</t>
  </si>
  <si>
    <t>Chrome/Clear Glass</t>
  </si>
  <si>
    <t>P801-077.JPG</t>
  </si>
  <si>
    <t>P801</t>
  </si>
  <si>
    <t>IRON+ALUM+GLASS</t>
  </si>
  <si>
    <t>P802-077</t>
  </si>
  <si>
    <t>JEWEL BOX - 4 LIGHT SEMI FLUSH MOUNT</t>
  </si>
  <si>
    <t>XENON, G9 (CLEAR)</t>
  </si>
  <si>
    <t>P802-077.JPG</t>
  </si>
  <si>
    <t>P802</t>
  </si>
  <si>
    <t>IRON+ALUMINUM+GLASS</t>
  </si>
  <si>
    <t>P8021-084</t>
  </si>
  <si>
    <t>1 LIGHT LOW VOLTAGE MINI PENDANT</t>
  </si>
  <si>
    <t>PIERCE</t>
  </si>
  <si>
    <t>MR16 Halogen</t>
  </si>
  <si>
    <t>P8021-084.JPG</t>
  </si>
  <si>
    <t>P8021</t>
  </si>
  <si>
    <t>P8025-084</t>
  </si>
  <si>
    <t>6 LIGHT LOW VOLTAGE CHANDELIER</t>
  </si>
  <si>
    <t>COUNTER WEIGHTS - 6 LIGHT LOW VOLTAGE CHANDELIER</t>
  </si>
  <si>
    <t>XENON JC (G4,12V) FROSTED</t>
  </si>
  <si>
    <t>WHITE ETCHED</t>
  </si>
  <si>
    <t>P8025-084.JPG</t>
  </si>
  <si>
    <t>P8025</t>
  </si>
  <si>
    <t>P803-077</t>
  </si>
  <si>
    <t>6 LIGHT ISLAND LIGHT</t>
  </si>
  <si>
    <t>JEWEL BOX - 6 LIGHT ISLAND</t>
  </si>
  <si>
    <t>P803-077.JPG</t>
  </si>
  <si>
    <t>P803</t>
  </si>
  <si>
    <t>IRON/ALUMINUM/GLASS</t>
  </si>
  <si>
    <t>P804-077</t>
  </si>
  <si>
    <t>JEWEL BOX - 4 LIGHT ISLAND</t>
  </si>
  <si>
    <t>P804-077.JPG</t>
  </si>
  <si>
    <t>P804</t>
  </si>
  <si>
    <t>P806-077</t>
  </si>
  <si>
    <t>JEWEL BOX - 6 LIGHT CHANDELIER</t>
  </si>
  <si>
    <t>XENON G9 CLEAR</t>
  </si>
  <si>
    <t>P806-077.JPG</t>
  </si>
  <si>
    <t>P806</t>
  </si>
  <si>
    <t>P8067-077</t>
  </si>
  <si>
    <t>PILLOW - 4 LIGHT FLUSH MOUNT</t>
  </si>
  <si>
    <t>B10.5, CAND</t>
  </si>
  <si>
    <t>P8067-077.JPG</t>
  </si>
  <si>
    <t>P8067</t>
  </si>
  <si>
    <t>P8080-615</t>
  </si>
  <si>
    <t>KIMONO</t>
  </si>
  <si>
    <t>A19,60W MEDIUM BASE</t>
  </si>
  <si>
    <t>BEIGE</t>
  </si>
  <si>
    <t>P8080-615.JPG</t>
  </si>
  <si>
    <t>P8080</t>
  </si>
  <si>
    <t>P8081-615</t>
  </si>
  <si>
    <t>A-19,100W MEDIUM BASE</t>
  </si>
  <si>
    <t>P8081-615.JPG</t>
  </si>
  <si>
    <t>P8081</t>
  </si>
  <si>
    <t>P8085-615</t>
  </si>
  <si>
    <t>Silk</t>
  </si>
  <si>
    <t>Beige</t>
  </si>
  <si>
    <t>P8085-615.JPG</t>
  </si>
  <si>
    <t>P8085</t>
  </si>
  <si>
    <t>P8086-615</t>
  </si>
  <si>
    <t>P8086-615.JPG</t>
  </si>
  <si>
    <t>P8086</t>
  </si>
  <si>
    <t>P8087-615</t>
  </si>
  <si>
    <t>P8087-615.JPG</t>
  </si>
  <si>
    <t>P8087</t>
  </si>
  <si>
    <t>P8130-044-L</t>
  </si>
  <si>
    <t>STAR GATE - 23.75" LED PENDANT</t>
  </si>
  <si>
    <t>STAR GATE</t>
  </si>
  <si>
    <t>P8130-044-L.JPG</t>
  </si>
  <si>
    <t>P8130</t>
  </si>
  <si>
    <t>P8131-044-L</t>
  </si>
  <si>
    <t>STAR GATE - 33.5" LED PENDANT</t>
  </si>
  <si>
    <t>P8131-044-L.JPG</t>
  </si>
  <si>
    <t>P8131</t>
  </si>
  <si>
    <t>P8141-609-L</t>
  </si>
  <si>
    <t>DISCOVERY - LED PENDANT</t>
  </si>
  <si>
    <t>DISCOVERY</t>
  </si>
  <si>
    <t>P8141-609-L.JPG</t>
  </si>
  <si>
    <t>P8141</t>
  </si>
  <si>
    <t>ALUM+ACRYLIC+STEEL</t>
  </si>
  <si>
    <t>P8142-609-L</t>
  </si>
  <si>
    <t>P8142-609-L.JPG</t>
  </si>
  <si>
    <t>P8142</t>
  </si>
  <si>
    <t>P8143-609-L</t>
  </si>
  <si>
    <t>DISCOVERY - 3 RING LED PENDANT</t>
  </si>
  <si>
    <t>P8143-609-L.JPG</t>
  </si>
  <si>
    <t>P8143</t>
  </si>
  <si>
    <t>P8148-668-L</t>
  </si>
  <si>
    <t>HONEY DRIP - LED PENDANT</t>
  </si>
  <si>
    <t>HONEY DRIP</t>
  </si>
  <si>
    <t>SUNSET GOLD</t>
  </si>
  <si>
    <t>P8148-668-L.JPG</t>
  </si>
  <si>
    <t>P8148</t>
  </si>
  <si>
    <t>P8150-066-L</t>
  </si>
  <si>
    <t>RADAR - LED PENDANT</t>
  </si>
  <si>
    <t>RADAR</t>
  </si>
  <si>
    <t>P8150-066-L.JPG</t>
  </si>
  <si>
    <t>P8150</t>
  </si>
  <si>
    <t>ACRYLIC/GLASS</t>
  </si>
  <si>
    <t>P8153-670-L</t>
  </si>
  <si>
    <t>RENDEZVOUS - 23.75" LED PENDANT</t>
  </si>
  <si>
    <t>RENDEZVOUS</t>
  </si>
  <si>
    <t>SATIN BRONZE</t>
  </si>
  <si>
    <t>P8153-670-L.JPG</t>
  </si>
  <si>
    <t>P8153</t>
  </si>
  <si>
    <t>P8154-670-L</t>
  </si>
  <si>
    <t>RENDEZVOUS - 31.5" LED PENDANT</t>
  </si>
  <si>
    <t>P8154-670-L.JPG</t>
  </si>
  <si>
    <t>P8154</t>
  </si>
  <si>
    <t>P8162-670-L</t>
  </si>
  <si>
    <t>FULL ORBIT - LED PENDANT</t>
  </si>
  <si>
    <t>FULL ORBIT</t>
  </si>
  <si>
    <t>P8162-670-L.JPG</t>
  </si>
  <si>
    <t>P8162</t>
  </si>
  <si>
    <t>P8163-670-L</t>
  </si>
  <si>
    <t>P8163-670-L.JPG</t>
  </si>
  <si>
    <t>P8163</t>
  </si>
  <si>
    <t>P8164-670-L</t>
  </si>
  <si>
    <t>P8164-670-L.JPG</t>
  </si>
  <si>
    <t>P8164</t>
  </si>
  <si>
    <t>P8172-670-L</t>
  </si>
  <si>
    <t>ROULETTE - 25.5" LED PENDANT</t>
  </si>
  <si>
    <t>ROULETTE</t>
  </si>
  <si>
    <t>P8172-670-L.JPG</t>
  </si>
  <si>
    <t>P8172</t>
  </si>
  <si>
    <t>alu+iron+acrylic</t>
  </si>
  <si>
    <t>P8173-670-L</t>
  </si>
  <si>
    <t>ROULETTE - 33.5" LED PENDANT</t>
  </si>
  <si>
    <t>P8173-670-L.JPG</t>
  </si>
  <si>
    <t>P8173</t>
  </si>
  <si>
    <t>ALU+IRON+ACRYLIC</t>
  </si>
  <si>
    <t>P8174-670-L</t>
  </si>
  <si>
    <t>ROULETTE - 41.5" LED PENDANT</t>
  </si>
  <si>
    <t>P8174-670-L.JPG</t>
  </si>
  <si>
    <t>P8174</t>
  </si>
  <si>
    <t>P8202-044B-L</t>
  </si>
  <si>
    <t>SNOW SPRITE - 20.5" LED PENDANT</t>
  </si>
  <si>
    <t>SNOW SPRITE</t>
  </si>
  <si>
    <t>P8202-044B-L.JPG</t>
  </si>
  <si>
    <t>P8202</t>
  </si>
  <si>
    <t>P8203-044B-L</t>
  </si>
  <si>
    <t>SNOW SPRITE - 26" LED PENDANT</t>
  </si>
  <si>
    <t>P8203-044B-L.JPG</t>
  </si>
  <si>
    <t>P8203</t>
  </si>
  <si>
    <t>P8204-044B-L</t>
  </si>
  <si>
    <t>SNOW SPRITE - 33.5" LED PENDANT</t>
  </si>
  <si>
    <t>P8204-044B-L.JPG</t>
  </si>
  <si>
    <t>P8204</t>
  </si>
  <si>
    <t>ALUM+IRON+ACRYCLIC</t>
  </si>
  <si>
    <t>P8216-044B-L</t>
  </si>
  <si>
    <t>HEXACOMB - LED PENDANT</t>
  </si>
  <si>
    <t>HEXACOMB</t>
  </si>
  <si>
    <t>P8216-044B-L.JPG</t>
  </si>
  <si>
    <t>P8216</t>
  </si>
  <si>
    <t>PC+ACRYLIC+IRON</t>
  </si>
  <si>
    <t>P8218-044B-L</t>
  </si>
  <si>
    <t>P8218-044B-L.JPG</t>
  </si>
  <si>
    <t>P8218</t>
  </si>
  <si>
    <t>PVC+ACRYLIC+IRON</t>
  </si>
  <si>
    <t>P8219-044B-L</t>
  </si>
  <si>
    <t>P8219-044B-L.JPG</t>
  </si>
  <si>
    <t>P8219</t>
  </si>
  <si>
    <t>PC+IRON+ACRYLIC</t>
  </si>
  <si>
    <t>P8226-668-L</t>
  </si>
  <si>
    <t>FROST</t>
  </si>
  <si>
    <t>P8226-668-L.JPG</t>
  </si>
  <si>
    <t>P8226</t>
  </si>
  <si>
    <t>P8229-668-L</t>
  </si>
  <si>
    <t>P8229-668-L.JPG</t>
  </si>
  <si>
    <t>P8229</t>
  </si>
  <si>
    <t>P8236-671-L</t>
  </si>
  <si>
    <t>LED CHANDELIER</t>
  </si>
  <si>
    <t>GEORGE'S WEB - LED CHANDELIER</t>
  </si>
  <si>
    <t>GEORGE'S WEB</t>
  </si>
  <si>
    <t>BRONZE W/GOLD DUST</t>
  </si>
  <si>
    <t>P8236-671-L.JPG</t>
  </si>
  <si>
    <t>P8236</t>
  </si>
  <si>
    <t>ALUM+IRON+GLASS</t>
  </si>
  <si>
    <t>P8238-671-L</t>
  </si>
  <si>
    <t>LED CHANDELIER(CONVERTIBLE TO SEMI FLUSH)</t>
  </si>
  <si>
    <t>P8238-671-L.JPG</t>
  </si>
  <si>
    <t>P8238</t>
  </si>
  <si>
    <t>P8239-671-L</t>
  </si>
  <si>
    <t>GEORGE'S WEB - LED CHANDELIER (CONVERTIBLE TO SEMI FLUSH)</t>
  </si>
  <si>
    <t>P8239-671-L.JPG</t>
  </si>
  <si>
    <t>P8239</t>
  </si>
  <si>
    <t>P840-044-L</t>
  </si>
  <si>
    <t>P840-044-L.JPG</t>
  </si>
  <si>
    <t>P840</t>
  </si>
  <si>
    <t>STEEL/ALUM/GLASS</t>
  </si>
  <si>
    <t>P840-609-L</t>
  </si>
  <si>
    <t>P840-609-L.JPG</t>
  </si>
  <si>
    <t>STEEL/GLASS/ALUMINUM</t>
  </si>
  <si>
    <t>P840-647B-L</t>
  </si>
  <si>
    <t>P840-647B-L.JPG</t>
  </si>
  <si>
    <t>P841-044-L</t>
  </si>
  <si>
    <t>Z17,LED</t>
  </si>
  <si>
    <t>P841-044-L.JPG</t>
  </si>
  <si>
    <t>P841</t>
  </si>
  <si>
    <t>P841-609-L</t>
  </si>
  <si>
    <t>P841-609-L.JPG</t>
  </si>
  <si>
    <t>STEEL+ALU+GLASS</t>
  </si>
  <si>
    <t>P841-647B-L</t>
  </si>
  <si>
    <t>P841-647B-L.JPG</t>
  </si>
  <si>
    <t>P842-044-L</t>
  </si>
  <si>
    <t>LED PUCK LIGHT</t>
  </si>
  <si>
    <t>P842-044-L.JPG</t>
  </si>
  <si>
    <t>P842</t>
  </si>
  <si>
    <t>ALUM+GLASS</t>
  </si>
  <si>
    <t>P842-609-L</t>
  </si>
  <si>
    <t>P842-609-L.JPG</t>
  </si>
  <si>
    <t>P842-647B-L</t>
  </si>
  <si>
    <t>P842-647B-L.JPG</t>
  </si>
  <si>
    <t>P845-077-L</t>
  </si>
  <si>
    <t>DIAMOND DUST - LED FLUSH MOUNT</t>
  </si>
  <si>
    <t>DIAMOND DUST</t>
  </si>
  <si>
    <t>CLEAR GLASS W/ CRYSTAL SAND W/ A HOLE IN CENTER</t>
  </si>
  <si>
    <t>P845-077-L.JPG</t>
  </si>
  <si>
    <t>P845-L</t>
  </si>
  <si>
    <t>METAL+GLASS+CRYSTAL SAND</t>
  </si>
  <si>
    <t>P854-084</t>
  </si>
  <si>
    <t>P854-084.JPG</t>
  </si>
  <si>
    <t>P854</t>
  </si>
  <si>
    <t>P861-084</t>
  </si>
  <si>
    <t>P861-084.JPG</t>
  </si>
  <si>
    <t>P861</t>
  </si>
  <si>
    <t>P931-084</t>
  </si>
  <si>
    <t>1 LIGHT MINI PENDANT (CONVERTIBLE TO WALL SCONCE)</t>
  </si>
  <si>
    <t>BUBBLE - 1 LIGHT WALL SCONCE</t>
  </si>
  <si>
    <t>BUBBLE</t>
  </si>
  <si>
    <t>P931-084.JPG</t>
  </si>
  <si>
    <t>P931</t>
  </si>
  <si>
    <t>P931-647</t>
  </si>
  <si>
    <t>BUBBLE - 1 LIGHT PENDANT</t>
  </si>
  <si>
    <t>T-10, MED.</t>
  </si>
  <si>
    <t>TEAK</t>
  </si>
  <si>
    <t>P931-647.JPG</t>
  </si>
  <si>
    <t>STEEL &amp; GLASS</t>
  </si>
  <si>
    <t>P941-077</t>
  </si>
  <si>
    <t>BLING BANG - 1 LIGHT PENDANT</t>
  </si>
  <si>
    <t>GU10 Halogen</t>
  </si>
  <si>
    <t>P941-077.JPG</t>
  </si>
  <si>
    <t>P941</t>
  </si>
  <si>
    <t>P9451-2-077</t>
  </si>
  <si>
    <t>LARRY</t>
  </si>
  <si>
    <t>PAR-16(E26)</t>
  </si>
  <si>
    <t>METAL + ACRYLIC</t>
  </si>
  <si>
    <t>P9451-2-077.JPG</t>
  </si>
  <si>
    <t>P9451-2</t>
  </si>
  <si>
    <t>P9451-2-614</t>
  </si>
  <si>
    <t>PAR16 HALOGEN</t>
  </si>
  <si>
    <t>SATIN ALUMINUM</t>
  </si>
  <si>
    <t>Satin Aluminum</t>
  </si>
  <si>
    <t>P9451-2-614.JPG</t>
  </si>
  <si>
    <t>P950-084-L</t>
  </si>
  <si>
    <t>LED WALL SCONCE/ FLUSH MOUNT</t>
  </si>
  <si>
    <t>U. H. O. - LED WALL SCONCE/ FLUSH MOUNT</t>
  </si>
  <si>
    <t>U.H.O.</t>
  </si>
  <si>
    <t>L-MD-C9615C-40W</t>
  </si>
  <si>
    <t>P950-084-L.JPG</t>
  </si>
  <si>
    <t>P950-L</t>
  </si>
  <si>
    <t>Steel+Alum+Acrylic</t>
  </si>
  <si>
    <t>P951-084-L</t>
  </si>
  <si>
    <t>U. H. O. - LED PENDANT</t>
  </si>
  <si>
    <t>P951-084-L.JPG</t>
  </si>
  <si>
    <t>P951-L</t>
  </si>
  <si>
    <t>P959-084-L</t>
  </si>
  <si>
    <t>LED TORCHIERE</t>
  </si>
  <si>
    <t>U. H. O. - LED TORCHIERE</t>
  </si>
  <si>
    <t>P959-084-L.JPG</t>
  </si>
  <si>
    <t>P959</t>
  </si>
  <si>
    <t>P960-077</t>
  </si>
  <si>
    <t>P960-077.JPG</t>
  </si>
  <si>
    <t>P960</t>
  </si>
  <si>
    <t>P961-077</t>
  </si>
  <si>
    <t>P961-077.JPG</t>
  </si>
  <si>
    <t>P961</t>
  </si>
  <si>
    <t>P962-077</t>
  </si>
  <si>
    <t>P962-077.JPG</t>
  </si>
  <si>
    <t>P962</t>
  </si>
  <si>
    <t>P963-077</t>
  </si>
  <si>
    <t>Clear w/Chrome Mesh</t>
  </si>
  <si>
    <t>P963-077.JPG</t>
  </si>
  <si>
    <t>P963</t>
  </si>
  <si>
    <t>P965-077</t>
  </si>
  <si>
    <t>P965-077.JPG</t>
  </si>
  <si>
    <t>P965</t>
  </si>
  <si>
    <t>P970-647</t>
  </si>
  <si>
    <t>LIGHT RAIN - 1 LIGHT WALL SCONCE</t>
  </si>
  <si>
    <t>LIGHT RAIN</t>
  </si>
  <si>
    <t>CLEAR SEEDED</t>
  </si>
  <si>
    <t>P970-647.JPG</t>
  </si>
  <si>
    <t>P970</t>
  </si>
  <si>
    <t>P971-647</t>
  </si>
  <si>
    <t>LIGHT RAIN - 1 LIGHT MINI PENDANT</t>
  </si>
  <si>
    <t>P971-647.JPG</t>
  </si>
  <si>
    <t>P971</t>
  </si>
  <si>
    <t>P975-647</t>
  </si>
  <si>
    <t>LIGHT RAIN - 6 LIGHT CHANDELIER</t>
  </si>
  <si>
    <t>P975-647.JPG</t>
  </si>
  <si>
    <t>P975</t>
  </si>
  <si>
    <t>P980-077-L</t>
  </si>
  <si>
    <t>HIDDEN GEMS - LED FLUSH MOUNT</t>
  </si>
  <si>
    <t>LED, L-MD-C7211B-40W</t>
  </si>
  <si>
    <t>P980-077-L.JPG</t>
  </si>
  <si>
    <t>P980-L</t>
  </si>
  <si>
    <t>P985-077-L</t>
  </si>
  <si>
    <t>LED SEMI FLUSH MOUNT</t>
  </si>
  <si>
    <t>HIDDEN GEMS - LED SEMI FLUSH</t>
  </si>
  <si>
    <t>P985-077-L.JPG</t>
  </si>
  <si>
    <t>P985-L</t>
  </si>
  <si>
    <t>P989-077-L</t>
  </si>
  <si>
    <t>HIDDEN GEMS - LED PENDANT</t>
  </si>
  <si>
    <t>P989-077-L.JPG</t>
  </si>
  <si>
    <t>P989-L</t>
  </si>
  <si>
    <t>STAINLESS STEEL+CRYSTAL STRANDS</t>
  </si>
  <si>
    <t>P991-084</t>
  </si>
  <si>
    <t>HOLE-IN-ONE - 1 LIGHT MINI PENDANT</t>
  </si>
  <si>
    <t>HOLE-IN-ONE</t>
  </si>
  <si>
    <t>Clear Flat Panel with Etched Opal</t>
  </si>
  <si>
    <t>P991-084.JPG</t>
  </si>
  <si>
    <t>P991</t>
  </si>
  <si>
    <t>PG005</t>
  </si>
  <si>
    <t>ETCHED OPAL GLASS SHADE</t>
  </si>
  <si>
    <t>REPLACEMENT GLASS FOR P005-084</t>
  </si>
  <si>
    <t>PG005.JPG</t>
  </si>
  <si>
    <t>PG033</t>
  </si>
  <si>
    <t>REPLACEMENT GLASS FOR P033-077</t>
  </si>
  <si>
    <t>PG033.JPG</t>
  </si>
  <si>
    <t>PG034</t>
  </si>
  <si>
    <t>CLEAR GLASS (BOTTOM)</t>
  </si>
  <si>
    <t>REPLACEMENT GLASS FOR P034-077 (BOTTOM)</t>
  </si>
  <si>
    <t>PG034.JPG</t>
  </si>
  <si>
    <t>PG034-CVR</t>
  </si>
  <si>
    <t>CLEAR GLASS (TOP DIFFUSER)</t>
  </si>
  <si>
    <t>REPLACEMENT TOP DIFFUSER FOR P034-077</t>
  </si>
  <si>
    <t>PG034-CVR.JPG</t>
  </si>
  <si>
    <t>PG070</t>
  </si>
  <si>
    <t>WHITE FROSTED GLASS</t>
  </si>
  <si>
    <t>REPLACEMENT GLASS FOR P070-609</t>
  </si>
  <si>
    <t>PG070.JPG</t>
  </si>
  <si>
    <t>PG1831</t>
  </si>
  <si>
    <t>REPLACEMENT GLASS</t>
  </si>
  <si>
    <t>REPLACEMENT GLASS FOR P1831-1/2/3-077 P1833/9-077</t>
  </si>
  <si>
    <t>PG1831.JPG</t>
  </si>
  <si>
    <t>PG1834</t>
  </si>
  <si>
    <t>REPLACEMENT GLASS FOR P1834-077</t>
  </si>
  <si>
    <t>PG1834.JPG</t>
  </si>
  <si>
    <t>PG195</t>
  </si>
  <si>
    <t>PAINTED ETCH OPAL GLASS</t>
  </si>
  <si>
    <t>REPLACEMENT GLASS FOR P195-084</t>
  </si>
  <si>
    <t>PG195.JPG</t>
  </si>
  <si>
    <t>PG196</t>
  </si>
  <si>
    <t>REPLACEMENT GLASS FOR P196-084</t>
  </si>
  <si>
    <t>PG196.JPG</t>
  </si>
  <si>
    <t>PG211</t>
  </si>
  <si>
    <t>REPLACEMENT GLASS FOR P211/19-084</t>
  </si>
  <si>
    <t>PG211.JPG</t>
  </si>
  <si>
    <t>PG220</t>
  </si>
  <si>
    <t>REPLACEMENT GLASS FOR P220-084</t>
  </si>
  <si>
    <t>PG220.JPG</t>
  </si>
  <si>
    <t>PG256-1</t>
  </si>
  <si>
    <t>REPLACEMENT GLASS FOR P256-084</t>
  </si>
  <si>
    <t>PG256-1.JPG</t>
  </si>
  <si>
    <t>PG340-1-CVR</t>
  </si>
  <si>
    <t>CLEAR FROSTED TOP DIFFUSER</t>
  </si>
  <si>
    <t>REPLACEMENT DIFFUSER FOR P340-617 (TOP)</t>
  </si>
  <si>
    <t>PG340-1-CVR.JPG</t>
  </si>
  <si>
    <t>PG340-2-CVR</t>
  </si>
  <si>
    <t>CLEAR FROSTED BOTTOM DIFFUSER</t>
  </si>
  <si>
    <t>REPLACEMENT BOTTOM DIFFUSER P340-617</t>
  </si>
  <si>
    <t>PG340-2-CVR.JPG</t>
  </si>
  <si>
    <t>PG346-1</t>
  </si>
  <si>
    <t>RIGHT SIDE GLASS</t>
  </si>
  <si>
    <t>REPLACEMENT GLASS FOR P346-617 (RIGHT SIDE SHIELD)</t>
  </si>
  <si>
    <t>PG346-1.JPG</t>
  </si>
  <si>
    <t>PG402-10</t>
  </si>
  <si>
    <t>WHITE GLASS SHADE</t>
  </si>
  <si>
    <t>REPLACEMENT GLASS FOR P402-10-084</t>
  </si>
  <si>
    <t>PG402-10.JPG</t>
  </si>
  <si>
    <t>PG402-23</t>
  </si>
  <si>
    <t>BLUE ART GLASS SHADE</t>
  </si>
  <si>
    <t>REPLACEMENT BLUE ART GLASS P402-23-084</t>
  </si>
  <si>
    <t>BLUE ART</t>
  </si>
  <si>
    <t>PG402-23.JPG</t>
  </si>
  <si>
    <t>PG402-33</t>
  </si>
  <si>
    <t>AMBER ART GLASS</t>
  </si>
  <si>
    <t>REPLACEMENT AMBER ART GLASS P402-33-084</t>
  </si>
  <si>
    <t>AMBER ART</t>
  </si>
  <si>
    <t>PG402-33.JPG</t>
  </si>
  <si>
    <t>PG402-43</t>
  </si>
  <si>
    <t>RED ART GLASS SHADE</t>
  </si>
  <si>
    <t>REPLACEMENT GLASS FOR P402-43-084</t>
  </si>
  <si>
    <t>RED ART</t>
  </si>
  <si>
    <t>PG402-43.JPG</t>
  </si>
  <si>
    <t>PG465</t>
  </si>
  <si>
    <t>OPAL WHITE GLASS</t>
  </si>
  <si>
    <t>REPLACEMENT GLASS FOR P465-084</t>
  </si>
  <si>
    <t>PG465.JPG</t>
  </si>
  <si>
    <t>PG477-CVR</t>
  </si>
  <si>
    <t>GLASS BOWL DIFFUSER</t>
  </si>
  <si>
    <t>REPLACEMENT DIFFUSER FOR P477/P478-077</t>
  </si>
  <si>
    <t>PG477-CVR.JPG</t>
  </si>
  <si>
    <t>PG563</t>
  </si>
  <si>
    <t>REPLACEMENT GLASS FOR P563-144A</t>
  </si>
  <si>
    <t>PG563.JPG</t>
  </si>
  <si>
    <t>PG564</t>
  </si>
  <si>
    <t>REPLACEMENT GLASS FOR P564-077 &amp; P564-077-L</t>
  </si>
  <si>
    <t>PG564.JPG</t>
  </si>
  <si>
    <t>PG565</t>
  </si>
  <si>
    <t>REPLACEMENT GLASS FOR P565-077</t>
  </si>
  <si>
    <t>PG565.JPG</t>
  </si>
  <si>
    <t>PG5710</t>
  </si>
  <si>
    <t>REPLACEMENT ETCHED OPAL GLASS FOR P5710/1/5-084</t>
  </si>
  <si>
    <t>PG5710.JPG</t>
  </si>
  <si>
    <t>PG5712</t>
  </si>
  <si>
    <t>REPLACEMENT GLASS FOR P5712-084</t>
  </si>
  <si>
    <t>PG5712.JPG</t>
  </si>
  <si>
    <t>PG5713</t>
  </si>
  <si>
    <t>REPLACEMENT GLASS FOR P5713-084</t>
  </si>
  <si>
    <t>PG5713.JPG</t>
  </si>
  <si>
    <t>PG5714</t>
  </si>
  <si>
    <t>REPLACEMENT GLASS FOR P5714-084</t>
  </si>
  <si>
    <t>PG5714.JPG</t>
  </si>
  <si>
    <t>PG584</t>
  </si>
  <si>
    <t>REPLACEMENT GLASS P584-084, P588-084</t>
  </si>
  <si>
    <t>PG584.JPG</t>
  </si>
  <si>
    <t>PG591</t>
  </si>
  <si>
    <t>REPLACEMENT GLASS FOR P591-084/647</t>
  </si>
  <si>
    <t>PG591.JPG</t>
  </si>
  <si>
    <t>PG592</t>
  </si>
  <si>
    <t>WHITEFROSTED GLASS</t>
  </si>
  <si>
    <t>REPLACEMENT GLASS FOR P592-084/647</t>
  </si>
  <si>
    <t>PG592.JPG</t>
  </si>
  <si>
    <t>PG592-CVR</t>
  </si>
  <si>
    <t>REPLACEMENT DIFFUSER FOR P592-084/647 (FROST ONE SIDE)</t>
  </si>
  <si>
    <t>PG592-CVR.JPG</t>
  </si>
  <si>
    <t>PG593</t>
  </si>
  <si>
    <t>REPLACEMENT GLASS FOR P593-084/647</t>
  </si>
  <si>
    <t>PG593.JPG</t>
  </si>
  <si>
    <t>PG593-CVR</t>
  </si>
  <si>
    <t>REPLACEMENT DIFUSSER GLASS FOR P593-084/647</t>
  </si>
  <si>
    <t>PG593-CVR.JPG</t>
  </si>
  <si>
    <t>PG661</t>
  </si>
  <si>
    <t>WHITE CASED GLASS SHADE</t>
  </si>
  <si>
    <t>REPLACEMENT GLASS FOR P661-077</t>
  </si>
  <si>
    <t>WHITE CASED</t>
  </si>
  <si>
    <t>PG661.JPG</t>
  </si>
  <si>
    <t>PG663</t>
  </si>
  <si>
    <t>GREEN CASED GLASS SHADE</t>
  </si>
  <si>
    <t>REPLACEMENT GLASS FOR P663-077</t>
  </si>
  <si>
    <t>GREEN CASED</t>
  </si>
  <si>
    <t>PG663.JPG</t>
  </si>
  <si>
    <t>PG664</t>
  </si>
  <si>
    <t>RED CASED GLASS SHADE</t>
  </si>
  <si>
    <t>REPLACEMENT GLASS FOR P664-077</t>
  </si>
  <si>
    <t>RED CASED</t>
  </si>
  <si>
    <t>PG664.JPG</t>
  </si>
  <si>
    <t>PG806</t>
  </si>
  <si>
    <t>REPLACEMENT GLASS FOR P800/1/2/3/4/6-077 &amp; P5803/4/5-077</t>
  </si>
  <si>
    <t>PG806.JPG</t>
  </si>
  <si>
    <t>PS194</t>
  </si>
  <si>
    <t>WHITE ROUND CLOTH/STEEL SHADE</t>
  </si>
  <si>
    <t>REPLACEMENT SHADE FOR P194-084</t>
  </si>
  <si>
    <t>CLOTH/STEEL</t>
  </si>
  <si>
    <t>PS194.JPG</t>
  </si>
  <si>
    <t>PS399</t>
  </si>
  <si>
    <t>WHITE FABRIC DRUM SHADE</t>
  </si>
  <si>
    <t>REPLACEMENT SHADE FOR P399-613</t>
  </si>
  <si>
    <t>PS399.JPG</t>
  </si>
  <si>
    <t>PS477</t>
  </si>
  <si>
    <t>FABRIC WHITE SHADE</t>
  </si>
  <si>
    <t>REPLACEMENT SHADE FOR P477-077</t>
  </si>
  <si>
    <t>PS477.JPG</t>
  </si>
  <si>
    <t>PS478</t>
  </si>
  <si>
    <t>WHITE FABRIC SHADE</t>
  </si>
  <si>
    <t>REPLACEMENT SHADE FOR P478-077</t>
  </si>
  <si>
    <t>PS478.JPG</t>
  </si>
  <si>
    <t>PS652</t>
  </si>
  <si>
    <t>ALUMINUM SHADE</t>
  </si>
  <si>
    <t>REPLACEMENT SHADE FOR P652-077/P653-077/P656-077</t>
  </si>
  <si>
    <t>ANODIZED ALUMINUM</t>
  </si>
  <si>
    <t>PS652.JPG</t>
  </si>
  <si>
    <t>PS721</t>
  </si>
  <si>
    <t>ROUND WHITE SILK SHADE</t>
  </si>
  <si>
    <t>REPLACEMENT SHADE FOR P721-634</t>
  </si>
  <si>
    <t>SILK (ROUND)</t>
  </si>
  <si>
    <t>PS721.JPG</t>
  </si>
  <si>
    <t>PS722</t>
  </si>
  <si>
    <t>WHITE LINEN SHADE</t>
  </si>
  <si>
    <t>REPLACEMENT GLASS FOR P722/5-613</t>
  </si>
  <si>
    <t>PS722.JPG</t>
  </si>
  <si>
    <t>PS723</t>
  </si>
  <si>
    <t>RECTANGLE WHITE LINEN SHADE</t>
  </si>
  <si>
    <t>REPLACEMENT SHD P723-077, P794-613, P763-613</t>
  </si>
  <si>
    <t>PS723.JPG</t>
  </si>
  <si>
    <t>PS729</t>
  </si>
  <si>
    <t>GRAY CROSS-SILK SQUARE SHADE</t>
  </si>
  <si>
    <t>REPLACEMENT SHADE FOR P729-077</t>
  </si>
  <si>
    <t>GRAY</t>
  </si>
  <si>
    <t>PS729.JPG</t>
  </si>
  <si>
    <t>PS733</t>
  </si>
  <si>
    <t>DARK CHOCOLATE ROUND FABRIC SHADE</t>
  </si>
  <si>
    <t>REPLACEMENT SHADE FOR P733-077/P734-077</t>
  </si>
  <si>
    <t>PS733.JPG</t>
  </si>
  <si>
    <t>PS742</t>
  </si>
  <si>
    <t>SQ CUT CORNER WHITE FABRIC SHADE</t>
  </si>
  <si>
    <t>REPLACEMENT SHADE FOR P742-077</t>
  </si>
  <si>
    <t>PS742.JPG</t>
  </si>
  <si>
    <t>PS745</t>
  </si>
  <si>
    <t>ROUND FABRIC BLACK SHADE</t>
  </si>
  <si>
    <t>REPLACEMENT SHADE FOR P745/P746-077</t>
  </si>
  <si>
    <t>PS745.JPG</t>
  </si>
  <si>
    <t>PS795</t>
  </si>
  <si>
    <t>WHITE LINEN RECTANGLE SHADE</t>
  </si>
  <si>
    <t>REPLACEMENT SHADE P795/P796/P764/P765/P766-613, P762-077</t>
  </si>
  <si>
    <t>PS795.JPG</t>
  </si>
  <si>
    <t>RP053</t>
  </si>
  <si>
    <t>ROUND METAL SHADE</t>
  </si>
  <si>
    <t>REPLACEMENT SHADE FOR P053-077</t>
  </si>
  <si>
    <t>077 CHROME</t>
  </si>
  <si>
    <t>RP053.JPG</t>
  </si>
  <si>
    <t>RP312</t>
  </si>
  <si>
    <t>FABRIC SHADE</t>
  </si>
  <si>
    <t>REPLACEMENT SHADE FOR P312-077</t>
  </si>
  <si>
    <t>INNER-CHROME WIRE &amp; MYLAR; OUTER-TRANSLUCENT SILK</t>
  </si>
  <si>
    <t>RP312.JPG</t>
  </si>
  <si>
    <t>RP313-1</t>
  </si>
  <si>
    <t>ROUND SHADE</t>
  </si>
  <si>
    <t>REPLACEMENT SHADE FOR P313-077</t>
  </si>
  <si>
    <t>RP313-1.JPG</t>
  </si>
  <si>
    <t>RP313-2</t>
  </si>
  <si>
    <t>ROUND FABRIC SHADE</t>
  </si>
  <si>
    <t>REPLACEMENT GLASS FOR P313-077 (TOP)</t>
  </si>
  <si>
    <t>CHROME WIRE &amp; MYLAR</t>
  </si>
  <si>
    <t>RP313-2.JPG</t>
  </si>
  <si>
    <t>RP313-3</t>
  </si>
  <si>
    <t>ROUND BOTTOM SHADE</t>
  </si>
  <si>
    <t>REPLACEMENT BOTTOM GLASS SHIELD P313-077</t>
  </si>
  <si>
    <t>RP313-3.JPG</t>
  </si>
  <si>
    <t>RP492-1</t>
  </si>
  <si>
    <t>FABRIC DRUM WHITE SHADE</t>
  </si>
  <si>
    <t>REPLACEMENT SHADE FOR P492-1-084</t>
  </si>
  <si>
    <t>RP492-1.JPG</t>
  </si>
  <si>
    <t>RP516-1</t>
  </si>
  <si>
    <t>IVORY ROUND LINEN SHADE</t>
  </si>
  <si>
    <t>REPLACEMENT SHADE FOR P516-1-615</t>
  </si>
  <si>
    <t>RP516-1.JPG</t>
  </si>
  <si>
    <t>RP516-3</t>
  </si>
  <si>
    <t>LINEN IVORY DRUM SHADE</t>
  </si>
  <si>
    <t>REPLACEMENT P513-3-644, P516-3-615, P516-3-615</t>
  </si>
  <si>
    <t>RP516-3.JPG</t>
  </si>
  <si>
    <t>RP542</t>
  </si>
  <si>
    <t>WHITE DRUM SHADE</t>
  </si>
  <si>
    <t>REPLACEMENT SHADE FOR P542-612, P542-647</t>
  </si>
  <si>
    <t>RP542.JPG</t>
  </si>
  <si>
    <t>RPE0707-1</t>
  </si>
  <si>
    <t>REPLACEMENT FOR P470-084/077, P470-248</t>
  </si>
  <si>
    <t>RPE0707-1.JPG</t>
  </si>
  <si>
    <t>RPE0707-2</t>
  </si>
  <si>
    <t>OFF WHITE SHADE</t>
  </si>
  <si>
    <t>REPLACEMENT SHADE FOR P470-617</t>
  </si>
  <si>
    <t>RPE0707-2.JPG</t>
  </si>
  <si>
    <t>RPE1607-1</t>
  </si>
  <si>
    <t>WHITE SHADE</t>
  </si>
  <si>
    <t>REPLACEMENT FOR P472-084, P472-077, P472-248</t>
  </si>
  <si>
    <t>RPE1607-1.JPG</t>
  </si>
  <si>
    <t>RPE1607-2</t>
  </si>
  <si>
    <t>OFF WHITE FABRIC SHADE</t>
  </si>
  <si>
    <t>REPLACEMENT SHADE FOR P472-617</t>
  </si>
  <si>
    <t>RPE1607-2.JPG</t>
  </si>
  <si>
    <t>RPE1912-1</t>
  </si>
  <si>
    <t>WHITE LINEN FABRIC SHEDE</t>
  </si>
  <si>
    <t>REPLACEMENT SHADE FOR P188-084</t>
  </si>
  <si>
    <t>RPE1912-1.JPG</t>
  </si>
  <si>
    <t>RPF031</t>
  </si>
  <si>
    <t>REPLACEMENT SHADE FOR P031-077</t>
  </si>
  <si>
    <t>RPF031.JPG</t>
  </si>
  <si>
    <t>RPF033</t>
  </si>
  <si>
    <t>SEE GLASS PG034-1/PG033 (GLASS DIFFUSER)</t>
  </si>
  <si>
    <t>SHADE FOR P033-077</t>
  </si>
  <si>
    <t>RPF033.JPG</t>
  </si>
  <si>
    <t>RPF1010-14</t>
  </si>
  <si>
    <t>WHITE PLEATED LINEN SHADE</t>
  </si>
  <si>
    <t>REPLACEMENT SHADE FOR P352-1-084 &amp; P352-084/124</t>
  </si>
  <si>
    <t>RPF1010-14.JPG</t>
  </si>
  <si>
    <t>RPF1711-1</t>
  </si>
  <si>
    <t>WHITE LINEN FABRIC SHADE</t>
  </si>
  <si>
    <t>REPLACEMENT SHADE FOR P184-084</t>
  </si>
  <si>
    <t>RPF1711-1.JPG</t>
  </si>
  <si>
    <t>RS194</t>
  </si>
  <si>
    <t>STEEL FRAME FOR SHADE</t>
  </si>
  <si>
    <t>STEEL FRAME FOR SHADE P194-084</t>
  </si>
  <si>
    <t>RS194.JPG</t>
  </si>
  <si>
    <t>RS197</t>
  </si>
  <si>
    <t>STEEL FRAME FOR SHADE P197-084</t>
  </si>
  <si>
    <t>RS197.JPG</t>
  </si>
  <si>
    <t>SAVE YOUR MARRIAGE™ - 2 LIGHT LED WALL SCONCE</t>
  </si>
  <si>
    <t>SAVE YOUR MARRIAGE™ - 1 LIGHT LED WALL LAMP</t>
  </si>
  <si>
    <t>SECOND MARRIAGE™ - 2 LIGHT LED WALL LAMP</t>
  </si>
  <si>
    <t>ALECIA'S NECKLACE™ - 1 LIGHT MINI PENDANT</t>
  </si>
  <si>
    <t>ALECIA'S NECKLACE™ - 1 LIGHT WALL SCONCE</t>
  </si>
  <si>
    <t>ALECIA'S NECKLACE™ - 3 LIGHT PENDANT</t>
  </si>
  <si>
    <t>ALECIA'S NECKLACE™ - 3 LIGHT SEMI FLUSH</t>
  </si>
  <si>
    <t>ALECIA'S NECKLACE™ - 4 LIGHT PENDANT</t>
  </si>
  <si>
    <t>ALECIA'S NECKLACE™ - LED BATH</t>
  </si>
  <si>
    <t>ALECIA'S NECKLACE™ - LED WALL SCONCE</t>
  </si>
  <si>
    <t>ALECIA'S NECKLACE™ II - LED BATH</t>
  </si>
  <si>
    <t>BLING BLING™ - 1 LIGHT MINI PENDANT</t>
  </si>
  <si>
    <t>BLING BLING™ - 1 LIGHT WALL SCONCE</t>
  </si>
  <si>
    <t>BLING BLING™ - 3 LIGHT PENDANT</t>
  </si>
  <si>
    <t>BLING BLING™ - 3 LIGHT SEMI FLUSH</t>
  </si>
  <si>
    <t>BLING BLING™ - 4 LIGHT PENDANT</t>
  </si>
  <si>
    <t>BORING™ - 1 LIGHT SWING ARM WALL LAMP</t>
  </si>
  <si>
    <t>BRIDGE™ - 3 LIGHT PENDANT</t>
  </si>
  <si>
    <t>GEORGE'S READING ROOM™ - 1 LIGHT ARC FLOOR LAMP MARBLE BASE</t>
  </si>
  <si>
    <t>GEORGE'S READING ROOM™ - 1 LIGHT CONVERTIBLE WALL LAMP WITH READING LAMP</t>
  </si>
  <si>
    <t>GEORGE'S READING ROOM™ - 1 LIGHT FLOOR LAMP</t>
  </si>
  <si>
    <t>GEORGE'S READING ROOM™ - 1 LIGHT LED FLOOR LAMP</t>
  </si>
  <si>
    <t>GEORGE'S READING ROOM™ - 1 LIGHT LED PHARMACY FLOOR LAMP</t>
  </si>
  <si>
    <t>GEORGE'S READING ROOM™ - 1 LIGHT LED PHARMACY TABLE LAMP</t>
  </si>
  <si>
    <t>GEORGE'S READING ROOM™ - 1 LIGHT LED PHARMACY WALL LAMP</t>
  </si>
  <si>
    <t>GEORGE'S READING ROOM™ - 1 LIGHT LED SWING ARM WALL LAMP</t>
  </si>
  <si>
    <t>GEORGE'S READING ROOM™ - 1 LIGHT LED TABLE LAMP</t>
  </si>
  <si>
    <t>GEORGE'S READING ROOM™ - 1 LIGHT LED TABLE LAMP WITH USB PORT</t>
  </si>
  <si>
    <t>GEORGE'S READING ROOM™ - 1 LIGHT WALL LAMP</t>
  </si>
  <si>
    <t>GEORGE'S READING ROOM™ - 2 LIGHT LED SWING ARM WALL LAMP</t>
  </si>
  <si>
    <t>GEORGE'S READING ROOM™ - 2 LIGHT TORCHIERE WITH READING LAMP</t>
  </si>
  <si>
    <t>GRID™ - 1 LIGHT PENDANT</t>
  </si>
  <si>
    <t>GRID™ - 1 LIGHT WALL SCONCE</t>
  </si>
  <si>
    <t>GRID™ - 3 LIGHT PENDANT</t>
  </si>
  <si>
    <t>GRID™ - 3 LIGHT SEMI FLUSH</t>
  </si>
  <si>
    <t>GRID™ - 4 LIGHT PENDANT</t>
  </si>
  <si>
    <t>GRID™ II - 1 LIGHT MINI PENDANT</t>
  </si>
  <si>
    <t>GRID™ II - 1 LIGHT WALL SCONCE</t>
  </si>
  <si>
    <t>GRID™ II - 3 LIGHT PENDANT</t>
  </si>
  <si>
    <t>GRID™ II - 5 LIGHT CHANDELIER</t>
  </si>
  <si>
    <t>KIMONO™ - 1 LIGHT PENDANT</t>
  </si>
  <si>
    <t>KIMONO™ - 3 LIGHT PENDANT</t>
  </si>
  <si>
    <t>KIMONO™ - 4 LIGHT PENDANT</t>
  </si>
  <si>
    <t>KIMONO™ - 5 LIGHT CHANDELIER</t>
  </si>
  <si>
    <t>KIMONO™ - 6 LIGHT CHANDELIER</t>
  </si>
  <si>
    <t>LARRY™ - 1 LIGHT PENDANT</t>
  </si>
  <si>
    <t>P3™ - 1 LIGHT SWING ARM WALL SCONCE</t>
  </si>
  <si>
    <t>PARK™ - 1 LIGHT TABLE LAMP</t>
  </si>
  <si>
    <t>PIERCE™ - 1 LIGHT LOW VOLIGHT AGE WALL LAMP</t>
  </si>
  <si>
    <t>PIERCE™ - MINI PENDANT</t>
  </si>
  <si>
    <t>SOFT™ - 1 LIGHT PENDANT</t>
  </si>
  <si>
    <t>SOFT™ - 1 LIGHT TABLE LAMP</t>
  </si>
  <si>
    <t>SOFT™ - 1 LIGHT TORCHIERE</t>
  </si>
  <si>
    <t>SOFT™- 1 LIGHT PENDANT</t>
  </si>
  <si>
    <t>SOFT™- 1 LIGHT TORCHIERE</t>
  </si>
  <si>
    <t>BRIDGE™</t>
  </si>
  <si>
    <t>EYE SPY</t>
  </si>
  <si>
    <t>FRAMEWORK</t>
  </si>
  <si>
    <t>LED UNDER-CABINET - L-CONNECTOR-FOR USE WITH UNDER-CABINET PRODUCTS.</t>
  </si>
  <si>
    <t>LED UNDER-CABINET - T-CONNECTOR-FOR USE WITH UNDER-CABINET PRODUCTS.</t>
  </si>
  <si>
    <t>MADAKE - LED SWING ARM</t>
  </si>
  <si>
    <t>MADAKE</t>
  </si>
  <si>
    <t>George Kovacs  Distributor Net/UMAP Price List - Effective July 9,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</si>
</sst>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16" fillId="0" borderId="0" xfId="0" applyFont="1" applyFill="1"/>
    <xf numFmtId="0" fontId="0" fillId="0" borderId="0" xfId="0" applyFill="1"/>
    <xf numFmtId="15" fontId="0" fillId="0" borderId="0" xfId="0" applyNumberFormat="1" applyFill="1"/>
    <xf numFmtId="14" fontId="0" fillId="0" borderId="0" xfId="0" applyNumberFormat="1" applyFill="1"/>
    <xf numFmtId="44" fontId="16" fillId="0" borderId="0" xfId="42" applyFont="1" applyFill="1"/>
    <xf numFmtId="44" fontId="0" fillId="0" borderId="0" xfId="42" applyFont="1" applyFill="1"/>
    <xf numFmtId="10" fontId="0" fillId="0" borderId="0" xfId="43" applyNumberFormat="1" applyFont="1" applyFill="1"/>
    <xf numFmtId="0" fontId="18" fillId="0" borderId="0" xfId="0" applyFont="1" applyFill="1"/>
    <xf numFmtId="0" fontId="0" fillId="0" borderId="0" xfId="0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22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15" x14ac:dyDescent="0.25"/>
  <cols>
    <col min="1" max="1" width="16.28515625" style="2" bestFit="1" customWidth="1"/>
    <col min="2" max="2" width="13.140625" style="2" bestFit="1" customWidth="1"/>
    <col min="3" max="3" width="55.28515625" style="2" bestFit="1" customWidth="1"/>
    <col min="4" max="4" width="82.5703125" style="2" bestFit="1" customWidth="1"/>
    <col min="5" max="5" width="24.5703125" style="2" bestFit="1" customWidth="1"/>
    <col min="6" max="6" width="32.42578125" style="2" bestFit="1" customWidth="1"/>
    <col min="7" max="7" width="14.42578125" style="2" bestFit="1" customWidth="1"/>
    <col min="8" max="8" width="15.28515625" style="2" bestFit="1" customWidth="1"/>
    <col min="9" max="9" width="11" style="2" bestFit="1" customWidth="1"/>
    <col min="10" max="10" width="15.42578125" style="6" bestFit="1" customWidth="1"/>
    <col min="11" max="11" width="11" style="6" bestFit="1" customWidth="1"/>
    <col min="12" max="12" width="9.5703125" style="2" bestFit="1" customWidth="1"/>
    <col min="13" max="13" width="5.7109375" style="2" bestFit="1" customWidth="1"/>
    <col min="14" max="14" width="10.5703125" style="2" bestFit="1" customWidth="1"/>
    <col min="15" max="15" width="6.42578125" style="2" bestFit="1" customWidth="1"/>
    <col min="16" max="16" width="11.28515625" style="6" bestFit="1" customWidth="1"/>
    <col min="17" max="17" width="10.5703125" style="2" bestFit="1" customWidth="1"/>
    <col min="18" max="18" width="11.140625" style="2" bestFit="1" customWidth="1"/>
    <col min="19" max="20" width="7" style="2" bestFit="1" customWidth="1"/>
    <col min="21" max="21" width="6.42578125" style="2" bestFit="1" customWidth="1"/>
    <col min="22" max="22" width="8" style="2" bestFit="1" customWidth="1"/>
    <col min="23" max="23" width="7.42578125" style="2" bestFit="1" customWidth="1"/>
    <col min="24" max="24" width="15.42578125" style="2" bestFit="1" customWidth="1"/>
    <col min="25" max="25" width="13.28515625" style="2" bestFit="1" customWidth="1"/>
    <col min="26" max="26" width="13.42578125" style="2" bestFit="1" customWidth="1"/>
    <col min="27" max="27" width="12.7109375" style="2" bestFit="1" customWidth="1"/>
    <col min="28" max="28" width="16.7109375" style="2" bestFit="1" customWidth="1"/>
    <col min="29" max="29" width="12.7109375" style="2" bestFit="1" customWidth="1"/>
    <col min="30" max="30" width="7.85546875" style="2" bestFit="1" customWidth="1"/>
    <col min="31" max="31" width="16" style="2" bestFit="1" customWidth="1"/>
    <col min="32" max="32" width="33" style="2" bestFit="1" customWidth="1"/>
    <col min="33" max="33" width="12.5703125" style="2" bestFit="1" customWidth="1"/>
    <col min="34" max="34" width="17" style="2" bestFit="1" customWidth="1"/>
    <col min="35" max="35" width="14.140625" style="2" bestFit="1" customWidth="1"/>
    <col min="36" max="36" width="14.28515625" style="2" bestFit="1" customWidth="1"/>
    <col min="37" max="37" width="13.28515625" style="2" bestFit="1" customWidth="1"/>
    <col min="38" max="38" width="15.7109375" style="2" bestFit="1" customWidth="1"/>
    <col min="39" max="39" width="4.42578125" style="2" bestFit="1" customWidth="1"/>
    <col min="40" max="40" width="3.85546875" style="2" bestFit="1" customWidth="1"/>
    <col min="41" max="41" width="3.140625" style="2" bestFit="1" customWidth="1"/>
    <col min="42" max="42" width="11.5703125" style="2" bestFit="1" customWidth="1"/>
    <col min="43" max="43" width="6.42578125" style="2" bestFit="1" customWidth="1"/>
    <col min="44" max="44" width="11" style="2" bestFit="1" customWidth="1"/>
    <col min="45" max="45" width="19.42578125" style="2" bestFit="1" customWidth="1"/>
    <col min="46" max="46" width="8" style="2" bestFit="1" customWidth="1"/>
    <col min="47" max="47" width="14.5703125" style="2" bestFit="1" customWidth="1"/>
    <col min="48" max="48" width="10.85546875" style="2" bestFit="1" customWidth="1"/>
    <col min="49" max="49" width="8.85546875" style="2" bestFit="1" customWidth="1"/>
    <col min="50" max="50" width="35.140625" style="2" bestFit="1" customWidth="1"/>
    <col min="51" max="51" width="15.5703125" style="2" bestFit="1" customWidth="1"/>
    <col min="52" max="52" width="16" style="2" bestFit="1" customWidth="1"/>
    <col min="53" max="53" width="13.85546875" style="2" bestFit="1" customWidth="1"/>
    <col min="54" max="54" width="53.85546875" style="2" bestFit="1" customWidth="1"/>
    <col min="55" max="55" width="49.42578125" style="2" bestFit="1" customWidth="1"/>
    <col min="56" max="56" width="17" style="2" bestFit="1" customWidth="1"/>
    <col min="57" max="57" width="15.7109375" style="2" bestFit="1" customWidth="1"/>
    <col min="58" max="58" width="20.140625" style="2" bestFit="1" customWidth="1"/>
    <col min="59" max="59" width="8.42578125" style="2" bestFit="1" customWidth="1"/>
    <col min="60" max="60" width="4.85546875" style="2" bestFit="1" customWidth="1"/>
    <col min="61" max="61" width="7.42578125" style="2" bestFit="1" customWidth="1"/>
    <col min="62" max="62" width="14.28515625" style="2" bestFit="1" customWidth="1"/>
    <col min="63" max="63" width="20.5703125" style="2" bestFit="1" customWidth="1"/>
    <col min="64" max="64" width="14.28515625" style="2" bestFit="1" customWidth="1"/>
    <col min="65" max="65" width="15.5703125" style="2" bestFit="1" customWidth="1"/>
    <col min="66" max="66" width="16" style="2" bestFit="1" customWidth="1"/>
    <col min="67" max="67" width="18.5703125" style="2" bestFit="1" customWidth="1"/>
    <col min="68" max="68" width="16.140625" style="2" bestFit="1" customWidth="1"/>
    <col min="69" max="69" width="21.7109375" style="2" bestFit="1" customWidth="1"/>
    <col min="70" max="70" width="19.140625" style="2" bestFit="1" customWidth="1"/>
    <col min="71" max="71" width="19.28515625" style="2" bestFit="1" customWidth="1"/>
    <col min="72" max="72" width="18.7109375" style="2" bestFit="1" customWidth="1"/>
    <col min="73" max="74" width="17.28515625" style="2" bestFit="1" customWidth="1"/>
    <col min="75" max="75" width="15.140625" style="2" bestFit="1" customWidth="1"/>
    <col min="76" max="76" width="10.85546875" style="2" bestFit="1" customWidth="1"/>
    <col min="77" max="77" width="16.42578125" style="2" bestFit="1" customWidth="1"/>
    <col min="78" max="78" width="11.7109375" style="2" bestFit="1" customWidth="1"/>
    <col min="79" max="79" width="19.140625" style="2" bestFit="1" customWidth="1"/>
    <col min="80" max="80" width="35.140625" style="2" bestFit="1" customWidth="1"/>
    <col min="81" max="81" width="4.5703125" style="2" bestFit="1" customWidth="1"/>
    <col min="82" max="82" width="5.7109375" style="2" bestFit="1" customWidth="1"/>
    <col min="83" max="83" width="5.85546875" style="2" bestFit="1" customWidth="1"/>
    <col min="84" max="84" width="10" style="2" bestFit="1" customWidth="1"/>
    <col min="85" max="85" width="11.140625" style="2" bestFit="1" customWidth="1"/>
    <col min="86" max="86" width="3.140625" style="2" bestFit="1" customWidth="1"/>
    <col min="87" max="87" width="13.5703125" style="2" bestFit="1" customWidth="1"/>
    <col min="88" max="88" width="17.28515625" style="2" bestFit="1" customWidth="1"/>
    <col min="89" max="89" width="15.5703125" style="2" bestFit="1" customWidth="1"/>
    <col min="90" max="90" width="10.140625" style="2" bestFit="1" customWidth="1"/>
    <col min="91" max="91" width="6" style="2" bestFit="1" customWidth="1"/>
    <col min="92" max="92" width="53.85546875" style="2" bestFit="1" customWidth="1"/>
    <col min="93" max="93" width="10.7109375" style="2" bestFit="1" customWidth="1"/>
    <col min="94" max="94" width="11.28515625" style="2" bestFit="1" customWidth="1"/>
    <col min="95" max="16384" width="9.140625" style="2"/>
  </cols>
  <sheetData>
    <row r="1" spans="1:97" ht="18.75" x14ac:dyDescent="0.3">
      <c r="A1" s="8" t="s">
        <v>3715</v>
      </c>
      <c r="J1" s="2"/>
      <c r="K1" s="2"/>
      <c r="P1" s="2"/>
      <c r="CR1" s="9"/>
      <c r="CS1" s="9"/>
    </row>
    <row r="2" spans="1:97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5" t="s">
        <v>9</v>
      </c>
      <c r="K2" s="5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5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  <c r="AW2" s="1" t="s">
        <v>48</v>
      </c>
      <c r="AX2" s="1" t="s">
        <v>49</v>
      </c>
      <c r="AY2" s="1" t="s">
        <v>50</v>
      </c>
      <c r="AZ2" s="1" t="s">
        <v>51</v>
      </c>
      <c r="BA2" s="1" t="s">
        <v>52</v>
      </c>
      <c r="BB2" s="1" t="s">
        <v>53</v>
      </c>
      <c r="BC2" s="1" t="s">
        <v>54</v>
      </c>
      <c r="BD2" s="1" t="s">
        <v>55</v>
      </c>
      <c r="BE2" s="1" t="s">
        <v>56</v>
      </c>
      <c r="BF2" s="1" t="s">
        <v>57</v>
      </c>
      <c r="BG2" s="1" t="s">
        <v>58</v>
      </c>
      <c r="BH2" s="1" t="s">
        <v>59</v>
      </c>
      <c r="BI2" s="1" t="s">
        <v>60</v>
      </c>
      <c r="BJ2" s="1" t="s">
        <v>61</v>
      </c>
      <c r="BK2" s="1" t="s">
        <v>62</v>
      </c>
      <c r="BL2" s="1" t="s">
        <v>63</v>
      </c>
      <c r="BM2" s="1" t="s">
        <v>64</v>
      </c>
      <c r="BN2" s="1" t="s">
        <v>65</v>
      </c>
      <c r="BO2" s="1" t="s">
        <v>66</v>
      </c>
      <c r="BP2" s="1" t="s">
        <v>67</v>
      </c>
      <c r="BQ2" s="1" t="s">
        <v>68</v>
      </c>
      <c r="BR2" s="1" t="s">
        <v>69</v>
      </c>
      <c r="BS2" s="1" t="s">
        <v>70</v>
      </c>
      <c r="BT2" s="1" t="s">
        <v>71</v>
      </c>
      <c r="BU2" s="1" t="s">
        <v>72</v>
      </c>
      <c r="BV2" s="1" t="s">
        <v>73</v>
      </c>
      <c r="BW2" s="1" t="s">
        <v>74</v>
      </c>
      <c r="BX2" s="1" t="s">
        <v>75</v>
      </c>
      <c r="BY2" s="1" t="s">
        <v>76</v>
      </c>
      <c r="BZ2" s="1" t="s">
        <v>77</v>
      </c>
      <c r="CA2" s="1" t="s">
        <v>78</v>
      </c>
      <c r="CB2" s="1" t="s">
        <v>79</v>
      </c>
      <c r="CC2" s="1" t="s">
        <v>80</v>
      </c>
      <c r="CD2" s="1" t="s">
        <v>81</v>
      </c>
      <c r="CE2" s="1" t="s">
        <v>82</v>
      </c>
      <c r="CF2" s="1" t="s">
        <v>83</v>
      </c>
      <c r="CG2" s="1" t="s">
        <v>84</v>
      </c>
      <c r="CH2" s="1" t="s">
        <v>85</v>
      </c>
      <c r="CI2" s="1" t="s">
        <v>86</v>
      </c>
      <c r="CJ2" s="1" t="s">
        <v>87</v>
      </c>
      <c r="CK2" s="1" t="s">
        <v>88</v>
      </c>
      <c r="CL2" s="1" t="s">
        <v>89</v>
      </c>
      <c r="CM2" s="1" t="s">
        <v>90</v>
      </c>
      <c r="CN2" s="1" t="s">
        <v>91</v>
      </c>
      <c r="CO2" s="1" t="s">
        <v>92</v>
      </c>
      <c r="CP2" s="1" t="s">
        <v>93</v>
      </c>
    </row>
    <row r="3" spans="1:97" x14ac:dyDescent="0.25">
      <c r="A3" s="2" t="s">
        <v>103</v>
      </c>
      <c r="B3" s="2" t="str">
        <f xml:space="preserve"> "" &amp; 844349008538</f>
        <v>844349008538</v>
      </c>
      <c r="C3" s="2" t="s">
        <v>104</v>
      </c>
      <c r="D3" s="2" t="s">
        <v>105</v>
      </c>
      <c r="F3" s="2" t="s">
        <v>106</v>
      </c>
      <c r="G3" s="2">
        <v>1</v>
      </c>
      <c r="H3" s="2">
        <v>1</v>
      </c>
      <c r="I3" s="2" t="s">
        <v>94</v>
      </c>
      <c r="J3" s="6">
        <v>14</v>
      </c>
      <c r="K3" s="6">
        <v>42</v>
      </c>
      <c r="L3" s="2">
        <v>0</v>
      </c>
      <c r="N3" s="2">
        <v>0</v>
      </c>
      <c r="Q3" s="6"/>
      <c r="R3" s="7"/>
      <c r="S3" s="2">
        <v>1</v>
      </c>
      <c r="T3" s="2">
        <v>1</v>
      </c>
      <c r="U3" s="2">
        <v>1</v>
      </c>
      <c r="W3" s="2">
        <v>1.42</v>
      </c>
      <c r="X3" s="2">
        <v>1</v>
      </c>
      <c r="Y3" s="2">
        <v>16.25</v>
      </c>
      <c r="Z3" s="2">
        <v>16.25</v>
      </c>
      <c r="AA3" s="2">
        <v>5</v>
      </c>
      <c r="AB3" s="2">
        <v>0.76400000000000001</v>
      </c>
      <c r="AC3" s="2">
        <v>2</v>
      </c>
      <c r="AK3" s="2" t="s">
        <v>95</v>
      </c>
      <c r="AM3" s="2" t="s">
        <v>95</v>
      </c>
      <c r="AN3" s="2" t="s">
        <v>95</v>
      </c>
      <c r="AO3" s="2" t="s">
        <v>95</v>
      </c>
      <c r="AP3" s="2" t="s">
        <v>97</v>
      </c>
      <c r="AQ3" s="2" t="s">
        <v>98</v>
      </c>
      <c r="AV3" s="2" t="s">
        <v>95</v>
      </c>
      <c r="BF3" s="2" t="s">
        <v>107</v>
      </c>
      <c r="BG3" s="2" t="s">
        <v>95</v>
      </c>
      <c r="BH3" s="2" t="s">
        <v>95</v>
      </c>
      <c r="BI3" s="2" t="s">
        <v>95</v>
      </c>
      <c r="CA3" s="2" t="s">
        <v>103</v>
      </c>
      <c r="CL3" s="2" t="s">
        <v>95</v>
      </c>
      <c r="CM3" s="2" t="s">
        <v>95</v>
      </c>
      <c r="CO3" s="3">
        <v>40654</v>
      </c>
      <c r="CP3" s="3">
        <v>43634</v>
      </c>
    </row>
    <row r="4" spans="1:97" x14ac:dyDescent="0.25">
      <c r="A4" s="2" t="s">
        <v>108</v>
      </c>
      <c r="B4" s="2" t="str">
        <f xml:space="preserve"> "" &amp; 844349010357</f>
        <v>844349010357</v>
      </c>
      <c r="C4" s="2" t="s">
        <v>109</v>
      </c>
      <c r="D4" s="2" t="s">
        <v>110</v>
      </c>
      <c r="F4" s="2" t="s">
        <v>106</v>
      </c>
      <c r="G4" s="2">
        <v>1</v>
      </c>
      <c r="H4" s="2">
        <v>1</v>
      </c>
      <c r="I4" s="2" t="s">
        <v>94</v>
      </c>
      <c r="J4" s="6">
        <v>34</v>
      </c>
      <c r="K4" s="6">
        <v>102</v>
      </c>
      <c r="L4" s="2">
        <v>0</v>
      </c>
      <c r="N4" s="2">
        <v>0</v>
      </c>
      <c r="Q4" s="6"/>
      <c r="R4" s="7"/>
      <c r="S4" s="2">
        <v>0.13</v>
      </c>
      <c r="U4" s="2">
        <v>17.5</v>
      </c>
      <c r="W4" s="2">
        <v>3.85</v>
      </c>
      <c r="X4" s="2">
        <v>1</v>
      </c>
      <c r="Y4" s="2">
        <v>6</v>
      </c>
      <c r="Z4" s="2">
        <v>20.25</v>
      </c>
      <c r="AA4" s="2">
        <v>20.25</v>
      </c>
      <c r="AB4" s="2">
        <v>1.4239999999999999</v>
      </c>
      <c r="AC4" s="2">
        <v>3.96</v>
      </c>
      <c r="AK4" s="2" t="s">
        <v>95</v>
      </c>
      <c r="AM4" s="2" t="s">
        <v>95</v>
      </c>
      <c r="AN4" s="2" t="s">
        <v>95</v>
      </c>
      <c r="AO4" s="2" t="s">
        <v>95</v>
      </c>
      <c r="AP4" s="2" t="s">
        <v>97</v>
      </c>
      <c r="AQ4" s="2" t="s">
        <v>98</v>
      </c>
      <c r="AV4" s="2" t="s">
        <v>95</v>
      </c>
      <c r="BF4" s="2" t="s">
        <v>111</v>
      </c>
      <c r="BG4" s="2" t="s">
        <v>95</v>
      </c>
      <c r="BH4" s="2" t="s">
        <v>95</v>
      </c>
      <c r="BI4" s="2" t="s">
        <v>95</v>
      </c>
      <c r="CA4" s="2" t="s">
        <v>108</v>
      </c>
      <c r="CL4" s="2" t="s">
        <v>95</v>
      </c>
      <c r="CM4" s="2" t="s">
        <v>95</v>
      </c>
      <c r="CO4" s="3">
        <v>40686</v>
      </c>
      <c r="CP4" s="3">
        <v>43634</v>
      </c>
    </row>
    <row r="5" spans="1:97" x14ac:dyDescent="0.25">
      <c r="A5" s="2" t="s">
        <v>112</v>
      </c>
      <c r="B5" s="2" t="str">
        <f xml:space="preserve"> "" &amp; 844349003670</f>
        <v>844349003670</v>
      </c>
      <c r="C5" s="2" t="s">
        <v>113</v>
      </c>
      <c r="D5" s="2" t="s">
        <v>114</v>
      </c>
      <c r="F5" s="2" t="s">
        <v>115</v>
      </c>
      <c r="G5" s="2">
        <v>1</v>
      </c>
      <c r="H5" s="2">
        <v>1</v>
      </c>
      <c r="I5" s="2" t="s">
        <v>94</v>
      </c>
      <c r="J5" s="6">
        <v>7.5</v>
      </c>
      <c r="K5" s="6">
        <v>22.5</v>
      </c>
      <c r="L5" s="2">
        <v>0</v>
      </c>
      <c r="N5" s="2">
        <v>0</v>
      </c>
      <c r="Q5" s="6"/>
      <c r="R5" s="7"/>
      <c r="S5" s="2">
        <v>1</v>
      </c>
      <c r="T5" s="2">
        <v>1</v>
      </c>
      <c r="U5" s="2">
        <v>1</v>
      </c>
      <c r="W5" s="2">
        <v>0.18</v>
      </c>
      <c r="X5" s="2">
        <v>1</v>
      </c>
      <c r="Y5" s="2">
        <v>6.25</v>
      </c>
      <c r="Z5" s="2">
        <v>11.5</v>
      </c>
      <c r="AA5" s="2">
        <v>10.5</v>
      </c>
      <c r="AB5" s="2">
        <v>0.437</v>
      </c>
      <c r="AC5" s="2">
        <v>0.26</v>
      </c>
      <c r="AK5" s="2" t="s">
        <v>95</v>
      </c>
      <c r="AM5" s="2" t="s">
        <v>95</v>
      </c>
      <c r="AN5" s="2" t="s">
        <v>95</v>
      </c>
      <c r="AO5" s="2" t="s">
        <v>95</v>
      </c>
      <c r="AP5" s="2" t="s">
        <v>97</v>
      </c>
      <c r="AV5" s="2" t="s">
        <v>95</v>
      </c>
      <c r="AX5" s="2" t="s">
        <v>116</v>
      </c>
      <c r="BF5" s="2" t="s">
        <v>117</v>
      </c>
      <c r="BG5" s="2" t="s">
        <v>95</v>
      </c>
      <c r="BH5" s="2" t="s">
        <v>95</v>
      </c>
      <c r="BI5" s="2" t="s">
        <v>95</v>
      </c>
      <c r="CB5" s="2" t="s">
        <v>116</v>
      </c>
      <c r="CL5" s="2" t="s">
        <v>95</v>
      </c>
      <c r="CM5" s="2" t="s">
        <v>95</v>
      </c>
      <c r="CP5" s="3">
        <v>43634</v>
      </c>
    </row>
    <row r="6" spans="1:97" x14ac:dyDescent="0.25">
      <c r="A6" s="2" t="s">
        <v>118</v>
      </c>
      <c r="B6" s="2" t="str">
        <f xml:space="preserve"> "" &amp; 844349003687</f>
        <v>844349003687</v>
      </c>
      <c r="C6" s="2" t="s">
        <v>113</v>
      </c>
      <c r="D6" s="2" t="s">
        <v>119</v>
      </c>
      <c r="F6" s="2" t="s">
        <v>115</v>
      </c>
      <c r="G6" s="2">
        <v>1</v>
      </c>
      <c r="H6" s="2">
        <v>1</v>
      </c>
      <c r="I6" s="2" t="s">
        <v>94</v>
      </c>
      <c r="J6" s="6">
        <v>7.5</v>
      </c>
      <c r="K6" s="6">
        <v>22.5</v>
      </c>
      <c r="L6" s="2">
        <v>0</v>
      </c>
      <c r="N6" s="2">
        <v>0</v>
      </c>
      <c r="Q6" s="6"/>
      <c r="R6" s="7"/>
      <c r="S6" s="2">
        <v>1</v>
      </c>
      <c r="T6" s="2">
        <v>1</v>
      </c>
      <c r="U6" s="2">
        <v>1</v>
      </c>
      <c r="W6" s="2">
        <v>0.18</v>
      </c>
      <c r="X6" s="2">
        <v>1</v>
      </c>
      <c r="Y6" s="2">
        <v>6.25</v>
      </c>
      <c r="Z6" s="2">
        <v>11.5</v>
      </c>
      <c r="AA6" s="2">
        <v>10.5</v>
      </c>
      <c r="AB6" s="2">
        <v>0.437</v>
      </c>
      <c r="AC6" s="2">
        <v>0.26</v>
      </c>
      <c r="AK6" s="2" t="s">
        <v>95</v>
      </c>
      <c r="AM6" s="2" t="s">
        <v>95</v>
      </c>
      <c r="AN6" s="2" t="s">
        <v>95</v>
      </c>
      <c r="AO6" s="2" t="s">
        <v>95</v>
      </c>
      <c r="AP6" s="2" t="s">
        <v>97</v>
      </c>
      <c r="AV6" s="2" t="s">
        <v>95</v>
      </c>
      <c r="AX6" s="2" t="s">
        <v>120</v>
      </c>
      <c r="BF6" s="2" t="s">
        <v>121</v>
      </c>
      <c r="BG6" s="2" t="s">
        <v>95</v>
      </c>
      <c r="BH6" s="2" t="s">
        <v>95</v>
      </c>
      <c r="BI6" s="2" t="s">
        <v>95</v>
      </c>
      <c r="CB6" s="2" t="s">
        <v>120</v>
      </c>
      <c r="CL6" s="2" t="s">
        <v>95</v>
      </c>
      <c r="CM6" s="2" t="s">
        <v>95</v>
      </c>
      <c r="CP6" s="3">
        <v>43634</v>
      </c>
    </row>
    <row r="7" spans="1:97" x14ac:dyDescent="0.25">
      <c r="A7" s="2" t="s">
        <v>122</v>
      </c>
      <c r="B7" s="2" t="str">
        <f xml:space="preserve"> "" &amp; 874944008091</f>
        <v>874944008091</v>
      </c>
      <c r="C7" s="2" t="s">
        <v>123</v>
      </c>
      <c r="D7" s="2" t="s">
        <v>124</v>
      </c>
      <c r="E7" s="2" t="s">
        <v>125</v>
      </c>
      <c r="F7" s="2" t="s">
        <v>115</v>
      </c>
      <c r="G7" s="2">
        <v>1</v>
      </c>
      <c r="H7" s="2">
        <v>1</v>
      </c>
      <c r="I7" s="2" t="s">
        <v>94</v>
      </c>
      <c r="J7" s="6">
        <v>9.9499999999999993</v>
      </c>
      <c r="K7" s="6">
        <v>29.85</v>
      </c>
      <c r="L7" s="2">
        <v>0</v>
      </c>
      <c r="N7" s="2">
        <v>0</v>
      </c>
      <c r="O7" s="2" t="s">
        <v>96</v>
      </c>
      <c r="P7" s="6">
        <v>20.9</v>
      </c>
      <c r="Q7" s="6"/>
      <c r="R7" s="7"/>
      <c r="S7" s="2">
        <v>9.49</v>
      </c>
      <c r="T7" s="2">
        <v>6.5</v>
      </c>
      <c r="U7" s="2">
        <v>1.25</v>
      </c>
      <c r="W7" s="2">
        <v>0.88</v>
      </c>
      <c r="X7" s="2">
        <v>1</v>
      </c>
      <c r="Y7" s="2">
        <v>9.49</v>
      </c>
      <c r="Z7" s="2">
        <v>6.5</v>
      </c>
      <c r="AA7" s="2">
        <v>1.42</v>
      </c>
      <c r="AB7" s="2">
        <v>5.0999999999999997E-2</v>
      </c>
      <c r="AC7" s="2">
        <v>3.79</v>
      </c>
      <c r="AE7" s="2">
        <v>0</v>
      </c>
      <c r="AF7" s="2" t="s">
        <v>126</v>
      </c>
      <c r="AG7" s="2">
        <v>0</v>
      </c>
      <c r="AH7" s="2">
        <v>0</v>
      </c>
      <c r="AJ7" s="2">
        <v>0</v>
      </c>
      <c r="AK7" s="2" t="s">
        <v>95</v>
      </c>
      <c r="AM7" s="2" t="s">
        <v>95</v>
      </c>
      <c r="AN7" s="2" t="s">
        <v>95</v>
      </c>
      <c r="AO7" s="2" t="s">
        <v>95</v>
      </c>
      <c r="AP7" s="2" t="s">
        <v>97</v>
      </c>
      <c r="AQ7" s="2" t="s">
        <v>98</v>
      </c>
      <c r="AV7" s="2" t="s">
        <v>95</v>
      </c>
      <c r="AX7" s="2" t="s">
        <v>120</v>
      </c>
      <c r="BF7" s="2" t="s">
        <v>127</v>
      </c>
      <c r="BG7" s="2" t="s">
        <v>95</v>
      </c>
      <c r="BH7" s="2" t="s">
        <v>95</v>
      </c>
      <c r="BI7" s="2" t="s">
        <v>95</v>
      </c>
      <c r="BK7" s="2" t="s">
        <v>100</v>
      </c>
      <c r="CA7" s="2" t="s">
        <v>128</v>
      </c>
      <c r="CB7" s="2" t="s">
        <v>120</v>
      </c>
      <c r="CL7" s="2" t="s">
        <v>95</v>
      </c>
      <c r="CM7" s="2" t="s">
        <v>95</v>
      </c>
      <c r="CO7" s="3">
        <v>39291</v>
      </c>
      <c r="CP7" s="3">
        <v>43634</v>
      </c>
    </row>
    <row r="8" spans="1:97" x14ac:dyDescent="0.25">
      <c r="A8" s="2" t="s">
        <v>129</v>
      </c>
      <c r="B8" s="2" t="str">
        <f xml:space="preserve"> "" &amp; 874944008107</f>
        <v>874944008107</v>
      </c>
      <c r="C8" s="2" t="s">
        <v>123</v>
      </c>
      <c r="D8" s="2" t="s">
        <v>124</v>
      </c>
      <c r="E8" s="2" t="s">
        <v>125</v>
      </c>
      <c r="F8" s="2" t="s">
        <v>106</v>
      </c>
      <c r="G8" s="2">
        <v>1</v>
      </c>
      <c r="H8" s="2">
        <v>1</v>
      </c>
      <c r="I8" s="2" t="s">
        <v>94</v>
      </c>
      <c r="J8" s="6">
        <v>9.9499999999999993</v>
      </c>
      <c r="K8" s="6">
        <v>29.85</v>
      </c>
      <c r="L8" s="2">
        <v>0</v>
      </c>
      <c r="N8" s="2">
        <v>0</v>
      </c>
      <c r="O8" s="2" t="s">
        <v>96</v>
      </c>
      <c r="P8" s="6">
        <v>20.9</v>
      </c>
      <c r="Q8" s="6"/>
      <c r="R8" s="7"/>
      <c r="S8" s="2">
        <v>4.75</v>
      </c>
      <c r="T8" s="2">
        <v>2</v>
      </c>
      <c r="U8" s="2">
        <v>1.25</v>
      </c>
      <c r="W8" s="2">
        <v>0.88</v>
      </c>
      <c r="X8" s="2">
        <v>1</v>
      </c>
      <c r="Y8" s="2">
        <v>4.75</v>
      </c>
      <c r="Z8" s="2">
        <v>2</v>
      </c>
      <c r="AA8" s="2">
        <v>2</v>
      </c>
      <c r="AB8" s="2">
        <v>1.0999999999999999E-2</v>
      </c>
      <c r="AC8" s="2">
        <v>3.79</v>
      </c>
      <c r="AE8" s="2">
        <v>0</v>
      </c>
      <c r="AF8" s="2" t="s">
        <v>126</v>
      </c>
      <c r="AG8" s="2">
        <v>0</v>
      </c>
      <c r="AH8" s="2">
        <v>0</v>
      </c>
      <c r="AJ8" s="2">
        <v>0</v>
      </c>
      <c r="AK8" s="2" t="s">
        <v>95</v>
      </c>
      <c r="AM8" s="2" t="s">
        <v>95</v>
      </c>
      <c r="AN8" s="2" t="s">
        <v>95</v>
      </c>
      <c r="AO8" s="2" t="s">
        <v>95</v>
      </c>
      <c r="AP8" s="2" t="s">
        <v>97</v>
      </c>
      <c r="AQ8" s="2" t="s">
        <v>98</v>
      </c>
      <c r="AV8" s="2" t="s">
        <v>95</v>
      </c>
      <c r="AX8" s="2" t="s">
        <v>130</v>
      </c>
      <c r="BF8" s="2" t="s">
        <v>131</v>
      </c>
      <c r="BG8" s="2" t="s">
        <v>95</v>
      </c>
      <c r="BH8" s="2" t="s">
        <v>95</v>
      </c>
      <c r="BI8" s="2" t="s">
        <v>95</v>
      </c>
      <c r="BK8" s="2" t="s">
        <v>100</v>
      </c>
      <c r="CA8" s="2" t="s">
        <v>128</v>
      </c>
      <c r="CB8" s="2" t="s">
        <v>130</v>
      </c>
      <c r="CL8" s="2" t="s">
        <v>95</v>
      </c>
      <c r="CM8" s="2" t="s">
        <v>95</v>
      </c>
      <c r="CO8" s="3">
        <v>39291</v>
      </c>
      <c r="CP8" s="3">
        <v>43634</v>
      </c>
    </row>
    <row r="9" spans="1:97" x14ac:dyDescent="0.25">
      <c r="A9" s="2" t="s">
        <v>132</v>
      </c>
      <c r="B9" s="2" t="str">
        <f xml:space="preserve"> "" &amp; 874944004123</f>
        <v>874944004123</v>
      </c>
      <c r="C9" s="2" t="s">
        <v>133</v>
      </c>
      <c r="D9" s="2" t="s">
        <v>134</v>
      </c>
      <c r="E9" s="2" t="s">
        <v>125</v>
      </c>
      <c r="F9" s="2" t="s">
        <v>106</v>
      </c>
      <c r="G9" s="2">
        <v>1</v>
      </c>
      <c r="H9" s="2">
        <v>1</v>
      </c>
      <c r="I9" s="2" t="s">
        <v>94</v>
      </c>
      <c r="J9" s="6">
        <v>3.5</v>
      </c>
      <c r="K9" s="6">
        <v>10.5</v>
      </c>
      <c r="L9" s="2">
        <v>0</v>
      </c>
      <c r="N9" s="2">
        <v>0</v>
      </c>
      <c r="O9" s="2" t="s">
        <v>96</v>
      </c>
      <c r="P9" s="6">
        <v>7.35</v>
      </c>
      <c r="Q9" s="6"/>
      <c r="R9" s="7"/>
      <c r="S9" s="2">
        <v>2.88</v>
      </c>
      <c r="T9" s="2">
        <v>6.88</v>
      </c>
      <c r="U9" s="2">
        <v>5.63</v>
      </c>
      <c r="W9" s="2">
        <v>0.09</v>
      </c>
      <c r="X9" s="2">
        <v>1</v>
      </c>
      <c r="Y9" s="2">
        <v>2.88</v>
      </c>
      <c r="Z9" s="2">
        <v>6.88</v>
      </c>
      <c r="AA9" s="2">
        <v>5.63</v>
      </c>
      <c r="AB9" s="2">
        <v>6.5000000000000002E-2</v>
      </c>
      <c r="AC9" s="2">
        <v>6.04</v>
      </c>
      <c r="AE9" s="2">
        <v>0</v>
      </c>
      <c r="AF9" s="2" t="s">
        <v>126</v>
      </c>
      <c r="AG9" s="2">
        <v>0</v>
      </c>
      <c r="AH9" s="2">
        <v>0</v>
      </c>
      <c r="AJ9" s="2">
        <v>0</v>
      </c>
      <c r="AK9" s="2" t="s">
        <v>95</v>
      </c>
      <c r="AM9" s="2" t="s">
        <v>95</v>
      </c>
      <c r="AN9" s="2" t="s">
        <v>95</v>
      </c>
      <c r="AO9" s="2" t="s">
        <v>95</v>
      </c>
      <c r="AP9" s="2" t="s">
        <v>97</v>
      </c>
      <c r="AQ9" s="2" t="s">
        <v>98</v>
      </c>
      <c r="AV9" s="2" t="s">
        <v>95</v>
      </c>
      <c r="AX9" s="2" t="s">
        <v>135</v>
      </c>
      <c r="BF9" s="2" t="s">
        <v>136</v>
      </c>
      <c r="BG9" s="2" t="s">
        <v>95</v>
      </c>
      <c r="BH9" s="2" t="s">
        <v>95</v>
      </c>
      <c r="BI9" s="2" t="s">
        <v>95</v>
      </c>
      <c r="BK9" s="2" t="s">
        <v>100</v>
      </c>
      <c r="CA9" s="2" t="s">
        <v>137</v>
      </c>
      <c r="CB9" s="2" t="s">
        <v>135</v>
      </c>
      <c r="CL9" s="2" t="s">
        <v>95</v>
      </c>
      <c r="CM9" s="2" t="s">
        <v>95</v>
      </c>
      <c r="CO9" s="3">
        <v>38383</v>
      </c>
      <c r="CP9" s="3">
        <v>43634</v>
      </c>
    </row>
    <row r="10" spans="1:97" x14ac:dyDescent="0.25">
      <c r="A10" s="2" t="s">
        <v>138</v>
      </c>
      <c r="B10" s="2" t="str">
        <f xml:space="preserve"> "" &amp; 874944008046</f>
        <v>874944008046</v>
      </c>
      <c r="C10" s="2" t="s">
        <v>139</v>
      </c>
      <c r="D10" s="2" t="s">
        <v>140</v>
      </c>
      <c r="E10" s="2" t="s">
        <v>125</v>
      </c>
      <c r="F10" s="2" t="s">
        <v>106</v>
      </c>
      <c r="G10" s="2">
        <v>1</v>
      </c>
      <c r="H10" s="2">
        <v>1</v>
      </c>
      <c r="I10" s="2" t="s">
        <v>94</v>
      </c>
      <c r="J10" s="6">
        <v>2</v>
      </c>
      <c r="K10" s="6">
        <v>6</v>
      </c>
      <c r="L10" s="2">
        <v>0</v>
      </c>
      <c r="N10" s="2">
        <v>0</v>
      </c>
      <c r="O10" s="2" t="s">
        <v>96</v>
      </c>
      <c r="P10" s="6">
        <v>4.2</v>
      </c>
      <c r="Q10" s="6"/>
      <c r="R10" s="7"/>
      <c r="S10" s="2">
        <v>6.125</v>
      </c>
      <c r="T10" s="2">
        <v>5.125</v>
      </c>
      <c r="U10" s="2">
        <v>1.25</v>
      </c>
      <c r="W10" s="2">
        <v>3.53</v>
      </c>
      <c r="X10" s="2">
        <v>1</v>
      </c>
      <c r="Y10" s="2">
        <v>6.125</v>
      </c>
      <c r="Z10" s="2">
        <v>5.125</v>
      </c>
      <c r="AA10" s="2">
        <v>5.125</v>
      </c>
      <c r="AB10" s="2">
        <v>9.2999999999999999E-2</v>
      </c>
      <c r="AC10" s="2">
        <v>4.8499999999999996</v>
      </c>
      <c r="AE10" s="2">
        <v>0</v>
      </c>
      <c r="AF10" s="2" t="s">
        <v>126</v>
      </c>
      <c r="AG10" s="2">
        <v>0</v>
      </c>
      <c r="AH10" s="2">
        <v>0</v>
      </c>
      <c r="AJ10" s="2">
        <v>0</v>
      </c>
      <c r="AK10" s="2" t="s">
        <v>95</v>
      </c>
      <c r="AM10" s="2" t="s">
        <v>95</v>
      </c>
      <c r="AN10" s="2" t="s">
        <v>95</v>
      </c>
      <c r="AO10" s="2" t="s">
        <v>95</v>
      </c>
      <c r="AP10" s="2" t="s">
        <v>97</v>
      </c>
      <c r="AQ10" s="2" t="s">
        <v>98</v>
      </c>
      <c r="AV10" s="2" t="s">
        <v>95</v>
      </c>
      <c r="AX10" s="2" t="s">
        <v>141</v>
      </c>
      <c r="BF10" s="2" t="s">
        <v>142</v>
      </c>
      <c r="BG10" s="2" t="s">
        <v>95</v>
      </c>
      <c r="BH10" s="2" t="s">
        <v>95</v>
      </c>
      <c r="BI10" s="2" t="s">
        <v>95</v>
      </c>
      <c r="BK10" s="2" t="s">
        <v>100</v>
      </c>
      <c r="CA10" s="2" t="s">
        <v>137</v>
      </c>
      <c r="CB10" s="2" t="s">
        <v>141</v>
      </c>
      <c r="CL10" s="2" t="s">
        <v>95</v>
      </c>
      <c r="CM10" s="2" t="s">
        <v>95</v>
      </c>
      <c r="CO10" s="3">
        <v>39291</v>
      </c>
      <c r="CP10" s="3">
        <v>43634</v>
      </c>
    </row>
    <row r="11" spans="1:97" x14ac:dyDescent="0.25">
      <c r="A11" s="2" t="s">
        <v>143</v>
      </c>
      <c r="B11" s="2" t="str">
        <f xml:space="preserve"> "" &amp; 874944008084</f>
        <v>874944008084</v>
      </c>
      <c r="C11" s="2" t="s">
        <v>139</v>
      </c>
      <c r="D11" s="2" t="s">
        <v>140</v>
      </c>
      <c r="E11" s="2" t="s">
        <v>125</v>
      </c>
      <c r="F11" s="2" t="s">
        <v>106</v>
      </c>
      <c r="G11" s="2">
        <v>1</v>
      </c>
      <c r="H11" s="2">
        <v>1</v>
      </c>
      <c r="I11" s="2" t="s">
        <v>94</v>
      </c>
      <c r="J11" s="6">
        <v>2</v>
      </c>
      <c r="K11" s="6">
        <v>6</v>
      </c>
      <c r="L11" s="2">
        <v>0</v>
      </c>
      <c r="N11" s="2">
        <v>0</v>
      </c>
      <c r="O11" s="2" t="s">
        <v>96</v>
      </c>
      <c r="P11" s="6">
        <v>4.2</v>
      </c>
      <c r="Q11" s="6"/>
      <c r="R11" s="7"/>
      <c r="S11" s="2">
        <v>6.125</v>
      </c>
      <c r="T11" s="2">
        <v>5.125</v>
      </c>
      <c r="U11" s="2">
        <v>1.25</v>
      </c>
      <c r="W11" s="2">
        <v>3.53</v>
      </c>
      <c r="X11" s="2">
        <v>1</v>
      </c>
      <c r="Y11" s="2">
        <v>6.125</v>
      </c>
      <c r="Z11" s="2">
        <v>5.125</v>
      </c>
      <c r="AA11" s="2">
        <v>5.125</v>
      </c>
      <c r="AB11" s="2">
        <v>9.2999999999999999E-2</v>
      </c>
      <c r="AC11" s="2">
        <v>4.8499999999999996</v>
      </c>
      <c r="AE11" s="2">
        <v>0</v>
      </c>
      <c r="AF11" s="2" t="s">
        <v>126</v>
      </c>
      <c r="AG11" s="2">
        <v>0</v>
      </c>
      <c r="AH11" s="2">
        <v>0</v>
      </c>
      <c r="AJ11" s="2">
        <v>0</v>
      </c>
      <c r="AK11" s="2" t="s">
        <v>95</v>
      </c>
      <c r="AM11" s="2" t="s">
        <v>95</v>
      </c>
      <c r="AN11" s="2" t="s">
        <v>95</v>
      </c>
      <c r="AO11" s="2" t="s">
        <v>95</v>
      </c>
      <c r="AP11" s="2" t="s">
        <v>97</v>
      </c>
      <c r="AQ11" s="2" t="s">
        <v>98</v>
      </c>
      <c r="AV11" s="2" t="s">
        <v>95</v>
      </c>
      <c r="AX11" s="2" t="s">
        <v>144</v>
      </c>
      <c r="BF11" s="2" t="s">
        <v>145</v>
      </c>
      <c r="BG11" s="2" t="s">
        <v>95</v>
      </c>
      <c r="BH11" s="2" t="s">
        <v>95</v>
      </c>
      <c r="BI11" s="2" t="s">
        <v>95</v>
      </c>
      <c r="BK11" s="2" t="s">
        <v>100</v>
      </c>
      <c r="CA11" s="2" t="s">
        <v>137</v>
      </c>
      <c r="CB11" s="2" t="s">
        <v>144</v>
      </c>
      <c r="CL11" s="2" t="s">
        <v>95</v>
      </c>
      <c r="CM11" s="2" t="s">
        <v>95</v>
      </c>
      <c r="CO11" s="3">
        <v>39291</v>
      </c>
      <c r="CP11" s="3">
        <v>43634</v>
      </c>
    </row>
    <row r="12" spans="1:97" x14ac:dyDescent="0.25">
      <c r="A12" s="2" t="s">
        <v>146</v>
      </c>
      <c r="B12" s="2" t="str">
        <f xml:space="preserve"> "" &amp; 874944004130</f>
        <v>874944004130</v>
      </c>
      <c r="C12" s="2" t="s">
        <v>133</v>
      </c>
      <c r="D12" s="2" t="s">
        <v>134</v>
      </c>
      <c r="E12" s="2" t="s">
        <v>125</v>
      </c>
      <c r="F12" s="2" t="s">
        <v>106</v>
      </c>
      <c r="G12" s="2">
        <v>1</v>
      </c>
      <c r="H12" s="2">
        <v>1</v>
      </c>
      <c r="I12" s="2" t="s">
        <v>94</v>
      </c>
      <c r="J12" s="6">
        <v>3.75</v>
      </c>
      <c r="K12" s="6">
        <v>11.25</v>
      </c>
      <c r="L12" s="2">
        <v>0</v>
      </c>
      <c r="N12" s="2">
        <v>0</v>
      </c>
      <c r="O12" s="2" t="s">
        <v>96</v>
      </c>
      <c r="P12" s="6">
        <v>7.88</v>
      </c>
      <c r="Q12" s="6"/>
      <c r="R12" s="7"/>
      <c r="S12" s="2">
        <v>1</v>
      </c>
      <c r="T12" s="2">
        <v>1</v>
      </c>
      <c r="U12" s="2">
        <v>1</v>
      </c>
      <c r="W12" s="2">
        <v>0.09</v>
      </c>
      <c r="X12" s="2">
        <v>1</v>
      </c>
      <c r="Y12" s="2">
        <v>12.25</v>
      </c>
      <c r="Z12" s="2">
        <v>7.25</v>
      </c>
      <c r="AA12" s="2">
        <v>6</v>
      </c>
      <c r="AB12" s="2">
        <v>0.308</v>
      </c>
      <c r="AC12" s="2">
        <v>6.04</v>
      </c>
      <c r="AE12" s="2">
        <v>0</v>
      </c>
      <c r="AF12" s="2" t="s">
        <v>126</v>
      </c>
      <c r="AG12" s="2">
        <v>0</v>
      </c>
      <c r="AH12" s="2">
        <v>0</v>
      </c>
      <c r="AJ12" s="2">
        <v>0</v>
      </c>
      <c r="AK12" s="2" t="s">
        <v>95</v>
      </c>
      <c r="AM12" s="2" t="s">
        <v>95</v>
      </c>
      <c r="AN12" s="2" t="s">
        <v>95</v>
      </c>
      <c r="AO12" s="2" t="s">
        <v>95</v>
      </c>
      <c r="AP12" s="2" t="s">
        <v>97</v>
      </c>
      <c r="AQ12" s="2" t="s">
        <v>98</v>
      </c>
      <c r="AV12" s="2" t="s">
        <v>95</v>
      </c>
      <c r="AX12" s="2" t="s">
        <v>141</v>
      </c>
      <c r="BF12" s="2" t="s">
        <v>147</v>
      </c>
      <c r="BG12" s="2" t="s">
        <v>95</v>
      </c>
      <c r="BH12" s="2" t="s">
        <v>95</v>
      </c>
      <c r="BI12" s="2" t="s">
        <v>95</v>
      </c>
      <c r="BK12" s="2" t="s">
        <v>100</v>
      </c>
      <c r="CA12" s="2" t="s">
        <v>137</v>
      </c>
      <c r="CB12" s="2" t="s">
        <v>141</v>
      </c>
      <c r="CL12" s="2" t="s">
        <v>95</v>
      </c>
      <c r="CM12" s="2" t="s">
        <v>95</v>
      </c>
      <c r="CO12" s="3">
        <v>38383</v>
      </c>
      <c r="CP12" s="3">
        <v>43634</v>
      </c>
    </row>
    <row r="13" spans="1:97" x14ac:dyDescent="0.25">
      <c r="A13" s="2" t="s">
        <v>148</v>
      </c>
      <c r="B13" s="2" t="str">
        <f xml:space="preserve"> "" &amp; 874944004215</f>
        <v>874944004215</v>
      </c>
      <c r="C13" s="2" t="s">
        <v>149</v>
      </c>
      <c r="D13" s="2" t="s">
        <v>134</v>
      </c>
      <c r="E13" s="2" t="s">
        <v>125</v>
      </c>
      <c r="F13" s="2" t="s">
        <v>115</v>
      </c>
      <c r="G13" s="2">
        <v>1</v>
      </c>
      <c r="H13" s="2">
        <v>1</v>
      </c>
      <c r="I13" s="2" t="s">
        <v>94</v>
      </c>
      <c r="J13" s="6">
        <v>6.25</v>
      </c>
      <c r="K13" s="6">
        <v>18.75</v>
      </c>
      <c r="L13" s="2">
        <v>0</v>
      </c>
      <c r="N13" s="2">
        <v>0</v>
      </c>
      <c r="Q13" s="6"/>
      <c r="R13" s="7"/>
      <c r="S13" s="2">
        <v>1</v>
      </c>
      <c r="T13" s="2">
        <v>1</v>
      </c>
      <c r="U13" s="2">
        <v>1</v>
      </c>
      <c r="W13" s="2">
        <v>0.11</v>
      </c>
      <c r="X13" s="2">
        <v>1</v>
      </c>
      <c r="Y13" s="2">
        <v>2.87</v>
      </c>
      <c r="Z13" s="2">
        <v>6.87</v>
      </c>
      <c r="AA13" s="2">
        <v>5.62</v>
      </c>
      <c r="AB13" s="2">
        <v>6.4000000000000001E-2</v>
      </c>
      <c r="AC13" s="2">
        <v>7.63</v>
      </c>
      <c r="AE13" s="2">
        <v>0</v>
      </c>
      <c r="AF13" s="2" t="s">
        <v>126</v>
      </c>
      <c r="AG13" s="2">
        <v>0</v>
      </c>
      <c r="AH13" s="2">
        <v>0</v>
      </c>
      <c r="AJ13" s="2">
        <v>0</v>
      </c>
      <c r="AK13" s="2" t="s">
        <v>95</v>
      </c>
      <c r="AM13" s="2" t="s">
        <v>95</v>
      </c>
      <c r="AN13" s="2" t="s">
        <v>95</v>
      </c>
      <c r="AO13" s="2" t="s">
        <v>95</v>
      </c>
      <c r="AP13" s="2" t="s">
        <v>97</v>
      </c>
      <c r="AQ13" s="2" t="s">
        <v>98</v>
      </c>
      <c r="AV13" s="2" t="s">
        <v>95</v>
      </c>
      <c r="AX13" s="2" t="s">
        <v>120</v>
      </c>
      <c r="BF13" s="2" t="s">
        <v>150</v>
      </c>
      <c r="BG13" s="2" t="s">
        <v>95</v>
      </c>
      <c r="BH13" s="2" t="s">
        <v>95</v>
      </c>
      <c r="BI13" s="2" t="s">
        <v>95</v>
      </c>
      <c r="BK13" s="2" t="s">
        <v>100</v>
      </c>
      <c r="CA13" s="2" t="s">
        <v>151</v>
      </c>
      <c r="CB13" s="2" t="s">
        <v>120</v>
      </c>
      <c r="CL13" s="2" t="s">
        <v>95</v>
      </c>
      <c r="CM13" s="2" t="s">
        <v>95</v>
      </c>
      <c r="CO13" s="3">
        <v>38383</v>
      </c>
      <c r="CP13" s="3">
        <v>43634</v>
      </c>
    </row>
    <row r="14" spans="1:97" x14ac:dyDescent="0.25">
      <c r="A14" s="2" t="s">
        <v>152</v>
      </c>
      <c r="B14" s="2" t="str">
        <f xml:space="preserve"> "" &amp; 874944008343</f>
        <v>874944008343</v>
      </c>
      <c r="C14" s="2" t="s">
        <v>153</v>
      </c>
      <c r="D14" s="2" t="s">
        <v>154</v>
      </c>
      <c r="E14" s="2" t="s">
        <v>125</v>
      </c>
      <c r="F14" s="2" t="s">
        <v>115</v>
      </c>
      <c r="G14" s="2">
        <v>1</v>
      </c>
      <c r="H14" s="2">
        <v>1</v>
      </c>
      <c r="I14" s="2" t="s">
        <v>94</v>
      </c>
      <c r="J14" s="6">
        <v>9.9499999999999993</v>
      </c>
      <c r="K14" s="6">
        <v>29.85</v>
      </c>
      <c r="L14" s="2">
        <v>0</v>
      </c>
      <c r="N14" s="2">
        <v>0</v>
      </c>
      <c r="Q14" s="6"/>
      <c r="R14" s="7"/>
      <c r="S14" s="2">
        <v>37.784999999999997</v>
      </c>
      <c r="T14" s="2">
        <v>36</v>
      </c>
      <c r="U14" s="2">
        <v>2.25</v>
      </c>
      <c r="W14" s="2">
        <v>28.99</v>
      </c>
      <c r="X14" s="2">
        <v>1</v>
      </c>
      <c r="Y14" s="2">
        <v>37.784999999999997</v>
      </c>
      <c r="Z14" s="2">
        <v>2.25</v>
      </c>
      <c r="AA14" s="2">
        <v>2.25</v>
      </c>
      <c r="AB14" s="2">
        <v>0.111</v>
      </c>
      <c r="AC14" s="2">
        <v>31.64</v>
      </c>
      <c r="AE14" s="2">
        <v>0</v>
      </c>
      <c r="AF14" s="2" t="s">
        <v>126</v>
      </c>
      <c r="AG14" s="2">
        <v>0</v>
      </c>
      <c r="AH14" s="2">
        <v>0</v>
      </c>
      <c r="AJ14" s="2">
        <v>0</v>
      </c>
      <c r="AK14" s="2" t="s">
        <v>95</v>
      </c>
      <c r="AM14" s="2" t="s">
        <v>95</v>
      </c>
      <c r="AN14" s="2" t="s">
        <v>95</v>
      </c>
      <c r="AO14" s="2" t="s">
        <v>95</v>
      </c>
      <c r="AP14" s="2" t="s">
        <v>97</v>
      </c>
      <c r="AQ14" s="2" t="s">
        <v>98</v>
      </c>
      <c r="AV14" s="2" t="s">
        <v>95</v>
      </c>
      <c r="AX14" s="2" t="s">
        <v>120</v>
      </c>
      <c r="BF14" s="2" t="s">
        <v>155</v>
      </c>
      <c r="BG14" s="2" t="s">
        <v>95</v>
      </c>
      <c r="BH14" s="2" t="s">
        <v>95</v>
      </c>
      <c r="BI14" s="2" t="s">
        <v>95</v>
      </c>
      <c r="BK14" s="2" t="s">
        <v>100</v>
      </c>
      <c r="CA14" s="2" t="s">
        <v>156</v>
      </c>
      <c r="CB14" s="2" t="s">
        <v>120</v>
      </c>
      <c r="CL14" s="2" t="s">
        <v>95</v>
      </c>
      <c r="CM14" s="2" t="s">
        <v>95</v>
      </c>
      <c r="CO14" s="3">
        <v>39327</v>
      </c>
      <c r="CP14" s="3">
        <v>43634</v>
      </c>
    </row>
    <row r="15" spans="1:97" x14ac:dyDescent="0.25">
      <c r="A15" s="2" t="s">
        <v>157</v>
      </c>
      <c r="B15" s="2" t="str">
        <f xml:space="preserve"> "" &amp; 874944004406</f>
        <v>874944004406</v>
      </c>
      <c r="C15" s="2" t="s">
        <v>158</v>
      </c>
      <c r="D15" s="2" t="s">
        <v>154</v>
      </c>
      <c r="E15" s="2" t="s">
        <v>125</v>
      </c>
      <c r="F15" s="2" t="s">
        <v>106</v>
      </c>
      <c r="G15" s="2">
        <v>1</v>
      </c>
      <c r="H15" s="2">
        <v>1</v>
      </c>
      <c r="I15" s="2" t="s">
        <v>94</v>
      </c>
      <c r="J15" s="6">
        <v>15</v>
      </c>
      <c r="K15" s="6">
        <v>45</v>
      </c>
      <c r="L15" s="2">
        <v>0</v>
      </c>
      <c r="N15" s="2">
        <v>0</v>
      </c>
      <c r="O15" s="2" t="s">
        <v>96</v>
      </c>
      <c r="P15" s="6">
        <v>31.5</v>
      </c>
      <c r="Q15" s="6"/>
      <c r="R15" s="7"/>
      <c r="S15" s="2">
        <v>49.625</v>
      </c>
      <c r="T15" s="2">
        <v>48</v>
      </c>
      <c r="U15" s="2">
        <v>0.75</v>
      </c>
      <c r="W15" s="2">
        <v>0.71</v>
      </c>
      <c r="X15" s="2">
        <v>1</v>
      </c>
      <c r="Y15" s="2">
        <v>49.625</v>
      </c>
      <c r="Z15" s="2">
        <v>1.75</v>
      </c>
      <c r="AA15" s="2">
        <v>1.75</v>
      </c>
      <c r="AB15" s="2">
        <v>8.7999999999999995E-2</v>
      </c>
      <c r="AC15" s="2">
        <v>41.01</v>
      </c>
      <c r="AE15" s="2">
        <v>0</v>
      </c>
      <c r="AF15" s="2" t="s">
        <v>126</v>
      </c>
      <c r="AG15" s="2">
        <v>0</v>
      </c>
      <c r="AH15" s="2">
        <v>0</v>
      </c>
      <c r="AJ15" s="2">
        <v>0</v>
      </c>
      <c r="AK15" s="2" t="s">
        <v>95</v>
      </c>
      <c r="AM15" s="2" t="s">
        <v>95</v>
      </c>
      <c r="AN15" s="2" t="s">
        <v>95</v>
      </c>
      <c r="AO15" s="2" t="s">
        <v>95</v>
      </c>
      <c r="AP15" s="2" t="s">
        <v>97</v>
      </c>
      <c r="AQ15" s="2" t="s">
        <v>98</v>
      </c>
      <c r="AV15" s="2" t="s">
        <v>95</v>
      </c>
      <c r="AX15" s="2" t="s">
        <v>135</v>
      </c>
      <c r="BF15" s="2" t="s">
        <v>159</v>
      </c>
      <c r="BG15" s="2" t="s">
        <v>95</v>
      </c>
      <c r="BH15" s="2" t="s">
        <v>95</v>
      </c>
      <c r="BI15" s="2" t="s">
        <v>95</v>
      </c>
      <c r="BK15" s="2" t="s">
        <v>100</v>
      </c>
      <c r="CA15" s="2" t="s">
        <v>160</v>
      </c>
      <c r="CB15" s="2" t="s">
        <v>135</v>
      </c>
      <c r="CL15" s="2" t="s">
        <v>95</v>
      </c>
      <c r="CM15" s="2" t="s">
        <v>95</v>
      </c>
      <c r="CO15" s="3">
        <v>38383</v>
      </c>
      <c r="CP15" s="3">
        <v>43634</v>
      </c>
    </row>
    <row r="16" spans="1:97" x14ac:dyDescent="0.25">
      <c r="A16" s="2" t="s">
        <v>161</v>
      </c>
      <c r="B16" s="2" t="str">
        <f xml:space="preserve"> "" &amp; 874944004413</f>
        <v>874944004413</v>
      </c>
      <c r="C16" s="2" t="s">
        <v>158</v>
      </c>
      <c r="D16" s="2" t="s">
        <v>154</v>
      </c>
      <c r="E16" s="2" t="s">
        <v>125</v>
      </c>
      <c r="F16" s="2" t="s">
        <v>106</v>
      </c>
      <c r="G16" s="2">
        <v>1</v>
      </c>
      <c r="H16" s="2">
        <v>1</v>
      </c>
      <c r="I16" s="2" t="s">
        <v>94</v>
      </c>
      <c r="J16" s="6">
        <v>16.5</v>
      </c>
      <c r="K16" s="6">
        <v>49.5</v>
      </c>
      <c r="L16" s="2">
        <v>0</v>
      </c>
      <c r="N16" s="2">
        <v>0</v>
      </c>
      <c r="O16" s="2" t="s">
        <v>96</v>
      </c>
      <c r="P16" s="6">
        <v>34.65</v>
      </c>
      <c r="Q16" s="6"/>
      <c r="R16" s="7"/>
      <c r="S16" s="2">
        <v>49.625</v>
      </c>
      <c r="T16" s="2">
        <v>48</v>
      </c>
      <c r="U16" s="2">
        <v>0.75</v>
      </c>
      <c r="W16" s="2">
        <v>0.71</v>
      </c>
      <c r="X16" s="2">
        <v>1</v>
      </c>
      <c r="Y16" s="2">
        <v>49.625</v>
      </c>
      <c r="Z16" s="2">
        <v>1.75</v>
      </c>
      <c r="AA16" s="2">
        <v>1.75</v>
      </c>
      <c r="AB16" s="2">
        <v>8.7999999999999995E-2</v>
      </c>
      <c r="AC16" s="2">
        <v>41.01</v>
      </c>
      <c r="AE16" s="2">
        <v>0</v>
      </c>
      <c r="AF16" s="2" t="s">
        <v>126</v>
      </c>
      <c r="AG16" s="2">
        <v>0</v>
      </c>
      <c r="AH16" s="2">
        <v>0</v>
      </c>
      <c r="AJ16" s="2">
        <v>0</v>
      </c>
      <c r="AK16" s="2" t="s">
        <v>95</v>
      </c>
      <c r="AM16" s="2" t="s">
        <v>95</v>
      </c>
      <c r="AN16" s="2" t="s">
        <v>95</v>
      </c>
      <c r="AO16" s="2" t="s">
        <v>95</v>
      </c>
      <c r="AP16" s="2" t="s">
        <v>97</v>
      </c>
      <c r="AQ16" s="2" t="s">
        <v>98</v>
      </c>
      <c r="AV16" s="2" t="s">
        <v>95</v>
      </c>
      <c r="AX16" s="2" t="s">
        <v>141</v>
      </c>
      <c r="BF16" s="2" t="s">
        <v>162</v>
      </c>
      <c r="BG16" s="2" t="s">
        <v>95</v>
      </c>
      <c r="BH16" s="2" t="s">
        <v>95</v>
      </c>
      <c r="BI16" s="2" t="s">
        <v>95</v>
      </c>
      <c r="BK16" s="2" t="s">
        <v>100</v>
      </c>
      <c r="CA16" s="2" t="s">
        <v>160</v>
      </c>
      <c r="CB16" s="2" t="s">
        <v>141</v>
      </c>
      <c r="CL16" s="2" t="s">
        <v>95</v>
      </c>
      <c r="CM16" s="2" t="s">
        <v>95</v>
      </c>
      <c r="CO16" s="3">
        <v>38383</v>
      </c>
      <c r="CP16" s="3">
        <v>43634</v>
      </c>
    </row>
    <row r="17" spans="1:94" x14ac:dyDescent="0.25">
      <c r="A17" s="2" t="s">
        <v>163</v>
      </c>
      <c r="B17" s="2" t="str">
        <f xml:space="preserve"> "" &amp; 874944004420</f>
        <v>874944004420</v>
      </c>
      <c r="C17" s="2" t="s">
        <v>158</v>
      </c>
      <c r="D17" s="2" t="s">
        <v>154</v>
      </c>
      <c r="E17" s="2" t="s">
        <v>125</v>
      </c>
      <c r="F17" s="2" t="s">
        <v>106</v>
      </c>
      <c r="G17" s="2">
        <v>1</v>
      </c>
      <c r="H17" s="2">
        <v>1</v>
      </c>
      <c r="I17" s="2" t="s">
        <v>94</v>
      </c>
      <c r="J17" s="6">
        <v>30</v>
      </c>
      <c r="K17" s="6">
        <v>90</v>
      </c>
      <c r="L17" s="2">
        <v>0</v>
      </c>
      <c r="N17" s="2">
        <v>0</v>
      </c>
      <c r="O17" s="2" t="s">
        <v>96</v>
      </c>
      <c r="P17" s="6">
        <v>63</v>
      </c>
      <c r="Q17" s="6"/>
      <c r="R17" s="7"/>
      <c r="S17" s="2">
        <v>49.625</v>
      </c>
      <c r="T17" s="2">
        <v>96</v>
      </c>
      <c r="U17" s="2">
        <v>0.75</v>
      </c>
      <c r="W17" s="2">
        <v>1.41</v>
      </c>
      <c r="X17" s="2">
        <v>1</v>
      </c>
      <c r="Y17" s="2">
        <v>49.625</v>
      </c>
      <c r="Z17" s="2">
        <v>1.75</v>
      </c>
      <c r="AA17" s="2">
        <v>1.75</v>
      </c>
      <c r="AB17" s="2">
        <v>8.7999999999999995E-2</v>
      </c>
      <c r="AC17" s="2">
        <v>57.98</v>
      </c>
      <c r="AE17" s="2">
        <v>0</v>
      </c>
      <c r="AF17" s="2" t="s">
        <v>126</v>
      </c>
      <c r="AG17" s="2">
        <v>0</v>
      </c>
      <c r="AH17" s="2">
        <v>0</v>
      </c>
      <c r="AJ17" s="2">
        <v>0</v>
      </c>
      <c r="AK17" s="2" t="s">
        <v>95</v>
      </c>
      <c r="AM17" s="2" t="s">
        <v>95</v>
      </c>
      <c r="AN17" s="2" t="s">
        <v>95</v>
      </c>
      <c r="AO17" s="2" t="s">
        <v>95</v>
      </c>
      <c r="AP17" s="2" t="s">
        <v>97</v>
      </c>
      <c r="AQ17" s="2" t="s">
        <v>98</v>
      </c>
      <c r="AV17" s="2" t="s">
        <v>95</v>
      </c>
      <c r="AX17" s="2" t="s">
        <v>135</v>
      </c>
      <c r="BF17" s="2" t="s">
        <v>164</v>
      </c>
      <c r="BG17" s="2" t="s">
        <v>95</v>
      </c>
      <c r="BH17" s="2" t="s">
        <v>95</v>
      </c>
      <c r="BI17" s="2" t="s">
        <v>95</v>
      </c>
      <c r="BK17" s="2" t="s">
        <v>100</v>
      </c>
      <c r="CA17" s="2" t="s">
        <v>165</v>
      </c>
      <c r="CB17" s="2" t="s">
        <v>135</v>
      </c>
      <c r="CL17" s="2" t="s">
        <v>95</v>
      </c>
      <c r="CM17" s="2" t="s">
        <v>95</v>
      </c>
      <c r="CO17" s="3">
        <v>38435</v>
      </c>
      <c r="CP17" s="3">
        <v>43634</v>
      </c>
    </row>
    <row r="18" spans="1:94" x14ac:dyDescent="0.25">
      <c r="A18" s="2" t="s">
        <v>166</v>
      </c>
      <c r="B18" s="2" t="str">
        <f xml:space="preserve"> "" &amp; 874944004437</f>
        <v>874944004437</v>
      </c>
      <c r="C18" s="2" t="s">
        <v>158</v>
      </c>
      <c r="D18" s="2" t="s">
        <v>154</v>
      </c>
      <c r="E18" s="2" t="s">
        <v>125</v>
      </c>
      <c r="F18" s="2" t="s">
        <v>106</v>
      </c>
      <c r="G18" s="2">
        <v>1</v>
      </c>
      <c r="H18" s="2">
        <v>1</v>
      </c>
      <c r="I18" s="2" t="s">
        <v>94</v>
      </c>
      <c r="J18" s="6">
        <v>33</v>
      </c>
      <c r="K18" s="6">
        <v>99</v>
      </c>
      <c r="L18" s="2">
        <v>0</v>
      </c>
      <c r="N18" s="2">
        <v>0</v>
      </c>
      <c r="O18" s="2" t="s">
        <v>96</v>
      </c>
      <c r="P18" s="6">
        <v>69.3</v>
      </c>
      <c r="Q18" s="6"/>
      <c r="R18" s="7"/>
      <c r="S18" s="2">
        <v>49.625</v>
      </c>
      <c r="T18" s="2">
        <v>96</v>
      </c>
      <c r="U18" s="2">
        <v>0.75</v>
      </c>
      <c r="W18" s="2">
        <v>1.41</v>
      </c>
      <c r="X18" s="2">
        <v>1</v>
      </c>
      <c r="Y18" s="2">
        <v>49.625</v>
      </c>
      <c r="Z18" s="2">
        <v>1.75</v>
      </c>
      <c r="AA18" s="2">
        <v>1.75</v>
      </c>
      <c r="AB18" s="2">
        <v>8.7999999999999995E-2</v>
      </c>
      <c r="AC18" s="2">
        <v>57.98</v>
      </c>
      <c r="AE18" s="2">
        <v>0</v>
      </c>
      <c r="AF18" s="2" t="s">
        <v>126</v>
      </c>
      <c r="AG18" s="2">
        <v>0</v>
      </c>
      <c r="AH18" s="2">
        <v>0</v>
      </c>
      <c r="AJ18" s="2">
        <v>0</v>
      </c>
      <c r="AK18" s="2" t="s">
        <v>95</v>
      </c>
      <c r="AM18" s="2" t="s">
        <v>95</v>
      </c>
      <c r="AN18" s="2" t="s">
        <v>95</v>
      </c>
      <c r="AO18" s="2" t="s">
        <v>95</v>
      </c>
      <c r="AP18" s="2" t="s">
        <v>97</v>
      </c>
      <c r="AQ18" s="2" t="s">
        <v>98</v>
      </c>
      <c r="AV18" s="2" t="s">
        <v>95</v>
      </c>
      <c r="AX18" s="2" t="s">
        <v>141</v>
      </c>
      <c r="BF18" s="2" t="s">
        <v>167</v>
      </c>
      <c r="BG18" s="2" t="s">
        <v>95</v>
      </c>
      <c r="BH18" s="2" t="s">
        <v>95</v>
      </c>
      <c r="BI18" s="2" t="s">
        <v>95</v>
      </c>
      <c r="BK18" s="2" t="s">
        <v>100</v>
      </c>
      <c r="CA18" s="2" t="s">
        <v>165</v>
      </c>
      <c r="CB18" s="2" t="s">
        <v>141</v>
      </c>
      <c r="CL18" s="2" t="s">
        <v>95</v>
      </c>
      <c r="CM18" s="2" t="s">
        <v>95</v>
      </c>
      <c r="CO18" s="3">
        <v>38435</v>
      </c>
      <c r="CP18" s="3">
        <v>43634</v>
      </c>
    </row>
    <row r="19" spans="1:94" x14ac:dyDescent="0.25">
      <c r="A19" s="2" t="s">
        <v>168</v>
      </c>
      <c r="B19" s="2" t="str">
        <f xml:space="preserve"> "" &amp; 874944008053</f>
        <v>874944008053</v>
      </c>
      <c r="C19" s="2" t="s">
        <v>158</v>
      </c>
      <c r="D19" s="2" t="s">
        <v>169</v>
      </c>
      <c r="E19" s="2" t="s">
        <v>125</v>
      </c>
      <c r="F19" s="2" t="s">
        <v>106</v>
      </c>
      <c r="G19" s="2">
        <v>1</v>
      </c>
      <c r="H19" s="2">
        <v>1</v>
      </c>
      <c r="I19" s="2" t="s">
        <v>94</v>
      </c>
      <c r="J19" s="6">
        <v>12.5</v>
      </c>
      <c r="K19" s="6">
        <v>37.5</v>
      </c>
      <c r="L19" s="2">
        <v>0</v>
      </c>
      <c r="N19" s="2">
        <v>0</v>
      </c>
      <c r="O19" s="2" t="s">
        <v>96</v>
      </c>
      <c r="P19" s="6">
        <v>26.25</v>
      </c>
      <c r="Q19" s="6"/>
      <c r="R19" s="7"/>
      <c r="S19" s="2">
        <v>52</v>
      </c>
      <c r="T19" s="2">
        <v>48</v>
      </c>
      <c r="U19" s="2">
        <v>1</v>
      </c>
      <c r="W19" s="2">
        <v>26.46</v>
      </c>
      <c r="X19" s="2">
        <v>1</v>
      </c>
      <c r="Y19" s="2">
        <v>52</v>
      </c>
      <c r="Z19" s="2">
        <v>1.5</v>
      </c>
      <c r="AA19" s="2">
        <v>1.5</v>
      </c>
      <c r="AB19" s="2">
        <v>6.8000000000000005E-2</v>
      </c>
      <c r="AC19" s="2">
        <v>44.09</v>
      </c>
      <c r="AE19" s="2">
        <v>0</v>
      </c>
      <c r="AF19" s="2" t="s">
        <v>126</v>
      </c>
      <c r="AG19" s="2">
        <v>0</v>
      </c>
      <c r="AH19" s="2">
        <v>0</v>
      </c>
      <c r="AJ19" s="2">
        <v>0</v>
      </c>
      <c r="AK19" s="2" t="s">
        <v>95</v>
      </c>
      <c r="AM19" s="2" t="s">
        <v>95</v>
      </c>
      <c r="AN19" s="2" t="s">
        <v>95</v>
      </c>
      <c r="AO19" s="2" t="s">
        <v>95</v>
      </c>
      <c r="AP19" s="2" t="s">
        <v>97</v>
      </c>
      <c r="AQ19" s="2" t="s">
        <v>98</v>
      </c>
      <c r="AV19" s="2" t="s">
        <v>95</v>
      </c>
      <c r="AX19" s="2" t="s">
        <v>120</v>
      </c>
      <c r="BF19" s="2" t="s">
        <v>170</v>
      </c>
      <c r="BG19" s="2" t="s">
        <v>95</v>
      </c>
      <c r="BH19" s="2" t="s">
        <v>95</v>
      </c>
      <c r="BI19" s="2" t="s">
        <v>95</v>
      </c>
      <c r="BK19" s="2" t="s">
        <v>100</v>
      </c>
      <c r="CA19" s="2" t="s">
        <v>171</v>
      </c>
      <c r="CB19" s="2" t="s">
        <v>120</v>
      </c>
      <c r="CL19" s="2" t="s">
        <v>95</v>
      </c>
      <c r="CM19" s="2" t="s">
        <v>95</v>
      </c>
      <c r="CO19" s="3">
        <v>39291</v>
      </c>
      <c r="CP19" s="3">
        <v>43634</v>
      </c>
    </row>
    <row r="20" spans="1:94" x14ac:dyDescent="0.25">
      <c r="A20" s="2" t="s">
        <v>172</v>
      </c>
      <c r="B20" s="2" t="str">
        <f xml:space="preserve"> "" &amp; 874944008138</f>
        <v>874944008138</v>
      </c>
      <c r="C20" s="2" t="s">
        <v>158</v>
      </c>
      <c r="D20" s="2" t="s">
        <v>169</v>
      </c>
      <c r="E20" s="2" t="s">
        <v>125</v>
      </c>
      <c r="F20" s="2" t="s">
        <v>106</v>
      </c>
      <c r="G20" s="2">
        <v>1</v>
      </c>
      <c r="H20" s="2">
        <v>1</v>
      </c>
      <c r="I20" s="2" t="s">
        <v>94</v>
      </c>
      <c r="J20" s="6">
        <v>12.5</v>
      </c>
      <c r="K20" s="6">
        <v>37.5</v>
      </c>
      <c r="L20" s="2">
        <v>0</v>
      </c>
      <c r="N20" s="2">
        <v>0</v>
      </c>
      <c r="O20" s="2" t="s">
        <v>96</v>
      </c>
      <c r="P20" s="6">
        <v>26.25</v>
      </c>
      <c r="Q20" s="6"/>
      <c r="R20" s="7"/>
      <c r="S20" s="2">
        <v>52</v>
      </c>
      <c r="T20" s="2">
        <v>48</v>
      </c>
      <c r="U20" s="2">
        <v>1</v>
      </c>
      <c r="W20" s="2">
        <v>26.46</v>
      </c>
      <c r="X20" s="2">
        <v>1</v>
      </c>
      <c r="Y20" s="2">
        <v>52</v>
      </c>
      <c r="Z20" s="2">
        <v>1.5</v>
      </c>
      <c r="AA20" s="2">
        <v>1.5</v>
      </c>
      <c r="AB20" s="2">
        <v>6.8000000000000005E-2</v>
      </c>
      <c r="AC20" s="2">
        <v>44.09</v>
      </c>
      <c r="AE20" s="2">
        <v>0</v>
      </c>
      <c r="AF20" s="2" t="s">
        <v>126</v>
      </c>
      <c r="AG20" s="2">
        <v>0</v>
      </c>
      <c r="AH20" s="2">
        <v>0</v>
      </c>
      <c r="AJ20" s="2">
        <v>0</v>
      </c>
      <c r="AK20" s="2" t="s">
        <v>95</v>
      </c>
      <c r="AM20" s="2" t="s">
        <v>95</v>
      </c>
      <c r="AN20" s="2" t="s">
        <v>95</v>
      </c>
      <c r="AO20" s="2" t="s">
        <v>95</v>
      </c>
      <c r="AP20" s="2" t="s">
        <v>97</v>
      </c>
      <c r="AQ20" s="2" t="s">
        <v>98</v>
      </c>
      <c r="AV20" s="2" t="s">
        <v>95</v>
      </c>
      <c r="AX20" s="2" t="s">
        <v>130</v>
      </c>
      <c r="BF20" s="2" t="s">
        <v>173</v>
      </c>
      <c r="BG20" s="2" t="s">
        <v>95</v>
      </c>
      <c r="BH20" s="2" t="s">
        <v>95</v>
      </c>
      <c r="BI20" s="2" t="s">
        <v>95</v>
      </c>
      <c r="BK20" s="2" t="s">
        <v>100</v>
      </c>
      <c r="CA20" s="2" t="s">
        <v>171</v>
      </c>
      <c r="CB20" s="2" t="s">
        <v>130</v>
      </c>
      <c r="CL20" s="2" t="s">
        <v>95</v>
      </c>
      <c r="CM20" s="2" t="s">
        <v>95</v>
      </c>
      <c r="CO20" s="3">
        <v>39291</v>
      </c>
      <c r="CP20" s="3">
        <v>43634</v>
      </c>
    </row>
    <row r="21" spans="1:94" x14ac:dyDescent="0.25">
      <c r="A21" s="2" t="s">
        <v>174</v>
      </c>
      <c r="B21" s="2" t="str">
        <f xml:space="preserve"> "" &amp; 844349007692</f>
        <v>844349007692</v>
      </c>
      <c r="C21" s="2" t="s">
        <v>175</v>
      </c>
      <c r="D21" s="2" t="s">
        <v>176</v>
      </c>
      <c r="E21" s="2" t="s">
        <v>125</v>
      </c>
      <c r="F21" s="2" t="s">
        <v>115</v>
      </c>
      <c r="G21" s="2">
        <v>1</v>
      </c>
      <c r="H21" s="2">
        <v>1</v>
      </c>
      <c r="I21" s="2" t="s">
        <v>94</v>
      </c>
      <c r="J21" s="6">
        <v>20</v>
      </c>
      <c r="K21" s="6">
        <v>60</v>
      </c>
      <c r="L21" s="2">
        <v>0</v>
      </c>
      <c r="N21" s="2">
        <v>0</v>
      </c>
      <c r="Q21" s="6"/>
      <c r="R21" s="7"/>
      <c r="S21" s="2">
        <v>4.13</v>
      </c>
      <c r="T21" s="2">
        <v>6</v>
      </c>
      <c r="U21" s="2">
        <v>6</v>
      </c>
      <c r="W21" s="2">
        <v>0.70399999999999996</v>
      </c>
      <c r="X21" s="2">
        <v>1</v>
      </c>
      <c r="Y21" s="2">
        <v>4.13</v>
      </c>
      <c r="Z21" s="2">
        <v>6</v>
      </c>
      <c r="AA21" s="2">
        <v>6</v>
      </c>
      <c r="AB21" s="2">
        <v>8.5999999999999993E-2</v>
      </c>
      <c r="AC21" s="2">
        <v>1.1000000000000001</v>
      </c>
      <c r="AK21" s="2" t="s">
        <v>95</v>
      </c>
      <c r="AM21" s="2" t="s">
        <v>95</v>
      </c>
      <c r="AN21" s="2" t="s">
        <v>95</v>
      </c>
      <c r="AO21" s="2" t="s">
        <v>95</v>
      </c>
      <c r="AP21" s="2" t="s">
        <v>97</v>
      </c>
      <c r="AQ21" s="2" t="s">
        <v>98</v>
      </c>
      <c r="AV21" s="2" t="s">
        <v>95</v>
      </c>
      <c r="AX21" s="2" t="s">
        <v>116</v>
      </c>
      <c r="AZ21" s="2" t="s">
        <v>177</v>
      </c>
      <c r="BF21" s="2" t="s">
        <v>178</v>
      </c>
      <c r="BG21" s="2" t="s">
        <v>95</v>
      </c>
      <c r="BH21" s="2" t="s">
        <v>95</v>
      </c>
      <c r="BI21" s="2" t="s">
        <v>95</v>
      </c>
      <c r="BK21" s="2" t="s">
        <v>100</v>
      </c>
      <c r="CB21" s="2" t="s">
        <v>116</v>
      </c>
      <c r="CL21" s="2" t="s">
        <v>95</v>
      </c>
      <c r="CM21" s="2" t="s">
        <v>95</v>
      </c>
      <c r="CP21" s="3">
        <v>43634</v>
      </c>
    </row>
    <row r="22" spans="1:94" x14ac:dyDescent="0.25">
      <c r="A22" s="2" t="s">
        <v>179</v>
      </c>
      <c r="B22" s="2" t="str">
        <f xml:space="preserve"> "" &amp; 844349007685</f>
        <v>844349007685</v>
      </c>
      <c r="C22" s="2" t="s">
        <v>175</v>
      </c>
      <c r="D22" s="2" t="s">
        <v>176</v>
      </c>
      <c r="E22" s="2" t="s">
        <v>125</v>
      </c>
      <c r="F22" s="2" t="s">
        <v>115</v>
      </c>
      <c r="G22" s="2">
        <v>1</v>
      </c>
      <c r="H22" s="2">
        <v>1</v>
      </c>
      <c r="I22" s="2" t="s">
        <v>94</v>
      </c>
      <c r="J22" s="6">
        <v>20</v>
      </c>
      <c r="K22" s="6">
        <v>60</v>
      </c>
      <c r="L22" s="2">
        <v>0</v>
      </c>
      <c r="N22" s="2">
        <v>0</v>
      </c>
      <c r="Q22" s="6"/>
      <c r="R22" s="7"/>
      <c r="S22" s="2">
        <v>3</v>
      </c>
      <c r="T22" s="2">
        <v>6</v>
      </c>
      <c r="U22" s="2">
        <v>4.5</v>
      </c>
      <c r="W22" s="2">
        <v>0.71</v>
      </c>
      <c r="X22" s="2">
        <v>1</v>
      </c>
      <c r="Y22" s="2">
        <v>4.13</v>
      </c>
      <c r="Z22" s="2">
        <v>6</v>
      </c>
      <c r="AA22" s="2">
        <v>6</v>
      </c>
      <c r="AB22" s="2">
        <v>8.5999999999999993E-2</v>
      </c>
      <c r="AC22" s="2">
        <v>1.1000000000000001</v>
      </c>
      <c r="AF22" s="2" t="s">
        <v>126</v>
      </c>
      <c r="AK22" s="2" t="s">
        <v>95</v>
      </c>
      <c r="AM22" s="2" t="s">
        <v>95</v>
      </c>
      <c r="AN22" s="2" t="s">
        <v>95</v>
      </c>
      <c r="AO22" s="2" t="s">
        <v>95</v>
      </c>
      <c r="AP22" s="2" t="s">
        <v>97</v>
      </c>
      <c r="AQ22" s="2" t="s">
        <v>98</v>
      </c>
      <c r="AV22" s="2" t="s">
        <v>95</v>
      </c>
      <c r="AX22" s="2" t="s">
        <v>120</v>
      </c>
      <c r="AZ22" s="2" t="s">
        <v>177</v>
      </c>
      <c r="BF22" s="2" t="s">
        <v>180</v>
      </c>
      <c r="BG22" s="2" t="s">
        <v>95</v>
      </c>
      <c r="BH22" s="2" t="s">
        <v>95</v>
      </c>
      <c r="BI22" s="2" t="s">
        <v>95</v>
      </c>
      <c r="BK22" s="2" t="s">
        <v>100</v>
      </c>
      <c r="CA22" s="2" t="s">
        <v>181</v>
      </c>
      <c r="CB22" s="2" t="s">
        <v>120</v>
      </c>
      <c r="CL22" s="2" t="s">
        <v>95</v>
      </c>
      <c r="CM22" s="2" t="s">
        <v>95</v>
      </c>
      <c r="CO22" s="3">
        <v>40129</v>
      </c>
      <c r="CP22" s="3">
        <v>43634</v>
      </c>
    </row>
    <row r="23" spans="1:94" x14ac:dyDescent="0.25">
      <c r="A23" s="2" t="s">
        <v>182</v>
      </c>
      <c r="B23" s="2" t="str">
        <f xml:space="preserve"> "" &amp; 874944004048</f>
        <v>874944004048</v>
      </c>
      <c r="C23" s="2" t="s">
        <v>183</v>
      </c>
      <c r="D23" s="2" t="s">
        <v>184</v>
      </c>
      <c r="E23" s="2" t="s">
        <v>125</v>
      </c>
      <c r="F23" s="2" t="s">
        <v>106</v>
      </c>
      <c r="G23" s="2">
        <v>1</v>
      </c>
      <c r="H23" s="2">
        <v>1</v>
      </c>
      <c r="I23" s="2" t="s">
        <v>94</v>
      </c>
      <c r="J23" s="6">
        <v>32.5</v>
      </c>
      <c r="K23" s="6">
        <v>97.5</v>
      </c>
      <c r="L23" s="2">
        <v>0</v>
      </c>
      <c r="N23" s="2">
        <v>0</v>
      </c>
      <c r="O23" s="2" t="s">
        <v>96</v>
      </c>
      <c r="P23" s="6">
        <v>68.25</v>
      </c>
      <c r="Q23" s="6"/>
      <c r="R23" s="7"/>
      <c r="S23" s="2">
        <v>5.13</v>
      </c>
      <c r="T23" s="2">
        <v>48</v>
      </c>
      <c r="U23" s="2">
        <v>0.75</v>
      </c>
      <c r="W23" s="2">
        <v>1.04</v>
      </c>
      <c r="X23" s="2">
        <v>1</v>
      </c>
      <c r="Y23" s="2">
        <v>5.13</v>
      </c>
      <c r="Z23" s="2">
        <v>5.13</v>
      </c>
      <c r="AA23" s="2">
        <v>2.38</v>
      </c>
      <c r="AB23" s="2">
        <v>3.5999999999999997E-2</v>
      </c>
      <c r="AC23" s="2">
        <v>7.36</v>
      </c>
      <c r="AE23" s="2">
        <v>0</v>
      </c>
      <c r="AF23" s="2" t="s">
        <v>126</v>
      </c>
      <c r="AG23" s="2">
        <v>0</v>
      </c>
      <c r="AH23" s="2">
        <v>0</v>
      </c>
      <c r="AJ23" s="2">
        <v>0</v>
      </c>
      <c r="AK23" s="2" t="s">
        <v>95</v>
      </c>
      <c r="AM23" s="2" t="s">
        <v>95</v>
      </c>
      <c r="AN23" s="2" t="s">
        <v>95</v>
      </c>
      <c r="AO23" s="2" t="s">
        <v>96</v>
      </c>
      <c r="AP23" s="2" t="s">
        <v>97</v>
      </c>
      <c r="AQ23" s="2" t="s">
        <v>98</v>
      </c>
      <c r="AV23" s="2" t="s">
        <v>95</v>
      </c>
      <c r="AX23" s="2" t="s">
        <v>135</v>
      </c>
      <c r="BF23" s="2" t="s">
        <v>185</v>
      </c>
      <c r="BG23" s="2" t="s">
        <v>95</v>
      </c>
      <c r="BH23" s="2" t="s">
        <v>95</v>
      </c>
      <c r="BI23" s="2" t="s">
        <v>95</v>
      </c>
      <c r="BK23" s="2" t="s">
        <v>100</v>
      </c>
      <c r="CA23" s="2" t="s">
        <v>186</v>
      </c>
      <c r="CB23" s="2" t="s">
        <v>135</v>
      </c>
      <c r="CL23" s="2" t="s">
        <v>95</v>
      </c>
      <c r="CM23" s="2" t="s">
        <v>95</v>
      </c>
      <c r="CO23" s="3">
        <v>38383</v>
      </c>
      <c r="CP23" s="3">
        <v>43634</v>
      </c>
    </row>
    <row r="24" spans="1:94" x14ac:dyDescent="0.25">
      <c r="A24" s="2" t="s">
        <v>187</v>
      </c>
      <c r="B24" s="2" t="str">
        <f xml:space="preserve"> "" &amp; 874944004055</f>
        <v>874944004055</v>
      </c>
      <c r="C24" s="2" t="s">
        <v>183</v>
      </c>
      <c r="D24" s="2" t="s">
        <v>184</v>
      </c>
      <c r="E24" s="2" t="s">
        <v>125</v>
      </c>
      <c r="F24" s="2" t="s">
        <v>106</v>
      </c>
      <c r="G24" s="2">
        <v>1</v>
      </c>
      <c r="H24" s="2">
        <v>1</v>
      </c>
      <c r="I24" s="2" t="s">
        <v>94</v>
      </c>
      <c r="J24" s="6">
        <v>35</v>
      </c>
      <c r="K24" s="6">
        <v>105</v>
      </c>
      <c r="L24" s="2">
        <v>0</v>
      </c>
      <c r="N24" s="2">
        <v>0</v>
      </c>
      <c r="O24" s="2" t="s">
        <v>96</v>
      </c>
      <c r="P24" s="6">
        <v>73.5</v>
      </c>
      <c r="Q24" s="6"/>
      <c r="R24" s="7"/>
      <c r="S24" s="2">
        <v>5.13</v>
      </c>
      <c r="T24" s="2">
        <v>48</v>
      </c>
      <c r="U24" s="2">
        <v>0.75</v>
      </c>
      <c r="W24" s="2">
        <v>1.04</v>
      </c>
      <c r="X24" s="2">
        <v>1</v>
      </c>
      <c r="Y24" s="2">
        <v>5.13</v>
      </c>
      <c r="Z24" s="2">
        <v>5.13</v>
      </c>
      <c r="AA24" s="2">
        <v>2.38</v>
      </c>
      <c r="AB24" s="2">
        <v>3.5999999999999997E-2</v>
      </c>
      <c r="AC24" s="2">
        <v>7.36</v>
      </c>
      <c r="AE24" s="2">
        <v>0</v>
      </c>
      <c r="AF24" s="2" t="s">
        <v>126</v>
      </c>
      <c r="AG24" s="2">
        <v>0</v>
      </c>
      <c r="AH24" s="2">
        <v>0</v>
      </c>
      <c r="AJ24" s="2">
        <v>0</v>
      </c>
      <c r="AK24" s="2" t="s">
        <v>95</v>
      </c>
      <c r="AM24" s="2" t="s">
        <v>95</v>
      </c>
      <c r="AN24" s="2" t="s">
        <v>95</v>
      </c>
      <c r="AO24" s="2" t="s">
        <v>96</v>
      </c>
      <c r="AP24" s="2" t="s">
        <v>97</v>
      </c>
      <c r="AQ24" s="2" t="s">
        <v>98</v>
      </c>
      <c r="AV24" s="2" t="s">
        <v>95</v>
      </c>
      <c r="AX24" s="2" t="s">
        <v>141</v>
      </c>
      <c r="BF24" s="2" t="s">
        <v>188</v>
      </c>
      <c r="BG24" s="2" t="s">
        <v>95</v>
      </c>
      <c r="BH24" s="2" t="s">
        <v>95</v>
      </c>
      <c r="BI24" s="2" t="s">
        <v>95</v>
      </c>
      <c r="BK24" s="2" t="s">
        <v>100</v>
      </c>
      <c r="CA24" s="2" t="s">
        <v>186</v>
      </c>
      <c r="CB24" s="2" t="s">
        <v>141</v>
      </c>
      <c r="CL24" s="2" t="s">
        <v>95</v>
      </c>
      <c r="CM24" s="2" t="s">
        <v>95</v>
      </c>
      <c r="CO24" s="3">
        <v>38383</v>
      </c>
      <c r="CP24" s="3">
        <v>43634</v>
      </c>
    </row>
    <row r="25" spans="1:94" x14ac:dyDescent="0.25">
      <c r="A25" s="2" t="s">
        <v>189</v>
      </c>
      <c r="B25" s="2" t="str">
        <f xml:space="preserve"> "" &amp; 874944004062</f>
        <v>874944004062</v>
      </c>
      <c r="C25" s="2" t="s">
        <v>183</v>
      </c>
      <c r="D25" s="2" t="s">
        <v>190</v>
      </c>
      <c r="E25" s="2" t="s">
        <v>125</v>
      </c>
      <c r="F25" s="2" t="s">
        <v>106</v>
      </c>
      <c r="G25" s="2">
        <v>1</v>
      </c>
      <c r="H25" s="2">
        <v>1</v>
      </c>
      <c r="I25" s="2" t="s">
        <v>94</v>
      </c>
      <c r="J25" s="6">
        <v>34.5</v>
      </c>
      <c r="K25" s="6">
        <v>103.5</v>
      </c>
      <c r="L25" s="2">
        <v>0</v>
      </c>
      <c r="N25" s="2">
        <v>0</v>
      </c>
      <c r="O25" s="2" t="s">
        <v>96</v>
      </c>
      <c r="P25" s="6">
        <v>72.45</v>
      </c>
      <c r="Q25" s="6"/>
      <c r="R25" s="7"/>
      <c r="S25" s="2">
        <v>1</v>
      </c>
      <c r="T25" s="2">
        <v>1</v>
      </c>
      <c r="U25" s="2">
        <v>0.75</v>
      </c>
      <c r="W25" s="2">
        <v>1.65</v>
      </c>
      <c r="X25" s="2">
        <v>1</v>
      </c>
      <c r="Y25" s="2">
        <v>13.38</v>
      </c>
      <c r="Z25" s="2">
        <v>10.38</v>
      </c>
      <c r="AA25" s="2">
        <v>7</v>
      </c>
      <c r="AB25" s="2">
        <v>0.56000000000000005</v>
      </c>
      <c r="AC25" s="2">
        <v>11.49</v>
      </c>
      <c r="AE25" s="2">
        <v>0</v>
      </c>
      <c r="AF25" s="2" t="s">
        <v>126</v>
      </c>
      <c r="AG25" s="2">
        <v>0</v>
      </c>
      <c r="AH25" s="2">
        <v>0</v>
      </c>
      <c r="AJ25" s="2">
        <v>0</v>
      </c>
      <c r="AK25" s="2" t="s">
        <v>95</v>
      </c>
      <c r="AM25" s="2" t="s">
        <v>95</v>
      </c>
      <c r="AN25" s="2" t="s">
        <v>95</v>
      </c>
      <c r="AO25" s="2" t="s">
        <v>96</v>
      </c>
      <c r="AP25" s="2" t="s">
        <v>97</v>
      </c>
      <c r="AQ25" s="2" t="s">
        <v>98</v>
      </c>
      <c r="AV25" s="2" t="s">
        <v>95</v>
      </c>
      <c r="AX25" s="2" t="s">
        <v>116</v>
      </c>
      <c r="BF25" s="2" t="s">
        <v>191</v>
      </c>
      <c r="BG25" s="2" t="s">
        <v>95</v>
      </c>
      <c r="BH25" s="2" t="s">
        <v>95</v>
      </c>
      <c r="BI25" s="2" t="s">
        <v>95</v>
      </c>
      <c r="BK25" s="2" t="s">
        <v>100</v>
      </c>
      <c r="CA25" s="2" t="s">
        <v>192</v>
      </c>
      <c r="CB25" s="2" t="s">
        <v>116</v>
      </c>
      <c r="CL25" s="2" t="s">
        <v>95</v>
      </c>
      <c r="CM25" s="2" t="s">
        <v>95</v>
      </c>
      <c r="CO25" s="3">
        <v>38383</v>
      </c>
      <c r="CP25" s="3">
        <v>43634</v>
      </c>
    </row>
    <row r="26" spans="1:94" x14ac:dyDescent="0.25">
      <c r="A26" s="2" t="s">
        <v>193</v>
      </c>
      <c r="B26" s="2" t="str">
        <f xml:space="preserve"> "" &amp; 874944004079</f>
        <v>874944004079</v>
      </c>
      <c r="C26" s="2" t="s">
        <v>183</v>
      </c>
      <c r="D26" s="2" t="s">
        <v>184</v>
      </c>
      <c r="E26" s="2" t="s">
        <v>125</v>
      </c>
      <c r="F26" s="2" t="s">
        <v>106</v>
      </c>
      <c r="G26" s="2">
        <v>1</v>
      </c>
      <c r="H26" s="2">
        <v>1</v>
      </c>
      <c r="I26" s="2" t="s">
        <v>94</v>
      </c>
      <c r="J26" s="6">
        <v>46.5</v>
      </c>
      <c r="K26" s="6">
        <v>139.5</v>
      </c>
      <c r="L26" s="2">
        <v>0</v>
      </c>
      <c r="N26" s="2">
        <v>0</v>
      </c>
      <c r="O26" s="2" t="s">
        <v>96</v>
      </c>
      <c r="P26" s="6">
        <v>97.65</v>
      </c>
      <c r="Q26" s="6"/>
      <c r="R26" s="7"/>
      <c r="S26" s="2">
        <v>1</v>
      </c>
      <c r="T26" s="2">
        <v>96</v>
      </c>
      <c r="U26" s="2">
        <v>0.75</v>
      </c>
      <c r="W26" s="2">
        <v>1.65</v>
      </c>
      <c r="X26" s="2">
        <v>1</v>
      </c>
      <c r="Y26" s="2">
        <v>13.38</v>
      </c>
      <c r="Z26" s="2">
        <v>10.38</v>
      </c>
      <c r="AA26" s="2">
        <v>7</v>
      </c>
      <c r="AB26" s="2">
        <v>0.56000000000000005</v>
      </c>
      <c r="AC26" s="2">
        <v>11.49</v>
      </c>
      <c r="AE26" s="2">
        <v>0</v>
      </c>
      <c r="AF26" s="2" t="s">
        <v>126</v>
      </c>
      <c r="AG26" s="2">
        <v>0</v>
      </c>
      <c r="AH26" s="2">
        <v>0</v>
      </c>
      <c r="AJ26" s="2">
        <v>0</v>
      </c>
      <c r="AK26" s="2" t="s">
        <v>95</v>
      </c>
      <c r="AM26" s="2" t="s">
        <v>95</v>
      </c>
      <c r="AN26" s="2" t="s">
        <v>95</v>
      </c>
      <c r="AO26" s="2" t="s">
        <v>96</v>
      </c>
      <c r="AP26" s="2" t="s">
        <v>97</v>
      </c>
      <c r="AQ26" s="2" t="s">
        <v>98</v>
      </c>
      <c r="AV26" s="2" t="s">
        <v>95</v>
      </c>
      <c r="AX26" s="2" t="s">
        <v>141</v>
      </c>
      <c r="BF26" s="2" t="s">
        <v>194</v>
      </c>
      <c r="BG26" s="2" t="s">
        <v>95</v>
      </c>
      <c r="BH26" s="2" t="s">
        <v>95</v>
      </c>
      <c r="BI26" s="2" t="s">
        <v>95</v>
      </c>
      <c r="BK26" s="2" t="s">
        <v>100</v>
      </c>
      <c r="CA26" s="2" t="s">
        <v>192</v>
      </c>
      <c r="CB26" s="2" t="s">
        <v>141</v>
      </c>
      <c r="CL26" s="2" t="s">
        <v>95</v>
      </c>
      <c r="CM26" s="2" t="s">
        <v>95</v>
      </c>
      <c r="CO26" s="3">
        <v>38383</v>
      </c>
      <c r="CP26" s="3">
        <v>43634</v>
      </c>
    </row>
    <row r="27" spans="1:94" x14ac:dyDescent="0.25">
      <c r="A27" s="2" t="s">
        <v>195</v>
      </c>
      <c r="B27" s="2" t="str">
        <f xml:space="preserve"> "" &amp; 844371017416</f>
        <v>844371017416</v>
      </c>
      <c r="C27" s="2" t="s">
        <v>196</v>
      </c>
      <c r="D27" s="2" t="s">
        <v>197</v>
      </c>
      <c r="E27" s="2" t="s">
        <v>125</v>
      </c>
      <c r="F27" s="2" t="s">
        <v>106</v>
      </c>
      <c r="G27" s="2">
        <v>1</v>
      </c>
      <c r="H27" s="2">
        <v>1</v>
      </c>
      <c r="I27" s="2" t="s">
        <v>94</v>
      </c>
      <c r="J27" s="6">
        <v>9.9499999999999993</v>
      </c>
      <c r="K27" s="6">
        <v>29.85</v>
      </c>
      <c r="L27" s="2">
        <v>0</v>
      </c>
      <c r="N27" s="2">
        <v>0</v>
      </c>
      <c r="Q27" s="6"/>
      <c r="R27" s="7"/>
      <c r="S27" s="2">
        <v>1</v>
      </c>
      <c r="T27" s="2">
        <v>1</v>
      </c>
      <c r="U27" s="2">
        <v>1</v>
      </c>
      <c r="W27" s="2">
        <v>0.55000000000000004</v>
      </c>
      <c r="X27" s="2">
        <v>1</v>
      </c>
      <c r="Y27" s="2">
        <v>6.5</v>
      </c>
      <c r="Z27" s="2">
        <v>11</v>
      </c>
      <c r="AA27" s="2">
        <v>11</v>
      </c>
      <c r="AB27" s="2">
        <v>0.45500000000000002</v>
      </c>
      <c r="AC27" s="2">
        <v>0.88</v>
      </c>
      <c r="AK27" s="2" t="s">
        <v>95</v>
      </c>
      <c r="AM27" s="2" t="s">
        <v>95</v>
      </c>
      <c r="AN27" s="2" t="s">
        <v>95</v>
      </c>
      <c r="AO27" s="2" t="s">
        <v>95</v>
      </c>
      <c r="AP27" s="2" t="s">
        <v>97</v>
      </c>
      <c r="AQ27" s="2" t="s">
        <v>98</v>
      </c>
      <c r="AV27" s="2" t="s">
        <v>95</v>
      </c>
      <c r="AX27" s="2" t="s">
        <v>120</v>
      </c>
      <c r="AZ27" s="2" t="s">
        <v>177</v>
      </c>
      <c r="BF27" s="2" t="s">
        <v>198</v>
      </c>
      <c r="BG27" s="2" t="s">
        <v>95</v>
      </c>
      <c r="BH27" s="2" t="s">
        <v>95</v>
      </c>
      <c r="BI27" s="2" t="s">
        <v>95</v>
      </c>
      <c r="BK27" s="2" t="s">
        <v>100</v>
      </c>
      <c r="CB27" s="2" t="s">
        <v>120</v>
      </c>
      <c r="CL27" s="2" t="s">
        <v>95</v>
      </c>
      <c r="CM27" s="2" t="s">
        <v>95</v>
      </c>
      <c r="CP27" s="3">
        <v>43634</v>
      </c>
    </row>
    <row r="28" spans="1:94" x14ac:dyDescent="0.25">
      <c r="A28" s="2" t="s">
        <v>199</v>
      </c>
      <c r="B28" s="2" t="str">
        <f xml:space="preserve"> "" &amp; 844371017409</f>
        <v>844371017409</v>
      </c>
      <c r="C28" s="2" t="s">
        <v>196</v>
      </c>
      <c r="D28" s="2" t="s">
        <v>200</v>
      </c>
      <c r="E28" s="2" t="s">
        <v>125</v>
      </c>
      <c r="F28" s="2" t="s">
        <v>106</v>
      </c>
      <c r="G28" s="2">
        <v>1</v>
      </c>
      <c r="H28" s="2">
        <v>1</v>
      </c>
      <c r="I28" s="2" t="s">
        <v>94</v>
      </c>
      <c r="J28" s="6">
        <v>9.9499999999999993</v>
      </c>
      <c r="K28" s="6">
        <v>29.85</v>
      </c>
      <c r="L28" s="2">
        <v>0</v>
      </c>
      <c r="N28" s="2">
        <v>0</v>
      </c>
      <c r="Q28" s="6"/>
      <c r="R28" s="7"/>
      <c r="S28" s="2">
        <v>1</v>
      </c>
      <c r="T28" s="2">
        <v>1</v>
      </c>
      <c r="U28" s="2">
        <v>1</v>
      </c>
      <c r="W28" s="2">
        <v>0.52</v>
      </c>
      <c r="X28" s="2">
        <v>1</v>
      </c>
      <c r="Y28" s="2">
        <v>6.5</v>
      </c>
      <c r="Z28" s="2">
        <v>11</v>
      </c>
      <c r="AA28" s="2">
        <v>11</v>
      </c>
      <c r="AB28" s="2">
        <v>0.45500000000000002</v>
      </c>
      <c r="AC28" s="2">
        <v>0.88</v>
      </c>
      <c r="AK28" s="2" t="s">
        <v>95</v>
      </c>
      <c r="AM28" s="2" t="s">
        <v>95</v>
      </c>
      <c r="AN28" s="2" t="s">
        <v>95</v>
      </c>
      <c r="AO28" s="2" t="s">
        <v>95</v>
      </c>
      <c r="AP28" s="2" t="s">
        <v>97</v>
      </c>
      <c r="AV28" s="2" t="s">
        <v>95</v>
      </c>
      <c r="AX28" s="2" t="s">
        <v>130</v>
      </c>
      <c r="AZ28" s="2" t="s">
        <v>177</v>
      </c>
      <c r="BF28" s="2" t="s">
        <v>201</v>
      </c>
      <c r="BG28" s="2" t="s">
        <v>95</v>
      </c>
      <c r="BH28" s="2" t="s">
        <v>95</v>
      </c>
      <c r="BI28" s="2" t="s">
        <v>95</v>
      </c>
      <c r="BK28" s="2" t="s">
        <v>100</v>
      </c>
      <c r="CB28" s="2" t="s">
        <v>130</v>
      </c>
      <c r="CL28" s="2" t="s">
        <v>95</v>
      </c>
      <c r="CM28" s="2" t="s">
        <v>95</v>
      </c>
      <c r="CP28" s="3">
        <v>43634</v>
      </c>
    </row>
    <row r="29" spans="1:94" x14ac:dyDescent="0.25">
      <c r="A29" s="2" t="s">
        <v>202</v>
      </c>
      <c r="B29" s="2" t="str">
        <f xml:space="preserve"> "" &amp; 874944004376</f>
        <v>874944004376</v>
      </c>
      <c r="C29" s="2" t="s">
        <v>203</v>
      </c>
      <c r="D29" s="2" t="s">
        <v>204</v>
      </c>
      <c r="E29" s="2" t="s">
        <v>125</v>
      </c>
      <c r="F29" s="2" t="s">
        <v>115</v>
      </c>
      <c r="G29" s="2">
        <v>1</v>
      </c>
      <c r="H29" s="2">
        <v>1</v>
      </c>
      <c r="I29" s="2" t="s">
        <v>94</v>
      </c>
      <c r="J29" s="6">
        <v>2</v>
      </c>
      <c r="K29" s="6">
        <v>6</v>
      </c>
      <c r="L29" s="2">
        <v>0</v>
      </c>
      <c r="N29" s="2">
        <v>0</v>
      </c>
      <c r="Q29" s="6"/>
      <c r="R29" s="7"/>
      <c r="S29" s="2">
        <v>1</v>
      </c>
      <c r="T29" s="2">
        <v>1</v>
      </c>
      <c r="U29" s="2">
        <v>2</v>
      </c>
      <c r="W29" s="2">
        <v>0.02</v>
      </c>
      <c r="X29" s="2">
        <v>1</v>
      </c>
      <c r="Y29" s="2">
        <v>9.5</v>
      </c>
      <c r="Z29" s="2">
        <v>9.1300000000000008</v>
      </c>
      <c r="AA29" s="2">
        <v>4.88</v>
      </c>
      <c r="AB29" s="2">
        <v>0.24</v>
      </c>
      <c r="AC29" s="2">
        <v>3.75</v>
      </c>
      <c r="AE29" s="2">
        <v>0</v>
      </c>
      <c r="AF29" s="2" t="s">
        <v>126</v>
      </c>
      <c r="AG29" s="2">
        <v>0</v>
      </c>
      <c r="AH29" s="2">
        <v>0</v>
      </c>
      <c r="AJ29" s="2">
        <v>0</v>
      </c>
      <c r="AK29" s="2" t="s">
        <v>95</v>
      </c>
      <c r="AM29" s="2" t="s">
        <v>95</v>
      </c>
      <c r="AN29" s="2" t="s">
        <v>95</v>
      </c>
      <c r="AO29" s="2" t="s">
        <v>95</v>
      </c>
      <c r="AP29" s="2" t="s">
        <v>97</v>
      </c>
      <c r="AQ29" s="2" t="s">
        <v>98</v>
      </c>
      <c r="AV29" s="2" t="s">
        <v>95</v>
      </c>
      <c r="AX29" s="2" t="s">
        <v>205</v>
      </c>
      <c r="AZ29" s="2" t="s">
        <v>177</v>
      </c>
      <c r="BF29" s="2" t="s">
        <v>206</v>
      </c>
      <c r="BG29" s="2" t="s">
        <v>95</v>
      </c>
      <c r="BH29" s="2" t="s">
        <v>95</v>
      </c>
      <c r="BI29" s="2" t="s">
        <v>95</v>
      </c>
      <c r="BK29" s="2" t="s">
        <v>100</v>
      </c>
      <c r="CA29" s="2" t="s">
        <v>207</v>
      </c>
      <c r="CB29" s="2" t="s">
        <v>205</v>
      </c>
      <c r="CL29" s="2" t="s">
        <v>95</v>
      </c>
      <c r="CM29" s="2" t="s">
        <v>95</v>
      </c>
      <c r="CO29" s="3">
        <v>38383</v>
      </c>
      <c r="CP29" s="3">
        <v>43634</v>
      </c>
    </row>
    <row r="30" spans="1:94" x14ac:dyDescent="0.25">
      <c r="A30" s="2" t="s">
        <v>208</v>
      </c>
      <c r="B30" s="2" t="str">
        <f xml:space="preserve"> "" &amp; 874944003546</f>
        <v>874944003546</v>
      </c>
      <c r="C30" s="2" t="s">
        <v>209</v>
      </c>
      <c r="D30" s="2" t="s">
        <v>210</v>
      </c>
      <c r="E30" s="2" t="s">
        <v>125</v>
      </c>
      <c r="F30" s="2" t="s">
        <v>211</v>
      </c>
      <c r="G30" s="2">
        <v>1</v>
      </c>
      <c r="H30" s="2">
        <v>1</v>
      </c>
      <c r="I30" s="2" t="s">
        <v>94</v>
      </c>
      <c r="J30" s="6">
        <v>5</v>
      </c>
      <c r="K30" s="6">
        <v>15</v>
      </c>
      <c r="L30" s="2">
        <v>0</v>
      </c>
      <c r="N30" s="2">
        <v>0</v>
      </c>
      <c r="Q30" s="6"/>
      <c r="R30" s="7"/>
      <c r="S30" s="2">
        <v>2.25</v>
      </c>
      <c r="T30" s="2">
        <v>3.5</v>
      </c>
      <c r="U30" s="2">
        <v>3.25</v>
      </c>
      <c r="W30" s="2">
        <v>1.76</v>
      </c>
      <c r="X30" s="2">
        <v>1</v>
      </c>
      <c r="Y30" s="2">
        <v>3.63</v>
      </c>
      <c r="Z30" s="2">
        <v>3.5</v>
      </c>
      <c r="AA30" s="2">
        <v>3.5</v>
      </c>
      <c r="AB30" s="2">
        <v>2.5999999999999999E-2</v>
      </c>
      <c r="AC30" s="2">
        <v>2.54</v>
      </c>
      <c r="AE30" s="2">
        <v>0</v>
      </c>
      <c r="AF30" s="2" t="s">
        <v>126</v>
      </c>
      <c r="AG30" s="2">
        <v>0</v>
      </c>
      <c r="AH30" s="2">
        <v>0</v>
      </c>
      <c r="AJ30" s="2">
        <v>0</v>
      </c>
      <c r="AK30" s="2" t="s">
        <v>95</v>
      </c>
      <c r="AM30" s="2" t="s">
        <v>95</v>
      </c>
      <c r="AN30" s="2" t="s">
        <v>95</v>
      </c>
      <c r="AO30" s="2" t="s">
        <v>95</v>
      </c>
      <c r="AP30" s="2" t="s">
        <v>97</v>
      </c>
      <c r="AQ30" s="2" t="s">
        <v>98</v>
      </c>
      <c r="AV30" s="2" t="s">
        <v>95</v>
      </c>
      <c r="AX30" s="2" t="s">
        <v>116</v>
      </c>
      <c r="BB30" s="2" t="s">
        <v>212</v>
      </c>
      <c r="BC30" s="2" t="s">
        <v>135</v>
      </c>
      <c r="BF30" s="2" t="s">
        <v>213</v>
      </c>
      <c r="BG30" s="2" t="s">
        <v>95</v>
      </c>
      <c r="BH30" s="2" t="s">
        <v>95</v>
      </c>
      <c r="BI30" s="2" t="s">
        <v>95</v>
      </c>
      <c r="BK30" s="2" t="e">
        <v>#N/A</v>
      </c>
      <c r="CA30" s="2" t="s">
        <v>214</v>
      </c>
      <c r="CB30" s="2" t="s">
        <v>116</v>
      </c>
      <c r="CL30" s="2" t="s">
        <v>95</v>
      </c>
      <c r="CM30" s="2" t="s">
        <v>95</v>
      </c>
      <c r="CO30" s="3">
        <v>39387</v>
      </c>
      <c r="CP30" s="3">
        <v>43634</v>
      </c>
    </row>
    <row r="31" spans="1:94" x14ac:dyDescent="0.25">
      <c r="A31" s="2" t="s">
        <v>215</v>
      </c>
      <c r="B31" s="2" t="str">
        <f xml:space="preserve"> "" &amp; 874944003577</f>
        <v>874944003577</v>
      </c>
      <c r="C31" s="2" t="s">
        <v>216</v>
      </c>
      <c r="D31" s="2" t="s">
        <v>210</v>
      </c>
      <c r="E31" s="2" t="s">
        <v>125</v>
      </c>
      <c r="F31" s="2" t="s">
        <v>211</v>
      </c>
      <c r="G31" s="2">
        <v>1</v>
      </c>
      <c r="H31" s="2">
        <v>1</v>
      </c>
      <c r="I31" s="2" t="s">
        <v>94</v>
      </c>
      <c r="J31" s="6">
        <v>6</v>
      </c>
      <c r="K31" s="6">
        <v>18</v>
      </c>
      <c r="L31" s="2">
        <v>0</v>
      </c>
      <c r="N31" s="2">
        <v>0</v>
      </c>
      <c r="Q31" s="6"/>
      <c r="R31" s="7"/>
      <c r="S31" s="2">
        <v>2.25</v>
      </c>
      <c r="U31" s="2">
        <v>3.25</v>
      </c>
      <c r="W31" s="2">
        <v>0.13</v>
      </c>
      <c r="X31" s="2">
        <v>1</v>
      </c>
      <c r="Y31" s="2">
        <v>7.88</v>
      </c>
      <c r="Z31" s="2">
        <v>7.88</v>
      </c>
      <c r="AA31" s="2">
        <v>4.13</v>
      </c>
      <c r="AB31" s="2">
        <v>0.14799999999999999</v>
      </c>
      <c r="AC31" s="2">
        <v>0.66</v>
      </c>
      <c r="AE31" s="2">
        <v>0</v>
      </c>
      <c r="AF31" s="2" t="s">
        <v>126</v>
      </c>
      <c r="AG31" s="2">
        <v>0</v>
      </c>
      <c r="AH31" s="2">
        <v>0</v>
      </c>
      <c r="AJ31" s="2">
        <v>0</v>
      </c>
      <c r="AK31" s="2" t="s">
        <v>95</v>
      </c>
      <c r="AM31" s="2" t="s">
        <v>95</v>
      </c>
      <c r="AN31" s="2" t="s">
        <v>95</v>
      </c>
      <c r="AO31" s="2" t="s">
        <v>95</v>
      </c>
      <c r="AP31" s="2" t="s">
        <v>97</v>
      </c>
      <c r="AQ31" s="2" t="s">
        <v>98</v>
      </c>
      <c r="AV31" s="2" t="s">
        <v>95</v>
      </c>
      <c r="AX31" s="2" t="s">
        <v>120</v>
      </c>
      <c r="BB31" s="2" t="s">
        <v>212</v>
      </c>
      <c r="BC31" s="2" t="s">
        <v>141</v>
      </c>
      <c r="BF31" s="2" t="s">
        <v>217</v>
      </c>
      <c r="BG31" s="2" t="s">
        <v>95</v>
      </c>
      <c r="BH31" s="2" t="s">
        <v>95</v>
      </c>
      <c r="BI31" s="2" t="s">
        <v>95</v>
      </c>
      <c r="BK31" s="2" t="s">
        <v>100</v>
      </c>
      <c r="CA31" s="2" t="s">
        <v>218</v>
      </c>
      <c r="CB31" s="2" t="s">
        <v>120</v>
      </c>
      <c r="CL31" s="2" t="s">
        <v>95</v>
      </c>
      <c r="CM31" s="2" t="s">
        <v>95</v>
      </c>
      <c r="CN31" s="2" t="s">
        <v>219</v>
      </c>
      <c r="CO31" s="3">
        <v>39387</v>
      </c>
      <c r="CP31" s="3">
        <v>43634</v>
      </c>
    </row>
    <row r="32" spans="1:94" x14ac:dyDescent="0.25">
      <c r="A32" s="2" t="s">
        <v>220</v>
      </c>
      <c r="B32" s="2" t="str">
        <f xml:space="preserve"> "" &amp; 874944007896</f>
        <v>874944007896</v>
      </c>
      <c r="C32" s="2" t="s">
        <v>221</v>
      </c>
      <c r="D32" s="2" t="s">
        <v>222</v>
      </c>
      <c r="E32" s="2" t="s">
        <v>125</v>
      </c>
      <c r="F32" s="2" t="s">
        <v>115</v>
      </c>
      <c r="G32" s="2">
        <v>1</v>
      </c>
      <c r="H32" s="2">
        <v>1</v>
      </c>
      <c r="I32" s="2" t="s">
        <v>94</v>
      </c>
      <c r="J32" s="6">
        <v>9</v>
      </c>
      <c r="K32" s="6">
        <v>27</v>
      </c>
      <c r="L32" s="2">
        <v>0</v>
      </c>
      <c r="N32" s="2">
        <v>0</v>
      </c>
      <c r="O32" s="2" t="s">
        <v>96</v>
      </c>
      <c r="P32" s="6">
        <v>18.899999999999999</v>
      </c>
      <c r="Q32" s="6"/>
      <c r="R32" s="7"/>
      <c r="S32" s="2">
        <v>5</v>
      </c>
      <c r="T32" s="2">
        <v>1.5</v>
      </c>
      <c r="U32" s="2">
        <v>1.5</v>
      </c>
      <c r="W32" s="2">
        <v>3.79</v>
      </c>
      <c r="X32" s="2">
        <v>1</v>
      </c>
      <c r="Y32" s="2">
        <v>5.38</v>
      </c>
      <c r="Z32" s="2">
        <v>1.5</v>
      </c>
      <c r="AA32" s="2">
        <v>1.5</v>
      </c>
      <c r="AB32" s="2">
        <v>7.0000000000000001E-3</v>
      </c>
      <c r="AC32" s="2">
        <v>4.9800000000000004</v>
      </c>
      <c r="AE32" s="2">
        <v>0</v>
      </c>
      <c r="AF32" s="2" t="s">
        <v>126</v>
      </c>
      <c r="AG32" s="2">
        <v>0</v>
      </c>
      <c r="AH32" s="2">
        <v>0</v>
      </c>
      <c r="AJ32" s="2">
        <v>0</v>
      </c>
      <c r="AK32" s="2" t="s">
        <v>95</v>
      </c>
      <c r="AM32" s="2" t="s">
        <v>95</v>
      </c>
      <c r="AN32" s="2" t="s">
        <v>95</v>
      </c>
      <c r="AO32" s="2" t="s">
        <v>95</v>
      </c>
      <c r="AP32" s="2" t="s">
        <v>97</v>
      </c>
      <c r="AQ32" s="2" t="s">
        <v>98</v>
      </c>
      <c r="AV32" s="2" t="s">
        <v>95</v>
      </c>
      <c r="AX32" s="2" t="s">
        <v>116</v>
      </c>
      <c r="BF32" s="2" t="s">
        <v>223</v>
      </c>
      <c r="BG32" s="2" t="s">
        <v>95</v>
      </c>
      <c r="BH32" s="2" t="s">
        <v>95</v>
      </c>
      <c r="BI32" s="2" t="s">
        <v>95</v>
      </c>
      <c r="BK32" s="2" t="s">
        <v>100</v>
      </c>
      <c r="CA32" s="2" t="s">
        <v>224</v>
      </c>
      <c r="CB32" s="2" t="s">
        <v>116</v>
      </c>
      <c r="CL32" s="2" t="s">
        <v>95</v>
      </c>
      <c r="CM32" s="2" t="s">
        <v>95</v>
      </c>
      <c r="CO32" s="3">
        <v>39812</v>
      </c>
      <c r="CP32" s="3">
        <v>43634</v>
      </c>
    </row>
    <row r="33" spans="1:94" x14ac:dyDescent="0.25">
      <c r="A33" s="2" t="s">
        <v>225</v>
      </c>
      <c r="B33" s="2" t="str">
        <f xml:space="preserve"> "" &amp; 844349024163</f>
        <v>844349024163</v>
      </c>
      <c r="C33" s="2" t="s">
        <v>226</v>
      </c>
      <c r="D33" s="2" t="s">
        <v>227</v>
      </c>
      <c r="E33" s="2" t="s">
        <v>125</v>
      </c>
      <c r="F33" s="2" t="s">
        <v>115</v>
      </c>
      <c r="G33" s="2">
        <v>1</v>
      </c>
      <c r="H33" s="2">
        <v>1</v>
      </c>
      <c r="I33" s="2" t="s">
        <v>94</v>
      </c>
      <c r="J33" s="6">
        <v>9</v>
      </c>
      <c r="K33" s="6">
        <v>27</v>
      </c>
      <c r="L33" s="2">
        <v>0</v>
      </c>
      <c r="N33" s="2">
        <v>0</v>
      </c>
      <c r="Q33" s="6"/>
      <c r="R33" s="7"/>
      <c r="S33" s="2">
        <v>5.38</v>
      </c>
      <c r="T33" s="2">
        <v>5.75</v>
      </c>
      <c r="U33" s="2">
        <v>5.75</v>
      </c>
      <c r="W33" s="2">
        <v>0.79</v>
      </c>
      <c r="X33" s="2">
        <v>1</v>
      </c>
      <c r="Y33" s="2">
        <v>5.38</v>
      </c>
      <c r="Z33" s="2">
        <v>5.75</v>
      </c>
      <c r="AA33" s="2">
        <v>5.75</v>
      </c>
      <c r="AB33" s="2">
        <v>0.10299999999999999</v>
      </c>
      <c r="AC33" s="2">
        <v>3.44</v>
      </c>
      <c r="AK33" s="2" t="s">
        <v>95</v>
      </c>
      <c r="AM33" s="2" t="s">
        <v>95</v>
      </c>
      <c r="AN33" s="2" t="s">
        <v>95</v>
      </c>
      <c r="AO33" s="2" t="s">
        <v>95</v>
      </c>
      <c r="AP33" s="2" t="s">
        <v>97</v>
      </c>
      <c r="AQ33" s="2" t="s">
        <v>98</v>
      </c>
      <c r="AV33" s="2" t="s">
        <v>95</v>
      </c>
      <c r="AX33" s="2" t="s">
        <v>116</v>
      </c>
      <c r="AZ33" s="2" t="s">
        <v>177</v>
      </c>
      <c r="BF33" s="2" t="s">
        <v>228</v>
      </c>
      <c r="BG33" s="2" t="s">
        <v>95</v>
      </c>
      <c r="BH33" s="2" t="s">
        <v>95</v>
      </c>
      <c r="BI33" s="2" t="s">
        <v>95</v>
      </c>
      <c r="BK33" s="2" t="s">
        <v>100</v>
      </c>
      <c r="CA33" s="2" t="s">
        <v>229</v>
      </c>
      <c r="CB33" s="2" t="s">
        <v>116</v>
      </c>
      <c r="CL33" s="2" t="s">
        <v>95</v>
      </c>
      <c r="CM33" s="2" t="s">
        <v>95</v>
      </c>
      <c r="CN33" s="2" t="s">
        <v>230</v>
      </c>
      <c r="CO33" s="3">
        <v>43066</v>
      </c>
      <c r="CP33" s="3">
        <v>43634</v>
      </c>
    </row>
    <row r="34" spans="1:94" x14ac:dyDescent="0.25">
      <c r="A34" s="2" t="s">
        <v>231</v>
      </c>
      <c r="B34" s="2" t="str">
        <f xml:space="preserve"> "" &amp; 874944007889</f>
        <v>874944007889</v>
      </c>
      <c r="C34" s="2" t="s">
        <v>221</v>
      </c>
      <c r="D34" s="2" t="s">
        <v>222</v>
      </c>
      <c r="E34" s="2" t="s">
        <v>125</v>
      </c>
      <c r="F34" s="2" t="s">
        <v>115</v>
      </c>
      <c r="G34" s="2">
        <v>1</v>
      </c>
      <c r="H34" s="2">
        <v>1</v>
      </c>
      <c r="I34" s="2" t="s">
        <v>94</v>
      </c>
      <c r="J34" s="6">
        <v>9.5</v>
      </c>
      <c r="K34" s="6">
        <v>28.5</v>
      </c>
      <c r="L34" s="2">
        <v>0</v>
      </c>
      <c r="N34" s="2">
        <v>0</v>
      </c>
      <c r="O34" s="2" t="s">
        <v>96</v>
      </c>
      <c r="P34" s="6">
        <v>19.95</v>
      </c>
      <c r="Q34" s="6"/>
      <c r="R34" s="7"/>
      <c r="S34" s="2">
        <v>5</v>
      </c>
      <c r="T34" s="2">
        <v>1.5</v>
      </c>
      <c r="U34" s="2">
        <v>1.5</v>
      </c>
      <c r="W34" s="2">
        <v>3.79</v>
      </c>
      <c r="X34" s="2">
        <v>1</v>
      </c>
      <c r="Y34" s="2">
        <v>5.38</v>
      </c>
      <c r="Z34" s="2">
        <v>1.5</v>
      </c>
      <c r="AA34" s="2">
        <v>1.5</v>
      </c>
      <c r="AB34" s="2">
        <v>7.0000000000000001E-3</v>
      </c>
      <c r="AC34" s="2">
        <v>4.9800000000000004</v>
      </c>
      <c r="AE34" s="2">
        <v>0</v>
      </c>
      <c r="AF34" s="2" t="s">
        <v>126</v>
      </c>
      <c r="AG34" s="2">
        <v>0</v>
      </c>
      <c r="AH34" s="2">
        <v>0</v>
      </c>
      <c r="AJ34" s="2">
        <v>0</v>
      </c>
      <c r="AK34" s="2" t="s">
        <v>95</v>
      </c>
      <c r="AM34" s="2" t="s">
        <v>95</v>
      </c>
      <c r="AN34" s="2" t="s">
        <v>95</v>
      </c>
      <c r="AO34" s="2" t="s">
        <v>95</v>
      </c>
      <c r="AP34" s="2" t="s">
        <v>97</v>
      </c>
      <c r="AQ34" s="2" t="s">
        <v>98</v>
      </c>
      <c r="AV34" s="2" t="s">
        <v>95</v>
      </c>
      <c r="AX34" s="2" t="s">
        <v>120</v>
      </c>
      <c r="BF34" s="2" t="s">
        <v>232</v>
      </c>
      <c r="BG34" s="2" t="s">
        <v>95</v>
      </c>
      <c r="BH34" s="2" t="s">
        <v>95</v>
      </c>
      <c r="BI34" s="2" t="s">
        <v>95</v>
      </c>
      <c r="BK34" s="2" t="s">
        <v>100</v>
      </c>
      <c r="CA34" s="2" t="s">
        <v>224</v>
      </c>
      <c r="CB34" s="2" t="s">
        <v>120</v>
      </c>
      <c r="CL34" s="2" t="s">
        <v>95</v>
      </c>
      <c r="CM34" s="2" t="s">
        <v>95</v>
      </c>
      <c r="CO34" s="3">
        <v>39545</v>
      </c>
      <c r="CP34" s="3">
        <v>43634</v>
      </c>
    </row>
    <row r="35" spans="1:94" x14ac:dyDescent="0.25">
      <c r="A35" s="2" t="s">
        <v>233</v>
      </c>
      <c r="B35" s="2" t="str">
        <f xml:space="preserve"> "" &amp; 874944008008</f>
        <v>874944008008</v>
      </c>
      <c r="C35" s="2" t="s">
        <v>234</v>
      </c>
      <c r="D35" s="2" t="s">
        <v>235</v>
      </c>
      <c r="E35" s="2" t="s">
        <v>125</v>
      </c>
      <c r="F35" s="2" t="s">
        <v>115</v>
      </c>
      <c r="G35" s="2">
        <v>1</v>
      </c>
      <c r="H35" s="2">
        <v>1</v>
      </c>
      <c r="I35" s="2" t="s">
        <v>94</v>
      </c>
      <c r="J35" s="6">
        <v>5.5</v>
      </c>
      <c r="K35" s="6">
        <v>16.5</v>
      </c>
      <c r="L35" s="2">
        <v>0</v>
      </c>
      <c r="N35" s="2">
        <v>0</v>
      </c>
      <c r="Q35" s="6"/>
      <c r="R35" s="7"/>
      <c r="S35" s="2">
        <v>7</v>
      </c>
      <c r="T35" s="2">
        <v>1.5</v>
      </c>
      <c r="U35" s="2">
        <v>1.5</v>
      </c>
      <c r="W35" s="2">
        <v>3.7</v>
      </c>
      <c r="X35" s="2">
        <v>1</v>
      </c>
      <c r="Y35" s="2">
        <v>7</v>
      </c>
      <c r="Z35" s="2">
        <v>1.5</v>
      </c>
      <c r="AA35" s="2">
        <v>1.5</v>
      </c>
      <c r="AB35" s="2">
        <v>8.9999999999999993E-3</v>
      </c>
      <c r="AC35" s="2">
        <v>5.18</v>
      </c>
      <c r="AE35" s="2">
        <v>0</v>
      </c>
      <c r="AF35" s="2" t="s">
        <v>126</v>
      </c>
      <c r="AG35" s="2">
        <v>0</v>
      </c>
      <c r="AH35" s="2">
        <v>0</v>
      </c>
      <c r="AJ35" s="2">
        <v>0</v>
      </c>
      <c r="AK35" s="2" t="s">
        <v>95</v>
      </c>
      <c r="AM35" s="2" t="s">
        <v>95</v>
      </c>
      <c r="AN35" s="2" t="s">
        <v>95</v>
      </c>
      <c r="AO35" s="2" t="s">
        <v>95</v>
      </c>
      <c r="AP35" s="2" t="s">
        <v>97</v>
      </c>
      <c r="AQ35" s="2" t="s">
        <v>98</v>
      </c>
      <c r="AV35" s="2" t="s">
        <v>95</v>
      </c>
      <c r="AX35" s="2" t="s">
        <v>116</v>
      </c>
      <c r="BF35" s="2" t="s">
        <v>236</v>
      </c>
      <c r="BG35" s="2" t="s">
        <v>95</v>
      </c>
      <c r="BH35" s="2" t="s">
        <v>95</v>
      </c>
      <c r="BI35" s="2" t="s">
        <v>95</v>
      </c>
      <c r="BK35" s="2" t="e">
        <v>#N/A</v>
      </c>
      <c r="CA35" s="2" t="s">
        <v>237</v>
      </c>
      <c r="CB35" s="2" t="s">
        <v>116</v>
      </c>
      <c r="CL35" s="2" t="s">
        <v>95</v>
      </c>
      <c r="CM35" s="2" t="s">
        <v>95</v>
      </c>
      <c r="CO35" s="3">
        <v>39547</v>
      </c>
      <c r="CP35" s="3">
        <v>43634</v>
      </c>
    </row>
    <row r="36" spans="1:94" x14ac:dyDescent="0.25">
      <c r="A36" s="2" t="s">
        <v>238</v>
      </c>
      <c r="B36" s="2" t="str">
        <f xml:space="preserve"> "" &amp; 874944008015</f>
        <v>874944008015</v>
      </c>
      <c r="C36" s="2" t="s">
        <v>234</v>
      </c>
      <c r="D36" s="2" t="s">
        <v>239</v>
      </c>
      <c r="E36" s="2" t="s">
        <v>125</v>
      </c>
      <c r="F36" s="2" t="s">
        <v>115</v>
      </c>
      <c r="G36" s="2">
        <v>1</v>
      </c>
      <c r="H36" s="2">
        <v>1</v>
      </c>
      <c r="I36" s="2" t="s">
        <v>94</v>
      </c>
      <c r="J36" s="6">
        <v>7</v>
      </c>
      <c r="K36" s="6">
        <v>21</v>
      </c>
      <c r="L36" s="2">
        <v>0</v>
      </c>
      <c r="N36" s="2">
        <v>0</v>
      </c>
      <c r="Q36" s="6"/>
      <c r="R36" s="7"/>
      <c r="S36" s="2">
        <v>7</v>
      </c>
      <c r="T36" s="2">
        <v>1.5</v>
      </c>
      <c r="U36" s="2">
        <v>1.5</v>
      </c>
      <c r="W36" s="2">
        <v>3.7</v>
      </c>
      <c r="X36" s="2">
        <v>1</v>
      </c>
      <c r="Y36" s="2">
        <v>7</v>
      </c>
      <c r="Z36" s="2">
        <v>1.5</v>
      </c>
      <c r="AA36" s="2">
        <v>1.5</v>
      </c>
      <c r="AB36" s="2">
        <v>8.9999999999999993E-3</v>
      </c>
      <c r="AC36" s="2">
        <v>5.18</v>
      </c>
      <c r="AE36" s="2">
        <v>0</v>
      </c>
      <c r="AF36" s="2" t="s">
        <v>126</v>
      </c>
      <c r="AG36" s="2">
        <v>0</v>
      </c>
      <c r="AH36" s="2">
        <v>0</v>
      </c>
      <c r="AJ36" s="2">
        <v>0</v>
      </c>
      <c r="AK36" s="2" t="s">
        <v>95</v>
      </c>
      <c r="AM36" s="2" t="s">
        <v>95</v>
      </c>
      <c r="AN36" s="2" t="s">
        <v>95</v>
      </c>
      <c r="AO36" s="2" t="s">
        <v>95</v>
      </c>
      <c r="AP36" s="2" t="s">
        <v>97</v>
      </c>
      <c r="AQ36" s="2" t="s">
        <v>98</v>
      </c>
      <c r="AV36" s="2" t="s">
        <v>95</v>
      </c>
      <c r="AX36" s="2" t="s">
        <v>120</v>
      </c>
      <c r="BF36" s="2" t="s">
        <v>240</v>
      </c>
      <c r="BG36" s="2" t="s">
        <v>95</v>
      </c>
      <c r="BH36" s="2" t="s">
        <v>95</v>
      </c>
      <c r="BI36" s="2" t="s">
        <v>95</v>
      </c>
      <c r="BK36" s="2" t="e">
        <v>#N/A</v>
      </c>
      <c r="CA36" s="2" t="s">
        <v>237</v>
      </c>
      <c r="CB36" s="2" t="s">
        <v>120</v>
      </c>
      <c r="CL36" s="2" t="s">
        <v>95</v>
      </c>
      <c r="CM36" s="2" t="s">
        <v>95</v>
      </c>
      <c r="CO36" s="3">
        <v>39547</v>
      </c>
      <c r="CP36" s="3">
        <v>43634</v>
      </c>
    </row>
    <row r="37" spans="1:94" x14ac:dyDescent="0.25">
      <c r="A37" s="2" t="s">
        <v>241</v>
      </c>
      <c r="B37" s="2" t="str">
        <f xml:space="preserve"> "" &amp; 874944008114</f>
        <v>874944008114</v>
      </c>
      <c r="C37" s="2" t="s">
        <v>221</v>
      </c>
      <c r="D37" s="2" t="s">
        <v>242</v>
      </c>
      <c r="E37" s="2" t="s">
        <v>125</v>
      </c>
      <c r="F37" s="2" t="s">
        <v>115</v>
      </c>
      <c r="G37" s="2">
        <v>1</v>
      </c>
      <c r="H37" s="2">
        <v>1</v>
      </c>
      <c r="I37" s="2" t="s">
        <v>94</v>
      </c>
      <c r="J37" s="6">
        <v>2.5</v>
      </c>
      <c r="K37" s="6">
        <v>7.5</v>
      </c>
      <c r="L37" s="2">
        <v>0</v>
      </c>
      <c r="N37" s="2">
        <v>0</v>
      </c>
      <c r="O37" s="2" t="s">
        <v>96</v>
      </c>
      <c r="P37" s="6">
        <v>5.25</v>
      </c>
      <c r="Q37" s="6"/>
      <c r="R37" s="7"/>
      <c r="S37" s="2">
        <v>5</v>
      </c>
      <c r="T37" s="2">
        <v>1.75</v>
      </c>
      <c r="U37" s="2">
        <v>1</v>
      </c>
      <c r="W37" s="2">
        <v>1.76</v>
      </c>
      <c r="X37" s="2">
        <v>1</v>
      </c>
      <c r="Y37" s="2">
        <v>5.875</v>
      </c>
      <c r="Z37" s="2">
        <v>1.75</v>
      </c>
      <c r="AA37" s="2">
        <v>1.75</v>
      </c>
      <c r="AB37" s="2">
        <v>0.01</v>
      </c>
      <c r="AC37" s="2">
        <v>3.53</v>
      </c>
      <c r="AE37" s="2">
        <v>0</v>
      </c>
      <c r="AF37" s="2" t="s">
        <v>126</v>
      </c>
      <c r="AG37" s="2">
        <v>0</v>
      </c>
      <c r="AH37" s="2">
        <v>0</v>
      </c>
      <c r="AJ37" s="2">
        <v>0</v>
      </c>
      <c r="AK37" s="2" t="s">
        <v>95</v>
      </c>
      <c r="AM37" s="2" t="s">
        <v>95</v>
      </c>
      <c r="AN37" s="2" t="s">
        <v>95</v>
      </c>
      <c r="AO37" s="2" t="s">
        <v>95</v>
      </c>
      <c r="AP37" s="2" t="s">
        <v>97</v>
      </c>
      <c r="AQ37" s="2" t="s">
        <v>98</v>
      </c>
      <c r="AV37" s="2" t="s">
        <v>95</v>
      </c>
      <c r="AX37" s="2" t="s">
        <v>120</v>
      </c>
      <c r="BF37" s="2" t="s">
        <v>243</v>
      </c>
      <c r="BG37" s="2" t="s">
        <v>95</v>
      </c>
      <c r="BH37" s="2" t="s">
        <v>95</v>
      </c>
      <c r="BI37" s="2" t="s">
        <v>95</v>
      </c>
      <c r="BK37" s="2" t="s">
        <v>100</v>
      </c>
      <c r="CA37" s="2" t="s">
        <v>244</v>
      </c>
      <c r="CB37" s="2" t="s">
        <v>120</v>
      </c>
      <c r="CL37" s="2" t="s">
        <v>95</v>
      </c>
      <c r="CM37" s="2" t="s">
        <v>95</v>
      </c>
      <c r="CO37" s="3">
        <v>39291</v>
      </c>
      <c r="CP37" s="3">
        <v>43634</v>
      </c>
    </row>
    <row r="38" spans="1:94" x14ac:dyDescent="0.25">
      <c r="A38" s="2" t="s">
        <v>245</v>
      </c>
      <c r="B38" s="2" t="str">
        <f xml:space="preserve"> "" &amp; 874944008121</f>
        <v>874944008121</v>
      </c>
      <c r="C38" s="2" t="s">
        <v>221</v>
      </c>
      <c r="D38" s="2" t="s">
        <v>242</v>
      </c>
      <c r="E38" s="2" t="s">
        <v>125</v>
      </c>
      <c r="F38" s="2" t="s">
        <v>106</v>
      </c>
      <c r="G38" s="2">
        <v>1</v>
      </c>
      <c r="H38" s="2">
        <v>1</v>
      </c>
      <c r="I38" s="2" t="s">
        <v>94</v>
      </c>
      <c r="J38" s="6">
        <v>2.5</v>
      </c>
      <c r="K38" s="6">
        <v>7.5</v>
      </c>
      <c r="L38" s="2">
        <v>0</v>
      </c>
      <c r="N38" s="2">
        <v>0</v>
      </c>
      <c r="O38" s="2" t="s">
        <v>96</v>
      </c>
      <c r="P38" s="6">
        <v>5.25</v>
      </c>
      <c r="Q38" s="6"/>
      <c r="R38" s="7"/>
      <c r="S38" s="2">
        <v>5</v>
      </c>
      <c r="T38" s="2">
        <v>1.77</v>
      </c>
      <c r="U38" s="2">
        <v>1</v>
      </c>
      <c r="W38" s="2">
        <v>1.76</v>
      </c>
      <c r="X38" s="2">
        <v>1</v>
      </c>
      <c r="Y38" s="2">
        <v>5.9</v>
      </c>
      <c r="Z38" s="2">
        <v>1.77</v>
      </c>
      <c r="AA38" s="2">
        <v>1.77</v>
      </c>
      <c r="AB38" s="2">
        <v>1.0999999999999999E-2</v>
      </c>
      <c r="AC38" s="2">
        <v>3.53</v>
      </c>
      <c r="AE38" s="2">
        <v>0</v>
      </c>
      <c r="AF38" s="2" t="s">
        <v>126</v>
      </c>
      <c r="AG38" s="2">
        <v>0</v>
      </c>
      <c r="AH38" s="2">
        <v>0</v>
      </c>
      <c r="AJ38" s="2">
        <v>0</v>
      </c>
      <c r="AK38" s="2" t="s">
        <v>95</v>
      </c>
      <c r="AM38" s="2" t="s">
        <v>95</v>
      </c>
      <c r="AN38" s="2" t="s">
        <v>95</v>
      </c>
      <c r="AO38" s="2" t="s">
        <v>95</v>
      </c>
      <c r="AP38" s="2" t="s">
        <v>97</v>
      </c>
      <c r="AQ38" s="2" t="s">
        <v>98</v>
      </c>
      <c r="AV38" s="2" t="s">
        <v>95</v>
      </c>
      <c r="AX38" s="2" t="s">
        <v>130</v>
      </c>
      <c r="BF38" s="2" t="s">
        <v>246</v>
      </c>
      <c r="BG38" s="2" t="s">
        <v>95</v>
      </c>
      <c r="BH38" s="2" t="s">
        <v>95</v>
      </c>
      <c r="BI38" s="2" t="s">
        <v>95</v>
      </c>
      <c r="BK38" s="2" t="s">
        <v>100</v>
      </c>
      <c r="CA38" s="2" t="s">
        <v>244</v>
      </c>
      <c r="CB38" s="2" t="s">
        <v>130</v>
      </c>
      <c r="CL38" s="2" t="s">
        <v>95</v>
      </c>
      <c r="CM38" s="2" t="s">
        <v>95</v>
      </c>
      <c r="CO38" s="3">
        <v>39291</v>
      </c>
      <c r="CP38" s="3">
        <v>43634</v>
      </c>
    </row>
    <row r="39" spans="1:94" x14ac:dyDescent="0.25">
      <c r="A39" s="2" t="s">
        <v>247</v>
      </c>
      <c r="B39" s="2" t="str">
        <f xml:space="preserve"> "" &amp; 874944003843</f>
        <v>874944003843</v>
      </c>
      <c r="C39" s="2" t="s">
        <v>248</v>
      </c>
      <c r="D39" s="2" t="s">
        <v>249</v>
      </c>
      <c r="E39" s="2" t="s">
        <v>125</v>
      </c>
      <c r="F39" s="2" t="s">
        <v>106</v>
      </c>
      <c r="G39" s="2">
        <v>1</v>
      </c>
      <c r="H39" s="2">
        <v>1</v>
      </c>
      <c r="I39" s="2" t="s">
        <v>94</v>
      </c>
      <c r="J39" s="6">
        <v>8.5</v>
      </c>
      <c r="K39" s="6">
        <v>25.5</v>
      </c>
      <c r="L39" s="2">
        <v>0</v>
      </c>
      <c r="N39" s="2">
        <v>0</v>
      </c>
      <c r="O39" s="2" t="s">
        <v>96</v>
      </c>
      <c r="P39" s="6">
        <v>17.850000000000001</v>
      </c>
      <c r="Q39" s="6"/>
      <c r="R39" s="7"/>
      <c r="S39" s="2">
        <v>2.75</v>
      </c>
      <c r="T39" s="2">
        <v>1.75</v>
      </c>
      <c r="U39" s="2">
        <v>1.5</v>
      </c>
      <c r="W39" s="2">
        <v>5.71</v>
      </c>
      <c r="X39" s="2">
        <v>1</v>
      </c>
      <c r="Y39" s="2">
        <v>6.125</v>
      </c>
      <c r="Z39" s="2">
        <v>1.75</v>
      </c>
      <c r="AA39" s="2">
        <v>1.75</v>
      </c>
      <c r="AB39" s="2">
        <v>1.0999999999999999E-2</v>
      </c>
      <c r="AC39" s="2">
        <v>8.0500000000000007</v>
      </c>
      <c r="AE39" s="2">
        <v>0</v>
      </c>
      <c r="AF39" s="2" t="s">
        <v>126</v>
      </c>
      <c r="AG39" s="2">
        <v>0</v>
      </c>
      <c r="AH39" s="2">
        <v>0</v>
      </c>
      <c r="AJ39" s="2">
        <v>0</v>
      </c>
      <c r="AK39" s="2" t="s">
        <v>95</v>
      </c>
      <c r="AM39" s="2" t="s">
        <v>95</v>
      </c>
      <c r="AN39" s="2" t="s">
        <v>95</v>
      </c>
      <c r="AO39" s="2" t="s">
        <v>95</v>
      </c>
      <c r="AP39" s="2" t="s">
        <v>97</v>
      </c>
      <c r="AQ39" s="2" t="s">
        <v>98</v>
      </c>
      <c r="AV39" s="2" t="s">
        <v>95</v>
      </c>
      <c r="AX39" s="2" t="s">
        <v>135</v>
      </c>
      <c r="BF39" s="2" t="s">
        <v>250</v>
      </c>
      <c r="BG39" s="2" t="s">
        <v>95</v>
      </c>
      <c r="BH39" s="2" t="s">
        <v>95</v>
      </c>
      <c r="BI39" s="2" t="s">
        <v>95</v>
      </c>
      <c r="BK39" s="2" t="s">
        <v>100</v>
      </c>
      <c r="CA39" s="2" t="s">
        <v>251</v>
      </c>
      <c r="CB39" s="2" t="s">
        <v>135</v>
      </c>
      <c r="CL39" s="2" t="s">
        <v>95</v>
      </c>
      <c r="CM39" s="2" t="s">
        <v>95</v>
      </c>
      <c r="CO39" s="3">
        <v>39419</v>
      </c>
      <c r="CP39" s="3">
        <v>43634</v>
      </c>
    </row>
    <row r="40" spans="1:94" x14ac:dyDescent="0.25">
      <c r="A40" s="2" t="s">
        <v>252</v>
      </c>
      <c r="B40" s="2" t="str">
        <f xml:space="preserve"> "" &amp; 874944003850</f>
        <v>874944003850</v>
      </c>
      <c r="C40" s="2" t="s">
        <v>248</v>
      </c>
      <c r="D40" s="2" t="s">
        <v>249</v>
      </c>
      <c r="E40" s="2" t="s">
        <v>125</v>
      </c>
      <c r="F40" s="2" t="s">
        <v>106</v>
      </c>
      <c r="G40" s="2">
        <v>1</v>
      </c>
      <c r="H40" s="2">
        <v>1</v>
      </c>
      <c r="I40" s="2" t="s">
        <v>94</v>
      </c>
      <c r="J40" s="6">
        <v>9.5</v>
      </c>
      <c r="K40" s="6">
        <v>28.5</v>
      </c>
      <c r="L40" s="2">
        <v>0</v>
      </c>
      <c r="N40" s="2">
        <v>0</v>
      </c>
      <c r="O40" s="2" t="s">
        <v>96</v>
      </c>
      <c r="P40" s="6">
        <v>19.95</v>
      </c>
      <c r="Q40" s="6"/>
      <c r="R40" s="7"/>
      <c r="S40" s="2">
        <v>2.75</v>
      </c>
      <c r="T40" s="2">
        <v>1.75</v>
      </c>
      <c r="U40" s="2">
        <v>1.5</v>
      </c>
      <c r="W40" s="2">
        <v>5.71</v>
      </c>
      <c r="X40" s="2">
        <v>1</v>
      </c>
      <c r="Y40" s="2">
        <v>6.125</v>
      </c>
      <c r="Z40" s="2">
        <v>1.75</v>
      </c>
      <c r="AA40" s="2">
        <v>1.75</v>
      </c>
      <c r="AB40" s="2">
        <v>1.0999999999999999E-2</v>
      </c>
      <c r="AC40" s="2">
        <v>8.0500000000000007</v>
      </c>
      <c r="AE40" s="2">
        <v>0</v>
      </c>
      <c r="AF40" s="2" t="s">
        <v>126</v>
      </c>
      <c r="AG40" s="2">
        <v>0</v>
      </c>
      <c r="AH40" s="2">
        <v>0</v>
      </c>
      <c r="AJ40" s="2">
        <v>0</v>
      </c>
      <c r="AK40" s="2" t="s">
        <v>95</v>
      </c>
      <c r="AM40" s="2" t="s">
        <v>95</v>
      </c>
      <c r="AN40" s="2" t="s">
        <v>95</v>
      </c>
      <c r="AO40" s="2" t="s">
        <v>95</v>
      </c>
      <c r="AP40" s="2" t="s">
        <v>97</v>
      </c>
      <c r="AQ40" s="2" t="s">
        <v>98</v>
      </c>
      <c r="AV40" s="2" t="s">
        <v>95</v>
      </c>
      <c r="AX40" s="2" t="s">
        <v>141</v>
      </c>
      <c r="BF40" s="2" t="s">
        <v>253</v>
      </c>
      <c r="BG40" s="2" t="s">
        <v>95</v>
      </c>
      <c r="BH40" s="2" t="s">
        <v>95</v>
      </c>
      <c r="BI40" s="2" t="s">
        <v>95</v>
      </c>
      <c r="BK40" s="2" t="s">
        <v>100</v>
      </c>
      <c r="CA40" s="2" t="s">
        <v>251</v>
      </c>
      <c r="CB40" s="2" t="s">
        <v>141</v>
      </c>
      <c r="CL40" s="2" t="s">
        <v>95</v>
      </c>
      <c r="CM40" s="2" t="s">
        <v>95</v>
      </c>
      <c r="CO40" s="3">
        <v>39419</v>
      </c>
      <c r="CP40" s="3">
        <v>43634</v>
      </c>
    </row>
    <row r="41" spans="1:94" x14ac:dyDescent="0.25">
      <c r="A41" s="2" t="s">
        <v>254</v>
      </c>
      <c r="B41" s="2" t="str">
        <f xml:space="preserve"> "" &amp; 874944003867</f>
        <v>874944003867</v>
      </c>
      <c r="C41" s="2" t="s">
        <v>248</v>
      </c>
      <c r="D41" s="2" t="s">
        <v>249</v>
      </c>
      <c r="E41" s="2" t="s">
        <v>125</v>
      </c>
      <c r="F41" s="2" t="s">
        <v>106</v>
      </c>
      <c r="G41" s="2">
        <v>1</v>
      </c>
      <c r="H41" s="2">
        <v>1</v>
      </c>
      <c r="I41" s="2" t="s">
        <v>94</v>
      </c>
      <c r="J41" s="6">
        <v>9.5</v>
      </c>
      <c r="K41" s="6">
        <v>28.5</v>
      </c>
      <c r="L41" s="2">
        <v>0</v>
      </c>
      <c r="N41" s="2">
        <v>0</v>
      </c>
      <c r="O41" s="2" t="s">
        <v>96</v>
      </c>
      <c r="P41" s="6">
        <v>19.95</v>
      </c>
      <c r="Q41" s="6"/>
      <c r="R41" s="7"/>
      <c r="S41" s="2">
        <v>6</v>
      </c>
      <c r="T41" s="2">
        <v>1.75</v>
      </c>
      <c r="U41" s="2">
        <v>1.5</v>
      </c>
      <c r="W41" s="2">
        <v>8.0500000000000007</v>
      </c>
      <c r="X41" s="2">
        <v>1</v>
      </c>
      <c r="Y41" s="2">
        <v>11.25</v>
      </c>
      <c r="Z41" s="2">
        <v>1.75</v>
      </c>
      <c r="AA41" s="2">
        <v>1.75</v>
      </c>
      <c r="AB41" s="2">
        <v>0.02</v>
      </c>
      <c r="AC41" s="2">
        <v>11.64</v>
      </c>
      <c r="AE41" s="2">
        <v>0</v>
      </c>
      <c r="AF41" s="2" t="s">
        <v>126</v>
      </c>
      <c r="AG41" s="2">
        <v>0</v>
      </c>
      <c r="AH41" s="2">
        <v>0</v>
      </c>
      <c r="AJ41" s="2">
        <v>0</v>
      </c>
      <c r="AK41" s="2" t="s">
        <v>95</v>
      </c>
      <c r="AM41" s="2" t="s">
        <v>95</v>
      </c>
      <c r="AN41" s="2" t="s">
        <v>95</v>
      </c>
      <c r="AO41" s="2" t="s">
        <v>95</v>
      </c>
      <c r="AP41" s="2" t="s">
        <v>97</v>
      </c>
      <c r="AQ41" s="2" t="s">
        <v>98</v>
      </c>
      <c r="AV41" s="2" t="s">
        <v>95</v>
      </c>
      <c r="AX41" s="2" t="s">
        <v>135</v>
      </c>
      <c r="BF41" s="2" t="s">
        <v>255</v>
      </c>
      <c r="BG41" s="2" t="s">
        <v>95</v>
      </c>
      <c r="BH41" s="2" t="s">
        <v>95</v>
      </c>
      <c r="BI41" s="2" t="s">
        <v>95</v>
      </c>
      <c r="BK41" s="2" t="s">
        <v>100</v>
      </c>
      <c r="CA41" s="2" t="s">
        <v>256</v>
      </c>
      <c r="CB41" s="2" t="s">
        <v>135</v>
      </c>
      <c r="CL41" s="2" t="s">
        <v>95</v>
      </c>
      <c r="CM41" s="2" t="s">
        <v>95</v>
      </c>
      <c r="CO41" s="3">
        <v>39419</v>
      </c>
      <c r="CP41" s="3">
        <v>43634</v>
      </c>
    </row>
    <row r="42" spans="1:94" x14ac:dyDescent="0.25">
      <c r="A42" s="2" t="s">
        <v>257</v>
      </c>
      <c r="B42" s="2" t="str">
        <f xml:space="preserve"> "" &amp; 874944003874</f>
        <v>874944003874</v>
      </c>
      <c r="C42" s="2" t="s">
        <v>248</v>
      </c>
      <c r="D42" s="2" t="s">
        <v>249</v>
      </c>
      <c r="E42" s="2" t="s">
        <v>125</v>
      </c>
      <c r="F42" s="2" t="s">
        <v>106</v>
      </c>
      <c r="G42" s="2">
        <v>1</v>
      </c>
      <c r="H42" s="2">
        <v>1</v>
      </c>
      <c r="I42" s="2" t="s">
        <v>94</v>
      </c>
      <c r="J42" s="6">
        <v>10</v>
      </c>
      <c r="K42" s="6">
        <v>30</v>
      </c>
      <c r="L42" s="2">
        <v>0</v>
      </c>
      <c r="N42" s="2">
        <v>0</v>
      </c>
      <c r="O42" s="2" t="s">
        <v>96</v>
      </c>
      <c r="P42" s="6">
        <v>21</v>
      </c>
      <c r="Q42" s="6"/>
      <c r="R42" s="7"/>
      <c r="S42" s="2">
        <v>6</v>
      </c>
      <c r="T42" s="2">
        <v>1.75</v>
      </c>
      <c r="U42" s="2">
        <v>1.5</v>
      </c>
      <c r="W42" s="2">
        <v>8.0500000000000007</v>
      </c>
      <c r="X42" s="2">
        <v>1</v>
      </c>
      <c r="Y42" s="2">
        <v>11.25</v>
      </c>
      <c r="Z42" s="2">
        <v>1.75</v>
      </c>
      <c r="AA42" s="2">
        <v>1.75</v>
      </c>
      <c r="AB42" s="2">
        <v>0.02</v>
      </c>
      <c r="AC42" s="2">
        <v>11.64</v>
      </c>
      <c r="AE42" s="2">
        <v>0</v>
      </c>
      <c r="AF42" s="2" t="s">
        <v>126</v>
      </c>
      <c r="AG42" s="2">
        <v>0</v>
      </c>
      <c r="AH42" s="2">
        <v>0</v>
      </c>
      <c r="AJ42" s="2">
        <v>0</v>
      </c>
      <c r="AK42" s="2" t="s">
        <v>95</v>
      </c>
      <c r="AM42" s="2" t="s">
        <v>95</v>
      </c>
      <c r="AN42" s="2" t="s">
        <v>95</v>
      </c>
      <c r="AO42" s="2" t="s">
        <v>95</v>
      </c>
      <c r="AP42" s="2" t="s">
        <v>97</v>
      </c>
      <c r="AQ42" s="2" t="s">
        <v>98</v>
      </c>
      <c r="AV42" s="2" t="s">
        <v>95</v>
      </c>
      <c r="AX42" s="2" t="s">
        <v>141</v>
      </c>
      <c r="BF42" s="2" t="s">
        <v>258</v>
      </c>
      <c r="BG42" s="2" t="s">
        <v>95</v>
      </c>
      <c r="BH42" s="2" t="s">
        <v>95</v>
      </c>
      <c r="BI42" s="2" t="s">
        <v>95</v>
      </c>
      <c r="BK42" s="2" t="s">
        <v>100</v>
      </c>
      <c r="CA42" s="2" t="s">
        <v>256</v>
      </c>
      <c r="CB42" s="2" t="s">
        <v>141</v>
      </c>
      <c r="CL42" s="2" t="s">
        <v>95</v>
      </c>
      <c r="CM42" s="2" t="s">
        <v>95</v>
      </c>
      <c r="CO42" s="3">
        <v>39419</v>
      </c>
      <c r="CP42" s="3">
        <v>43634</v>
      </c>
    </row>
    <row r="43" spans="1:94" x14ac:dyDescent="0.25">
      <c r="A43" s="2" t="s">
        <v>259</v>
      </c>
      <c r="B43" s="2" t="str">
        <f xml:space="preserve"> "" &amp; 874944003881</f>
        <v>874944003881</v>
      </c>
      <c r="C43" s="2" t="s">
        <v>248</v>
      </c>
      <c r="D43" s="2" t="s">
        <v>249</v>
      </c>
      <c r="E43" s="2" t="s">
        <v>125</v>
      </c>
      <c r="F43" s="2" t="s">
        <v>106</v>
      </c>
      <c r="G43" s="2">
        <v>1</v>
      </c>
      <c r="H43" s="2">
        <v>1</v>
      </c>
      <c r="I43" s="2" t="s">
        <v>94</v>
      </c>
      <c r="J43" s="6">
        <v>11</v>
      </c>
      <c r="K43" s="6">
        <v>33</v>
      </c>
      <c r="L43" s="2">
        <v>0</v>
      </c>
      <c r="N43" s="2">
        <v>0</v>
      </c>
      <c r="O43" s="2" t="s">
        <v>96</v>
      </c>
      <c r="P43" s="6">
        <v>23.1</v>
      </c>
      <c r="Q43" s="6"/>
      <c r="R43" s="7"/>
      <c r="S43" s="2">
        <v>12</v>
      </c>
      <c r="T43" s="2">
        <v>1.75</v>
      </c>
      <c r="U43" s="2">
        <v>1.5</v>
      </c>
      <c r="W43" s="2">
        <v>0.4</v>
      </c>
      <c r="X43" s="2">
        <v>1</v>
      </c>
      <c r="Y43" s="2">
        <v>17.75</v>
      </c>
      <c r="Z43" s="2">
        <v>1.75</v>
      </c>
      <c r="AA43" s="2">
        <v>1.75</v>
      </c>
      <c r="AB43" s="2">
        <v>3.1E-2</v>
      </c>
      <c r="AC43" s="2">
        <v>16.05</v>
      </c>
      <c r="AE43" s="2">
        <v>0</v>
      </c>
      <c r="AF43" s="2" t="s">
        <v>126</v>
      </c>
      <c r="AG43" s="2">
        <v>0</v>
      </c>
      <c r="AH43" s="2">
        <v>0</v>
      </c>
      <c r="AJ43" s="2">
        <v>0</v>
      </c>
      <c r="AK43" s="2" t="s">
        <v>95</v>
      </c>
      <c r="AM43" s="2" t="s">
        <v>95</v>
      </c>
      <c r="AN43" s="2" t="s">
        <v>95</v>
      </c>
      <c r="AO43" s="2" t="s">
        <v>95</v>
      </c>
      <c r="AP43" s="2" t="s">
        <v>97</v>
      </c>
      <c r="AQ43" s="2" t="s">
        <v>98</v>
      </c>
      <c r="AV43" s="2" t="s">
        <v>95</v>
      </c>
      <c r="AX43" s="2" t="s">
        <v>135</v>
      </c>
      <c r="BF43" s="2" t="s">
        <v>260</v>
      </c>
      <c r="BG43" s="2" t="s">
        <v>95</v>
      </c>
      <c r="BH43" s="2" t="s">
        <v>95</v>
      </c>
      <c r="BI43" s="2" t="s">
        <v>95</v>
      </c>
      <c r="BK43" s="2" t="s">
        <v>100</v>
      </c>
      <c r="CA43" s="2" t="s">
        <v>261</v>
      </c>
      <c r="CB43" s="2" t="s">
        <v>135</v>
      </c>
      <c r="CL43" s="2" t="s">
        <v>95</v>
      </c>
      <c r="CM43" s="2" t="s">
        <v>95</v>
      </c>
      <c r="CO43" s="3">
        <v>38435</v>
      </c>
      <c r="CP43" s="3">
        <v>43634</v>
      </c>
    </row>
    <row r="44" spans="1:94" x14ac:dyDescent="0.25">
      <c r="A44" s="2" t="s">
        <v>262</v>
      </c>
      <c r="B44" s="2" t="str">
        <f xml:space="preserve"> "" &amp; 874944003898</f>
        <v>874944003898</v>
      </c>
      <c r="C44" s="2" t="s">
        <v>248</v>
      </c>
      <c r="D44" s="2" t="s">
        <v>249</v>
      </c>
      <c r="E44" s="2" t="s">
        <v>125</v>
      </c>
      <c r="F44" s="2" t="s">
        <v>106</v>
      </c>
      <c r="G44" s="2">
        <v>1</v>
      </c>
      <c r="H44" s="2">
        <v>1</v>
      </c>
      <c r="I44" s="2" t="s">
        <v>94</v>
      </c>
      <c r="J44" s="6">
        <v>11.5</v>
      </c>
      <c r="K44" s="6">
        <v>34.5</v>
      </c>
      <c r="L44" s="2">
        <v>0</v>
      </c>
      <c r="N44" s="2">
        <v>0</v>
      </c>
      <c r="O44" s="2" t="s">
        <v>96</v>
      </c>
      <c r="P44" s="6">
        <v>24.15</v>
      </c>
      <c r="Q44" s="6"/>
      <c r="R44" s="7"/>
      <c r="S44" s="2">
        <v>12</v>
      </c>
      <c r="T44" s="2">
        <v>1.75</v>
      </c>
      <c r="U44" s="2">
        <v>1.5</v>
      </c>
      <c r="W44" s="2">
        <v>11.11</v>
      </c>
      <c r="X44" s="2">
        <v>1</v>
      </c>
      <c r="Y44" s="2">
        <v>17.75</v>
      </c>
      <c r="Z44" s="2">
        <v>1.75</v>
      </c>
      <c r="AA44" s="2">
        <v>1.75</v>
      </c>
      <c r="AB44" s="2">
        <v>3.1E-2</v>
      </c>
      <c r="AC44" s="2">
        <v>16.559999999999999</v>
      </c>
      <c r="AE44" s="2">
        <v>0</v>
      </c>
      <c r="AF44" s="2" t="s">
        <v>126</v>
      </c>
      <c r="AG44" s="2">
        <v>0</v>
      </c>
      <c r="AH44" s="2">
        <v>0</v>
      </c>
      <c r="AJ44" s="2">
        <v>0</v>
      </c>
      <c r="AK44" s="2" t="s">
        <v>95</v>
      </c>
      <c r="AM44" s="2" t="s">
        <v>95</v>
      </c>
      <c r="AN44" s="2" t="s">
        <v>95</v>
      </c>
      <c r="AO44" s="2" t="s">
        <v>95</v>
      </c>
      <c r="AP44" s="2" t="s">
        <v>97</v>
      </c>
      <c r="AQ44" s="2" t="s">
        <v>98</v>
      </c>
      <c r="AV44" s="2" t="s">
        <v>95</v>
      </c>
      <c r="AX44" s="2" t="s">
        <v>141</v>
      </c>
      <c r="BF44" s="2" t="s">
        <v>263</v>
      </c>
      <c r="BG44" s="2" t="s">
        <v>95</v>
      </c>
      <c r="BH44" s="2" t="s">
        <v>95</v>
      </c>
      <c r="BI44" s="2" t="s">
        <v>95</v>
      </c>
      <c r="BK44" s="2" t="s">
        <v>100</v>
      </c>
      <c r="CA44" s="2" t="s">
        <v>261</v>
      </c>
      <c r="CB44" s="2" t="s">
        <v>141</v>
      </c>
      <c r="CL44" s="2" t="s">
        <v>95</v>
      </c>
      <c r="CM44" s="2" t="s">
        <v>95</v>
      </c>
      <c r="CO44" s="3">
        <v>39419</v>
      </c>
      <c r="CP44" s="3">
        <v>43634</v>
      </c>
    </row>
    <row r="45" spans="1:94" x14ac:dyDescent="0.25">
      <c r="A45" s="2" t="s">
        <v>264</v>
      </c>
      <c r="B45" s="2" t="str">
        <f xml:space="preserve"> "" &amp; 874944003904</f>
        <v>874944003904</v>
      </c>
      <c r="C45" s="2" t="s">
        <v>248</v>
      </c>
      <c r="D45" s="2" t="s">
        <v>249</v>
      </c>
      <c r="E45" s="2" t="s">
        <v>125</v>
      </c>
      <c r="F45" s="2" t="s">
        <v>106</v>
      </c>
      <c r="G45" s="2">
        <v>1</v>
      </c>
      <c r="H45" s="2">
        <v>1</v>
      </c>
      <c r="I45" s="2" t="s">
        <v>94</v>
      </c>
      <c r="J45" s="6">
        <v>14</v>
      </c>
      <c r="K45" s="6">
        <v>42</v>
      </c>
      <c r="L45" s="2">
        <v>0</v>
      </c>
      <c r="N45" s="2">
        <v>0</v>
      </c>
      <c r="O45" s="2" t="s">
        <v>96</v>
      </c>
      <c r="P45" s="6">
        <v>29.4</v>
      </c>
      <c r="Q45" s="6"/>
      <c r="R45" s="7"/>
      <c r="S45" s="2">
        <v>24</v>
      </c>
      <c r="U45" s="2">
        <v>1.5</v>
      </c>
      <c r="W45" s="2">
        <v>0.62</v>
      </c>
      <c r="X45" s="2">
        <v>1</v>
      </c>
      <c r="Y45" s="2">
        <v>28.38</v>
      </c>
      <c r="Z45" s="2">
        <v>11.13</v>
      </c>
      <c r="AA45" s="2">
        <v>7.63</v>
      </c>
      <c r="AB45" s="2">
        <v>1.395</v>
      </c>
      <c r="AC45" s="2">
        <v>25.11</v>
      </c>
      <c r="AE45" s="2">
        <v>0</v>
      </c>
      <c r="AF45" s="2" t="s">
        <v>126</v>
      </c>
      <c r="AG45" s="2">
        <v>0</v>
      </c>
      <c r="AH45" s="2">
        <v>0</v>
      </c>
      <c r="AJ45" s="2">
        <v>0</v>
      </c>
      <c r="AK45" s="2" t="s">
        <v>95</v>
      </c>
      <c r="AM45" s="2" t="s">
        <v>95</v>
      </c>
      <c r="AN45" s="2" t="s">
        <v>95</v>
      </c>
      <c r="AO45" s="2" t="s">
        <v>95</v>
      </c>
      <c r="AP45" s="2" t="s">
        <v>97</v>
      </c>
      <c r="AQ45" s="2" t="s">
        <v>98</v>
      </c>
      <c r="AV45" s="2" t="s">
        <v>95</v>
      </c>
      <c r="AX45" s="2" t="s">
        <v>135</v>
      </c>
      <c r="BF45" s="2" t="s">
        <v>265</v>
      </c>
      <c r="BG45" s="2" t="s">
        <v>95</v>
      </c>
      <c r="BH45" s="2" t="s">
        <v>95</v>
      </c>
      <c r="BI45" s="2" t="s">
        <v>95</v>
      </c>
      <c r="BK45" s="2" t="s">
        <v>100</v>
      </c>
      <c r="CA45" s="2" t="s">
        <v>266</v>
      </c>
      <c r="CB45" s="2" t="s">
        <v>135</v>
      </c>
      <c r="CL45" s="2" t="s">
        <v>95</v>
      </c>
      <c r="CM45" s="2" t="s">
        <v>95</v>
      </c>
      <c r="CO45" s="3">
        <v>38435</v>
      </c>
      <c r="CP45" s="3">
        <v>43634</v>
      </c>
    </row>
    <row r="46" spans="1:94" x14ac:dyDescent="0.25">
      <c r="A46" s="2" t="s">
        <v>267</v>
      </c>
      <c r="B46" s="2" t="str">
        <f xml:space="preserve"> "" &amp; 874944003911</f>
        <v>874944003911</v>
      </c>
      <c r="C46" s="2" t="s">
        <v>248</v>
      </c>
      <c r="D46" s="2" t="s">
        <v>249</v>
      </c>
      <c r="E46" s="2" t="s">
        <v>125</v>
      </c>
      <c r="F46" s="2" t="s">
        <v>106</v>
      </c>
      <c r="G46" s="2">
        <v>1</v>
      </c>
      <c r="H46" s="2">
        <v>1</v>
      </c>
      <c r="I46" s="2" t="s">
        <v>94</v>
      </c>
      <c r="J46" s="6">
        <v>15</v>
      </c>
      <c r="K46" s="6">
        <v>45</v>
      </c>
      <c r="L46" s="2">
        <v>0</v>
      </c>
      <c r="N46" s="2">
        <v>0</v>
      </c>
      <c r="O46" s="2" t="s">
        <v>96</v>
      </c>
      <c r="P46" s="6">
        <v>31.5</v>
      </c>
      <c r="Q46" s="6"/>
      <c r="R46" s="7"/>
      <c r="S46" s="2">
        <v>24</v>
      </c>
      <c r="U46" s="2">
        <v>1.5</v>
      </c>
      <c r="W46" s="2">
        <v>0.62</v>
      </c>
      <c r="X46" s="2">
        <v>1</v>
      </c>
      <c r="Y46" s="2">
        <v>28.38</v>
      </c>
      <c r="Z46" s="2">
        <v>11.13</v>
      </c>
      <c r="AA46" s="2">
        <v>7.63</v>
      </c>
      <c r="AB46" s="2">
        <v>1.395</v>
      </c>
      <c r="AC46" s="2">
        <v>25.11</v>
      </c>
      <c r="AE46" s="2">
        <v>0</v>
      </c>
      <c r="AF46" s="2" t="s">
        <v>126</v>
      </c>
      <c r="AG46" s="2">
        <v>0</v>
      </c>
      <c r="AH46" s="2">
        <v>0</v>
      </c>
      <c r="AJ46" s="2">
        <v>0</v>
      </c>
      <c r="AK46" s="2" t="s">
        <v>95</v>
      </c>
      <c r="AM46" s="2" t="s">
        <v>95</v>
      </c>
      <c r="AN46" s="2" t="s">
        <v>95</v>
      </c>
      <c r="AO46" s="2" t="s">
        <v>95</v>
      </c>
      <c r="AP46" s="2" t="s">
        <v>97</v>
      </c>
      <c r="AQ46" s="2" t="s">
        <v>98</v>
      </c>
      <c r="AV46" s="2" t="s">
        <v>95</v>
      </c>
      <c r="AX46" s="2" t="s">
        <v>141</v>
      </c>
      <c r="BF46" s="2" t="s">
        <v>268</v>
      </c>
      <c r="BG46" s="2" t="s">
        <v>95</v>
      </c>
      <c r="BH46" s="2" t="s">
        <v>95</v>
      </c>
      <c r="BI46" s="2" t="s">
        <v>95</v>
      </c>
      <c r="BK46" s="2" t="s">
        <v>100</v>
      </c>
      <c r="CA46" s="2" t="s">
        <v>266</v>
      </c>
      <c r="CB46" s="2" t="s">
        <v>141</v>
      </c>
      <c r="CL46" s="2" t="s">
        <v>95</v>
      </c>
      <c r="CM46" s="2" t="s">
        <v>95</v>
      </c>
      <c r="CO46" s="3">
        <v>38383</v>
      </c>
      <c r="CP46" s="3">
        <v>43634</v>
      </c>
    </row>
    <row r="47" spans="1:94" x14ac:dyDescent="0.25">
      <c r="A47" s="2" t="s">
        <v>269</v>
      </c>
      <c r="B47" s="2" t="str">
        <f xml:space="preserve"> "" &amp; 874944003928</f>
        <v>874944003928</v>
      </c>
      <c r="C47" s="2" t="s">
        <v>248</v>
      </c>
      <c r="D47" s="2" t="s">
        <v>249</v>
      </c>
      <c r="E47" s="2" t="s">
        <v>125</v>
      </c>
      <c r="F47" s="2" t="s">
        <v>106</v>
      </c>
      <c r="G47" s="2">
        <v>1</v>
      </c>
      <c r="H47" s="2">
        <v>1</v>
      </c>
      <c r="I47" s="2" t="s">
        <v>94</v>
      </c>
      <c r="J47" s="6">
        <v>15.5</v>
      </c>
      <c r="K47" s="6">
        <v>46.5</v>
      </c>
      <c r="L47" s="2">
        <v>0</v>
      </c>
      <c r="N47" s="2">
        <v>0</v>
      </c>
      <c r="O47" s="2" t="s">
        <v>96</v>
      </c>
      <c r="P47" s="6">
        <v>32.549999999999997</v>
      </c>
      <c r="Q47" s="6"/>
      <c r="R47" s="7"/>
      <c r="S47" s="2">
        <v>48</v>
      </c>
      <c r="T47" s="2">
        <v>1.75</v>
      </c>
      <c r="U47" s="2">
        <v>1.5</v>
      </c>
      <c r="W47" s="2">
        <v>24.87</v>
      </c>
      <c r="X47" s="2">
        <v>1</v>
      </c>
      <c r="Y47" s="2">
        <v>51.375</v>
      </c>
      <c r="Z47" s="2">
        <v>1.75</v>
      </c>
      <c r="AA47" s="2">
        <v>1.75</v>
      </c>
      <c r="AB47" s="2">
        <v>9.0999999999999998E-2</v>
      </c>
      <c r="AC47" s="2">
        <v>51.37</v>
      </c>
      <c r="AE47" s="2">
        <v>0</v>
      </c>
      <c r="AF47" s="2" t="s">
        <v>126</v>
      </c>
      <c r="AG47" s="2">
        <v>0</v>
      </c>
      <c r="AH47" s="2">
        <v>0</v>
      </c>
      <c r="AJ47" s="2">
        <v>0</v>
      </c>
      <c r="AK47" s="2" t="s">
        <v>95</v>
      </c>
      <c r="AM47" s="2" t="s">
        <v>95</v>
      </c>
      <c r="AN47" s="2" t="s">
        <v>95</v>
      </c>
      <c r="AO47" s="2" t="s">
        <v>95</v>
      </c>
      <c r="AP47" s="2" t="s">
        <v>97</v>
      </c>
      <c r="AQ47" s="2" t="s">
        <v>98</v>
      </c>
      <c r="AV47" s="2" t="s">
        <v>95</v>
      </c>
      <c r="AX47" s="2" t="s">
        <v>135</v>
      </c>
      <c r="BF47" s="2" t="s">
        <v>270</v>
      </c>
      <c r="BG47" s="2" t="s">
        <v>95</v>
      </c>
      <c r="BH47" s="2" t="s">
        <v>95</v>
      </c>
      <c r="BI47" s="2" t="s">
        <v>95</v>
      </c>
      <c r="BK47" s="2" t="s">
        <v>100</v>
      </c>
      <c r="CA47" s="2" t="s">
        <v>271</v>
      </c>
      <c r="CB47" s="2" t="s">
        <v>135</v>
      </c>
      <c r="CL47" s="2" t="s">
        <v>95</v>
      </c>
      <c r="CM47" s="2" t="s">
        <v>95</v>
      </c>
      <c r="CO47" s="3">
        <v>39475</v>
      </c>
      <c r="CP47" s="3">
        <v>43634</v>
      </c>
    </row>
    <row r="48" spans="1:94" x14ac:dyDescent="0.25">
      <c r="A48" s="2" t="s">
        <v>272</v>
      </c>
      <c r="B48" s="2" t="str">
        <f xml:space="preserve"> "" &amp; 874944003935</f>
        <v>874944003935</v>
      </c>
      <c r="C48" s="2" t="s">
        <v>248</v>
      </c>
      <c r="D48" s="2" t="s">
        <v>249</v>
      </c>
      <c r="E48" s="2" t="s">
        <v>125</v>
      </c>
      <c r="F48" s="2" t="s">
        <v>106</v>
      </c>
      <c r="G48" s="2">
        <v>1</v>
      </c>
      <c r="H48" s="2">
        <v>1</v>
      </c>
      <c r="I48" s="2" t="s">
        <v>94</v>
      </c>
      <c r="J48" s="6">
        <v>16.5</v>
      </c>
      <c r="K48" s="6">
        <v>49.5</v>
      </c>
      <c r="L48" s="2">
        <v>0</v>
      </c>
      <c r="N48" s="2">
        <v>0</v>
      </c>
      <c r="O48" s="2" t="s">
        <v>96</v>
      </c>
      <c r="P48" s="6">
        <v>34.65</v>
      </c>
      <c r="Q48" s="6"/>
      <c r="R48" s="7"/>
      <c r="S48" s="2">
        <v>48</v>
      </c>
      <c r="T48" s="2">
        <v>1.75</v>
      </c>
      <c r="U48" s="2">
        <v>1.5</v>
      </c>
      <c r="W48" s="2">
        <v>24.87</v>
      </c>
      <c r="X48" s="2">
        <v>1</v>
      </c>
      <c r="Y48" s="2">
        <v>51.38</v>
      </c>
      <c r="Z48" s="2">
        <v>1.75</v>
      </c>
      <c r="AA48" s="2">
        <v>1.75</v>
      </c>
      <c r="AB48" s="2">
        <v>9.0999999999999998E-2</v>
      </c>
      <c r="AC48" s="2">
        <v>51.37</v>
      </c>
      <c r="AE48" s="2">
        <v>0</v>
      </c>
      <c r="AF48" s="2" t="s">
        <v>126</v>
      </c>
      <c r="AG48" s="2">
        <v>0</v>
      </c>
      <c r="AH48" s="2">
        <v>0</v>
      </c>
      <c r="AJ48" s="2">
        <v>0</v>
      </c>
      <c r="AK48" s="2" t="s">
        <v>95</v>
      </c>
      <c r="AM48" s="2" t="s">
        <v>95</v>
      </c>
      <c r="AN48" s="2" t="s">
        <v>95</v>
      </c>
      <c r="AO48" s="2" t="s">
        <v>95</v>
      </c>
      <c r="AP48" s="2" t="s">
        <v>97</v>
      </c>
      <c r="AQ48" s="2" t="s">
        <v>98</v>
      </c>
      <c r="AV48" s="2" t="s">
        <v>95</v>
      </c>
      <c r="AX48" s="2" t="s">
        <v>141</v>
      </c>
      <c r="BF48" s="2" t="s">
        <v>273</v>
      </c>
      <c r="BG48" s="2" t="s">
        <v>95</v>
      </c>
      <c r="BH48" s="2" t="s">
        <v>95</v>
      </c>
      <c r="BI48" s="2" t="s">
        <v>95</v>
      </c>
      <c r="BK48" s="2" t="s">
        <v>100</v>
      </c>
      <c r="CA48" s="2" t="s">
        <v>271</v>
      </c>
      <c r="CB48" s="2" t="s">
        <v>141</v>
      </c>
      <c r="CL48" s="2" t="s">
        <v>95</v>
      </c>
      <c r="CM48" s="2" t="s">
        <v>95</v>
      </c>
      <c r="CO48" s="3">
        <v>39536</v>
      </c>
      <c r="CP48" s="3">
        <v>43634</v>
      </c>
    </row>
    <row r="49" spans="1:94" x14ac:dyDescent="0.25">
      <c r="A49" s="2" t="s">
        <v>274</v>
      </c>
      <c r="B49" s="2" t="str">
        <f xml:space="preserve"> "" &amp; 874944004260</f>
        <v>874944004260</v>
      </c>
      <c r="C49" s="2" t="s">
        <v>275</v>
      </c>
      <c r="D49" s="2" t="s">
        <v>276</v>
      </c>
      <c r="E49" s="2" t="s">
        <v>125</v>
      </c>
      <c r="F49" s="2" t="s">
        <v>106</v>
      </c>
      <c r="G49" s="2">
        <v>1</v>
      </c>
      <c r="H49" s="2">
        <v>1</v>
      </c>
      <c r="I49" s="2" t="s">
        <v>94</v>
      </c>
      <c r="J49" s="6">
        <v>40</v>
      </c>
      <c r="K49" s="6">
        <v>120</v>
      </c>
      <c r="L49" s="2">
        <v>0</v>
      </c>
      <c r="N49" s="2">
        <v>0</v>
      </c>
      <c r="Q49" s="6"/>
      <c r="R49" s="7"/>
      <c r="S49" s="2">
        <v>5.25</v>
      </c>
      <c r="T49" s="2">
        <v>7.125</v>
      </c>
      <c r="U49" s="2">
        <v>5</v>
      </c>
      <c r="W49" s="2">
        <v>5.64</v>
      </c>
      <c r="X49" s="2">
        <v>1</v>
      </c>
      <c r="Y49" s="2">
        <v>7.125</v>
      </c>
      <c r="Z49" s="2">
        <v>7.125</v>
      </c>
      <c r="AA49" s="2">
        <v>7.25</v>
      </c>
      <c r="AB49" s="2">
        <v>0.21299999999999999</v>
      </c>
      <c r="AC49" s="2">
        <v>8.6</v>
      </c>
      <c r="AE49" s="2">
        <v>0</v>
      </c>
      <c r="AF49" s="2" t="s">
        <v>126</v>
      </c>
      <c r="AG49" s="2">
        <v>0</v>
      </c>
      <c r="AH49" s="2">
        <v>0</v>
      </c>
      <c r="AJ49" s="2">
        <v>0</v>
      </c>
      <c r="AK49" s="2" t="s">
        <v>95</v>
      </c>
      <c r="AM49" s="2" t="s">
        <v>95</v>
      </c>
      <c r="AN49" s="2" t="s">
        <v>95</v>
      </c>
      <c r="AO49" s="2" t="s">
        <v>96</v>
      </c>
      <c r="AP49" s="2" t="s">
        <v>97</v>
      </c>
      <c r="AQ49" s="2" t="s">
        <v>98</v>
      </c>
      <c r="AV49" s="2" t="s">
        <v>95</v>
      </c>
      <c r="AX49" s="2" t="s">
        <v>135</v>
      </c>
      <c r="BF49" s="2" t="s">
        <v>277</v>
      </c>
      <c r="BG49" s="2" t="s">
        <v>95</v>
      </c>
      <c r="BH49" s="2" t="s">
        <v>95</v>
      </c>
      <c r="BI49" s="2" t="s">
        <v>95</v>
      </c>
      <c r="BK49" s="2" t="s">
        <v>100</v>
      </c>
      <c r="CA49" s="2" t="s">
        <v>278</v>
      </c>
      <c r="CB49" s="2" t="s">
        <v>135</v>
      </c>
      <c r="CL49" s="2" t="s">
        <v>95</v>
      </c>
      <c r="CM49" s="2" t="s">
        <v>95</v>
      </c>
      <c r="CO49" s="3">
        <v>39421</v>
      </c>
      <c r="CP49" s="3">
        <v>43634</v>
      </c>
    </row>
    <row r="50" spans="1:94" x14ac:dyDescent="0.25">
      <c r="A50" s="2" t="s">
        <v>279</v>
      </c>
      <c r="B50" s="2" t="str">
        <f xml:space="preserve"> "" &amp; 844349007272</f>
        <v>844349007272</v>
      </c>
      <c r="C50" s="2" t="s">
        <v>280</v>
      </c>
      <c r="D50" s="2" t="s">
        <v>281</v>
      </c>
      <c r="E50" s="2" t="s">
        <v>125</v>
      </c>
      <c r="F50" s="2" t="s">
        <v>282</v>
      </c>
      <c r="G50" s="2">
        <v>1</v>
      </c>
      <c r="H50" s="2">
        <v>1</v>
      </c>
      <c r="I50" s="2" t="s">
        <v>94</v>
      </c>
      <c r="J50" s="6">
        <v>35</v>
      </c>
      <c r="K50" s="6">
        <v>105</v>
      </c>
      <c r="L50" s="2">
        <v>0</v>
      </c>
      <c r="N50" s="2">
        <v>0</v>
      </c>
      <c r="Q50" s="6"/>
      <c r="R50" s="7"/>
      <c r="S50" s="2">
        <v>5.25</v>
      </c>
      <c r="T50" s="2">
        <v>6.75</v>
      </c>
      <c r="U50" s="2">
        <v>5</v>
      </c>
      <c r="W50" s="2">
        <v>3.09</v>
      </c>
      <c r="X50" s="2">
        <v>1</v>
      </c>
      <c r="Y50" s="2">
        <v>7.25</v>
      </c>
      <c r="Z50" s="2">
        <v>6.75</v>
      </c>
      <c r="AA50" s="2">
        <v>6.75</v>
      </c>
      <c r="AB50" s="2">
        <v>0.191</v>
      </c>
      <c r="AC50" s="2">
        <v>3.75</v>
      </c>
      <c r="AF50" s="2" t="s">
        <v>126</v>
      </c>
      <c r="AK50" s="2" t="s">
        <v>95</v>
      </c>
      <c r="AM50" s="2" t="s">
        <v>95</v>
      </c>
      <c r="AN50" s="2" t="s">
        <v>95</v>
      </c>
      <c r="AO50" s="2" t="s">
        <v>96</v>
      </c>
      <c r="AP50" s="2" t="s">
        <v>97</v>
      </c>
      <c r="AQ50" s="2" t="s">
        <v>98</v>
      </c>
      <c r="AV50" s="2" t="s">
        <v>95</v>
      </c>
      <c r="AX50" s="2" t="s">
        <v>116</v>
      </c>
      <c r="BF50" s="2" t="s">
        <v>283</v>
      </c>
      <c r="BG50" s="2" t="s">
        <v>95</v>
      </c>
      <c r="BH50" s="2" t="s">
        <v>95</v>
      </c>
      <c r="BI50" s="2" t="s">
        <v>95</v>
      </c>
      <c r="BK50" s="2" t="s">
        <v>100</v>
      </c>
      <c r="CA50" s="2" t="s">
        <v>284</v>
      </c>
      <c r="CB50" s="2" t="s">
        <v>116</v>
      </c>
      <c r="CL50" s="2" t="s">
        <v>95</v>
      </c>
      <c r="CM50" s="2" t="s">
        <v>95</v>
      </c>
      <c r="CO50" s="3">
        <v>39958</v>
      </c>
      <c r="CP50" s="3">
        <v>43634</v>
      </c>
    </row>
    <row r="51" spans="1:94" x14ac:dyDescent="0.25">
      <c r="A51" s="2" t="s">
        <v>285</v>
      </c>
      <c r="B51" s="2" t="str">
        <f xml:space="preserve"> "" &amp; 844349007289</f>
        <v>844349007289</v>
      </c>
      <c r="C51" s="2" t="s">
        <v>280</v>
      </c>
      <c r="D51" s="2" t="s">
        <v>281</v>
      </c>
      <c r="E51" s="2" t="s">
        <v>125</v>
      </c>
      <c r="F51" s="2" t="s">
        <v>282</v>
      </c>
      <c r="G51" s="2">
        <v>1</v>
      </c>
      <c r="H51" s="2">
        <v>1</v>
      </c>
      <c r="I51" s="2" t="s">
        <v>94</v>
      </c>
      <c r="J51" s="6">
        <v>35</v>
      </c>
      <c r="K51" s="6">
        <v>105</v>
      </c>
      <c r="L51" s="2">
        <v>0</v>
      </c>
      <c r="N51" s="2">
        <v>0</v>
      </c>
      <c r="Q51" s="6"/>
      <c r="R51" s="7"/>
      <c r="S51" s="2">
        <v>5.25</v>
      </c>
      <c r="T51" s="2">
        <v>6.75</v>
      </c>
      <c r="U51" s="2">
        <v>5</v>
      </c>
      <c r="W51" s="2">
        <v>3.09</v>
      </c>
      <c r="X51" s="2">
        <v>1</v>
      </c>
      <c r="Y51" s="2">
        <v>7.5</v>
      </c>
      <c r="Z51" s="2">
        <v>6.75</v>
      </c>
      <c r="AA51" s="2">
        <v>6.75</v>
      </c>
      <c r="AB51" s="2">
        <v>0.19800000000000001</v>
      </c>
      <c r="AC51" s="2">
        <v>3.75</v>
      </c>
      <c r="AF51" s="2" t="s">
        <v>126</v>
      </c>
      <c r="AK51" s="2" t="s">
        <v>95</v>
      </c>
      <c r="AM51" s="2" t="s">
        <v>95</v>
      </c>
      <c r="AN51" s="2" t="s">
        <v>95</v>
      </c>
      <c r="AO51" s="2" t="s">
        <v>96</v>
      </c>
      <c r="AP51" s="2" t="s">
        <v>97</v>
      </c>
      <c r="AQ51" s="2" t="s">
        <v>98</v>
      </c>
      <c r="AV51" s="2" t="s">
        <v>95</v>
      </c>
      <c r="AX51" s="2" t="s">
        <v>120</v>
      </c>
      <c r="AZ51" s="2" t="s">
        <v>177</v>
      </c>
      <c r="BF51" s="2" t="s">
        <v>286</v>
      </c>
      <c r="BG51" s="2" t="s">
        <v>95</v>
      </c>
      <c r="BH51" s="2" t="s">
        <v>95</v>
      </c>
      <c r="BI51" s="2" t="s">
        <v>95</v>
      </c>
      <c r="BK51" s="2" t="s">
        <v>100</v>
      </c>
      <c r="CA51" s="2" t="s">
        <v>284</v>
      </c>
      <c r="CB51" s="2" t="s">
        <v>120</v>
      </c>
      <c r="CL51" s="2" t="s">
        <v>95</v>
      </c>
      <c r="CM51" s="2" t="s">
        <v>95</v>
      </c>
      <c r="CO51" s="3">
        <v>39958</v>
      </c>
      <c r="CP51" s="3">
        <v>43634</v>
      </c>
    </row>
    <row r="52" spans="1:94" x14ac:dyDescent="0.25">
      <c r="A52" s="2" t="s">
        <v>287</v>
      </c>
      <c r="B52" s="2" t="str">
        <f xml:space="preserve"> "" &amp; 844349014867</f>
        <v>844349014867</v>
      </c>
      <c r="C52" s="2" t="s">
        <v>288</v>
      </c>
      <c r="D52" s="2" t="s">
        <v>289</v>
      </c>
      <c r="E52" s="2" t="s">
        <v>125</v>
      </c>
      <c r="F52" s="2" t="s">
        <v>115</v>
      </c>
      <c r="G52" s="2">
        <v>1</v>
      </c>
      <c r="H52" s="2">
        <v>1</v>
      </c>
      <c r="I52" s="2" t="s">
        <v>94</v>
      </c>
      <c r="J52" s="6">
        <v>55</v>
      </c>
      <c r="K52" s="6">
        <v>165</v>
      </c>
      <c r="L52" s="2">
        <v>0</v>
      </c>
      <c r="N52" s="2">
        <v>0</v>
      </c>
      <c r="Q52" s="6"/>
      <c r="R52" s="7"/>
      <c r="S52" s="2">
        <v>1</v>
      </c>
      <c r="T52" s="2">
        <v>1</v>
      </c>
      <c r="U52" s="2">
        <v>1</v>
      </c>
      <c r="W52" s="2">
        <v>0.77</v>
      </c>
      <c r="X52" s="2">
        <v>1</v>
      </c>
      <c r="Y52" s="2">
        <v>11</v>
      </c>
      <c r="Z52" s="2">
        <v>18</v>
      </c>
      <c r="AA52" s="2">
        <v>8</v>
      </c>
      <c r="AB52" s="2">
        <v>0.91700000000000004</v>
      </c>
      <c r="AC52" s="2">
        <v>0.85</v>
      </c>
      <c r="AK52" s="2" t="s">
        <v>95</v>
      </c>
      <c r="AM52" s="2" t="s">
        <v>95</v>
      </c>
      <c r="AN52" s="2" t="s">
        <v>95</v>
      </c>
      <c r="AO52" s="2" t="s">
        <v>95</v>
      </c>
      <c r="AP52" s="2" t="s">
        <v>97</v>
      </c>
      <c r="AV52" s="2" t="s">
        <v>95</v>
      </c>
      <c r="BF52" s="2" t="s">
        <v>290</v>
      </c>
      <c r="BG52" s="2" t="s">
        <v>95</v>
      </c>
      <c r="BH52" s="2" t="s">
        <v>95</v>
      </c>
      <c r="BI52" s="2" t="s">
        <v>95</v>
      </c>
      <c r="CL52" s="2" t="s">
        <v>95</v>
      </c>
      <c r="CM52" s="2" t="s">
        <v>95</v>
      </c>
      <c r="CP52" s="3">
        <v>42417</v>
      </c>
    </row>
    <row r="53" spans="1:94" x14ac:dyDescent="0.25">
      <c r="A53" s="2" t="s">
        <v>291</v>
      </c>
      <c r="B53" s="2" t="str">
        <f xml:space="preserve"> "" &amp; 874944002846</f>
        <v>874944002846</v>
      </c>
      <c r="C53" s="2" t="s">
        <v>292</v>
      </c>
      <c r="D53" s="2" t="s">
        <v>293</v>
      </c>
      <c r="E53" s="2" t="s">
        <v>125</v>
      </c>
      <c r="F53" s="2" t="s">
        <v>115</v>
      </c>
      <c r="G53" s="2">
        <v>1</v>
      </c>
      <c r="H53" s="2">
        <v>1</v>
      </c>
      <c r="I53" s="2" t="s">
        <v>94</v>
      </c>
      <c r="J53" s="6">
        <v>16</v>
      </c>
      <c r="K53" s="6">
        <v>48</v>
      </c>
      <c r="L53" s="2">
        <v>0</v>
      </c>
      <c r="N53" s="2">
        <v>0</v>
      </c>
      <c r="Q53" s="6"/>
      <c r="R53" s="7"/>
      <c r="S53" s="2">
        <v>8</v>
      </c>
      <c r="T53" s="2">
        <v>5</v>
      </c>
      <c r="U53" s="2">
        <v>1.25</v>
      </c>
      <c r="W53" s="2">
        <v>0.42</v>
      </c>
      <c r="X53" s="2">
        <v>1</v>
      </c>
      <c r="Y53" s="2">
        <v>6.5</v>
      </c>
      <c r="Z53" s="2">
        <v>2.5</v>
      </c>
      <c r="AA53" s="2">
        <v>2.5</v>
      </c>
      <c r="AB53" s="2">
        <v>2.4E-2</v>
      </c>
      <c r="AC53" s="2">
        <v>7.34</v>
      </c>
      <c r="AE53" s="2">
        <v>1</v>
      </c>
      <c r="AG53" s="2">
        <v>50</v>
      </c>
      <c r="AH53" s="2">
        <v>1</v>
      </c>
      <c r="AJ53" s="2">
        <v>50</v>
      </c>
      <c r="AK53" s="2" t="s">
        <v>95</v>
      </c>
      <c r="AM53" s="2" t="s">
        <v>95</v>
      </c>
      <c r="AN53" s="2" t="s">
        <v>95</v>
      </c>
      <c r="AO53" s="2" t="s">
        <v>95</v>
      </c>
      <c r="AP53" s="2" t="s">
        <v>97</v>
      </c>
      <c r="AQ53" s="2" t="s">
        <v>98</v>
      </c>
      <c r="AV53" s="2" t="s">
        <v>95</v>
      </c>
      <c r="AX53" s="2" t="s">
        <v>116</v>
      </c>
      <c r="BF53" s="2" t="s">
        <v>294</v>
      </c>
      <c r="BG53" s="2" t="s">
        <v>95</v>
      </c>
      <c r="BH53" s="2" t="s">
        <v>95</v>
      </c>
      <c r="BI53" s="2" t="s">
        <v>95</v>
      </c>
      <c r="BK53" s="2" t="s">
        <v>100</v>
      </c>
      <c r="CA53" s="2" t="s">
        <v>295</v>
      </c>
      <c r="CB53" s="2" t="s">
        <v>116</v>
      </c>
      <c r="CL53" s="2" t="s">
        <v>95</v>
      </c>
      <c r="CM53" s="2" t="s">
        <v>95</v>
      </c>
      <c r="CO53" s="3">
        <v>38801</v>
      </c>
      <c r="CP53" s="3">
        <v>43634</v>
      </c>
    </row>
    <row r="54" spans="1:94" x14ac:dyDescent="0.25">
      <c r="A54" s="2" t="s">
        <v>296</v>
      </c>
      <c r="B54" s="2" t="str">
        <f xml:space="preserve"> "" &amp; 874944002853</f>
        <v>874944002853</v>
      </c>
      <c r="C54" s="2" t="s">
        <v>292</v>
      </c>
      <c r="D54" s="2" t="s">
        <v>293</v>
      </c>
      <c r="E54" s="2" t="s">
        <v>125</v>
      </c>
      <c r="F54" s="2" t="s">
        <v>115</v>
      </c>
      <c r="G54" s="2">
        <v>1</v>
      </c>
      <c r="H54" s="2">
        <v>1</v>
      </c>
      <c r="I54" s="2" t="s">
        <v>94</v>
      </c>
      <c r="J54" s="6">
        <v>16</v>
      </c>
      <c r="K54" s="6">
        <v>48</v>
      </c>
      <c r="L54" s="2">
        <v>0</v>
      </c>
      <c r="N54" s="2">
        <v>0</v>
      </c>
      <c r="Q54" s="6"/>
      <c r="R54" s="7"/>
      <c r="S54" s="2">
        <v>8</v>
      </c>
      <c r="T54" s="2">
        <v>5</v>
      </c>
      <c r="U54" s="2">
        <v>1.25</v>
      </c>
      <c r="W54" s="2">
        <v>0.42</v>
      </c>
      <c r="X54" s="2">
        <v>1</v>
      </c>
      <c r="Y54" s="2">
        <v>6.5</v>
      </c>
      <c r="Z54" s="2">
        <v>2.5</v>
      </c>
      <c r="AA54" s="2">
        <v>2.5</v>
      </c>
      <c r="AB54" s="2">
        <v>2.4E-2</v>
      </c>
      <c r="AC54" s="2">
        <v>7.34</v>
      </c>
      <c r="AE54" s="2">
        <v>1</v>
      </c>
      <c r="AG54" s="2">
        <v>50</v>
      </c>
      <c r="AH54" s="2">
        <v>1</v>
      </c>
      <c r="AJ54" s="2">
        <v>50</v>
      </c>
      <c r="AK54" s="2" t="s">
        <v>95</v>
      </c>
      <c r="AM54" s="2" t="s">
        <v>95</v>
      </c>
      <c r="AN54" s="2" t="s">
        <v>95</v>
      </c>
      <c r="AO54" s="2" t="s">
        <v>95</v>
      </c>
      <c r="AP54" s="2" t="s">
        <v>97</v>
      </c>
      <c r="AQ54" s="2" t="s">
        <v>98</v>
      </c>
      <c r="AV54" s="2" t="s">
        <v>95</v>
      </c>
      <c r="AX54" s="2" t="s">
        <v>120</v>
      </c>
      <c r="BF54" s="2" t="s">
        <v>297</v>
      </c>
      <c r="BG54" s="2" t="s">
        <v>95</v>
      </c>
      <c r="BH54" s="2" t="s">
        <v>95</v>
      </c>
      <c r="BI54" s="2" t="s">
        <v>95</v>
      </c>
      <c r="BK54" s="2" t="s">
        <v>100</v>
      </c>
      <c r="CA54" s="2" t="s">
        <v>295</v>
      </c>
      <c r="CB54" s="2" t="s">
        <v>120</v>
      </c>
      <c r="CL54" s="2" t="s">
        <v>95</v>
      </c>
      <c r="CM54" s="2" t="s">
        <v>95</v>
      </c>
      <c r="CO54" s="3">
        <v>38801</v>
      </c>
      <c r="CP54" s="3">
        <v>43634</v>
      </c>
    </row>
    <row r="55" spans="1:94" x14ac:dyDescent="0.25">
      <c r="A55" s="2" t="s">
        <v>298</v>
      </c>
      <c r="B55" s="2" t="str">
        <f xml:space="preserve"> "" &amp; 874944002877</f>
        <v>874944002877</v>
      </c>
      <c r="C55" s="2" t="s">
        <v>299</v>
      </c>
      <c r="D55" s="2" t="s">
        <v>300</v>
      </c>
      <c r="E55" s="2" t="s">
        <v>125</v>
      </c>
      <c r="F55" s="2" t="s">
        <v>115</v>
      </c>
      <c r="G55" s="2">
        <v>1</v>
      </c>
      <c r="H55" s="2">
        <v>1</v>
      </c>
      <c r="I55" s="2" t="s">
        <v>94</v>
      </c>
      <c r="J55" s="6">
        <v>20</v>
      </c>
      <c r="K55" s="6">
        <v>60</v>
      </c>
      <c r="L55" s="2">
        <v>0</v>
      </c>
      <c r="N55" s="2">
        <v>0</v>
      </c>
      <c r="Q55" s="6"/>
      <c r="R55" s="7"/>
      <c r="S55" s="2">
        <v>6</v>
      </c>
      <c r="T55" s="2">
        <v>6</v>
      </c>
      <c r="U55" s="2">
        <v>1.25</v>
      </c>
      <c r="W55" s="2">
        <v>6.69</v>
      </c>
      <c r="X55" s="2">
        <v>1</v>
      </c>
      <c r="Y55" s="2">
        <v>8.5</v>
      </c>
      <c r="Z55" s="2">
        <v>2.5</v>
      </c>
      <c r="AA55" s="2">
        <v>2.5</v>
      </c>
      <c r="AB55" s="2">
        <v>3.1E-2</v>
      </c>
      <c r="AC55" s="2">
        <v>10.58</v>
      </c>
      <c r="AE55" s="2">
        <v>1</v>
      </c>
      <c r="AG55" s="2">
        <v>50</v>
      </c>
      <c r="AK55" s="2" t="s">
        <v>95</v>
      </c>
      <c r="AM55" s="2" t="s">
        <v>95</v>
      </c>
      <c r="AN55" s="2" t="s">
        <v>95</v>
      </c>
      <c r="AO55" s="2" t="s">
        <v>95</v>
      </c>
      <c r="AP55" s="2" t="s">
        <v>97</v>
      </c>
      <c r="AQ55" s="2" t="s">
        <v>98</v>
      </c>
      <c r="AV55" s="2" t="s">
        <v>95</v>
      </c>
      <c r="AX55" s="2" t="s">
        <v>120</v>
      </c>
      <c r="BF55" s="2" t="s">
        <v>301</v>
      </c>
      <c r="BG55" s="2" t="s">
        <v>95</v>
      </c>
      <c r="BH55" s="2" t="s">
        <v>95</v>
      </c>
      <c r="BI55" s="2" t="s">
        <v>95</v>
      </c>
      <c r="BK55" s="2" t="s">
        <v>100</v>
      </c>
      <c r="CA55" s="2" t="s">
        <v>302</v>
      </c>
      <c r="CB55" s="2" t="s">
        <v>120</v>
      </c>
      <c r="CL55" s="2" t="s">
        <v>95</v>
      </c>
      <c r="CM55" s="2" t="s">
        <v>95</v>
      </c>
      <c r="CO55" s="3">
        <v>39450</v>
      </c>
      <c r="CP55" s="3">
        <v>43634</v>
      </c>
    </row>
    <row r="56" spans="1:94" x14ac:dyDescent="0.25">
      <c r="A56" s="2" t="s">
        <v>303</v>
      </c>
      <c r="B56" s="2" t="str">
        <f xml:space="preserve"> "" &amp; 874944003010</f>
        <v>874944003010</v>
      </c>
      <c r="C56" s="2" t="s">
        <v>304</v>
      </c>
      <c r="D56" s="2" t="s">
        <v>305</v>
      </c>
      <c r="E56" s="2" t="s">
        <v>125</v>
      </c>
      <c r="F56" s="2" t="s">
        <v>115</v>
      </c>
      <c r="G56" s="2">
        <v>1</v>
      </c>
      <c r="H56" s="2">
        <v>1</v>
      </c>
      <c r="I56" s="2" t="s">
        <v>94</v>
      </c>
      <c r="J56" s="6">
        <v>25</v>
      </c>
      <c r="K56" s="6">
        <v>75</v>
      </c>
      <c r="L56" s="2">
        <v>0</v>
      </c>
      <c r="N56" s="2">
        <v>0</v>
      </c>
      <c r="Q56" s="6"/>
      <c r="R56" s="7"/>
      <c r="S56" s="2">
        <v>6</v>
      </c>
      <c r="U56" s="2">
        <v>1.75</v>
      </c>
      <c r="W56" s="2">
        <v>0.42</v>
      </c>
      <c r="X56" s="2">
        <v>1</v>
      </c>
      <c r="Y56" s="2">
        <v>15.25</v>
      </c>
      <c r="Z56" s="2">
        <v>12.75</v>
      </c>
      <c r="AA56" s="2">
        <v>8.375</v>
      </c>
      <c r="AB56" s="2">
        <v>0.94199999999999995</v>
      </c>
      <c r="AC56" s="2">
        <v>7.54</v>
      </c>
      <c r="AE56" s="2">
        <v>1</v>
      </c>
      <c r="AG56" s="2">
        <v>50</v>
      </c>
      <c r="AH56" s="2">
        <v>0</v>
      </c>
      <c r="AJ56" s="2">
        <v>0</v>
      </c>
      <c r="AK56" s="2" t="s">
        <v>95</v>
      </c>
      <c r="AM56" s="2" t="s">
        <v>95</v>
      </c>
      <c r="AN56" s="2" t="s">
        <v>95</v>
      </c>
      <c r="AO56" s="2" t="s">
        <v>96</v>
      </c>
      <c r="AP56" s="2" t="s">
        <v>97</v>
      </c>
      <c r="AQ56" s="2" t="s">
        <v>98</v>
      </c>
      <c r="AV56" s="2" t="s">
        <v>95</v>
      </c>
      <c r="AX56" s="2" t="s">
        <v>120</v>
      </c>
      <c r="BF56" s="2" t="s">
        <v>306</v>
      </c>
      <c r="BG56" s="2" t="s">
        <v>95</v>
      </c>
      <c r="BH56" s="2" t="s">
        <v>95</v>
      </c>
      <c r="BI56" s="2" t="s">
        <v>95</v>
      </c>
      <c r="BK56" s="2" t="s">
        <v>100</v>
      </c>
      <c r="CA56" s="2" t="s">
        <v>307</v>
      </c>
      <c r="CB56" s="2" t="s">
        <v>120</v>
      </c>
      <c r="CL56" s="2" t="s">
        <v>95</v>
      </c>
      <c r="CM56" s="2" t="s">
        <v>95</v>
      </c>
      <c r="CO56" s="3">
        <v>38383</v>
      </c>
      <c r="CP56" s="3">
        <v>43634</v>
      </c>
    </row>
    <row r="57" spans="1:94" x14ac:dyDescent="0.25">
      <c r="A57" s="2" t="s">
        <v>308</v>
      </c>
      <c r="B57" s="2" t="str">
        <f xml:space="preserve"> "" &amp; 874944003034</f>
        <v>874944003034</v>
      </c>
      <c r="C57" s="2" t="s">
        <v>304</v>
      </c>
      <c r="D57" s="2" t="s">
        <v>305</v>
      </c>
      <c r="E57" s="2" t="s">
        <v>125</v>
      </c>
      <c r="F57" s="2" t="s">
        <v>115</v>
      </c>
      <c r="G57" s="2">
        <v>1</v>
      </c>
      <c r="H57" s="2">
        <v>1</v>
      </c>
      <c r="I57" s="2" t="s">
        <v>94</v>
      </c>
      <c r="J57" s="6">
        <v>14</v>
      </c>
      <c r="K57" s="6">
        <v>42</v>
      </c>
      <c r="L57" s="2">
        <v>0</v>
      </c>
      <c r="N57" s="2">
        <v>0</v>
      </c>
      <c r="Q57" s="6"/>
      <c r="R57" s="7"/>
      <c r="S57" s="2">
        <v>9</v>
      </c>
      <c r="U57" s="2">
        <v>1.75</v>
      </c>
      <c r="W57" s="2">
        <v>0.44</v>
      </c>
      <c r="X57" s="2">
        <v>1</v>
      </c>
      <c r="Y57" s="2">
        <v>15.38</v>
      </c>
      <c r="Z57" s="2">
        <v>11.25</v>
      </c>
      <c r="AA57" s="2">
        <v>10.38</v>
      </c>
      <c r="AB57" s="2">
        <v>1.04</v>
      </c>
      <c r="AC57" s="2">
        <v>9.44</v>
      </c>
      <c r="AE57" s="2">
        <v>1</v>
      </c>
      <c r="AG57" s="2">
        <v>50</v>
      </c>
      <c r="AH57" s="2">
        <v>0</v>
      </c>
      <c r="AJ57" s="2">
        <v>0</v>
      </c>
      <c r="AK57" s="2" t="s">
        <v>95</v>
      </c>
      <c r="AM57" s="2" t="s">
        <v>95</v>
      </c>
      <c r="AN57" s="2" t="s">
        <v>95</v>
      </c>
      <c r="AO57" s="2" t="s">
        <v>96</v>
      </c>
      <c r="AP57" s="2" t="s">
        <v>97</v>
      </c>
      <c r="AQ57" s="2" t="s">
        <v>98</v>
      </c>
      <c r="AV57" s="2" t="s">
        <v>95</v>
      </c>
      <c r="AX57" s="2" t="s">
        <v>120</v>
      </c>
      <c r="BF57" s="2" t="s">
        <v>309</v>
      </c>
      <c r="BG57" s="2" t="s">
        <v>95</v>
      </c>
      <c r="BH57" s="2" t="s">
        <v>95</v>
      </c>
      <c r="BI57" s="2" t="s">
        <v>95</v>
      </c>
      <c r="BK57" s="2" t="s">
        <v>100</v>
      </c>
      <c r="CA57" s="2" t="s">
        <v>310</v>
      </c>
      <c r="CB57" s="2" t="s">
        <v>120</v>
      </c>
      <c r="CL57" s="2" t="s">
        <v>95</v>
      </c>
      <c r="CM57" s="2" t="s">
        <v>95</v>
      </c>
      <c r="CO57" s="3">
        <v>38383</v>
      </c>
      <c r="CP57" s="3">
        <v>43634</v>
      </c>
    </row>
    <row r="58" spans="1:94" x14ac:dyDescent="0.25">
      <c r="A58" s="2" t="s">
        <v>311</v>
      </c>
      <c r="B58" s="2" t="str">
        <f xml:space="preserve"> "" &amp; 874944003058</f>
        <v>874944003058</v>
      </c>
      <c r="C58" s="2" t="s">
        <v>304</v>
      </c>
      <c r="D58" s="2" t="s">
        <v>305</v>
      </c>
      <c r="E58" s="2" t="s">
        <v>125</v>
      </c>
      <c r="F58" s="2" t="s">
        <v>115</v>
      </c>
      <c r="G58" s="2">
        <v>1</v>
      </c>
      <c r="H58" s="2">
        <v>1</v>
      </c>
      <c r="I58" s="2" t="s">
        <v>94</v>
      </c>
      <c r="J58" s="6">
        <v>16</v>
      </c>
      <c r="K58" s="6">
        <v>48</v>
      </c>
      <c r="L58" s="2">
        <v>0</v>
      </c>
      <c r="N58" s="2">
        <v>0</v>
      </c>
      <c r="Q58" s="6"/>
      <c r="R58" s="7"/>
      <c r="S58" s="2">
        <v>12</v>
      </c>
      <c r="U58" s="2">
        <v>1.75</v>
      </c>
      <c r="W58" s="2">
        <v>0.46</v>
      </c>
      <c r="X58" s="2">
        <v>1</v>
      </c>
      <c r="Y58" s="2">
        <v>18.38</v>
      </c>
      <c r="Z58" s="2">
        <v>11.25</v>
      </c>
      <c r="AA58" s="2">
        <v>10.38</v>
      </c>
      <c r="AB58" s="2">
        <v>1.24</v>
      </c>
      <c r="AC58" s="2">
        <v>10.6</v>
      </c>
      <c r="AE58" s="2">
        <v>1</v>
      </c>
      <c r="AG58" s="2">
        <v>50</v>
      </c>
      <c r="AH58" s="2">
        <v>0</v>
      </c>
      <c r="AJ58" s="2">
        <v>0</v>
      </c>
      <c r="AK58" s="2" t="s">
        <v>95</v>
      </c>
      <c r="AM58" s="2" t="s">
        <v>95</v>
      </c>
      <c r="AN58" s="2" t="s">
        <v>95</v>
      </c>
      <c r="AO58" s="2" t="s">
        <v>96</v>
      </c>
      <c r="AP58" s="2" t="s">
        <v>97</v>
      </c>
      <c r="AQ58" s="2" t="s">
        <v>98</v>
      </c>
      <c r="AV58" s="2" t="s">
        <v>95</v>
      </c>
      <c r="AX58" s="2" t="s">
        <v>120</v>
      </c>
      <c r="BF58" s="2" t="s">
        <v>312</v>
      </c>
      <c r="BG58" s="2" t="s">
        <v>95</v>
      </c>
      <c r="BH58" s="2" t="s">
        <v>95</v>
      </c>
      <c r="BI58" s="2" t="s">
        <v>95</v>
      </c>
      <c r="BK58" s="2" t="s">
        <v>100</v>
      </c>
      <c r="CA58" s="2" t="s">
        <v>313</v>
      </c>
      <c r="CB58" s="2" t="s">
        <v>120</v>
      </c>
      <c r="CL58" s="2" t="s">
        <v>95</v>
      </c>
      <c r="CM58" s="2" t="s">
        <v>95</v>
      </c>
      <c r="CO58" s="3">
        <v>38383</v>
      </c>
      <c r="CP58" s="3">
        <v>43634</v>
      </c>
    </row>
    <row r="59" spans="1:94" x14ac:dyDescent="0.25">
      <c r="A59" s="2" t="s">
        <v>314</v>
      </c>
      <c r="B59" s="2" t="str">
        <f xml:space="preserve"> "" &amp; 874944003065</f>
        <v>874944003065</v>
      </c>
      <c r="C59" s="2" t="s">
        <v>304</v>
      </c>
      <c r="D59" s="2" t="s">
        <v>305</v>
      </c>
      <c r="E59" s="2" t="s">
        <v>125</v>
      </c>
      <c r="F59" s="2" t="s">
        <v>115</v>
      </c>
      <c r="G59" s="2">
        <v>1</v>
      </c>
      <c r="H59" s="2">
        <v>1</v>
      </c>
      <c r="I59" s="2" t="s">
        <v>94</v>
      </c>
      <c r="J59" s="6">
        <v>30</v>
      </c>
      <c r="K59" s="6">
        <v>90</v>
      </c>
      <c r="L59" s="2">
        <v>0</v>
      </c>
      <c r="N59" s="2">
        <v>0</v>
      </c>
      <c r="Q59" s="6"/>
      <c r="R59" s="7"/>
      <c r="S59" s="2">
        <v>3</v>
      </c>
      <c r="T59" s="2">
        <v>7.875</v>
      </c>
      <c r="U59" s="2">
        <v>3.25</v>
      </c>
      <c r="W59" s="2">
        <v>5.56</v>
      </c>
      <c r="X59" s="2">
        <v>1</v>
      </c>
      <c r="Y59" s="2">
        <v>2.25</v>
      </c>
      <c r="Z59" s="2">
        <v>7.875</v>
      </c>
      <c r="AA59" s="2">
        <v>11.625</v>
      </c>
      <c r="AB59" s="2">
        <v>0.11899999999999999</v>
      </c>
      <c r="AC59" s="2">
        <v>9.44</v>
      </c>
      <c r="AE59" s="2">
        <v>1</v>
      </c>
      <c r="AG59" s="2">
        <v>50</v>
      </c>
      <c r="AH59" s="2">
        <v>0</v>
      </c>
      <c r="AJ59" s="2">
        <v>0</v>
      </c>
      <c r="AK59" s="2" t="s">
        <v>95</v>
      </c>
      <c r="AM59" s="2" t="s">
        <v>95</v>
      </c>
      <c r="AN59" s="2" t="s">
        <v>95</v>
      </c>
      <c r="AO59" s="2" t="s">
        <v>95</v>
      </c>
      <c r="AP59" s="2" t="s">
        <v>97</v>
      </c>
      <c r="AQ59" s="2" t="s">
        <v>98</v>
      </c>
      <c r="AV59" s="2" t="s">
        <v>95</v>
      </c>
      <c r="AX59" s="2" t="s">
        <v>116</v>
      </c>
      <c r="BF59" s="2" t="s">
        <v>315</v>
      </c>
      <c r="BG59" s="2" t="s">
        <v>95</v>
      </c>
      <c r="BH59" s="2" t="s">
        <v>95</v>
      </c>
      <c r="BI59" s="2" t="s">
        <v>95</v>
      </c>
      <c r="BK59" s="2" t="s">
        <v>100</v>
      </c>
      <c r="CA59" s="2" t="s">
        <v>316</v>
      </c>
      <c r="CB59" s="2" t="s">
        <v>116</v>
      </c>
      <c r="CL59" s="2" t="s">
        <v>95</v>
      </c>
      <c r="CM59" s="2" t="s">
        <v>95</v>
      </c>
      <c r="CO59" s="3">
        <v>39534</v>
      </c>
      <c r="CP59" s="3">
        <v>43634</v>
      </c>
    </row>
    <row r="60" spans="1:94" x14ac:dyDescent="0.25">
      <c r="A60" s="2" t="s">
        <v>317</v>
      </c>
      <c r="B60" s="2" t="str">
        <f xml:space="preserve"> "" &amp; 874944008329</f>
        <v>874944008329</v>
      </c>
      <c r="C60" s="2" t="s">
        <v>318</v>
      </c>
      <c r="D60" s="2" t="s">
        <v>305</v>
      </c>
      <c r="E60" s="2" t="s">
        <v>125</v>
      </c>
      <c r="F60" s="2" t="s">
        <v>115</v>
      </c>
      <c r="G60" s="2">
        <v>1</v>
      </c>
      <c r="H60" s="2">
        <v>1</v>
      </c>
      <c r="I60" s="2" t="s">
        <v>94</v>
      </c>
      <c r="J60" s="6">
        <v>14.95</v>
      </c>
      <c r="K60" s="6">
        <v>44.85</v>
      </c>
      <c r="L60" s="2">
        <v>0</v>
      </c>
      <c r="N60" s="2">
        <v>0</v>
      </c>
      <c r="Q60" s="6"/>
      <c r="R60" s="7"/>
      <c r="S60" s="2">
        <v>1.5</v>
      </c>
      <c r="T60" s="2">
        <v>2</v>
      </c>
      <c r="U60" s="2">
        <v>1</v>
      </c>
      <c r="W60" s="2">
        <v>5.29</v>
      </c>
      <c r="X60" s="2">
        <v>1</v>
      </c>
      <c r="Y60" s="2">
        <v>2.125</v>
      </c>
      <c r="Z60" s="2">
        <v>2.125</v>
      </c>
      <c r="AA60" s="2">
        <v>2.125</v>
      </c>
      <c r="AB60" s="2">
        <v>6.0000000000000001E-3</v>
      </c>
      <c r="AC60" s="2">
        <v>7.25</v>
      </c>
      <c r="AE60" s="2">
        <v>1</v>
      </c>
      <c r="AG60" s="2">
        <v>0</v>
      </c>
      <c r="AH60" s="2">
        <v>0</v>
      </c>
      <c r="AJ60" s="2">
        <v>0</v>
      </c>
      <c r="AK60" s="2" t="s">
        <v>96</v>
      </c>
      <c r="AM60" s="2" t="s">
        <v>95</v>
      </c>
      <c r="AN60" s="2" t="s">
        <v>95</v>
      </c>
      <c r="AO60" s="2" t="s">
        <v>95</v>
      </c>
      <c r="AP60" s="2" t="s">
        <v>97</v>
      </c>
      <c r="AQ60" s="2" t="s">
        <v>98</v>
      </c>
      <c r="AV60" s="2" t="s">
        <v>95</v>
      </c>
      <c r="AX60" s="2" t="s">
        <v>120</v>
      </c>
      <c r="BF60" s="2" t="s">
        <v>319</v>
      </c>
      <c r="BG60" s="2" t="s">
        <v>95</v>
      </c>
      <c r="BH60" s="2" t="s">
        <v>95</v>
      </c>
      <c r="BI60" s="2" t="s">
        <v>95</v>
      </c>
      <c r="BK60" s="2" t="s">
        <v>100</v>
      </c>
      <c r="CA60" s="2" t="s">
        <v>320</v>
      </c>
      <c r="CB60" s="2" t="s">
        <v>120</v>
      </c>
      <c r="CL60" s="2" t="s">
        <v>95</v>
      </c>
      <c r="CM60" s="2" t="s">
        <v>95</v>
      </c>
      <c r="CO60" s="3">
        <v>39292</v>
      </c>
      <c r="CP60" s="3">
        <v>43634</v>
      </c>
    </row>
    <row r="61" spans="1:94" x14ac:dyDescent="0.25">
      <c r="A61" s="2" t="s">
        <v>321</v>
      </c>
      <c r="B61" s="2" t="str">
        <f xml:space="preserve"> "" &amp; 874944008275</f>
        <v>874944008275</v>
      </c>
      <c r="C61" s="2" t="s">
        <v>322</v>
      </c>
      <c r="D61" s="2" t="s">
        <v>323</v>
      </c>
      <c r="E61" s="2" t="s">
        <v>125</v>
      </c>
      <c r="F61" s="2" t="s">
        <v>106</v>
      </c>
      <c r="G61" s="2">
        <v>1</v>
      </c>
      <c r="H61" s="2">
        <v>1</v>
      </c>
      <c r="I61" s="2" t="s">
        <v>94</v>
      </c>
      <c r="J61" s="6">
        <v>13.5</v>
      </c>
      <c r="K61" s="6">
        <v>40.5</v>
      </c>
      <c r="L61" s="2">
        <v>0</v>
      </c>
      <c r="N61" s="2">
        <v>0</v>
      </c>
      <c r="Q61" s="6"/>
      <c r="R61" s="7"/>
      <c r="S61" s="2">
        <v>8.625</v>
      </c>
      <c r="T61" s="2">
        <v>3.5</v>
      </c>
      <c r="U61" s="2">
        <v>3</v>
      </c>
      <c r="W61" s="2">
        <v>0.24</v>
      </c>
      <c r="X61" s="2">
        <v>1</v>
      </c>
      <c r="Y61" s="2">
        <v>8.625</v>
      </c>
      <c r="Z61" s="2">
        <v>3.5</v>
      </c>
      <c r="AA61" s="2">
        <v>3</v>
      </c>
      <c r="AB61" s="2">
        <v>5.1999999999999998E-2</v>
      </c>
      <c r="AC61" s="2">
        <v>0.44</v>
      </c>
      <c r="AE61" s="2">
        <v>0</v>
      </c>
      <c r="AF61" s="2" t="s">
        <v>324</v>
      </c>
      <c r="AG61" s="2">
        <v>50</v>
      </c>
      <c r="AH61" s="2">
        <v>0</v>
      </c>
      <c r="AJ61" s="2">
        <v>0</v>
      </c>
      <c r="AK61" s="2" t="s">
        <v>95</v>
      </c>
      <c r="AM61" s="2" t="s">
        <v>96</v>
      </c>
      <c r="AN61" s="2" t="s">
        <v>95</v>
      </c>
      <c r="AO61" s="2" t="s">
        <v>95</v>
      </c>
      <c r="AP61" s="2" t="s">
        <v>97</v>
      </c>
      <c r="AQ61" s="2" t="s">
        <v>98</v>
      </c>
      <c r="AV61" s="2" t="s">
        <v>95</v>
      </c>
      <c r="AX61" s="2" t="s">
        <v>130</v>
      </c>
      <c r="BF61" s="2" t="s">
        <v>325</v>
      </c>
      <c r="BG61" s="2" t="s">
        <v>95</v>
      </c>
      <c r="BH61" s="2" t="s">
        <v>95</v>
      </c>
      <c r="BI61" s="2" t="s">
        <v>95</v>
      </c>
      <c r="BK61" s="2" t="s">
        <v>100</v>
      </c>
      <c r="CA61" s="2" t="s">
        <v>326</v>
      </c>
      <c r="CB61" s="2" t="s">
        <v>130</v>
      </c>
      <c r="CL61" s="2" t="s">
        <v>96</v>
      </c>
      <c r="CM61" s="2" t="s">
        <v>95</v>
      </c>
      <c r="CN61" s="2" t="s">
        <v>327</v>
      </c>
      <c r="CO61" s="3">
        <v>39318</v>
      </c>
      <c r="CP61" s="3">
        <v>43634</v>
      </c>
    </row>
    <row r="62" spans="1:94" x14ac:dyDescent="0.25">
      <c r="A62" s="2" t="s">
        <v>328</v>
      </c>
      <c r="B62" s="2" t="str">
        <f xml:space="preserve"> "" &amp; 874944008282</f>
        <v>874944008282</v>
      </c>
      <c r="C62" s="2" t="s">
        <v>322</v>
      </c>
      <c r="D62" s="2" t="s">
        <v>323</v>
      </c>
      <c r="E62" s="2" t="s">
        <v>125</v>
      </c>
      <c r="F62" s="2" t="s">
        <v>115</v>
      </c>
      <c r="G62" s="2">
        <v>1</v>
      </c>
      <c r="H62" s="2">
        <v>1</v>
      </c>
      <c r="I62" s="2" t="s">
        <v>94</v>
      </c>
      <c r="J62" s="6">
        <v>13.5</v>
      </c>
      <c r="K62" s="6">
        <v>40.5</v>
      </c>
      <c r="L62" s="2">
        <v>0</v>
      </c>
      <c r="N62" s="2">
        <v>0</v>
      </c>
      <c r="Q62" s="6"/>
      <c r="R62" s="7"/>
      <c r="S62" s="2">
        <v>8.75</v>
      </c>
      <c r="T62" s="2">
        <v>4.75</v>
      </c>
      <c r="U62" s="2">
        <v>3</v>
      </c>
      <c r="W62" s="2">
        <v>0.51</v>
      </c>
      <c r="X62" s="2">
        <v>1</v>
      </c>
      <c r="Y62" s="2">
        <v>7.25</v>
      </c>
      <c r="Z62" s="2">
        <v>4.75</v>
      </c>
      <c r="AA62" s="2">
        <v>4.125</v>
      </c>
      <c r="AB62" s="2">
        <v>8.2000000000000003E-2</v>
      </c>
      <c r="AC62" s="2">
        <v>0.79</v>
      </c>
      <c r="AE62" s="2">
        <v>0</v>
      </c>
      <c r="AF62" s="2" t="s">
        <v>324</v>
      </c>
      <c r="AG62" s="2">
        <v>50</v>
      </c>
      <c r="AH62" s="2">
        <v>0</v>
      </c>
      <c r="AJ62" s="2">
        <v>0</v>
      </c>
      <c r="AK62" s="2" t="s">
        <v>95</v>
      </c>
      <c r="AM62" s="2" t="s">
        <v>96</v>
      </c>
      <c r="AN62" s="2" t="s">
        <v>95</v>
      </c>
      <c r="AO62" s="2" t="s">
        <v>95</v>
      </c>
      <c r="AP62" s="2" t="s">
        <v>97</v>
      </c>
      <c r="AQ62" s="2" t="s">
        <v>98</v>
      </c>
      <c r="AV62" s="2" t="s">
        <v>95</v>
      </c>
      <c r="AX62" s="2" t="s">
        <v>120</v>
      </c>
      <c r="BB62" s="2" t="s">
        <v>329</v>
      </c>
      <c r="BC62" s="2" t="s">
        <v>330</v>
      </c>
      <c r="BF62" s="2" t="s">
        <v>331</v>
      </c>
      <c r="BG62" s="2" t="s">
        <v>95</v>
      </c>
      <c r="BH62" s="2" t="s">
        <v>95</v>
      </c>
      <c r="BI62" s="2" t="s">
        <v>95</v>
      </c>
      <c r="BK62" s="2" t="s">
        <v>100</v>
      </c>
      <c r="CA62" s="2" t="s">
        <v>332</v>
      </c>
      <c r="CB62" s="2" t="s">
        <v>120</v>
      </c>
      <c r="CL62" s="2" t="s">
        <v>96</v>
      </c>
      <c r="CM62" s="2" t="s">
        <v>95</v>
      </c>
      <c r="CN62" s="2" t="s">
        <v>333</v>
      </c>
      <c r="CO62" s="3">
        <v>39318</v>
      </c>
      <c r="CP62" s="3">
        <v>43634</v>
      </c>
    </row>
    <row r="63" spans="1:94" x14ac:dyDescent="0.25">
      <c r="A63" s="2" t="s">
        <v>334</v>
      </c>
      <c r="B63" s="2" t="str">
        <f xml:space="preserve"> "" &amp; 844349010418</f>
        <v>844349010418</v>
      </c>
      <c r="C63" s="2" t="s">
        <v>322</v>
      </c>
      <c r="D63" s="2" t="s">
        <v>323</v>
      </c>
      <c r="E63" s="2" t="s">
        <v>125</v>
      </c>
      <c r="F63" s="2" t="s">
        <v>115</v>
      </c>
      <c r="G63" s="2">
        <v>1</v>
      </c>
      <c r="H63" s="2">
        <v>1</v>
      </c>
      <c r="I63" s="2" t="s">
        <v>94</v>
      </c>
      <c r="J63" s="6">
        <v>13.5</v>
      </c>
      <c r="K63" s="6">
        <v>40.5</v>
      </c>
      <c r="L63" s="2">
        <v>0</v>
      </c>
      <c r="N63" s="2">
        <v>0</v>
      </c>
      <c r="Q63" s="6"/>
      <c r="R63" s="7"/>
      <c r="S63" s="2">
        <v>8.75</v>
      </c>
      <c r="T63" s="2">
        <v>4.75</v>
      </c>
      <c r="U63" s="2">
        <v>3</v>
      </c>
      <c r="W63" s="2">
        <v>0.51</v>
      </c>
      <c r="X63" s="2">
        <v>1</v>
      </c>
      <c r="Y63" s="2">
        <v>7.25</v>
      </c>
      <c r="Z63" s="2">
        <v>4.75</v>
      </c>
      <c r="AA63" s="2">
        <v>4.13</v>
      </c>
      <c r="AB63" s="2">
        <v>8.2000000000000003E-2</v>
      </c>
      <c r="AC63" s="2">
        <v>0.79</v>
      </c>
      <c r="AE63" s="2">
        <v>0</v>
      </c>
      <c r="AF63" s="2" t="s">
        <v>324</v>
      </c>
      <c r="AG63" s="2">
        <v>50</v>
      </c>
      <c r="AK63" s="2" t="s">
        <v>95</v>
      </c>
      <c r="AM63" s="2" t="s">
        <v>96</v>
      </c>
      <c r="AN63" s="2" t="s">
        <v>95</v>
      </c>
      <c r="AO63" s="2" t="s">
        <v>95</v>
      </c>
      <c r="AP63" s="2" t="s">
        <v>97</v>
      </c>
      <c r="AQ63" s="2" t="s">
        <v>98</v>
      </c>
      <c r="AV63" s="2" t="s">
        <v>95</v>
      </c>
      <c r="AX63" s="2" t="s">
        <v>130</v>
      </c>
      <c r="AZ63" s="2" t="s">
        <v>177</v>
      </c>
      <c r="BB63" s="2" t="s">
        <v>329</v>
      </c>
      <c r="BC63" s="2" t="s">
        <v>330</v>
      </c>
      <c r="BF63" s="2" t="s">
        <v>335</v>
      </c>
      <c r="BG63" s="2" t="s">
        <v>95</v>
      </c>
      <c r="BH63" s="2" t="s">
        <v>95</v>
      </c>
      <c r="BI63" s="2" t="s">
        <v>95</v>
      </c>
      <c r="BK63" s="2" t="s">
        <v>100</v>
      </c>
      <c r="CA63" s="2" t="s">
        <v>332</v>
      </c>
      <c r="CB63" s="2" t="s">
        <v>130</v>
      </c>
      <c r="CL63" s="2" t="s">
        <v>96</v>
      </c>
      <c r="CM63" s="2" t="s">
        <v>95</v>
      </c>
      <c r="CN63" s="2" t="s">
        <v>333</v>
      </c>
      <c r="CO63" s="3">
        <v>41257</v>
      </c>
      <c r="CP63" s="3">
        <v>43634</v>
      </c>
    </row>
    <row r="64" spans="1:94" x14ac:dyDescent="0.25">
      <c r="A64" s="2" t="s">
        <v>377</v>
      </c>
      <c r="B64" s="2" t="str">
        <f xml:space="preserve"> "" &amp; 844349013266</f>
        <v>844349013266</v>
      </c>
      <c r="C64" s="2" t="s">
        <v>339</v>
      </c>
      <c r="D64" s="2" t="s">
        <v>378</v>
      </c>
      <c r="E64" s="2" t="s">
        <v>339</v>
      </c>
      <c r="F64" s="2" t="s">
        <v>340</v>
      </c>
      <c r="G64" s="2">
        <v>1</v>
      </c>
      <c r="H64" s="2">
        <v>1</v>
      </c>
      <c r="I64" s="2" t="s">
        <v>94</v>
      </c>
      <c r="J64" s="6">
        <v>22</v>
      </c>
      <c r="K64" s="6">
        <v>66</v>
      </c>
      <c r="L64" s="2">
        <v>0</v>
      </c>
      <c r="N64" s="2">
        <v>0</v>
      </c>
      <c r="O64" s="2" t="s">
        <v>96</v>
      </c>
      <c r="P64" s="6">
        <v>32</v>
      </c>
      <c r="Q64" s="6"/>
      <c r="R64" s="7"/>
      <c r="S64" s="2">
        <v>1.25</v>
      </c>
      <c r="T64" s="2">
        <v>10</v>
      </c>
      <c r="U64" s="2">
        <v>1</v>
      </c>
      <c r="W64" s="2">
        <v>0.28999999999999998</v>
      </c>
      <c r="X64" s="2">
        <v>1</v>
      </c>
      <c r="Y64" s="2">
        <v>1</v>
      </c>
      <c r="Z64" s="2">
        <v>13</v>
      </c>
      <c r="AA64" s="2">
        <v>1.5</v>
      </c>
      <c r="AB64" s="2">
        <v>1.0999999999999999E-2</v>
      </c>
      <c r="AC64" s="2">
        <v>0.4</v>
      </c>
      <c r="AE64" s="2">
        <v>1</v>
      </c>
      <c r="AF64" s="2" t="s">
        <v>347</v>
      </c>
      <c r="AG64" s="2">
        <v>5</v>
      </c>
      <c r="AK64" s="2" t="s">
        <v>96</v>
      </c>
      <c r="AM64" s="2" t="s">
        <v>95</v>
      </c>
      <c r="AN64" s="2" t="s">
        <v>95</v>
      </c>
      <c r="AO64" s="2" t="s">
        <v>95</v>
      </c>
      <c r="AP64" s="2" t="s">
        <v>97</v>
      </c>
      <c r="AQ64" s="2" t="s">
        <v>98</v>
      </c>
      <c r="AV64" s="2" t="s">
        <v>95</v>
      </c>
      <c r="AX64" s="2" t="s">
        <v>130</v>
      </c>
      <c r="AZ64" s="2" t="s">
        <v>342</v>
      </c>
      <c r="BB64" s="2" t="s">
        <v>348</v>
      </c>
      <c r="BC64" s="2" t="s">
        <v>379</v>
      </c>
      <c r="BF64" s="2" t="s">
        <v>380</v>
      </c>
      <c r="BG64" s="2" t="s">
        <v>95</v>
      </c>
      <c r="BH64" s="2" t="s">
        <v>95</v>
      </c>
      <c r="BI64" s="2" t="s">
        <v>95</v>
      </c>
      <c r="BK64" s="2" t="s">
        <v>100</v>
      </c>
      <c r="BL64" s="2" t="s">
        <v>350</v>
      </c>
      <c r="CA64" s="2" t="s">
        <v>381</v>
      </c>
      <c r="CB64" s="2" t="s">
        <v>130</v>
      </c>
      <c r="CG64" s="2">
        <v>2700</v>
      </c>
      <c r="CH64" s="2">
        <v>96</v>
      </c>
      <c r="CI64" s="2">
        <v>321</v>
      </c>
      <c r="CJ64" s="2">
        <v>240</v>
      </c>
      <c r="CK64" s="2">
        <v>30000</v>
      </c>
      <c r="CL64" s="2" t="s">
        <v>96</v>
      </c>
      <c r="CM64" s="2" t="s">
        <v>95</v>
      </c>
      <c r="CN64" s="2" t="s">
        <v>369</v>
      </c>
      <c r="CO64" s="3">
        <v>41476</v>
      </c>
      <c r="CP64" s="3">
        <v>43634</v>
      </c>
    </row>
    <row r="65" spans="1:94" x14ac:dyDescent="0.25">
      <c r="A65" s="2" t="s">
        <v>382</v>
      </c>
      <c r="B65" s="2" t="str">
        <f xml:space="preserve"> "" &amp; 844349013259</f>
        <v>844349013259</v>
      </c>
      <c r="C65" s="2" t="s">
        <v>383</v>
      </c>
      <c r="D65" s="2" t="s">
        <v>384</v>
      </c>
      <c r="E65" s="2" t="s">
        <v>339</v>
      </c>
      <c r="F65" s="2" t="s">
        <v>340</v>
      </c>
      <c r="G65" s="2">
        <v>1</v>
      </c>
      <c r="H65" s="2">
        <v>1</v>
      </c>
      <c r="I65" s="2" t="s">
        <v>94</v>
      </c>
      <c r="J65" s="6">
        <v>28</v>
      </c>
      <c r="K65" s="6">
        <v>84</v>
      </c>
      <c r="L65" s="2">
        <v>0</v>
      </c>
      <c r="N65" s="2">
        <v>0</v>
      </c>
      <c r="O65" s="2" t="s">
        <v>96</v>
      </c>
      <c r="P65" s="6">
        <v>41</v>
      </c>
      <c r="Q65" s="6"/>
      <c r="R65" s="7"/>
      <c r="S65" s="2">
        <v>1.25</v>
      </c>
      <c r="T65" s="2">
        <v>21</v>
      </c>
      <c r="U65" s="2">
        <v>1</v>
      </c>
      <c r="W65" s="2">
        <v>0.35</v>
      </c>
      <c r="X65" s="2">
        <v>1</v>
      </c>
      <c r="Y65" s="2">
        <v>1.38</v>
      </c>
      <c r="Z65" s="2">
        <v>24.5</v>
      </c>
      <c r="AA65" s="2">
        <v>1</v>
      </c>
      <c r="AB65" s="2">
        <v>0.02</v>
      </c>
      <c r="AC65" s="2">
        <v>0.49</v>
      </c>
      <c r="AE65" s="2">
        <v>1</v>
      </c>
      <c r="AF65" s="2" t="s">
        <v>347</v>
      </c>
      <c r="AG65" s="2">
        <v>8</v>
      </c>
      <c r="AK65" s="2" t="s">
        <v>96</v>
      </c>
      <c r="AM65" s="2" t="s">
        <v>95</v>
      </c>
      <c r="AN65" s="2" t="s">
        <v>95</v>
      </c>
      <c r="AO65" s="2" t="s">
        <v>95</v>
      </c>
      <c r="AP65" s="2" t="s">
        <v>97</v>
      </c>
      <c r="AQ65" s="2" t="s">
        <v>98</v>
      </c>
      <c r="AV65" s="2" t="s">
        <v>95</v>
      </c>
      <c r="AX65" s="2" t="s">
        <v>130</v>
      </c>
      <c r="AZ65" s="2" t="s">
        <v>342</v>
      </c>
      <c r="BB65" s="2" t="s">
        <v>348</v>
      </c>
      <c r="BC65" s="2" t="s">
        <v>379</v>
      </c>
      <c r="BF65" s="2" t="s">
        <v>385</v>
      </c>
      <c r="BG65" s="2" t="s">
        <v>95</v>
      </c>
      <c r="BH65" s="2" t="s">
        <v>95</v>
      </c>
      <c r="BI65" s="2" t="s">
        <v>95</v>
      </c>
      <c r="BK65" s="2" t="s">
        <v>100</v>
      </c>
      <c r="BL65" s="2" t="s">
        <v>350</v>
      </c>
      <c r="CA65" s="2" t="s">
        <v>386</v>
      </c>
      <c r="CB65" s="2" t="s">
        <v>130</v>
      </c>
      <c r="CG65" s="2">
        <v>2700</v>
      </c>
      <c r="CH65" s="2">
        <v>96</v>
      </c>
      <c r="CI65" s="2">
        <v>712</v>
      </c>
      <c r="CJ65" s="2">
        <v>448</v>
      </c>
      <c r="CK65" s="2">
        <v>30000</v>
      </c>
      <c r="CL65" s="2" t="s">
        <v>96</v>
      </c>
      <c r="CM65" s="2" t="s">
        <v>95</v>
      </c>
      <c r="CN65" s="2" t="s">
        <v>369</v>
      </c>
      <c r="CO65" s="3">
        <v>41476</v>
      </c>
      <c r="CP65" s="3">
        <v>43634</v>
      </c>
    </row>
    <row r="66" spans="1:94" x14ac:dyDescent="0.25">
      <c r="A66" s="2" t="s">
        <v>387</v>
      </c>
      <c r="B66" s="2" t="str">
        <f xml:space="preserve"> "" &amp; 844349013242</f>
        <v>844349013242</v>
      </c>
      <c r="C66" s="2" t="s">
        <v>339</v>
      </c>
      <c r="D66" s="2" t="s">
        <v>378</v>
      </c>
      <c r="E66" s="2" t="s">
        <v>339</v>
      </c>
      <c r="F66" s="2" t="s">
        <v>340</v>
      </c>
      <c r="G66" s="2">
        <v>1</v>
      </c>
      <c r="H66" s="2">
        <v>1</v>
      </c>
      <c r="I66" s="2" t="s">
        <v>94</v>
      </c>
      <c r="J66" s="6">
        <v>34</v>
      </c>
      <c r="K66" s="6">
        <v>102</v>
      </c>
      <c r="L66" s="2">
        <v>0</v>
      </c>
      <c r="N66" s="2">
        <v>0</v>
      </c>
      <c r="O66" s="2" t="s">
        <v>96</v>
      </c>
      <c r="P66" s="6">
        <v>50</v>
      </c>
      <c r="Q66" s="6"/>
      <c r="R66" s="7"/>
      <c r="S66" s="2">
        <v>1.25</v>
      </c>
      <c r="T66" s="2">
        <v>40</v>
      </c>
      <c r="U66" s="2">
        <v>1</v>
      </c>
      <c r="W66" s="2">
        <v>0.6</v>
      </c>
      <c r="X66" s="2">
        <v>1</v>
      </c>
      <c r="Y66" s="2">
        <v>1</v>
      </c>
      <c r="Z66" s="2">
        <v>43</v>
      </c>
      <c r="AA66" s="2">
        <v>1.5</v>
      </c>
      <c r="AB66" s="2">
        <v>3.6999999999999998E-2</v>
      </c>
      <c r="AC66" s="2">
        <v>0.77</v>
      </c>
      <c r="AE66" s="2">
        <v>1</v>
      </c>
      <c r="AF66" s="2" t="s">
        <v>347</v>
      </c>
      <c r="AG66" s="2">
        <v>13</v>
      </c>
      <c r="AK66" s="2" t="s">
        <v>96</v>
      </c>
      <c r="AM66" s="2" t="s">
        <v>95</v>
      </c>
      <c r="AN66" s="2" t="s">
        <v>95</v>
      </c>
      <c r="AO66" s="2" t="s">
        <v>95</v>
      </c>
      <c r="AP66" s="2" t="s">
        <v>97</v>
      </c>
      <c r="AQ66" s="2" t="s">
        <v>98</v>
      </c>
      <c r="AV66" s="2" t="s">
        <v>95</v>
      </c>
      <c r="AX66" s="2" t="s">
        <v>130</v>
      </c>
      <c r="AZ66" s="2" t="s">
        <v>342</v>
      </c>
      <c r="BB66" s="2" t="s">
        <v>348</v>
      </c>
      <c r="BC66" s="2" t="s">
        <v>379</v>
      </c>
      <c r="BF66" s="2" t="s">
        <v>388</v>
      </c>
      <c r="BG66" s="2" t="s">
        <v>95</v>
      </c>
      <c r="BH66" s="2" t="s">
        <v>95</v>
      </c>
      <c r="BI66" s="2" t="s">
        <v>95</v>
      </c>
      <c r="BK66" s="2" t="s">
        <v>100</v>
      </c>
      <c r="BL66" s="2" t="s">
        <v>350</v>
      </c>
      <c r="CA66" s="2" t="s">
        <v>389</v>
      </c>
      <c r="CB66" s="2" t="s">
        <v>130</v>
      </c>
      <c r="CG66" s="2">
        <v>2700</v>
      </c>
      <c r="CH66" s="2">
        <v>96</v>
      </c>
      <c r="CJ66" s="2">
        <v>756</v>
      </c>
      <c r="CK66" s="2">
        <v>30000</v>
      </c>
      <c r="CL66" s="2" t="s">
        <v>96</v>
      </c>
      <c r="CM66" s="2" t="s">
        <v>95</v>
      </c>
      <c r="CN66" s="2" t="s">
        <v>369</v>
      </c>
      <c r="CO66" s="3">
        <v>41476</v>
      </c>
      <c r="CP66" s="3">
        <v>43634</v>
      </c>
    </row>
    <row r="67" spans="1:94" x14ac:dyDescent="0.25">
      <c r="A67" s="2" t="s">
        <v>336</v>
      </c>
      <c r="B67" s="2" t="str">
        <f xml:space="preserve"> "" &amp; 844349016687</f>
        <v>844349016687</v>
      </c>
      <c r="C67" s="2" t="s">
        <v>337</v>
      </c>
      <c r="D67" s="2" t="s">
        <v>338</v>
      </c>
      <c r="E67" s="2" t="s">
        <v>339</v>
      </c>
      <c r="F67" s="2" t="s">
        <v>340</v>
      </c>
      <c r="G67" s="2">
        <v>1</v>
      </c>
      <c r="H67" s="2">
        <v>1</v>
      </c>
      <c r="I67" s="2" t="s">
        <v>94</v>
      </c>
      <c r="J67" s="6">
        <v>14</v>
      </c>
      <c r="K67" s="6">
        <v>42</v>
      </c>
      <c r="L67" s="2">
        <v>0</v>
      </c>
      <c r="N67" s="2">
        <v>0</v>
      </c>
      <c r="O67" s="2" t="s">
        <v>96</v>
      </c>
      <c r="P67" s="6">
        <v>21</v>
      </c>
      <c r="Q67" s="6"/>
      <c r="R67" s="7"/>
      <c r="S67" s="2">
        <v>0.88</v>
      </c>
      <c r="T67" s="2">
        <v>2.63</v>
      </c>
      <c r="U67" s="2">
        <v>4.75</v>
      </c>
      <c r="W67" s="2">
        <v>0.42</v>
      </c>
      <c r="X67" s="2">
        <v>1</v>
      </c>
      <c r="Y67" s="2">
        <v>5.63</v>
      </c>
      <c r="Z67" s="2">
        <v>3.5</v>
      </c>
      <c r="AA67" s="2">
        <v>1.75</v>
      </c>
      <c r="AB67" s="2">
        <v>0.02</v>
      </c>
      <c r="AC67" s="2">
        <v>0.49</v>
      </c>
      <c r="AK67" s="2" t="s">
        <v>95</v>
      </c>
      <c r="AM67" s="2" t="s">
        <v>95</v>
      </c>
      <c r="AN67" s="2" t="s">
        <v>95</v>
      </c>
      <c r="AO67" s="2" t="s">
        <v>95</v>
      </c>
      <c r="AP67" s="2" t="s">
        <v>97</v>
      </c>
      <c r="AQ67" s="2" t="s">
        <v>98</v>
      </c>
      <c r="AV67" s="2" t="s">
        <v>95</v>
      </c>
      <c r="AX67" s="2" t="s">
        <v>341</v>
      </c>
      <c r="AZ67" s="2" t="s">
        <v>342</v>
      </c>
      <c r="BF67" s="2" t="s">
        <v>343</v>
      </c>
      <c r="BG67" s="2" t="s">
        <v>95</v>
      </c>
      <c r="BH67" s="2" t="s">
        <v>95</v>
      </c>
      <c r="BI67" s="2" t="s">
        <v>95</v>
      </c>
      <c r="BK67" s="2" t="s">
        <v>100</v>
      </c>
      <c r="CB67" s="2" t="s">
        <v>341</v>
      </c>
      <c r="CL67" s="2" t="s">
        <v>95</v>
      </c>
      <c r="CM67" s="2" t="s">
        <v>95</v>
      </c>
      <c r="CN67" s="2" t="s">
        <v>344</v>
      </c>
      <c r="CO67" s="3">
        <v>41873</v>
      </c>
      <c r="CP67" s="3">
        <v>43634</v>
      </c>
    </row>
    <row r="68" spans="1:94" x14ac:dyDescent="0.25">
      <c r="A68" s="2" t="s">
        <v>345</v>
      </c>
      <c r="B68" s="2" t="str">
        <f xml:space="preserve"> "" &amp; 844349013280</f>
        <v>844349013280</v>
      </c>
      <c r="C68" s="2" t="s">
        <v>346</v>
      </c>
      <c r="D68" s="2" t="s">
        <v>3711</v>
      </c>
      <c r="E68" s="2" t="s">
        <v>339</v>
      </c>
      <c r="F68" s="2" t="s">
        <v>340</v>
      </c>
      <c r="G68" s="2">
        <v>1</v>
      </c>
      <c r="H68" s="2">
        <v>1</v>
      </c>
      <c r="I68" s="2" t="s">
        <v>94</v>
      </c>
      <c r="J68" s="6">
        <v>12</v>
      </c>
      <c r="K68" s="6">
        <v>36</v>
      </c>
      <c r="L68" s="2">
        <v>0</v>
      </c>
      <c r="N68" s="2">
        <v>0</v>
      </c>
      <c r="O68" s="2" t="s">
        <v>96</v>
      </c>
      <c r="P68" s="6">
        <v>18</v>
      </c>
      <c r="Q68" s="6"/>
      <c r="R68" s="7"/>
      <c r="S68" s="2">
        <v>1.25</v>
      </c>
      <c r="T68" s="2">
        <v>3.75</v>
      </c>
      <c r="U68" s="2">
        <v>3.25</v>
      </c>
      <c r="W68" s="2">
        <v>0.15</v>
      </c>
      <c r="X68" s="2">
        <v>1</v>
      </c>
      <c r="Y68" s="2">
        <v>2.13</v>
      </c>
      <c r="Z68" s="2">
        <v>4.75</v>
      </c>
      <c r="AA68" s="2">
        <v>4.13</v>
      </c>
      <c r="AB68" s="2">
        <v>2.4E-2</v>
      </c>
      <c r="AC68" s="2">
        <v>0.18</v>
      </c>
      <c r="AE68" s="2">
        <v>18</v>
      </c>
      <c r="AF68" s="2" t="s">
        <v>347</v>
      </c>
      <c r="AG68" s="2">
        <v>3</v>
      </c>
      <c r="AK68" s="2" t="s">
        <v>96</v>
      </c>
      <c r="AM68" s="2" t="s">
        <v>95</v>
      </c>
      <c r="AN68" s="2" t="s">
        <v>95</v>
      </c>
      <c r="AO68" s="2" t="s">
        <v>95</v>
      </c>
      <c r="AP68" s="2" t="s">
        <v>97</v>
      </c>
      <c r="AQ68" s="2" t="s">
        <v>98</v>
      </c>
      <c r="AV68" s="2" t="s">
        <v>95</v>
      </c>
      <c r="AX68" s="2" t="s">
        <v>130</v>
      </c>
      <c r="AZ68" s="2" t="s">
        <v>342</v>
      </c>
      <c r="BB68" s="2" t="s">
        <v>348</v>
      </c>
      <c r="BF68" s="2" t="s">
        <v>349</v>
      </c>
      <c r="BG68" s="2" t="s">
        <v>95</v>
      </c>
      <c r="BH68" s="2" t="s">
        <v>95</v>
      </c>
      <c r="BI68" s="2" t="s">
        <v>95</v>
      </c>
      <c r="BK68" s="2" t="s">
        <v>100</v>
      </c>
      <c r="BL68" s="2" t="s">
        <v>350</v>
      </c>
      <c r="CA68" s="2" t="s">
        <v>351</v>
      </c>
      <c r="CB68" s="2" t="s">
        <v>130</v>
      </c>
      <c r="CG68" s="2">
        <v>2700</v>
      </c>
      <c r="CH68" s="2">
        <v>96</v>
      </c>
      <c r="CI68" s="2">
        <v>163</v>
      </c>
      <c r="CJ68" s="2">
        <v>136</v>
      </c>
      <c r="CK68" s="2">
        <v>30000</v>
      </c>
      <c r="CL68" s="2" t="s">
        <v>96</v>
      </c>
      <c r="CM68" s="2" t="s">
        <v>95</v>
      </c>
      <c r="CN68" s="2" t="s">
        <v>352</v>
      </c>
      <c r="CO68" s="3">
        <v>41476</v>
      </c>
      <c r="CP68" s="3">
        <v>43445</v>
      </c>
    </row>
    <row r="69" spans="1:94" x14ac:dyDescent="0.25">
      <c r="A69" s="2" t="s">
        <v>353</v>
      </c>
      <c r="B69" s="2" t="str">
        <f xml:space="preserve"> "" &amp; 844349015468</f>
        <v>844349015468</v>
      </c>
      <c r="C69" s="2" t="s">
        <v>354</v>
      </c>
      <c r="D69" s="2" t="s">
        <v>355</v>
      </c>
      <c r="E69" s="2" t="s">
        <v>339</v>
      </c>
      <c r="F69" s="2" t="s">
        <v>340</v>
      </c>
      <c r="G69" s="2">
        <v>1</v>
      </c>
      <c r="H69" s="2">
        <v>1</v>
      </c>
      <c r="I69" s="2" t="s">
        <v>94</v>
      </c>
      <c r="J69" s="6">
        <v>6</v>
      </c>
      <c r="K69" s="6">
        <v>18</v>
      </c>
      <c r="L69" s="2">
        <v>0</v>
      </c>
      <c r="N69" s="2">
        <v>0</v>
      </c>
      <c r="O69" s="2" t="s">
        <v>96</v>
      </c>
      <c r="P69" s="6">
        <v>9</v>
      </c>
      <c r="Q69" s="6"/>
      <c r="R69" s="7"/>
      <c r="S69" s="2">
        <v>6.25</v>
      </c>
      <c r="T69" s="2">
        <v>1.1299999999999999</v>
      </c>
      <c r="U69" s="2">
        <v>1.1299999999999999</v>
      </c>
      <c r="W69" s="2">
        <v>7.0000000000000007E-2</v>
      </c>
      <c r="X69" s="2">
        <v>1</v>
      </c>
      <c r="Y69" s="2">
        <v>6.25</v>
      </c>
      <c r="Z69" s="2">
        <v>1.1299999999999999</v>
      </c>
      <c r="AA69" s="2">
        <v>1.1299999999999999</v>
      </c>
      <c r="AB69" s="2">
        <v>5.0000000000000001E-3</v>
      </c>
      <c r="AC69" s="2">
        <v>0.09</v>
      </c>
      <c r="AK69" s="2" t="s">
        <v>95</v>
      </c>
      <c r="AM69" s="2" t="s">
        <v>95</v>
      </c>
      <c r="AN69" s="2" t="s">
        <v>95</v>
      </c>
      <c r="AO69" s="2" t="s">
        <v>95</v>
      </c>
      <c r="AP69" s="2" t="s">
        <v>97</v>
      </c>
      <c r="AQ69" s="2" t="s">
        <v>98</v>
      </c>
      <c r="AV69" s="2" t="s">
        <v>95</v>
      </c>
      <c r="AX69" s="2" t="s">
        <v>341</v>
      </c>
      <c r="AZ69" s="2" t="s">
        <v>342</v>
      </c>
      <c r="BF69" s="2" t="s">
        <v>356</v>
      </c>
      <c r="BG69" s="2" t="s">
        <v>95</v>
      </c>
      <c r="BH69" s="2" t="s">
        <v>95</v>
      </c>
      <c r="BI69" s="2" t="s">
        <v>95</v>
      </c>
      <c r="BK69" s="2" t="s">
        <v>100</v>
      </c>
      <c r="CA69" s="2" t="s">
        <v>357</v>
      </c>
      <c r="CB69" s="2" t="s">
        <v>341</v>
      </c>
      <c r="CL69" s="2" t="s">
        <v>95</v>
      </c>
      <c r="CM69" s="2" t="s">
        <v>95</v>
      </c>
      <c r="CN69" s="2" t="s">
        <v>358</v>
      </c>
      <c r="CO69" s="3">
        <v>41554</v>
      </c>
      <c r="CP69" s="3">
        <v>43634</v>
      </c>
    </row>
    <row r="70" spans="1:94" x14ac:dyDescent="0.25">
      <c r="A70" s="2" t="s">
        <v>359</v>
      </c>
      <c r="B70" s="2" t="str">
        <f xml:space="preserve"> "" &amp; 844349013433</f>
        <v>844349013433</v>
      </c>
      <c r="C70" s="2" t="s">
        <v>360</v>
      </c>
      <c r="D70" s="2" t="s">
        <v>361</v>
      </c>
      <c r="E70" s="2" t="s">
        <v>339</v>
      </c>
      <c r="F70" s="2" t="s">
        <v>340</v>
      </c>
      <c r="G70" s="2">
        <v>1</v>
      </c>
      <c r="H70" s="2">
        <v>1</v>
      </c>
      <c r="I70" s="2" t="s">
        <v>94</v>
      </c>
      <c r="J70" s="6">
        <v>7.5</v>
      </c>
      <c r="K70" s="6">
        <v>22.5</v>
      </c>
      <c r="L70" s="2">
        <v>0</v>
      </c>
      <c r="N70" s="2">
        <v>0</v>
      </c>
      <c r="O70" s="2" t="s">
        <v>96</v>
      </c>
      <c r="P70" s="6">
        <v>11</v>
      </c>
      <c r="Q70" s="6"/>
      <c r="R70" s="7"/>
      <c r="S70" s="2">
        <v>7</v>
      </c>
      <c r="T70" s="2">
        <v>2.38</v>
      </c>
      <c r="U70" s="2">
        <v>32</v>
      </c>
      <c r="W70" s="2">
        <v>0.18</v>
      </c>
      <c r="X70" s="2">
        <v>1</v>
      </c>
      <c r="Y70" s="2">
        <v>7</v>
      </c>
      <c r="Z70" s="2">
        <v>2.38</v>
      </c>
      <c r="AA70" s="2">
        <v>2.38</v>
      </c>
      <c r="AB70" s="2">
        <v>2.3E-2</v>
      </c>
      <c r="AC70" s="2">
        <v>0.31</v>
      </c>
      <c r="AK70" s="2" t="s">
        <v>95</v>
      </c>
      <c r="AM70" s="2" t="s">
        <v>95</v>
      </c>
      <c r="AN70" s="2" t="s">
        <v>95</v>
      </c>
      <c r="AO70" s="2" t="s">
        <v>95</v>
      </c>
      <c r="AP70" s="2" t="s">
        <v>97</v>
      </c>
      <c r="AQ70" s="2" t="s">
        <v>98</v>
      </c>
      <c r="AV70" s="2" t="s">
        <v>95</v>
      </c>
      <c r="AX70" s="2" t="s">
        <v>341</v>
      </c>
      <c r="AZ70" s="2" t="s">
        <v>342</v>
      </c>
      <c r="BF70" s="2" t="s">
        <v>362</v>
      </c>
      <c r="BG70" s="2" t="s">
        <v>95</v>
      </c>
      <c r="BH70" s="2" t="s">
        <v>95</v>
      </c>
      <c r="BI70" s="2" t="s">
        <v>95</v>
      </c>
      <c r="BK70" s="2" t="s">
        <v>100</v>
      </c>
      <c r="CA70" s="2" t="s">
        <v>363</v>
      </c>
      <c r="CB70" s="2" t="s">
        <v>341</v>
      </c>
      <c r="CL70" s="2" t="s">
        <v>95</v>
      </c>
      <c r="CM70" s="2" t="s">
        <v>95</v>
      </c>
      <c r="CN70" s="2" t="s">
        <v>364</v>
      </c>
      <c r="CO70" s="3">
        <v>41476</v>
      </c>
      <c r="CP70" s="3">
        <v>43634</v>
      </c>
    </row>
    <row r="71" spans="1:94" x14ac:dyDescent="0.25">
      <c r="A71" s="2" t="s">
        <v>365</v>
      </c>
      <c r="B71" s="2" t="str">
        <f xml:space="preserve"> "" &amp; 844349013273</f>
        <v>844349013273</v>
      </c>
      <c r="C71" s="2" t="s">
        <v>366</v>
      </c>
      <c r="D71" s="2" t="s">
        <v>3712</v>
      </c>
      <c r="E71" s="2" t="s">
        <v>339</v>
      </c>
      <c r="F71" s="2" t="s">
        <v>340</v>
      </c>
      <c r="G71" s="2">
        <v>1</v>
      </c>
      <c r="H71" s="2">
        <v>1</v>
      </c>
      <c r="I71" s="2" t="s">
        <v>94</v>
      </c>
      <c r="J71" s="6">
        <v>14</v>
      </c>
      <c r="K71" s="6">
        <v>42</v>
      </c>
      <c r="L71" s="2">
        <v>0</v>
      </c>
      <c r="N71" s="2">
        <v>0</v>
      </c>
      <c r="O71" s="2" t="s">
        <v>96</v>
      </c>
      <c r="P71" s="6">
        <v>20</v>
      </c>
      <c r="Q71" s="6"/>
      <c r="R71" s="7"/>
      <c r="S71" s="2">
        <v>1.25</v>
      </c>
      <c r="T71" s="2">
        <v>6.5</v>
      </c>
      <c r="U71" s="2">
        <v>3</v>
      </c>
      <c r="W71" s="2">
        <v>0.11</v>
      </c>
      <c r="X71" s="2">
        <v>1</v>
      </c>
      <c r="Y71" s="2">
        <v>2.25</v>
      </c>
      <c r="Z71" s="2">
        <v>7.125</v>
      </c>
      <c r="AA71" s="2">
        <v>3.5</v>
      </c>
      <c r="AB71" s="2">
        <v>3.2000000000000001E-2</v>
      </c>
      <c r="AC71" s="2">
        <v>0.2</v>
      </c>
      <c r="AE71" s="2">
        <v>18</v>
      </c>
      <c r="AF71" s="2" t="s">
        <v>347</v>
      </c>
      <c r="AG71" s="2">
        <v>3</v>
      </c>
      <c r="AK71" s="2" t="s">
        <v>96</v>
      </c>
      <c r="AM71" s="2" t="s">
        <v>95</v>
      </c>
      <c r="AN71" s="2" t="s">
        <v>95</v>
      </c>
      <c r="AO71" s="2" t="s">
        <v>95</v>
      </c>
      <c r="AP71" s="2" t="s">
        <v>97</v>
      </c>
      <c r="AQ71" s="2" t="s">
        <v>98</v>
      </c>
      <c r="AV71" s="2" t="s">
        <v>95</v>
      </c>
      <c r="AX71" s="2" t="s">
        <v>130</v>
      </c>
      <c r="AZ71" s="2" t="s">
        <v>342</v>
      </c>
      <c r="BB71" s="2" t="s">
        <v>348</v>
      </c>
      <c r="BF71" s="2" t="s">
        <v>367</v>
      </c>
      <c r="BG71" s="2" t="s">
        <v>95</v>
      </c>
      <c r="BH71" s="2" t="s">
        <v>95</v>
      </c>
      <c r="BI71" s="2" t="s">
        <v>95</v>
      </c>
      <c r="BK71" s="2" t="s">
        <v>100</v>
      </c>
      <c r="BL71" s="2" t="s">
        <v>350</v>
      </c>
      <c r="CA71" s="2" t="s">
        <v>368</v>
      </c>
      <c r="CB71" s="2" t="s">
        <v>130</v>
      </c>
      <c r="CG71" s="2">
        <v>2700</v>
      </c>
      <c r="CH71" s="2">
        <v>96</v>
      </c>
      <c r="CI71" s="2">
        <v>236</v>
      </c>
      <c r="CJ71" s="2">
        <v>136</v>
      </c>
      <c r="CK71" s="2">
        <v>30000</v>
      </c>
      <c r="CL71" s="2" t="s">
        <v>96</v>
      </c>
      <c r="CM71" s="2" t="s">
        <v>95</v>
      </c>
      <c r="CN71" s="2" t="s">
        <v>369</v>
      </c>
      <c r="CO71" s="3">
        <v>41476</v>
      </c>
      <c r="CP71" s="3">
        <v>43445</v>
      </c>
    </row>
    <row r="72" spans="1:94" x14ac:dyDescent="0.25">
      <c r="A72" s="2" t="s">
        <v>370</v>
      </c>
      <c r="B72" s="2" t="str">
        <f xml:space="preserve"> "" &amp; 844349013297</f>
        <v>844349013297</v>
      </c>
      <c r="C72" s="2" t="s">
        <v>354</v>
      </c>
      <c r="D72" s="2" t="s">
        <v>371</v>
      </c>
      <c r="E72" s="2" t="s">
        <v>339</v>
      </c>
      <c r="F72" s="2" t="s">
        <v>340</v>
      </c>
      <c r="G72" s="2">
        <v>1</v>
      </c>
      <c r="H72" s="2">
        <v>1</v>
      </c>
      <c r="I72" s="2" t="s">
        <v>94</v>
      </c>
      <c r="J72" s="6">
        <v>1.85</v>
      </c>
      <c r="K72" s="6">
        <v>5.55</v>
      </c>
      <c r="L72" s="2">
        <v>0</v>
      </c>
      <c r="N72" s="2">
        <v>0</v>
      </c>
      <c r="O72" s="2" t="s">
        <v>96</v>
      </c>
      <c r="P72" s="6">
        <v>2.75</v>
      </c>
      <c r="Q72" s="6"/>
      <c r="R72" s="7"/>
      <c r="S72" s="2">
        <v>0.5</v>
      </c>
      <c r="T72" s="2">
        <v>1.1299999999999999</v>
      </c>
      <c r="U72" s="2">
        <v>11</v>
      </c>
      <c r="W72" s="2">
        <v>0.04</v>
      </c>
      <c r="X72" s="2">
        <v>1</v>
      </c>
      <c r="Y72" s="2">
        <v>3.5</v>
      </c>
      <c r="Z72" s="2">
        <v>1.1299999999999999</v>
      </c>
      <c r="AA72" s="2">
        <v>1.1299999999999999</v>
      </c>
      <c r="AB72" s="2">
        <v>3.0000000000000001E-3</v>
      </c>
      <c r="AC72" s="2">
        <v>0.11</v>
      </c>
      <c r="AK72" s="2" t="s">
        <v>95</v>
      </c>
      <c r="AM72" s="2" t="s">
        <v>95</v>
      </c>
      <c r="AN72" s="2" t="s">
        <v>95</v>
      </c>
      <c r="AO72" s="2" t="s">
        <v>95</v>
      </c>
      <c r="AP72" s="2" t="s">
        <v>97</v>
      </c>
      <c r="AQ72" s="2" t="s">
        <v>98</v>
      </c>
      <c r="AV72" s="2" t="s">
        <v>95</v>
      </c>
      <c r="AX72" s="2" t="s">
        <v>341</v>
      </c>
      <c r="AZ72" s="2" t="s">
        <v>342</v>
      </c>
      <c r="BF72" s="2" t="s">
        <v>372</v>
      </c>
      <c r="BG72" s="2" t="s">
        <v>95</v>
      </c>
      <c r="BH72" s="2" t="s">
        <v>95</v>
      </c>
      <c r="BI72" s="2" t="s">
        <v>95</v>
      </c>
      <c r="BK72" s="2" t="s">
        <v>100</v>
      </c>
      <c r="CA72" s="2" t="s">
        <v>373</v>
      </c>
      <c r="CB72" s="2" t="s">
        <v>341</v>
      </c>
      <c r="CL72" s="2" t="s">
        <v>95</v>
      </c>
      <c r="CM72" s="2" t="s">
        <v>95</v>
      </c>
      <c r="CN72" s="2" t="s">
        <v>358</v>
      </c>
      <c r="CO72" s="3">
        <v>41476</v>
      </c>
      <c r="CP72" s="3">
        <v>43634</v>
      </c>
    </row>
    <row r="73" spans="1:94" x14ac:dyDescent="0.25">
      <c r="A73" s="2" t="s">
        <v>374</v>
      </c>
      <c r="B73" s="2" t="str">
        <f xml:space="preserve"> "" &amp; 844349013457</f>
        <v>844349013457</v>
      </c>
      <c r="C73" s="2" t="s">
        <v>354</v>
      </c>
      <c r="D73" s="2" t="s">
        <v>371</v>
      </c>
      <c r="E73" s="2" t="s">
        <v>339</v>
      </c>
      <c r="F73" s="2" t="s">
        <v>340</v>
      </c>
      <c r="G73" s="2">
        <v>1</v>
      </c>
      <c r="H73" s="2">
        <v>1</v>
      </c>
      <c r="I73" s="2" t="s">
        <v>94</v>
      </c>
      <c r="J73" s="6">
        <v>6</v>
      </c>
      <c r="K73" s="6">
        <v>18</v>
      </c>
      <c r="L73" s="2">
        <v>0</v>
      </c>
      <c r="N73" s="2">
        <v>0</v>
      </c>
      <c r="O73" s="2" t="s">
        <v>96</v>
      </c>
      <c r="P73" s="6">
        <v>8.75</v>
      </c>
      <c r="Q73" s="6"/>
      <c r="R73" s="7"/>
      <c r="S73" s="2">
        <v>0.5</v>
      </c>
      <c r="T73" s="2">
        <v>1.63</v>
      </c>
      <c r="U73" s="2">
        <v>60</v>
      </c>
      <c r="W73" s="2">
        <v>0.22</v>
      </c>
      <c r="X73" s="2">
        <v>1</v>
      </c>
      <c r="Y73" s="2">
        <v>5.75</v>
      </c>
      <c r="Z73" s="2">
        <v>1.63</v>
      </c>
      <c r="AA73" s="2">
        <v>1.63</v>
      </c>
      <c r="AB73" s="2">
        <v>8.9999999999999993E-3</v>
      </c>
      <c r="AC73" s="2">
        <v>0.26</v>
      </c>
      <c r="AK73" s="2" t="s">
        <v>95</v>
      </c>
      <c r="AM73" s="2" t="s">
        <v>95</v>
      </c>
      <c r="AN73" s="2" t="s">
        <v>95</v>
      </c>
      <c r="AO73" s="2" t="s">
        <v>95</v>
      </c>
      <c r="AP73" s="2" t="s">
        <v>97</v>
      </c>
      <c r="AQ73" s="2" t="s">
        <v>98</v>
      </c>
      <c r="AV73" s="2" t="s">
        <v>95</v>
      </c>
      <c r="AX73" s="2" t="s">
        <v>341</v>
      </c>
      <c r="AZ73" s="2" t="s">
        <v>342</v>
      </c>
      <c r="BF73" s="2" t="s">
        <v>375</v>
      </c>
      <c r="BG73" s="2" t="s">
        <v>95</v>
      </c>
      <c r="BH73" s="2" t="s">
        <v>95</v>
      </c>
      <c r="BI73" s="2" t="s">
        <v>95</v>
      </c>
      <c r="BK73" s="2" t="s">
        <v>100</v>
      </c>
      <c r="CA73" s="2" t="s">
        <v>376</v>
      </c>
      <c r="CB73" s="2" t="s">
        <v>341</v>
      </c>
      <c r="CL73" s="2" t="s">
        <v>95</v>
      </c>
      <c r="CM73" s="2" t="s">
        <v>95</v>
      </c>
      <c r="CN73" s="2" t="s">
        <v>358</v>
      </c>
      <c r="CO73" s="3">
        <v>41476</v>
      </c>
      <c r="CP73" s="3">
        <v>43634</v>
      </c>
    </row>
    <row r="74" spans="1:94" x14ac:dyDescent="0.25">
      <c r="A74" s="2" t="s">
        <v>390</v>
      </c>
      <c r="B74" s="2" t="str">
        <f xml:space="preserve"> "" &amp; 870540008169</f>
        <v>870540008169</v>
      </c>
      <c r="C74" s="2" t="s">
        <v>391</v>
      </c>
      <c r="D74" s="2" t="s">
        <v>3664</v>
      </c>
      <c r="E74" s="2" t="s">
        <v>392</v>
      </c>
      <c r="F74" s="2" t="s">
        <v>393</v>
      </c>
      <c r="G74" s="2">
        <v>1</v>
      </c>
      <c r="H74" s="2">
        <v>1</v>
      </c>
      <c r="I74" s="2" t="s">
        <v>94</v>
      </c>
      <c r="J74" s="6">
        <v>80</v>
      </c>
      <c r="K74" s="6">
        <v>240</v>
      </c>
      <c r="L74" s="2">
        <v>0</v>
      </c>
      <c r="N74" s="2">
        <v>0</v>
      </c>
      <c r="O74" s="2" t="s">
        <v>96</v>
      </c>
      <c r="P74" s="6">
        <v>167.95</v>
      </c>
      <c r="Q74" s="6"/>
      <c r="R74" s="7"/>
      <c r="S74" s="2">
        <v>6.5</v>
      </c>
      <c r="T74" s="2">
        <v>13.5</v>
      </c>
      <c r="U74" s="2">
        <v>4</v>
      </c>
      <c r="W74" s="2">
        <v>3.59</v>
      </c>
      <c r="X74" s="2">
        <v>1</v>
      </c>
      <c r="Y74" s="2">
        <v>6</v>
      </c>
      <c r="Z74" s="2">
        <v>13.5</v>
      </c>
      <c r="AA74" s="2">
        <v>6</v>
      </c>
      <c r="AB74" s="2">
        <v>0.28100000000000003</v>
      </c>
      <c r="AC74" s="2">
        <v>2.76</v>
      </c>
      <c r="AE74" s="2">
        <v>1</v>
      </c>
      <c r="AF74" s="2" t="s">
        <v>394</v>
      </c>
      <c r="AG74" s="2">
        <v>100</v>
      </c>
      <c r="AH74" s="2">
        <v>0</v>
      </c>
      <c r="AJ74" s="2">
        <v>0</v>
      </c>
      <c r="AK74" s="2" t="s">
        <v>95</v>
      </c>
      <c r="AM74" s="2" t="s">
        <v>95</v>
      </c>
      <c r="AN74" s="2" t="s">
        <v>95</v>
      </c>
      <c r="AO74" s="2" t="s">
        <v>96</v>
      </c>
      <c r="AP74" s="2" t="s">
        <v>97</v>
      </c>
      <c r="AQ74" s="2" t="s">
        <v>98</v>
      </c>
      <c r="AV74" s="2" t="s">
        <v>95</v>
      </c>
      <c r="AX74" s="2" t="s">
        <v>395</v>
      </c>
      <c r="AZ74" s="2" t="s">
        <v>342</v>
      </c>
      <c r="BB74" s="2" t="s">
        <v>396</v>
      </c>
      <c r="BC74" s="2" t="s">
        <v>397</v>
      </c>
      <c r="BF74" s="2" t="s">
        <v>398</v>
      </c>
      <c r="BG74" s="2" t="s">
        <v>95</v>
      </c>
      <c r="BH74" s="2" t="s">
        <v>95</v>
      </c>
      <c r="BI74" s="2" t="s">
        <v>95</v>
      </c>
      <c r="BK74" s="2" t="s">
        <v>100</v>
      </c>
      <c r="BQ74" s="2">
        <v>4.88</v>
      </c>
      <c r="CA74" s="2" t="s">
        <v>399</v>
      </c>
      <c r="CB74" s="2" t="s">
        <v>395</v>
      </c>
      <c r="CL74" s="2" t="s">
        <v>96</v>
      </c>
      <c r="CM74" s="2" t="s">
        <v>96</v>
      </c>
      <c r="CN74" s="2" t="s">
        <v>400</v>
      </c>
      <c r="CO74" s="3">
        <v>38083</v>
      </c>
      <c r="CP74" s="3">
        <v>43634</v>
      </c>
    </row>
    <row r="75" spans="1:94" x14ac:dyDescent="0.25">
      <c r="A75" s="2" t="s">
        <v>401</v>
      </c>
      <c r="B75" s="2" t="str">
        <f xml:space="preserve"> "" &amp; 870540008176</f>
        <v>870540008176</v>
      </c>
      <c r="C75" s="2" t="s">
        <v>402</v>
      </c>
      <c r="D75" s="2" t="s">
        <v>3666</v>
      </c>
      <c r="E75" s="2" t="s">
        <v>392</v>
      </c>
      <c r="F75" s="2" t="s">
        <v>393</v>
      </c>
      <c r="G75" s="2">
        <v>1</v>
      </c>
      <c r="H75" s="2">
        <v>1</v>
      </c>
      <c r="I75" s="2" t="s">
        <v>94</v>
      </c>
      <c r="J75" s="6">
        <v>135</v>
      </c>
      <c r="K75" s="6">
        <v>405</v>
      </c>
      <c r="L75" s="2">
        <v>0</v>
      </c>
      <c r="N75" s="2">
        <v>0</v>
      </c>
      <c r="O75" s="2" t="s">
        <v>96</v>
      </c>
      <c r="P75" s="6">
        <v>283.95</v>
      </c>
      <c r="Q75" s="6"/>
      <c r="R75" s="7"/>
      <c r="S75" s="2">
        <v>4.5</v>
      </c>
      <c r="U75" s="2">
        <v>14</v>
      </c>
      <c r="W75" s="2">
        <v>7.5</v>
      </c>
      <c r="X75" s="2">
        <v>1</v>
      </c>
      <c r="Y75" s="2">
        <v>7.5</v>
      </c>
      <c r="Z75" s="2">
        <v>16.5</v>
      </c>
      <c r="AA75" s="2">
        <v>16.5</v>
      </c>
      <c r="AB75" s="2">
        <v>1.1819999999999999</v>
      </c>
      <c r="AC75" s="2">
        <v>9.6999999999999993</v>
      </c>
      <c r="AE75" s="2">
        <v>3</v>
      </c>
      <c r="AF75" s="2" t="s">
        <v>394</v>
      </c>
      <c r="AG75" s="2">
        <v>60</v>
      </c>
      <c r="AH75" s="2">
        <v>0</v>
      </c>
      <c r="AJ75" s="2">
        <v>0</v>
      </c>
      <c r="AK75" s="2" t="s">
        <v>95</v>
      </c>
      <c r="AM75" s="2" t="s">
        <v>95</v>
      </c>
      <c r="AN75" s="2" t="s">
        <v>95</v>
      </c>
      <c r="AO75" s="2" t="s">
        <v>96</v>
      </c>
      <c r="AP75" s="2" t="s">
        <v>97</v>
      </c>
      <c r="AQ75" s="2" t="s">
        <v>98</v>
      </c>
      <c r="AV75" s="2" t="s">
        <v>95</v>
      </c>
      <c r="AX75" s="2" t="s">
        <v>395</v>
      </c>
      <c r="AZ75" s="2" t="s">
        <v>342</v>
      </c>
      <c r="BB75" s="2" t="s">
        <v>396</v>
      </c>
      <c r="BC75" s="2" t="s">
        <v>397</v>
      </c>
      <c r="BF75" s="2" t="s">
        <v>403</v>
      </c>
      <c r="BG75" s="2" t="s">
        <v>95</v>
      </c>
      <c r="BH75" s="2" t="s">
        <v>95</v>
      </c>
      <c r="BI75" s="2" t="s">
        <v>95</v>
      </c>
      <c r="BK75" s="2" t="s">
        <v>100</v>
      </c>
      <c r="BT75" s="2">
        <v>4.88</v>
      </c>
      <c r="CA75" s="2" t="s">
        <v>404</v>
      </c>
      <c r="CB75" s="2" t="s">
        <v>395</v>
      </c>
      <c r="CL75" s="2" t="s">
        <v>96</v>
      </c>
      <c r="CM75" s="2" t="s">
        <v>96</v>
      </c>
      <c r="CN75" s="2" t="s">
        <v>396</v>
      </c>
      <c r="CO75" s="3">
        <v>38083</v>
      </c>
      <c r="CP75" s="3">
        <v>43634</v>
      </c>
    </row>
    <row r="76" spans="1:94" x14ac:dyDescent="0.25">
      <c r="A76" s="2" t="s">
        <v>405</v>
      </c>
      <c r="B76" s="2" t="str">
        <f xml:space="preserve"> "" &amp; 874944001795</f>
        <v>874944001795</v>
      </c>
      <c r="C76" s="2" t="s">
        <v>406</v>
      </c>
      <c r="D76" s="2" t="s">
        <v>3668</v>
      </c>
      <c r="E76" s="2" t="s">
        <v>392</v>
      </c>
      <c r="F76" s="2" t="s">
        <v>393</v>
      </c>
      <c r="G76" s="2">
        <v>1</v>
      </c>
      <c r="H76" s="2">
        <v>1</v>
      </c>
      <c r="I76" s="2" t="s">
        <v>94</v>
      </c>
      <c r="J76" s="6">
        <v>205</v>
      </c>
      <c r="K76" s="6">
        <v>615</v>
      </c>
      <c r="L76" s="2">
        <v>0</v>
      </c>
      <c r="N76" s="2">
        <v>0</v>
      </c>
      <c r="O76" s="2" t="s">
        <v>96</v>
      </c>
      <c r="P76" s="6">
        <v>429.95</v>
      </c>
      <c r="Q76" s="6"/>
      <c r="R76" s="7"/>
      <c r="S76" s="2">
        <v>9.5</v>
      </c>
      <c r="U76" s="2">
        <v>22</v>
      </c>
      <c r="W76" s="2">
        <v>19.18</v>
      </c>
      <c r="X76" s="2">
        <v>1</v>
      </c>
      <c r="Y76" s="2">
        <v>12.5</v>
      </c>
      <c r="Z76" s="2">
        <v>24</v>
      </c>
      <c r="AA76" s="2">
        <v>24</v>
      </c>
      <c r="AB76" s="2">
        <v>4.1669999999999998</v>
      </c>
      <c r="AC76" s="2">
        <v>24.47</v>
      </c>
      <c r="AE76" s="2">
        <v>4</v>
      </c>
      <c r="AF76" s="2" t="s">
        <v>394</v>
      </c>
      <c r="AG76" s="2">
        <v>100</v>
      </c>
      <c r="AH76" s="2">
        <v>0</v>
      </c>
      <c r="AJ76" s="2">
        <v>0</v>
      </c>
      <c r="AK76" s="2" t="s">
        <v>95</v>
      </c>
      <c r="AM76" s="2" t="s">
        <v>95</v>
      </c>
      <c r="AN76" s="2" t="s">
        <v>95</v>
      </c>
      <c r="AO76" s="2" t="s">
        <v>96</v>
      </c>
      <c r="AP76" s="2" t="s">
        <v>97</v>
      </c>
      <c r="AQ76" s="2" t="s">
        <v>98</v>
      </c>
      <c r="AV76" s="2" t="s">
        <v>95</v>
      </c>
      <c r="AX76" s="2" t="s">
        <v>395</v>
      </c>
      <c r="AZ76" s="2" t="s">
        <v>342</v>
      </c>
      <c r="BB76" s="2" t="s">
        <v>396</v>
      </c>
      <c r="BC76" s="2" t="s">
        <v>397</v>
      </c>
      <c r="BF76" s="2" t="s">
        <v>407</v>
      </c>
      <c r="BG76" s="2" t="s">
        <v>95</v>
      </c>
      <c r="BH76" s="2" t="s">
        <v>95</v>
      </c>
      <c r="BI76" s="2" t="s">
        <v>95</v>
      </c>
      <c r="BK76" s="2" t="s">
        <v>100</v>
      </c>
      <c r="BT76" s="2">
        <v>5</v>
      </c>
      <c r="CA76" s="2" t="s">
        <v>408</v>
      </c>
      <c r="CB76" s="2" t="s">
        <v>395</v>
      </c>
      <c r="CL76" s="2" t="s">
        <v>96</v>
      </c>
      <c r="CM76" s="2" t="s">
        <v>96</v>
      </c>
      <c r="CN76" s="2" t="s">
        <v>409</v>
      </c>
      <c r="CO76" s="3">
        <v>38688</v>
      </c>
      <c r="CP76" s="3">
        <v>43634</v>
      </c>
    </row>
    <row r="77" spans="1:94" x14ac:dyDescent="0.25">
      <c r="A77" s="2" t="s">
        <v>410</v>
      </c>
      <c r="B77" s="2" t="str">
        <f xml:space="preserve"> "" &amp; 844349008125</f>
        <v>844349008125</v>
      </c>
      <c r="C77" s="2" t="s">
        <v>411</v>
      </c>
      <c r="D77" s="2" t="s">
        <v>3667</v>
      </c>
      <c r="E77" s="2" t="s">
        <v>392</v>
      </c>
      <c r="F77" s="2" t="s">
        <v>412</v>
      </c>
      <c r="G77" s="2">
        <v>1</v>
      </c>
      <c r="H77" s="2">
        <v>1</v>
      </c>
      <c r="I77" s="2" t="s">
        <v>94</v>
      </c>
      <c r="J77" s="6">
        <v>140</v>
      </c>
      <c r="K77" s="6">
        <v>420</v>
      </c>
      <c r="L77" s="2">
        <v>0</v>
      </c>
      <c r="N77" s="2">
        <v>0</v>
      </c>
      <c r="O77" s="2" t="s">
        <v>96</v>
      </c>
      <c r="P77" s="6">
        <v>293.95</v>
      </c>
      <c r="Q77" s="6"/>
      <c r="R77" s="7"/>
      <c r="S77" s="2">
        <v>9.5</v>
      </c>
      <c r="U77" s="2">
        <v>14</v>
      </c>
      <c r="W77" s="2">
        <v>5.93</v>
      </c>
      <c r="X77" s="2">
        <v>1</v>
      </c>
      <c r="Y77" s="2">
        <v>7.5</v>
      </c>
      <c r="Z77" s="2">
        <v>16.5</v>
      </c>
      <c r="AA77" s="2">
        <v>16.5</v>
      </c>
      <c r="AB77" s="2">
        <v>1.1819999999999999</v>
      </c>
      <c r="AC77" s="2">
        <v>9.19</v>
      </c>
      <c r="AE77" s="2">
        <v>3</v>
      </c>
      <c r="AF77" s="2" t="s">
        <v>394</v>
      </c>
      <c r="AG77" s="2">
        <v>100</v>
      </c>
      <c r="AK77" s="2" t="s">
        <v>95</v>
      </c>
      <c r="AM77" s="2" t="s">
        <v>95</v>
      </c>
      <c r="AN77" s="2" t="s">
        <v>96</v>
      </c>
      <c r="AO77" s="2" t="s">
        <v>95</v>
      </c>
      <c r="AP77" s="2" t="s">
        <v>97</v>
      </c>
      <c r="AQ77" s="2" t="s">
        <v>98</v>
      </c>
      <c r="AV77" s="2" t="s">
        <v>95</v>
      </c>
      <c r="AX77" s="2" t="s">
        <v>395</v>
      </c>
      <c r="AZ77" s="2" t="s">
        <v>342</v>
      </c>
      <c r="BB77" s="2" t="s">
        <v>396</v>
      </c>
      <c r="BC77" s="2" t="s">
        <v>397</v>
      </c>
      <c r="BF77" s="2" t="s">
        <v>413</v>
      </c>
      <c r="BG77" s="2" t="s">
        <v>95</v>
      </c>
      <c r="BH77" s="2" t="s">
        <v>95</v>
      </c>
      <c r="BI77" s="2" t="s">
        <v>95</v>
      </c>
      <c r="BK77" s="2" t="s">
        <v>414</v>
      </c>
      <c r="BQ77" s="2">
        <v>5</v>
      </c>
      <c r="BR77" s="2">
        <v>0.88</v>
      </c>
      <c r="CA77" s="2" t="s">
        <v>415</v>
      </c>
      <c r="CB77" s="2" t="s">
        <v>395</v>
      </c>
      <c r="CL77" s="2" t="s">
        <v>96</v>
      </c>
      <c r="CM77" s="2" t="s">
        <v>96</v>
      </c>
      <c r="CN77" s="2" t="s">
        <v>409</v>
      </c>
      <c r="CO77" s="3">
        <v>40163</v>
      </c>
      <c r="CP77" s="3">
        <v>43634</v>
      </c>
    </row>
    <row r="78" spans="1:94" x14ac:dyDescent="0.25">
      <c r="A78" s="2" t="s">
        <v>416</v>
      </c>
      <c r="B78" s="2" t="str">
        <f xml:space="preserve"> "" &amp; 874944001801</f>
        <v>874944001801</v>
      </c>
      <c r="C78" s="2" t="s">
        <v>417</v>
      </c>
      <c r="D78" s="2" t="s">
        <v>3665</v>
      </c>
      <c r="E78" s="2" t="s">
        <v>392</v>
      </c>
      <c r="F78" s="2" t="s">
        <v>418</v>
      </c>
      <c r="G78" s="2">
        <v>1</v>
      </c>
      <c r="H78" s="2">
        <v>1</v>
      </c>
      <c r="I78" s="2" t="s">
        <v>94</v>
      </c>
      <c r="J78" s="6">
        <v>62</v>
      </c>
      <c r="K78" s="6">
        <v>186</v>
      </c>
      <c r="L78" s="2">
        <v>0</v>
      </c>
      <c r="N78" s="2">
        <v>0</v>
      </c>
      <c r="O78" s="2" t="s">
        <v>96</v>
      </c>
      <c r="P78" s="6">
        <v>129.94999999999999</v>
      </c>
      <c r="Q78" s="6"/>
      <c r="R78" s="7"/>
      <c r="S78" s="2">
        <v>8.5</v>
      </c>
      <c r="T78" s="2">
        <v>8.5</v>
      </c>
      <c r="U78" s="2">
        <v>7</v>
      </c>
      <c r="V78" s="2">
        <v>4</v>
      </c>
      <c r="W78" s="2">
        <v>2.2000000000000002</v>
      </c>
      <c r="X78" s="2">
        <v>1</v>
      </c>
      <c r="Y78" s="2">
        <v>10</v>
      </c>
      <c r="Z78" s="2">
        <v>8.5</v>
      </c>
      <c r="AA78" s="2">
        <v>5.5</v>
      </c>
      <c r="AB78" s="2">
        <v>0.27100000000000002</v>
      </c>
      <c r="AC78" s="2">
        <v>2.76</v>
      </c>
      <c r="AE78" s="2">
        <v>1</v>
      </c>
      <c r="AF78" s="2" t="s">
        <v>394</v>
      </c>
      <c r="AG78" s="2">
        <v>100</v>
      </c>
      <c r="AH78" s="2">
        <v>0</v>
      </c>
      <c r="AJ78" s="2">
        <v>0</v>
      </c>
      <c r="AK78" s="2" t="s">
        <v>95</v>
      </c>
      <c r="AM78" s="2" t="s">
        <v>95</v>
      </c>
      <c r="AN78" s="2" t="s">
        <v>95</v>
      </c>
      <c r="AO78" s="2" t="s">
        <v>96</v>
      </c>
      <c r="AP78" s="2" t="s">
        <v>97</v>
      </c>
      <c r="AQ78" s="2" t="s">
        <v>98</v>
      </c>
      <c r="AV78" s="2" t="s">
        <v>95</v>
      </c>
      <c r="AX78" s="2" t="s">
        <v>395</v>
      </c>
      <c r="AZ78" s="2" t="s">
        <v>342</v>
      </c>
      <c r="BB78" s="2" t="s">
        <v>396</v>
      </c>
      <c r="BC78" s="2" t="s">
        <v>419</v>
      </c>
      <c r="BF78" s="2" t="s">
        <v>420</v>
      </c>
      <c r="BG78" s="2" t="s">
        <v>95</v>
      </c>
      <c r="BH78" s="2" t="s">
        <v>96</v>
      </c>
      <c r="BI78" s="2" t="s">
        <v>95</v>
      </c>
      <c r="BK78" s="2" t="s">
        <v>414</v>
      </c>
      <c r="BL78" s="2" t="s">
        <v>421</v>
      </c>
      <c r="BR78" s="2">
        <v>8.5</v>
      </c>
      <c r="BT78" s="2">
        <v>7</v>
      </c>
      <c r="CA78" s="2" t="s">
        <v>422</v>
      </c>
      <c r="CB78" s="2" t="s">
        <v>395</v>
      </c>
      <c r="CL78" s="2" t="s">
        <v>96</v>
      </c>
      <c r="CM78" s="2" t="s">
        <v>95</v>
      </c>
      <c r="CN78" s="2" t="s">
        <v>409</v>
      </c>
      <c r="CO78" s="3">
        <v>39169</v>
      </c>
      <c r="CP78" s="3">
        <v>43634</v>
      </c>
    </row>
    <row r="79" spans="1:94" x14ac:dyDescent="0.25">
      <c r="A79" s="2" t="s">
        <v>423</v>
      </c>
      <c r="B79" s="2" t="str">
        <f xml:space="preserve"> "" &amp; 870540007032</f>
        <v>870540007032</v>
      </c>
      <c r="C79" s="2" t="s">
        <v>424</v>
      </c>
      <c r="D79" s="2" t="s">
        <v>3673</v>
      </c>
      <c r="E79" s="2" t="s">
        <v>425</v>
      </c>
      <c r="F79" s="2" t="s">
        <v>426</v>
      </c>
      <c r="G79" s="2">
        <v>1</v>
      </c>
      <c r="H79" s="2">
        <v>1</v>
      </c>
      <c r="I79" s="2" t="s">
        <v>94</v>
      </c>
      <c r="J79" s="6">
        <v>219</v>
      </c>
      <c r="K79" s="6">
        <v>657</v>
      </c>
      <c r="L79" s="2">
        <v>0</v>
      </c>
      <c r="N79" s="2">
        <v>0</v>
      </c>
      <c r="O79" s="2" t="s">
        <v>96</v>
      </c>
      <c r="P79" s="6">
        <v>459.95</v>
      </c>
      <c r="Q79" s="6"/>
      <c r="R79" s="7"/>
      <c r="S79" s="2">
        <v>75.25</v>
      </c>
      <c r="T79" s="2">
        <v>63.75</v>
      </c>
      <c r="U79" s="2">
        <v>15</v>
      </c>
      <c r="W79" s="2">
        <v>52.54</v>
      </c>
      <c r="X79" s="2">
        <v>3</v>
      </c>
      <c r="AB79" s="2">
        <v>5.806</v>
      </c>
      <c r="AC79" s="2">
        <v>60.69</v>
      </c>
      <c r="AE79" s="2">
        <v>1</v>
      </c>
      <c r="AF79" s="2" t="s">
        <v>427</v>
      </c>
      <c r="AG79" s="2">
        <v>10</v>
      </c>
      <c r="AK79" s="2" t="s">
        <v>96</v>
      </c>
      <c r="AM79" s="2" t="s">
        <v>95</v>
      </c>
      <c r="AN79" s="2" t="s">
        <v>95</v>
      </c>
      <c r="AO79" s="2" t="s">
        <v>96</v>
      </c>
      <c r="AP79" s="2" t="s">
        <v>428</v>
      </c>
      <c r="AQ79" s="2" t="s">
        <v>98</v>
      </c>
      <c r="AV79" s="2" t="s">
        <v>95</v>
      </c>
      <c r="AX79" s="2" t="s">
        <v>395</v>
      </c>
      <c r="AZ79" s="2" t="s">
        <v>342</v>
      </c>
      <c r="BB79" s="2" t="s">
        <v>212</v>
      </c>
      <c r="BC79" s="2" t="s">
        <v>397</v>
      </c>
      <c r="BF79" s="2" t="s">
        <v>429</v>
      </c>
      <c r="BG79" s="2" t="s">
        <v>95</v>
      </c>
      <c r="BH79" s="2" t="s">
        <v>95</v>
      </c>
      <c r="BI79" s="2" t="s">
        <v>95</v>
      </c>
      <c r="BK79" s="2" t="s">
        <v>100</v>
      </c>
      <c r="CA79" s="2" t="s">
        <v>430</v>
      </c>
      <c r="CB79" s="2" t="s">
        <v>395</v>
      </c>
      <c r="CL79" s="2" t="s">
        <v>95</v>
      </c>
      <c r="CM79" s="2" t="s">
        <v>95</v>
      </c>
      <c r="CN79" s="2" t="s">
        <v>431</v>
      </c>
      <c r="CO79" s="3">
        <v>38034</v>
      </c>
      <c r="CP79" s="3">
        <v>43634</v>
      </c>
    </row>
    <row r="80" spans="1:94" x14ac:dyDescent="0.25">
      <c r="A80" s="2" t="s">
        <v>432</v>
      </c>
      <c r="B80" s="2" t="str">
        <f xml:space="preserve"> "" &amp; 844349015451</f>
        <v>844349015451</v>
      </c>
      <c r="C80" s="2" t="s">
        <v>424</v>
      </c>
      <c r="D80" s="2" t="s">
        <v>3671</v>
      </c>
      <c r="E80" s="2" t="s">
        <v>425</v>
      </c>
      <c r="F80" s="2" t="s">
        <v>426</v>
      </c>
      <c r="G80" s="2">
        <v>1</v>
      </c>
      <c r="H80" s="2">
        <v>1</v>
      </c>
      <c r="I80" s="2" t="s">
        <v>94</v>
      </c>
      <c r="J80" s="6">
        <v>350</v>
      </c>
      <c r="K80" s="6">
        <v>1050</v>
      </c>
      <c r="L80" s="2">
        <v>0</v>
      </c>
      <c r="N80" s="2">
        <v>0</v>
      </c>
      <c r="O80" s="2" t="s">
        <v>96</v>
      </c>
      <c r="P80" s="6">
        <v>734.95</v>
      </c>
      <c r="Q80" s="6"/>
      <c r="R80" s="7"/>
      <c r="S80" s="2">
        <v>72.5</v>
      </c>
      <c r="T80" s="2">
        <v>62</v>
      </c>
      <c r="U80" s="2">
        <v>9</v>
      </c>
      <c r="W80" s="2">
        <v>116.18</v>
      </c>
      <c r="X80" s="2">
        <v>3</v>
      </c>
      <c r="Y80" s="2">
        <v>71.75</v>
      </c>
      <c r="Z80" s="2">
        <v>26.25</v>
      </c>
      <c r="AA80" s="2">
        <v>3.5</v>
      </c>
      <c r="AB80" s="2">
        <v>3.8149999999999999</v>
      </c>
      <c r="AC80" s="2">
        <v>123.94</v>
      </c>
      <c r="AE80" s="2">
        <v>1</v>
      </c>
      <c r="AF80" s="2" t="s">
        <v>433</v>
      </c>
      <c r="AG80" s="2">
        <v>150</v>
      </c>
      <c r="AK80" s="2" t="s">
        <v>95</v>
      </c>
      <c r="AM80" s="2" t="s">
        <v>95</v>
      </c>
      <c r="AN80" s="2" t="s">
        <v>95</v>
      </c>
      <c r="AO80" s="2" t="s">
        <v>95</v>
      </c>
      <c r="AP80" s="2" t="s">
        <v>428</v>
      </c>
      <c r="AQ80" s="2" t="s">
        <v>98</v>
      </c>
      <c r="AV80" s="2" t="s">
        <v>95</v>
      </c>
      <c r="AX80" s="2" t="s">
        <v>116</v>
      </c>
      <c r="AZ80" s="2" t="s">
        <v>342</v>
      </c>
      <c r="BB80" s="2" t="s">
        <v>434</v>
      </c>
      <c r="BC80" s="2" t="s">
        <v>135</v>
      </c>
      <c r="BF80" s="2" t="s">
        <v>435</v>
      </c>
      <c r="BG80" s="2" t="s">
        <v>95</v>
      </c>
      <c r="BH80" s="2" t="s">
        <v>95</v>
      </c>
      <c r="BI80" s="2" t="s">
        <v>95</v>
      </c>
      <c r="BK80" s="2" t="s">
        <v>100</v>
      </c>
      <c r="CA80" s="2" t="s">
        <v>436</v>
      </c>
      <c r="CB80" s="2" t="s">
        <v>116</v>
      </c>
      <c r="CL80" s="2" t="s">
        <v>95</v>
      </c>
      <c r="CM80" s="2" t="s">
        <v>95</v>
      </c>
      <c r="CN80" s="2" t="s">
        <v>437</v>
      </c>
      <c r="CO80" s="3">
        <v>38143</v>
      </c>
      <c r="CP80" s="3">
        <v>43634</v>
      </c>
    </row>
    <row r="81" spans="1:94" x14ac:dyDescent="0.25">
      <c r="A81" s="2" t="s">
        <v>438</v>
      </c>
      <c r="B81" s="2" t="str">
        <f xml:space="preserve"> "" &amp; 844349011514</f>
        <v>844349011514</v>
      </c>
      <c r="C81" s="2" t="s">
        <v>439</v>
      </c>
      <c r="D81" s="2" t="s">
        <v>439</v>
      </c>
      <c r="F81" s="2" t="s">
        <v>393</v>
      </c>
      <c r="G81" s="2">
        <v>1</v>
      </c>
      <c r="H81" s="2">
        <v>1</v>
      </c>
      <c r="I81" s="2" t="s">
        <v>94</v>
      </c>
      <c r="J81" s="6">
        <v>158</v>
      </c>
      <c r="K81" s="6">
        <v>474</v>
      </c>
      <c r="L81" s="2">
        <v>0</v>
      </c>
      <c r="N81" s="2">
        <v>0</v>
      </c>
      <c r="O81" s="2" t="s">
        <v>96</v>
      </c>
      <c r="P81" s="6">
        <v>331.95</v>
      </c>
      <c r="Q81" s="6"/>
      <c r="R81" s="7"/>
      <c r="S81" s="2">
        <v>10</v>
      </c>
      <c r="U81" s="2">
        <v>18</v>
      </c>
      <c r="W81" s="2">
        <v>8.44</v>
      </c>
      <c r="X81" s="2">
        <v>1</v>
      </c>
      <c r="Y81" s="2">
        <v>10.25</v>
      </c>
      <c r="Z81" s="2">
        <v>20</v>
      </c>
      <c r="AA81" s="2">
        <v>20</v>
      </c>
      <c r="AB81" s="2">
        <v>2.3730000000000002</v>
      </c>
      <c r="AC81" s="2">
        <v>12.5</v>
      </c>
      <c r="AE81" s="2">
        <v>3</v>
      </c>
      <c r="AF81" s="2" t="s">
        <v>440</v>
      </c>
      <c r="AG81" s="2">
        <v>100</v>
      </c>
      <c r="AK81" s="2" t="s">
        <v>95</v>
      </c>
      <c r="AM81" s="2" t="s">
        <v>95</v>
      </c>
      <c r="AN81" s="2" t="s">
        <v>96</v>
      </c>
      <c r="AO81" s="2" t="s">
        <v>95</v>
      </c>
      <c r="AP81" s="2" t="s">
        <v>97</v>
      </c>
      <c r="AQ81" s="2" t="s">
        <v>98</v>
      </c>
      <c r="AV81" s="2" t="s">
        <v>95</v>
      </c>
      <c r="AX81" s="2" t="s">
        <v>116</v>
      </c>
      <c r="AZ81" s="2" t="s">
        <v>342</v>
      </c>
      <c r="BB81" s="2" t="s">
        <v>441</v>
      </c>
      <c r="BC81" s="2" t="s">
        <v>99</v>
      </c>
      <c r="BF81" s="2" t="s">
        <v>442</v>
      </c>
      <c r="BG81" s="2" t="s">
        <v>95</v>
      </c>
      <c r="BH81" s="2" t="s">
        <v>95</v>
      </c>
      <c r="BI81" s="2" t="s">
        <v>95</v>
      </c>
      <c r="BK81" s="2" t="s">
        <v>100</v>
      </c>
      <c r="BQ81" s="2">
        <v>5</v>
      </c>
      <c r="BR81" s="2">
        <v>1</v>
      </c>
      <c r="CA81" s="2" t="s">
        <v>443</v>
      </c>
      <c r="CB81" s="2" t="s">
        <v>116</v>
      </c>
      <c r="CL81" s="2" t="s">
        <v>96</v>
      </c>
      <c r="CM81" s="2" t="s">
        <v>96</v>
      </c>
      <c r="CN81" s="2" t="s">
        <v>444</v>
      </c>
      <c r="CO81" s="3">
        <v>40802</v>
      </c>
      <c r="CP81" s="3">
        <v>43634</v>
      </c>
    </row>
    <row r="82" spans="1:94" x14ac:dyDescent="0.25">
      <c r="A82" s="2" t="s">
        <v>445</v>
      </c>
      <c r="B82" s="2" t="str">
        <f xml:space="preserve"> "" &amp; 844349022459</f>
        <v>844349022459</v>
      </c>
      <c r="C82" s="2" t="s">
        <v>446</v>
      </c>
      <c r="D82" s="2" t="s">
        <v>447</v>
      </c>
      <c r="E82" s="2" t="s">
        <v>448</v>
      </c>
      <c r="F82" s="2" t="s">
        <v>340</v>
      </c>
      <c r="G82" s="2">
        <v>1</v>
      </c>
      <c r="H82" s="2">
        <v>1</v>
      </c>
      <c r="I82" s="2" t="s">
        <v>94</v>
      </c>
      <c r="J82" s="6">
        <v>92</v>
      </c>
      <c r="K82" s="6">
        <v>276</v>
      </c>
      <c r="L82" s="2">
        <v>0</v>
      </c>
      <c r="N82" s="2">
        <v>0</v>
      </c>
      <c r="O82" s="2" t="s">
        <v>96</v>
      </c>
      <c r="P82" s="6">
        <v>193.95</v>
      </c>
      <c r="Q82" s="6"/>
      <c r="R82" s="7"/>
      <c r="S82" s="2">
        <v>12</v>
      </c>
      <c r="U82" s="2">
        <v>6.5</v>
      </c>
      <c r="V82" s="2">
        <v>4</v>
      </c>
      <c r="W82" s="2">
        <v>2.87</v>
      </c>
      <c r="X82" s="2">
        <v>1</v>
      </c>
      <c r="Y82" s="2">
        <v>7</v>
      </c>
      <c r="Z82" s="2">
        <v>14.63</v>
      </c>
      <c r="AA82" s="2">
        <v>9.1300000000000008</v>
      </c>
      <c r="AB82" s="2">
        <v>0.54100000000000004</v>
      </c>
      <c r="AC82" s="2">
        <v>3.92</v>
      </c>
      <c r="AE82" s="2">
        <v>1</v>
      </c>
      <c r="AF82" s="2" t="s">
        <v>347</v>
      </c>
      <c r="AG82" s="2">
        <v>16</v>
      </c>
      <c r="AK82" s="2" t="s">
        <v>96</v>
      </c>
      <c r="AM82" s="2" t="s">
        <v>95</v>
      </c>
      <c r="AN82" s="2" t="s">
        <v>96</v>
      </c>
      <c r="AO82" s="2" t="s">
        <v>95</v>
      </c>
      <c r="AP82" s="2" t="s">
        <v>97</v>
      </c>
      <c r="AQ82" s="2" t="s">
        <v>98</v>
      </c>
      <c r="AV82" s="2" t="s">
        <v>95</v>
      </c>
      <c r="AX82" s="2" t="s">
        <v>395</v>
      </c>
      <c r="AZ82" s="2" t="s">
        <v>449</v>
      </c>
      <c r="BB82" s="2" t="s">
        <v>450</v>
      </c>
      <c r="BC82" s="2" t="s">
        <v>451</v>
      </c>
      <c r="BF82" s="2" t="s">
        <v>452</v>
      </c>
      <c r="BG82" s="2" t="s">
        <v>95</v>
      </c>
      <c r="BH82" s="2" t="s">
        <v>96</v>
      </c>
      <c r="BI82" s="2" t="s">
        <v>95</v>
      </c>
      <c r="BK82" s="2" t="s">
        <v>414</v>
      </c>
      <c r="BM82" s="2">
        <v>6.25</v>
      </c>
      <c r="BN82" s="2">
        <v>12</v>
      </c>
      <c r="CA82" s="2" t="s">
        <v>453</v>
      </c>
      <c r="CB82" s="2" t="s">
        <v>395</v>
      </c>
      <c r="CG82" s="2">
        <v>3000</v>
      </c>
      <c r="CH82" s="2">
        <v>92</v>
      </c>
      <c r="CI82" s="2">
        <v>1410</v>
      </c>
      <c r="CJ82" s="2">
        <v>359</v>
      </c>
      <c r="CK82" s="2">
        <v>30000</v>
      </c>
      <c r="CL82" s="2" t="s">
        <v>96</v>
      </c>
      <c r="CM82" s="2" t="s">
        <v>95</v>
      </c>
      <c r="CN82" s="2" t="s">
        <v>454</v>
      </c>
      <c r="CO82" s="3">
        <v>42725</v>
      </c>
      <c r="CP82" s="3">
        <v>43634</v>
      </c>
    </row>
    <row r="83" spans="1:94" x14ac:dyDescent="0.25">
      <c r="A83" s="2" t="s">
        <v>455</v>
      </c>
      <c r="B83" s="2" t="str">
        <f xml:space="preserve"> "" &amp; 844349022442</f>
        <v>844349022442</v>
      </c>
      <c r="C83" s="2" t="s">
        <v>456</v>
      </c>
      <c r="D83" s="2" t="s">
        <v>457</v>
      </c>
      <c r="E83" s="2" t="s">
        <v>448</v>
      </c>
      <c r="F83" s="2" t="s">
        <v>340</v>
      </c>
      <c r="G83" s="2">
        <v>1</v>
      </c>
      <c r="H83" s="2">
        <v>1</v>
      </c>
      <c r="I83" s="2" t="s">
        <v>94</v>
      </c>
      <c r="J83" s="6">
        <v>225</v>
      </c>
      <c r="K83" s="6">
        <v>675</v>
      </c>
      <c r="L83" s="2">
        <v>0</v>
      </c>
      <c r="N83" s="2">
        <v>0</v>
      </c>
      <c r="O83" s="2" t="s">
        <v>96</v>
      </c>
      <c r="P83" s="6">
        <v>472.95</v>
      </c>
      <c r="Q83" s="6"/>
      <c r="R83" s="7"/>
      <c r="S83" s="2">
        <v>7.5</v>
      </c>
      <c r="U83" s="2">
        <v>16.25</v>
      </c>
      <c r="W83" s="2">
        <v>8.58</v>
      </c>
      <c r="X83" s="2">
        <v>1</v>
      </c>
      <c r="Y83" s="2">
        <v>12.38</v>
      </c>
      <c r="Z83" s="2">
        <v>19.63</v>
      </c>
      <c r="AA83" s="2">
        <v>19.63</v>
      </c>
      <c r="AB83" s="2">
        <v>2.7610000000000001</v>
      </c>
      <c r="AC83" s="2">
        <v>12.28</v>
      </c>
      <c r="AE83" s="2">
        <v>1</v>
      </c>
      <c r="AF83" s="2" t="s">
        <v>347</v>
      </c>
      <c r="AG83" s="2">
        <v>38</v>
      </c>
      <c r="AK83" s="2" t="s">
        <v>96</v>
      </c>
      <c r="AM83" s="2" t="s">
        <v>95</v>
      </c>
      <c r="AN83" s="2" t="s">
        <v>96</v>
      </c>
      <c r="AO83" s="2" t="s">
        <v>95</v>
      </c>
      <c r="AP83" s="2" t="s">
        <v>97</v>
      </c>
      <c r="AQ83" s="2" t="s">
        <v>98</v>
      </c>
      <c r="AV83" s="2" t="s">
        <v>95</v>
      </c>
      <c r="AX83" s="2" t="s">
        <v>395</v>
      </c>
      <c r="AZ83" s="2" t="s">
        <v>449</v>
      </c>
      <c r="BB83" s="2" t="s">
        <v>450</v>
      </c>
      <c r="BC83" s="2" t="s">
        <v>451</v>
      </c>
      <c r="BF83" s="2" t="s">
        <v>458</v>
      </c>
      <c r="BG83" s="2" t="s">
        <v>95</v>
      </c>
      <c r="BH83" s="2" t="s">
        <v>95</v>
      </c>
      <c r="BI83" s="2" t="s">
        <v>95</v>
      </c>
      <c r="BK83" s="2" t="s">
        <v>414</v>
      </c>
      <c r="BR83" s="2">
        <v>0.88</v>
      </c>
      <c r="BS83" s="2">
        <v>4.88</v>
      </c>
      <c r="BT83" s="2">
        <v>4.88</v>
      </c>
      <c r="CA83" s="2" t="s">
        <v>459</v>
      </c>
      <c r="CB83" s="2" t="s">
        <v>395</v>
      </c>
      <c r="CG83" s="2">
        <v>3000</v>
      </c>
      <c r="CH83" s="2">
        <v>93</v>
      </c>
      <c r="CI83" s="2">
        <v>3599</v>
      </c>
      <c r="CJ83" s="2">
        <v>1740</v>
      </c>
      <c r="CK83" s="2">
        <v>30000</v>
      </c>
      <c r="CL83" s="2" t="s">
        <v>96</v>
      </c>
      <c r="CM83" s="2" t="s">
        <v>96</v>
      </c>
      <c r="CN83" s="2" t="s">
        <v>460</v>
      </c>
      <c r="CO83" s="3">
        <v>42725</v>
      </c>
      <c r="CP83" s="3">
        <v>43634</v>
      </c>
    </row>
    <row r="84" spans="1:94" x14ac:dyDescent="0.25">
      <c r="A84" s="2" t="s">
        <v>461</v>
      </c>
      <c r="B84" s="2" t="str">
        <f xml:space="preserve"> "" &amp; 844349022435</f>
        <v>844349022435</v>
      </c>
      <c r="C84" s="2" t="s">
        <v>462</v>
      </c>
      <c r="D84" s="2" t="s">
        <v>463</v>
      </c>
      <c r="E84" s="2" t="s">
        <v>448</v>
      </c>
      <c r="F84" s="2" t="s">
        <v>340</v>
      </c>
      <c r="G84" s="2">
        <v>1</v>
      </c>
      <c r="H84" s="2">
        <v>1</v>
      </c>
      <c r="I84" s="2" t="s">
        <v>94</v>
      </c>
      <c r="J84" s="6">
        <v>309</v>
      </c>
      <c r="K84" s="6">
        <v>927</v>
      </c>
      <c r="L84" s="2">
        <v>0</v>
      </c>
      <c r="N84" s="2">
        <v>0</v>
      </c>
      <c r="O84" s="2" t="s">
        <v>96</v>
      </c>
      <c r="P84" s="6">
        <v>649.95000000000005</v>
      </c>
      <c r="Q84" s="6"/>
      <c r="R84" s="7"/>
      <c r="S84" s="2">
        <v>8.75</v>
      </c>
      <c r="U84" s="2">
        <v>22.5</v>
      </c>
      <c r="W84" s="2">
        <v>12.79</v>
      </c>
      <c r="X84" s="2">
        <v>1</v>
      </c>
      <c r="Y84" s="2">
        <v>13.25</v>
      </c>
      <c r="Z84" s="2">
        <v>25</v>
      </c>
      <c r="AA84" s="2">
        <v>25</v>
      </c>
      <c r="AB84" s="2">
        <v>4.7919999999999998</v>
      </c>
      <c r="AC84" s="2">
        <v>17.59</v>
      </c>
      <c r="AE84" s="2">
        <v>1</v>
      </c>
      <c r="AF84" s="2" t="s">
        <v>347</v>
      </c>
      <c r="AG84" s="2">
        <v>52</v>
      </c>
      <c r="AK84" s="2" t="s">
        <v>96</v>
      </c>
      <c r="AM84" s="2" t="s">
        <v>95</v>
      </c>
      <c r="AN84" s="2" t="s">
        <v>96</v>
      </c>
      <c r="AO84" s="2" t="s">
        <v>95</v>
      </c>
      <c r="AP84" s="2" t="s">
        <v>97</v>
      </c>
      <c r="AQ84" s="2" t="s">
        <v>98</v>
      </c>
      <c r="AV84" s="2" t="s">
        <v>95</v>
      </c>
      <c r="AX84" s="2" t="s">
        <v>395</v>
      </c>
      <c r="AZ84" s="2" t="s">
        <v>449</v>
      </c>
      <c r="BB84" s="2" t="s">
        <v>450</v>
      </c>
      <c r="BC84" s="2" t="s">
        <v>451</v>
      </c>
      <c r="BF84" s="2" t="s">
        <v>464</v>
      </c>
      <c r="BG84" s="2" t="s">
        <v>95</v>
      </c>
      <c r="BH84" s="2" t="s">
        <v>95</v>
      </c>
      <c r="BI84" s="2" t="s">
        <v>95</v>
      </c>
      <c r="BK84" s="2" t="s">
        <v>100</v>
      </c>
      <c r="BR84" s="2">
        <v>0.88</v>
      </c>
      <c r="BS84" s="2">
        <v>4.88</v>
      </c>
      <c r="BT84" s="2">
        <v>4.88</v>
      </c>
      <c r="CA84" s="2" t="s">
        <v>465</v>
      </c>
      <c r="CB84" s="2" t="s">
        <v>395</v>
      </c>
      <c r="CG84" s="2">
        <v>3000</v>
      </c>
      <c r="CH84" s="2">
        <v>93</v>
      </c>
      <c r="CI84" s="2">
        <v>4826</v>
      </c>
      <c r="CJ84" s="2">
        <v>2427</v>
      </c>
      <c r="CK84" s="2">
        <v>30000</v>
      </c>
      <c r="CL84" s="2" t="s">
        <v>96</v>
      </c>
      <c r="CM84" s="2" t="s">
        <v>96</v>
      </c>
      <c r="CN84" s="2" t="s">
        <v>460</v>
      </c>
      <c r="CO84" s="3">
        <v>42725</v>
      </c>
      <c r="CP84" s="3">
        <v>43634</v>
      </c>
    </row>
    <row r="85" spans="1:94" x14ac:dyDescent="0.25">
      <c r="A85" s="2" t="s">
        <v>466</v>
      </c>
      <c r="B85" s="2" t="str">
        <f xml:space="preserve"> "" &amp; 844349023487</f>
        <v>844349023487</v>
      </c>
      <c r="C85" s="2" t="s">
        <v>467</v>
      </c>
      <c r="D85" s="2" t="s">
        <v>463</v>
      </c>
      <c r="E85" s="2" t="s">
        <v>448</v>
      </c>
      <c r="F85" s="2" t="s">
        <v>340</v>
      </c>
      <c r="G85" s="2">
        <v>1</v>
      </c>
      <c r="H85" s="2">
        <v>1</v>
      </c>
      <c r="I85" s="2" t="s">
        <v>94</v>
      </c>
      <c r="J85" s="6">
        <v>569</v>
      </c>
      <c r="K85" s="6">
        <v>1707</v>
      </c>
      <c r="L85" s="2">
        <v>0</v>
      </c>
      <c r="N85" s="2">
        <v>0</v>
      </c>
      <c r="O85" s="2" t="s">
        <v>96</v>
      </c>
      <c r="P85" s="6">
        <v>1195.95</v>
      </c>
      <c r="Q85" s="6"/>
      <c r="R85" s="7"/>
      <c r="S85" s="2">
        <v>9.5</v>
      </c>
      <c r="T85" s="2">
        <v>28</v>
      </c>
      <c r="U85" s="2">
        <v>28</v>
      </c>
      <c r="W85" s="2">
        <v>22.27</v>
      </c>
      <c r="X85" s="2">
        <v>1</v>
      </c>
      <c r="Y85" s="2">
        <v>12.5</v>
      </c>
      <c r="Z85" s="2">
        <v>31.38</v>
      </c>
      <c r="AA85" s="2">
        <v>31.38</v>
      </c>
      <c r="AB85" s="2">
        <v>7.1230000000000002</v>
      </c>
      <c r="AC85" s="2">
        <v>31.17</v>
      </c>
      <c r="AE85" s="2">
        <v>1</v>
      </c>
      <c r="AF85" s="2" t="s">
        <v>347</v>
      </c>
      <c r="AG85" s="2">
        <v>70</v>
      </c>
      <c r="AK85" s="2" t="s">
        <v>96</v>
      </c>
      <c r="AM85" s="2" t="s">
        <v>95</v>
      </c>
      <c r="AN85" s="2" t="s">
        <v>96</v>
      </c>
      <c r="AO85" s="2" t="s">
        <v>95</v>
      </c>
      <c r="AP85" s="2" t="s">
        <v>97</v>
      </c>
      <c r="AQ85" s="2" t="s">
        <v>98</v>
      </c>
      <c r="AV85" s="2" t="s">
        <v>95</v>
      </c>
      <c r="AX85" s="2" t="s">
        <v>395</v>
      </c>
      <c r="AZ85" s="2" t="s">
        <v>449</v>
      </c>
      <c r="BB85" s="2" t="s">
        <v>468</v>
      </c>
      <c r="BC85" s="2" t="s">
        <v>450</v>
      </c>
      <c r="BF85" s="2" t="s">
        <v>469</v>
      </c>
      <c r="BG85" s="2" t="s">
        <v>95</v>
      </c>
      <c r="BH85" s="2" t="s">
        <v>95</v>
      </c>
      <c r="BI85" s="2" t="s">
        <v>95</v>
      </c>
      <c r="BK85" s="2" t="s">
        <v>100</v>
      </c>
      <c r="BR85" s="2">
        <v>0.88</v>
      </c>
      <c r="BS85" s="2">
        <v>4.87</v>
      </c>
      <c r="BT85" s="2">
        <v>4.87</v>
      </c>
      <c r="CA85" s="2" t="s">
        <v>470</v>
      </c>
      <c r="CB85" s="2" t="s">
        <v>395</v>
      </c>
      <c r="CG85" s="2">
        <v>3000</v>
      </c>
      <c r="CH85" s="2">
        <v>92</v>
      </c>
      <c r="CI85" s="2">
        <v>6620</v>
      </c>
      <c r="CJ85" s="2">
        <v>3260</v>
      </c>
      <c r="CK85" s="2">
        <v>30000</v>
      </c>
      <c r="CL85" s="2" t="s">
        <v>96</v>
      </c>
      <c r="CM85" s="2" t="s">
        <v>95</v>
      </c>
      <c r="CN85" s="2" t="s">
        <v>471</v>
      </c>
      <c r="CO85" s="3">
        <v>42951</v>
      </c>
      <c r="CP85" s="3">
        <v>43634</v>
      </c>
    </row>
    <row r="86" spans="1:94" x14ac:dyDescent="0.25">
      <c r="A86" s="2" t="s">
        <v>472</v>
      </c>
      <c r="B86" s="2" t="str">
        <f xml:space="preserve"> "" &amp; 874944000835</f>
        <v>874944000835</v>
      </c>
      <c r="C86" s="2" t="s">
        <v>473</v>
      </c>
      <c r="D86" s="2" t="s">
        <v>3672</v>
      </c>
      <c r="E86" s="2" t="s">
        <v>425</v>
      </c>
      <c r="F86" s="2" t="s">
        <v>418</v>
      </c>
      <c r="G86" s="2">
        <v>1</v>
      </c>
      <c r="H86" s="2">
        <v>1</v>
      </c>
      <c r="I86" s="2" t="s">
        <v>94</v>
      </c>
      <c r="J86" s="6">
        <v>85</v>
      </c>
      <c r="K86" s="6">
        <v>255</v>
      </c>
      <c r="L86" s="2">
        <v>0</v>
      </c>
      <c r="N86" s="2">
        <v>0</v>
      </c>
      <c r="O86" s="2" t="s">
        <v>96</v>
      </c>
      <c r="P86" s="6">
        <v>179.95</v>
      </c>
      <c r="Q86" s="6"/>
      <c r="R86" s="7"/>
      <c r="S86" s="2">
        <v>19.5</v>
      </c>
      <c r="U86" s="2">
        <v>14</v>
      </c>
      <c r="V86" s="2">
        <v>14</v>
      </c>
      <c r="W86" s="2">
        <v>3.9</v>
      </c>
      <c r="X86" s="2">
        <v>1</v>
      </c>
      <c r="Y86" s="2">
        <v>11.5</v>
      </c>
      <c r="Z86" s="2">
        <v>14</v>
      </c>
      <c r="AA86" s="2">
        <v>10.25</v>
      </c>
      <c r="AB86" s="2">
        <v>0.95499999999999996</v>
      </c>
      <c r="AC86" s="2">
        <v>5.95</v>
      </c>
      <c r="AE86" s="2">
        <v>1</v>
      </c>
      <c r="AF86" s="2" t="s">
        <v>474</v>
      </c>
      <c r="AG86" s="2">
        <v>60</v>
      </c>
      <c r="AH86" s="2">
        <v>1</v>
      </c>
      <c r="AI86" s="2" t="s">
        <v>324</v>
      </c>
      <c r="AJ86" s="2">
        <v>35</v>
      </c>
      <c r="AK86" s="2" t="s">
        <v>96</v>
      </c>
      <c r="AL86" s="2">
        <v>2</v>
      </c>
      <c r="AM86" s="2" t="s">
        <v>95</v>
      </c>
      <c r="AN86" s="2" t="s">
        <v>96</v>
      </c>
      <c r="AO86" s="2" t="s">
        <v>95</v>
      </c>
      <c r="AP86" s="2" t="s">
        <v>97</v>
      </c>
      <c r="AQ86" s="2" t="s">
        <v>98</v>
      </c>
      <c r="AV86" s="2" t="s">
        <v>95</v>
      </c>
      <c r="AX86" s="2" t="s">
        <v>116</v>
      </c>
      <c r="AZ86" s="2" t="s">
        <v>342</v>
      </c>
      <c r="BC86" s="2" t="s">
        <v>379</v>
      </c>
      <c r="BF86" s="2" t="s">
        <v>475</v>
      </c>
      <c r="BG86" s="2" t="s">
        <v>95</v>
      </c>
      <c r="BH86" s="2" t="s">
        <v>95</v>
      </c>
      <c r="BI86" s="2" t="s">
        <v>95</v>
      </c>
      <c r="BK86" s="2" t="s">
        <v>100</v>
      </c>
      <c r="BL86" s="2" t="s">
        <v>476</v>
      </c>
      <c r="BR86" s="2">
        <v>5</v>
      </c>
      <c r="BT86" s="2">
        <v>4.63</v>
      </c>
      <c r="CA86" s="2" t="s">
        <v>477</v>
      </c>
      <c r="CB86" s="2" t="s">
        <v>116</v>
      </c>
      <c r="CL86" s="2" t="s">
        <v>95</v>
      </c>
      <c r="CM86" s="2" t="s">
        <v>95</v>
      </c>
      <c r="CN86" s="2" t="s">
        <v>478</v>
      </c>
      <c r="CO86" s="3">
        <v>39424</v>
      </c>
      <c r="CP86" s="3">
        <v>43634</v>
      </c>
    </row>
    <row r="87" spans="1:94" x14ac:dyDescent="0.25">
      <c r="A87" s="2" t="s">
        <v>479</v>
      </c>
      <c r="B87" s="2" t="str">
        <f xml:space="preserve"> "" &amp; 844349022503</f>
        <v>844349022503</v>
      </c>
      <c r="C87" s="2" t="s">
        <v>446</v>
      </c>
      <c r="D87" s="2" t="s">
        <v>480</v>
      </c>
      <c r="E87" s="2" t="s">
        <v>481</v>
      </c>
      <c r="F87" s="2" t="s">
        <v>340</v>
      </c>
      <c r="G87" s="2">
        <v>1</v>
      </c>
      <c r="H87" s="2">
        <v>1</v>
      </c>
      <c r="I87" s="2" t="s">
        <v>94</v>
      </c>
      <c r="J87" s="6">
        <v>129</v>
      </c>
      <c r="K87" s="6">
        <v>387</v>
      </c>
      <c r="L87" s="2">
        <v>0</v>
      </c>
      <c r="N87" s="2">
        <v>0</v>
      </c>
      <c r="O87" s="2" t="s">
        <v>96</v>
      </c>
      <c r="P87" s="6">
        <v>273.95</v>
      </c>
      <c r="Q87" s="6"/>
      <c r="R87" s="7"/>
      <c r="S87" s="2">
        <v>13</v>
      </c>
      <c r="U87" s="2">
        <v>9</v>
      </c>
      <c r="V87" s="2">
        <v>5.25</v>
      </c>
      <c r="W87" s="2">
        <v>6.04</v>
      </c>
      <c r="X87" s="2">
        <v>1</v>
      </c>
      <c r="Y87" s="2">
        <v>10</v>
      </c>
      <c r="Z87" s="2">
        <v>15.38</v>
      </c>
      <c r="AA87" s="2">
        <v>11.5</v>
      </c>
      <c r="AB87" s="2">
        <v>1.024</v>
      </c>
      <c r="AC87" s="2">
        <v>7.5</v>
      </c>
      <c r="AE87" s="2">
        <v>1</v>
      </c>
      <c r="AF87" s="2" t="s">
        <v>347</v>
      </c>
      <c r="AG87" s="2">
        <v>16</v>
      </c>
      <c r="AK87" s="2" t="s">
        <v>96</v>
      </c>
      <c r="AM87" s="2" t="s">
        <v>95</v>
      </c>
      <c r="AN87" s="2" t="s">
        <v>96</v>
      </c>
      <c r="AO87" s="2" t="s">
        <v>95</v>
      </c>
      <c r="AP87" s="2" t="s">
        <v>97</v>
      </c>
      <c r="AQ87" s="2" t="s">
        <v>98</v>
      </c>
      <c r="AV87" s="2" t="s">
        <v>95</v>
      </c>
      <c r="AX87" s="2" t="s">
        <v>482</v>
      </c>
      <c r="AZ87" s="2" t="s">
        <v>483</v>
      </c>
      <c r="BB87" s="2" t="s">
        <v>329</v>
      </c>
      <c r="BC87" s="2" t="s">
        <v>484</v>
      </c>
      <c r="BF87" s="2" t="s">
        <v>485</v>
      </c>
      <c r="BG87" s="2" t="s">
        <v>95</v>
      </c>
      <c r="BH87" s="2" t="s">
        <v>95</v>
      </c>
      <c r="BI87" s="2" t="s">
        <v>95</v>
      </c>
      <c r="BK87" s="2" t="s">
        <v>414</v>
      </c>
      <c r="BM87" s="2">
        <v>6.25</v>
      </c>
      <c r="BN87" s="2">
        <v>13</v>
      </c>
      <c r="CA87" s="2" t="s">
        <v>486</v>
      </c>
      <c r="CB87" s="2" t="s">
        <v>482</v>
      </c>
      <c r="CG87" s="2">
        <v>3000</v>
      </c>
      <c r="CH87" s="2">
        <v>92</v>
      </c>
      <c r="CI87" s="2">
        <v>1466</v>
      </c>
      <c r="CJ87" s="2">
        <v>641</v>
      </c>
      <c r="CK87" s="2">
        <v>30000</v>
      </c>
      <c r="CL87" s="2" t="s">
        <v>96</v>
      </c>
      <c r="CM87" s="2" t="s">
        <v>95</v>
      </c>
      <c r="CN87" s="2" t="s">
        <v>454</v>
      </c>
      <c r="CO87" s="3">
        <v>42725</v>
      </c>
      <c r="CP87" s="3">
        <v>43634</v>
      </c>
    </row>
    <row r="88" spans="1:94" x14ac:dyDescent="0.25">
      <c r="A88" s="2" t="s">
        <v>487</v>
      </c>
      <c r="B88" s="2" t="str">
        <f xml:space="preserve"> "" &amp; 844349022497</f>
        <v>844349022497</v>
      </c>
      <c r="C88" s="2" t="s">
        <v>488</v>
      </c>
      <c r="D88" s="2" t="s">
        <v>489</v>
      </c>
      <c r="E88" s="2" t="s">
        <v>481</v>
      </c>
      <c r="F88" s="2" t="s">
        <v>340</v>
      </c>
      <c r="G88" s="2">
        <v>1</v>
      </c>
      <c r="H88" s="2">
        <v>1</v>
      </c>
      <c r="I88" s="2" t="s">
        <v>94</v>
      </c>
      <c r="J88" s="6">
        <v>249</v>
      </c>
      <c r="K88" s="6">
        <v>747</v>
      </c>
      <c r="L88" s="2">
        <v>0</v>
      </c>
      <c r="N88" s="2">
        <v>0</v>
      </c>
      <c r="O88" s="2" t="s">
        <v>96</v>
      </c>
      <c r="P88" s="6">
        <v>524.95000000000005</v>
      </c>
      <c r="Q88" s="6"/>
      <c r="R88" s="7"/>
      <c r="S88" s="2">
        <v>17</v>
      </c>
      <c r="U88" s="2">
        <v>10</v>
      </c>
      <c r="W88" s="2">
        <v>11.24</v>
      </c>
      <c r="X88" s="2">
        <v>1</v>
      </c>
      <c r="Y88" s="2">
        <v>21.5</v>
      </c>
      <c r="Z88" s="2">
        <v>12.5</v>
      </c>
      <c r="AA88" s="2">
        <v>12.5</v>
      </c>
      <c r="AB88" s="2">
        <v>1.944</v>
      </c>
      <c r="AC88" s="2">
        <v>14.95</v>
      </c>
      <c r="AE88" s="2">
        <v>1</v>
      </c>
      <c r="AF88" s="2" t="s">
        <v>347</v>
      </c>
      <c r="AG88" s="2">
        <v>24</v>
      </c>
      <c r="AK88" s="2" t="s">
        <v>96</v>
      </c>
      <c r="AM88" s="2" t="s">
        <v>95</v>
      </c>
      <c r="AN88" s="2" t="s">
        <v>96</v>
      </c>
      <c r="AO88" s="2" t="s">
        <v>95</v>
      </c>
      <c r="AP88" s="2" t="s">
        <v>97</v>
      </c>
      <c r="AQ88" s="2" t="s">
        <v>98</v>
      </c>
      <c r="AV88" s="2" t="s">
        <v>95</v>
      </c>
      <c r="AX88" s="2" t="s">
        <v>482</v>
      </c>
      <c r="AZ88" s="2" t="s">
        <v>483</v>
      </c>
      <c r="BB88" s="2" t="s">
        <v>490</v>
      </c>
      <c r="BC88" s="2" t="s">
        <v>491</v>
      </c>
      <c r="BF88" s="2" t="s">
        <v>492</v>
      </c>
      <c r="BG88" s="2" t="s">
        <v>95</v>
      </c>
      <c r="BH88" s="2" t="s">
        <v>95</v>
      </c>
      <c r="BI88" s="2" t="s">
        <v>95</v>
      </c>
      <c r="BK88" s="2" t="s">
        <v>100</v>
      </c>
      <c r="BR88" s="2">
        <v>0.88</v>
      </c>
      <c r="BS88" s="2">
        <v>4.88</v>
      </c>
      <c r="BT88" s="2">
        <v>4.88</v>
      </c>
      <c r="CA88" s="2" t="s">
        <v>493</v>
      </c>
      <c r="CB88" s="2" t="s">
        <v>482</v>
      </c>
      <c r="CG88" s="2">
        <v>3000</v>
      </c>
      <c r="CH88" s="2">
        <v>95</v>
      </c>
      <c r="CI88" s="2">
        <v>2260</v>
      </c>
      <c r="CJ88" s="2">
        <v>1083</v>
      </c>
      <c r="CK88" s="2">
        <v>30000</v>
      </c>
      <c r="CL88" s="2" t="s">
        <v>96</v>
      </c>
      <c r="CM88" s="2" t="s">
        <v>96</v>
      </c>
      <c r="CN88" s="2" t="s">
        <v>494</v>
      </c>
      <c r="CO88" s="3">
        <v>42725</v>
      </c>
      <c r="CP88" s="3">
        <v>43634</v>
      </c>
    </row>
    <row r="89" spans="1:94" x14ac:dyDescent="0.25">
      <c r="A89" s="2" t="s">
        <v>495</v>
      </c>
      <c r="B89" s="2" t="str">
        <f xml:space="preserve"> "" &amp; 844349022480</f>
        <v>844349022480</v>
      </c>
      <c r="C89" s="2" t="s">
        <v>496</v>
      </c>
      <c r="D89" s="2" t="s">
        <v>497</v>
      </c>
      <c r="E89" s="2" t="s">
        <v>481</v>
      </c>
      <c r="F89" s="2" t="s">
        <v>340</v>
      </c>
      <c r="G89" s="2">
        <v>1</v>
      </c>
      <c r="H89" s="2">
        <v>1</v>
      </c>
      <c r="I89" s="2" t="s">
        <v>94</v>
      </c>
      <c r="J89" s="6">
        <v>279</v>
      </c>
      <c r="K89" s="6">
        <v>837</v>
      </c>
      <c r="L89" s="2">
        <v>0</v>
      </c>
      <c r="N89" s="2">
        <v>0</v>
      </c>
      <c r="O89" s="2" t="s">
        <v>96</v>
      </c>
      <c r="P89" s="6">
        <v>584.95000000000005</v>
      </c>
      <c r="Q89" s="6"/>
      <c r="R89" s="7"/>
      <c r="S89" s="2">
        <v>7</v>
      </c>
      <c r="U89" s="2">
        <v>19.75</v>
      </c>
      <c r="W89" s="2">
        <v>14.73</v>
      </c>
      <c r="X89" s="2">
        <v>1</v>
      </c>
      <c r="Y89" s="2">
        <v>11.5</v>
      </c>
      <c r="Z89" s="2">
        <v>22.5</v>
      </c>
      <c r="AA89" s="2">
        <v>22.5</v>
      </c>
      <c r="AB89" s="2">
        <v>3.3690000000000002</v>
      </c>
      <c r="AC89" s="2">
        <v>20.079999999999998</v>
      </c>
      <c r="AE89" s="2">
        <v>1</v>
      </c>
      <c r="AF89" s="2" t="s">
        <v>347</v>
      </c>
      <c r="AG89" s="2">
        <v>38</v>
      </c>
      <c r="AK89" s="2" t="s">
        <v>96</v>
      </c>
      <c r="AM89" s="2" t="s">
        <v>95</v>
      </c>
      <c r="AN89" s="2" t="s">
        <v>96</v>
      </c>
      <c r="AO89" s="2" t="s">
        <v>95</v>
      </c>
      <c r="AP89" s="2" t="s">
        <v>97</v>
      </c>
      <c r="AQ89" s="2" t="s">
        <v>98</v>
      </c>
      <c r="AV89" s="2" t="s">
        <v>95</v>
      </c>
      <c r="AX89" s="2" t="s">
        <v>482</v>
      </c>
      <c r="AZ89" s="2" t="s">
        <v>483</v>
      </c>
      <c r="BB89" s="2" t="s">
        <v>490</v>
      </c>
      <c r="BC89" s="2" t="s">
        <v>498</v>
      </c>
      <c r="BF89" s="2" t="s">
        <v>499</v>
      </c>
      <c r="BG89" s="2" t="s">
        <v>95</v>
      </c>
      <c r="BH89" s="2" t="s">
        <v>95</v>
      </c>
      <c r="BI89" s="2" t="s">
        <v>95</v>
      </c>
      <c r="BK89" s="2" t="s">
        <v>100</v>
      </c>
      <c r="BQ89" s="2">
        <v>4.88</v>
      </c>
      <c r="BR89" s="2">
        <v>0.88</v>
      </c>
      <c r="BS89" s="2">
        <v>4.88</v>
      </c>
      <c r="BT89" s="2">
        <v>4.88</v>
      </c>
      <c r="CA89" s="2" t="s">
        <v>500</v>
      </c>
      <c r="CB89" s="2" t="s">
        <v>482</v>
      </c>
      <c r="CG89" s="2">
        <v>3000</v>
      </c>
      <c r="CH89" s="2">
        <v>93</v>
      </c>
      <c r="CI89" s="2">
        <v>3480</v>
      </c>
      <c r="CJ89" s="2">
        <v>2296</v>
      </c>
      <c r="CK89" s="2">
        <v>30000</v>
      </c>
      <c r="CL89" s="2" t="s">
        <v>96</v>
      </c>
      <c r="CM89" s="2" t="s">
        <v>96</v>
      </c>
      <c r="CN89" s="2" t="s">
        <v>494</v>
      </c>
      <c r="CO89" s="3">
        <v>42725</v>
      </c>
      <c r="CP89" s="3">
        <v>43634</v>
      </c>
    </row>
    <row r="90" spans="1:94" x14ac:dyDescent="0.25">
      <c r="A90" s="2" t="s">
        <v>501</v>
      </c>
      <c r="B90" s="2" t="str">
        <f xml:space="preserve"> "" &amp; 844349023463</f>
        <v>844349023463</v>
      </c>
      <c r="C90" s="2" t="s">
        <v>467</v>
      </c>
      <c r="D90" s="2" t="s">
        <v>489</v>
      </c>
      <c r="E90" s="2" t="s">
        <v>481</v>
      </c>
      <c r="F90" s="2" t="s">
        <v>340</v>
      </c>
      <c r="G90" s="2">
        <v>1</v>
      </c>
      <c r="H90" s="2">
        <v>1</v>
      </c>
      <c r="I90" s="2" t="s">
        <v>94</v>
      </c>
      <c r="J90" s="6">
        <v>559</v>
      </c>
      <c r="K90" s="6">
        <v>1677</v>
      </c>
      <c r="L90" s="2">
        <v>0</v>
      </c>
      <c r="N90" s="2">
        <v>0</v>
      </c>
      <c r="O90" s="2" t="s">
        <v>96</v>
      </c>
      <c r="P90" s="6">
        <v>1174.95</v>
      </c>
      <c r="Q90" s="6"/>
      <c r="R90" s="7"/>
      <c r="S90" s="2">
        <v>8.75</v>
      </c>
      <c r="T90" s="2">
        <v>32.25</v>
      </c>
      <c r="U90" s="2">
        <v>32.25</v>
      </c>
      <c r="W90" s="2">
        <v>33.82</v>
      </c>
      <c r="X90" s="2">
        <v>1</v>
      </c>
      <c r="Y90" s="2">
        <v>12.5</v>
      </c>
      <c r="Z90" s="2">
        <v>35</v>
      </c>
      <c r="AA90" s="2">
        <v>35</v>
      </c>
      <c r="AB90" s="2">
        <v>8.8610000000000007</v>
      </c>
      <c r="AC90" s="2">
        <v>43.92</v>
      </c>
      <c r="AE90" s="2">
        <v>1</v>
      </c>
      <c r="AF90" s="2" t="s">
        <v>347</v>
      </c>
      <c r="AG90" s="2">
        <v>76</v>
      </c>
      <c r="AK90" s="2" t="s">
        <v>96</v>
      </c>
      <c r="AM90" s="2" t="s">
        <v>95</v>
      </c>
      <c r="AN90" s="2" t="s">
        <v>96</v>
      </c>
      <c r="AO90" s="2" t="s">
        <v>95</v>
      </c>
      <c r="AP90" s="2" t="s">
        <v>97</v>
      </c>
      <c r="AQ90" s="2" t="s">
        <v>98</v>
      </c>
      <c r="AV90" s="2" t="s">
        <v>95</v>
      </c>
      <c r="AX90" s="2" t="s">
        <v>482</v>
      </c>
      <c r="AZ90" s="2" t="s">
        <v>449</v>
      </c>
      <c r="BB90" s="2" t="s">
        <v>490</v>
      </c>
      <c r="BC90" s="2" t="s">
        <v>498</v>
      </c>
      <c r="BF90" s="2" t="s">
        <v>502</v>
      </c>
      <c r="BG90" s="2" t="s">
        <v>95</v>
      </c>
      <c r="BH90" s="2" t="s">
        <v>95</v>
      </c>
      <c r="BI90" s="2" t="s">
        <v>95</v>
      </c>
      <c r="BK90" s="2" t="s">
        <v>100</v>
      </c>
      <c r="BR90" s="2">
        <v>0.88</v>
      </c>
      <c r="BS90" s="2">
        <v>4.88</v>
      </c>
      <c r="BT90" s="2">
        <v>4.88</v>
      </c>
      <c r="CA90" s="2" t="s">
        <v>503</v>
      </c>
      <c r="CB90" s="2" t="s">
        <v>482</v>
      </c>
      <c r="CG90" s="2">
        <v>3000</v>
      </c>
      <c r="CH90" s="2">
        <v>92</v>
      </c>
      <c r="CI90" s="2">
        <v>4815</v>
      </c>
      <c r="CJ90" s="2">
        <v>4117</v>
      </c>
      <c r="CK90" s="2">
        <v>30000</v>
      </c>
      <c r="CL90" s="2" t="s">
        <v>96</v>
      </c>
      <c r="CM90" s="2" t="s">
        <v>95</v>
      </c>
      <c r="CN90" s="2" t="s">
        <v>504</v>
      </c>
      <c r="CO90" s="3">
        <v>42951</v>
      </c>
      <c r="CP90" s="3">
        <v>43634</v>
      </c>
    </row>
    <row r="91" spans="1:94" x14ac:dyDescent="0.25">
      <c r="A91" s="2" t="s">
        <v>505</v>
      </c>
      <c r="B91" s="2" t="str">
        <f xml:space="preserve"> "" &amp; 844349022473</f>
        <v>844349022473</v>
      </c>
      <c r="C91" s="2" t="s">
        <v>467</v>
      </c>
      <c r="D91" s="2" t="s">
        <v>489</v>
      </c>
      <c r="E91" s="2" t="s">
        <v>481</v>
      </c>
      <c r="F91" s="2" t="s">
        <v>340</v>
      </c>
      <c r="G91" s="2">
        <v>1</v>
      </c>
      <c r="H91" s="2">
        <v>1</v>
      </c>
      <c r="I91" s="2" t="s">
        <v>94</v>
      </c>
      <c r="J91" s="6">
        <v>375</v>
      </c>
      <c r="K91" s="6">
        <v>1125</v>
      </c>
      <c r="L91" s="2">
        <v>0</v>
      </c>
      <c r="N91" s="2">
        <v>0</v>
      </c>
      <c r="O91" s="2" t="s">
        <v>96</v>
      </c>
      <c r="P91" s="6">
        <v>789.95</v>
      </c>
      <c r="Q91" s="6"/>
      <c r="R91" s="7"/>
      <c r="S91" s="2">
        <v>7.75</v>
      </c>
      <c r="U91" s="2">
        <v>26</v>
      </c>
      <c r="W91" s="2">
        <v>23.46</v>
      </c>
      <c r="X91" s="2">
        <v>1</v>
      </c>
      <c r="Y91" s="2">
        <v>12.5</v>
      </c>
      <c r="Z91" s="2">
        <v>30.5</v>
      </c>
      <c r="AA91" s="2">
        <v>30.5</v>
      </c>
      <c r="AB91" s="2">
        <v>6.7290000000000001</v>
      </c>
      <c r="AC91" s="2">
        <v>30.2</v>
      </c>
      <c r="AE91" s="2">
        <v>1</v>
      </c>
      <c r="AF91" s="2" t="s">
        <v>347</v>
      </c>
      <c r="AG91" s="2">
        <v>52</v>
      </c>
      <c r="AK91" s="2" t="s">
        <v>96</v>
      </c>
      <c r="AM91" s="2" t="s">
        <v>95</v>
      </c>
      <c r="AN91" s="2" t="s">
        <v>96</v>
      </c>
      <c r="AO91" s="2" t="s">
        <v>95</v>
      </c>
      <c r="AP91" s="2" t="s">
        <v>97</v>
      </c>
      <c r="AQ91" s="2" t="s">
        <v>98</v>
      </c>
      <c r="AV91" s="2" t="s">
        <v>95</v>
      </c>
      <c r="AX91" s="2" t="s">
        <v>482</v>
      </c>
      <c r="AZ91" s="2" t="s">
        <v>483</v>
      </c>
      <c r="BB91" s="2" t="s">
        <v>490</v>
      </c>
      <c r="BC91" s="2" t="s">
        <v>498</v>
      </c>
      <c r="BF91" s="2" t="s">
        <v>506</v>
      </c>
      <c r="BG91" s="2" t="s">
        <v>95</v>
      </c>
      <c r="BH91" s="2" t="s">
        <v>95</v>
      </c>
      <c r="BI91" s="2" t="s">
        <v>95</v>
      </c>
      <c r="BK91" s="2" t="s">
        <v>100</v>
      </c>
      <c r="BR91" s="2">
        <v>0.88</v>
      </c>
      <c r="BS91" s="2">
        <v>4.88</v>
      </c>
      <c r="BT91" s="2">
        <v>4.88</v>
      </c>
      <c r="CA91" s="2" t="s">
        <v>507</v>
      </c>
      <c r="CB91" s="2" t="s">
        <v>482</v>
      </c>
      <c r="CG91" s="2">
        <v>3000</v>
      </c>
      <c r="CH91" s="2">
        <v>93</v>
      </c>
      <c r="CI91" s="2">
        <v>4862</v>
      </c>
      <c r="CJ91" s="2">
        <v>3081</v>
      </c>
      <c r="CK91" s="2">
        <v>30000</v>
      </c>
      <c r="CL91" s="2" t="s">
        <v>96</v>
      </c>
      <c r="CM91" s="2" t="s">
        <v>96</v>
      </c>
      <c r="CN91" s="2" t="s">
        <v>508</v>
      </c>
      <c r="CO91" s="3">
        <v>42725</v>
      </c>
      <c r="CP91" s="3">
        <v>43634</v>
      </c>
    </row>
    <row r="92" spans="1:94" x14ac:dyDescent="0.25">
      <c r="A92" s="2" t="s">
        <v>509</v>
      </c>
      <c r="B92" s="2" t="str">
        <f xml:space="preserve"> "" &amp; 844349023470</f>
        <v>844349023470</v>
      </c>
      <c r="C92" s="2" t="s">
        <v>510</v>
      </c>
      <c r="D92" s="2" t="s">
        <v>511</v>
      </c>
      <c r="E92" s="2" t="s">
        <v>481</v>
      </c>
      <c r="F92" s="2" t="s">
        <v>340</v>
      </c>
      <c r="G92" s="2">
        <v>1</v>
      </c>
      <c r="H92" s="2">
        <v>1</v>
      </c>
      <c r="I92" s="2" t="s">
        <v>94</v>
      </c>
      <c r="J92" s="6">
        <v>555</v>
      </c>
      <c r="K92" s="6">
        <v>1665</v>
      </c>
      <c r="L92" s="2">
        <v>0</v>
      </c>
      <c r="N92" s="2">
        <v>0</v>
      </c>
      <c r="O92" s="2" t="s">
        <v>96</v>
      </c>
      <c r="P92" s="6">
        <v>1165.95</v>
      </c>
      <c r="Q92" s="6"/>
      <c r="R92" s="7"/>
      <c r="S92" s="2">
        <v>8</v>
      </c>
      <c r="T92" s="2">
        <v>44</v>
      </c>
      <c r="U92" s="2">
        <v>12.25</v>
      </c>
      <c r="W92" s="2">
        <v>26.46</v>
      </c>
      <c r="X92" s="2">
        <v>1</v>
      </c>
      <c r="Y92" s="2">
        <v>10.5</v>
      </c>
      <c r="Z92" s="2">
        <v>47</v>
      </c>
      <c r="AA92" s="2">
        <v>14.38</v>
      </c>
      <c r="AB92" s="2">
        <v>4.1070000000000002</v>
      </c>
      <c r="AC92" s="2">
        <v>31.75</v>
      </c>
      <c r="AE92" s="2">
        <v>3</v>
      </c>
      <c r="AF92" s="2" t="s">
        <v>347</v>
      </c>
      <c r="AG92" s="2">
        <v>48</v>
      </c>
      <c r="AK92" s="2" t="s">
        <v>96</v>
      </c>
      <c r="AM92" s="2" t="s">
        <v>95</v>
      </c>
      <c r="AN92" s="2" t="s">
        <v>96</v>
      </c>
      <c r="AO92" s="2" t="s">
        <v>95</v>
      </c>
      <c r="AP92" s="2" t="s">
        <v>97</v>
      </c>
      <c r="AQ92" s="2" t="s">
        <v>98</v>
      </c>
      <c r="AV92" s="2" t="s">
        <v>95</v>
      </c>
      <c r="AX92" s="2" t="s">
        <v>482</v>
      </c>
      <c r="AZ92" s="2" t="s">
        <v>449</v>
      </c>
      <c r="BB92" s="2" t="s">
        <v>490</v>
      </c>
      <c r="BC92" s="2" t="s">
        <v>498</v>
      </c>
      <c r="BF92" s="2" t="s">
        <v>512</v>
      </c>
      <c r="BG92" s="2" t="s">
        <v>95</v>
      </c>
      <c r="BH92" s="2" t="s">
        <v>95</v>
      </c>
      <c r="BI92" s="2" t="s">
        <v>95</v>
      </c>
      <c r="BK92" s="2" t="s">
        <v>100</v>
      </c>
      <c r="BR92" s="2">
        <v>0.75</v>
      </c>
      <c r="BS92" s="2">
        <v>12.75</v>
      </c>
      <c r="BT92" s="2">
        <v>12.75</v>
      </c>
      <c r="CA92" s="2" t="s">
        <v>513</v>
      </c>
      <c r="CB92" s="2" t="s">
        <v>482</v>
      </c>
      <c r="CG92" s="2">
        <v>3000</v>
      </c>
      <c r="CH92" s="2">
        <v>93</v>
      </c>
      <c r="CI92" s="2">
        <v>2736</v>
      </c>
      <c r="CJ92" s="2">
        <v>2350</v>
      </c>
      <c r="CK92" s="2">
        <v>30000</v>
      </c>
      <c r="CL92" s="2" t="s">
        <v>96</v>
      </c>
      <c r="CM92" s="2" t="s">
        <v>95</v>
      </c>
      <c r="CN92" s="2" t="s">
        <v>471</v>
      </c>
      <c r="CO92" s="3">
        <v>42951</v>
      </c>
      <c r="CP92" s="3">
        <v>43634</v>
      </c>
    </row>
    <row r="93" spans="1:94" x14ac:dyDescent="0.25">
      <c r="A93" s="2" t="s">
        <v>514</v>
      </c>
      <c r="B93" s="2" t="str">
        <f xml:space="preserve"> "" &amp; 844349011200</f>
        <v>844349011200</v>
      </c>
      <c r="C93" s="2" t="s">
        <v>515</v>
      </c>
      <c r="D93" s="2" t="s">
        <v>516</v>
      </c>
      <c r="E93" s="2" t="s">
        <v>517</v>
      </c>
      <c r="F93" s="2" t="s">
        <v>518</v>
      </c>
      <c r="G93" s="2">
        <v>1</v>
      </c>
      <c r="H93" s="2">
        <v>1</v>
      </c>
      <c r="I93" s="2" t="s">
        <v>94</v>
      </c>
      <c r="J93" s="6">
        <v>69</v>
      </c>
      <c r="K93" s="6">
        <v>207</v>
      </c>
      <c r="L93" s="2">
        <v>0</v>
      </c>
      <c r="N93" s="2">
        <v>0</v>
      </c>
      <c r="Q93" s="6"/>
      <c r="R93" s="7"/>
      <c r="S93" s="2">
        <v>19.5</v>
      </c>
      <c r="T93" s="2">
        <v>14.5</v>
      </c>
      <c r="U93" s="2">
        <v>11</v>
      </c>
      <c r="W93" s="2">
        <v>8.82</v>
      </c>
      <c r="X93" s="2">
        <v>1</v>
      </c>
      <c r="Y93" s="2">
        <v>10.5</v>
      </c>
      <c r="Z93" s="2">
        <v>21.75</v>
      </c>
      <c r="AA93" s="2">
        <v>15.25</v>
      </c>
      <c r="AB93" s="2">
        <v>2.0150000000000001</v>
      </c>
      <c r="AC93" s="2">
        <v>11.53</v>
      </c>
      <c r="AE93" s="2">
        <v>1</v>
      </c>
      <c r="AF93" s="2" t="s">
        <v>519</v>
      </c>
      <c r="AG93" s="2">
        <v>100</v>
      </c>
      <c r="AH93" s="2">
        <v>1</v>
      </c>
      <c r="AI93" s="2" t="s">
        <v>520</v>
      </c>
      <c r="AJ93" s="2">
        <v>13</v>
      </c>
      <c r="AK93" s="2" t="s">
        <v>95</v>
      </c>
      <c r="AM93" s="2" t="s">
        <v>95</v>
      </c>
      <c r="AN93" s="2" t="s">
        <v>96</v>
      </c>
      <c r="AO93" s="2" t="s">
        <v>95</v>
      </c>
      <c r="AP93" s="2" t="s">
        <v>97</v>
      </c>
      <c r="AQ93" s="2" t="s">
        <v>98</v>
      </c>
      <c r="AV93" s="2" t="s">
        <v>95</v>
      </c>
      <c r="AX93" s="2" t="s">
        <v>521</v>
      </c>
      <c r="AZ93" s="2" t="s">
        <v>483</v>
      </c>
      <c r="BB93" s="2" t="s">
        <v>522</v>
      </c>
      <c r="BC93" s="2" t="s">
        <v>521</v>
      </c>
      <c r="BF93" s="2" t="s">
        <v>523</v>
      </c>
      <c r="BG93" s="2" t="s">
        <v>95</v>
      </c>
      <c r="BH93" s="2" t="s">
        <v>95</v>
      </c>
      <c r="BI93" s="2" t="s">
        <v>95</v>
      </c>
      <c r="BK93" s="2" t="s">
        <v>100</v>
      </c>
      <c r="CA93" s="2" t="s">
        <v>524</v>
      </c>
      <c r="CB93" s="2" t="s">
        <v>521</v>
      </c>
      <c r="CL93" s="2" t="s">
        <v>95</v>
      </c>
      <c r="CM93" s="2" t="s">
        <v>95</v>
      </c>
      <c r="CN93" s="2" t="s">
        <v>212</v>
      </c>
      <c r="CO93" s="3">
        <v>40802</v>
      </c>
      <c r="CP93" s="3">
        <v>43634</v>
      </c>
    </row>
    <row r="94" spans="1:94" x14ac:dyDescent="0.25">
      <c r="A94" s="2" t="s">
        <v>525</v>
      </c>
      <c r="B94" s="2" t="str">
        <f xml:space="preserve"> "" &amp; 844349013839</f>
        <v>844349013839</v>
      </c>
      <c r="C94" s="2" t="s">
        <v>526</v>
      </c>
      <c r="D94" s="2" t="s">
        <v>527</v>
      </c>
      <c r="E94" s="2" t="s">
        <v>528</v>
      </c>
      <c r="F94" s="2" t="s">
        <v>418</v>
      </c>
      <c r="G94" s="2">
        <v>1</v>
      </c>
      <c r="H94" s="2">
        <v>1</v>
      </c>
      <c r="I94" s="2" t="s">
        <v>94</v>
      </c>
      <c r="J94" s="6">
        <v>105</v>
      </c>
      <c r="K94" s="6">
        <v>315</v>
      </c>
      <c r="L94" s="2">
        <v>0</v>
      </c>
      <c r="N94" s="2">
        <v>0</v>
      </c>
      <c r="O94" s="2" t="s">
        <v>96</v>
      </c>
      <c r="P94" s="6">
        <v>219.95</v>
      </c>
      <c r="Q94" s="6"/>
      <c r="R94" s="7"/>
      <c r="S94" s="2">
        <v>11.25</v>
      </c>
      <c r="T94" s="2">
        <v>14</v>
      </c>
      <c r="U94" s="2">
        <v>6</v>
      </c>
      <c r="V94" s="2">
        <v>2.25</v>
      </c>
      <c r="W94" s="2">
        <v>4.28</v>
      </c>
      <c r="X94" s="2">
        <v>1</v>
      </c>
      <c r="Y94" s="2">
        <v>4.5</v>
      </c>
      <c r="Z94" s="2">
        <v>14</v>
      </c>
      <c r="AA94" s="2">
        <v>8.25</v>
      </c>
      <c r="AB94" s="2">
        <v>0.30099999999999999</v>
      </c>
      <c r="AC94" s="2">
        <v>4.8499999999999996</v>
      </c>
      <c r="AE94" s="2">
        <v>1</v>
      </c>
      <c r="AF94" s="2" t="s">
        <v>347</v>
      </c>
      <c r="AG94" s="2">
        <v>12</v>
      </c>
      <c r="AK94" s="2" t="s">
        <v>96</v>
      </c>
      <c r="AM94" s="2" t="s">
        <v>95</v>
      </c>
      <c r="AN94" s="2" t="s">
        <v>96</v>
      </c>
      <c r="AO94" s="2" t="s">
        <v>95</v>
      </c>
      <c r="AP94" s="2" t="s">
        <v>97</v>
      </c>
      <c r="AQ94" s="2" t="s">
        <v>98</v>
      </c>
      <c r="AR94" s="4">
        <v>41402</v>
      </c>
      <c r="AV94" s="2" t="s">
        <v>95</v>
      </c>
      <c r="AX94" s="2" t="s">
        <v>529</v>
      </c>
      <c r="AZ94" s="2" t="s">
        <v>342</v>
      </c>
      <c r="BB94" s="2" t="s">
        <v>329</v>
      </c>
      <c r="BC94" s="2" t="s">
        <v>530</v>
      </c>
      <c r="BF94" s="2" t="s">
        <v>531</v>
      </c>
      <c r="BG94" s="2" t="s">
        <v>95</v>
      </c>
      <c r="BH94" s="2" t="s">
        <v>96</v>
      </c>
      <c r="BI94" s="2" t="s">
        <v>95</v>
      </c>
      <c r="BK94" s="2" t="s">
        <v>414</v>
      </c>
      <c r="BL94" s="2" t="s">
        <v>350</v>
      </c>
      <c r="BR94" s="2">
        <v>0.38</v>
      </c>
      <c r="BT94" s="2">
        <v>4.75</v>
      </c>
      <c r="CA94" s="2" t="s">
        <v>532</v>
      </c>
      <c r="CB94" s="2" t="s">
        <v>529</v>
      </c>
      <c r="CG94" s="2">
        <v>3000</v>
      </c>
      <c r="CH94" s="2">
        <v>90</v>
      </c>
      <c r="CI94" s="2">
        <v>974.09</v>
      </c>
      <c r="CJ94" s="2">
        <v>499.43</v>
      </c>
      <c r="CK94" s="2">
        <v>30000</v>
      </c>
      <c r="CL94" s="2" t="s">
        <v>96</v>
      </c>
      <c r="CM94" s="2" t="s">
        <v>95</v>
      </c>
      <c r="CN94" s="2" t="s">
        <v>533</v>
      </c>
      <c r="CO94" s="3">
        <v>41402</v>
      </c>
      <c r="CP94" s="3">
        <v>43634</v>
      </c>
    </row>
    <row r="95" spans="1:94" x14ac:dyDescent="0.25">
      <c r="A95" s="2" t="s">
        <v>534</v>
      </c>
      <c r="B95" s="2" t="str">
        <f xml:space="preserve"> "" &amp; 844349013846</f>
        <v>844349013846</v>
      </c>
      <c r="C95" s="2" t="s">
        <v>535</v>
      </c>
      <c r="D95" s="2" t="s">
        <v>536</v>
      </c>
      <c r="E95" s="2" t="s">
        <v>528</v>
      </c>
      <c r="F95" s="2" t="s">
        <v>102</v>
      </c>
      <c r="G95" s="2">
        <v>1</v>
      </c>
      <c r="H95" s="2">
        <v>1</v>
      </c>
      <c r="I95" s="2" t="s">
        <v>94</v>
      </c>
      <c r="J95" s="6">
        <v>179</v>
      </c>
      <c r="K95" s="6">
        <v>537</v>
      </c>
      <c r="L95" s="2">
        <v>0</v>
      </c>
      <c r="N95" s="2">
        <v>0</v>
      </c>
      <c r="O95" s="2" t="s">
        <v>96</v>
      </c>
      <c r="P95" s="6">
        <v>374.95</v>
      </c>
      <c r="Q95" s="6"/>
      <c r="R95" s="7"/>
      <c r="S95" s="2">
        <v>3.25</v>
      </c>
      <c r="T95" s="2">
        <v>14</v>
      </c>
      <c r="U95" s="2">
        <v>14</v>
      </c>
      <c r="W95" s="2">
        <v>12.24</v>
      </c>
      <c r="X95" s="2">
        <v>1</v>
      </c>
      <c r="Y95" s="2">
        <v>6.75</v>
      </c>
      <c r="Z95" s="2">
        <v>17.25</v>
      </c>
      <c r="AA95" s="2">
        <v>17.25</v>
      </c>
      <c r="AB95" s="2">
        <v>1.1619999999999999</v>
      </c>
      <c r="AC95" s="2">
        <v>14.48</v>
      </c>
      <c r="AE95" s="2">
        <v>1</v>
      </c>
      <c r="AF95" s="2" t="s">
        <v>347</v>
      </c>
      <c r="AG95" s="2">
        <v>30</v>
      </c>
      <c r="AK95" s="2" t="s">
        <v>96</v>
      </c>
      <c r="AM95" s="2" t="s">
        <v>95</v>
      </c>
      <c r="AN95" s="2" t="s">
        <v>96</v>
      </c>
      <c r="AO95" s="2" t="s">
        <v>95</v>
      </c>
      <c r="AP95" s="2" t="s">
        <v>97</v>
      </c>
      <c r="AQ95" s="2" t="s">
        <v>98</v>
      </c>
      <c r="AV95" s="2" t="s">
        <v>95</v>
      </c>
      <c r="AX95" s="2" t="s">
        <v>529</v>
      </c>
      <c r="AZ95" s="2" t="s">
        <v>342</v>
      </c>
      <c r="BB95" s="2" t="s">
        <v>54</v>
      </c>
      <c r="BC95" s="2" t="s">
        <v>537</v>
      </c>
      <c r="BF95" s="2" t="s">
        <v>538</v>
      </c>
      <c r="BG95" s="2" t="s">
        <v>95</v>
      </c>
      <c r="BH95" s="2" t="s">
        <v>96</v>
      </c>
      <c r="BI95" s="2" t="s">
        <v>95</v>
      </c>
      <c r="BK95" s="2" t="s">
        <v>539</v>
      </c>
      <c r="BR95" s="2">
        <v>1.5</v>
      </c>
      <c r="BS95" s="2">
        <v>12</v>
      </c>
      <c r="BT95" s="2">
        <v>12</v>
      </c>
      <c r="CA95" s="2" t="s">
        <v>540</v>
      </c>
      <c r="CB95" s="2" t="s">
        <v>529</v>
      </c>
      <c r="CG95" s="2">
        <v>3000</v>
      </c>
      <c r="CH95" s="2">
        <v>90</v>
      </c>
      <c r="CI95" s="2">
        <v>2020.14</v>
      </c>
      <c r="CJ95" s="2">
        <v>978</v>
      </c>
      <c r="CK95" s="2">
        <v>30000</v>
      </c>
      <c r="CL95" s="2" t="s">
        <v>96</v>
      </c>
      <c r="CM95" s="2" t="s">
        <v>95</v>
      </c>
      <c r="CN95" s="2" t="s">
        <v>541</v>
      </c>
      <c r="CO95" s="3">
        <v>41447</v>
      </c>
      <c r="CP95" s="3">
        <v>43634</v>
      </c>
    </row>
    <row r="96" spans="1:94" x14ac:dyDescent="0.25">
      <c r="A96" s="2" t="s">
        <v>542</v>
      </c>
      <c r="B96" s="2" t="str">
        <f xml:space="preserve"> "" &amp; 844349013860</f>
        <v>844349013860</v>
      </c>
      <c r="C96" s="2" t="s">
        <v>526</v>
      </c>
      <c r="D96" s="2" t="s">
        <v>543</v>
      </c>
      <c r="E96" s="2" t="s">
        <v>544</v>
      </c>
      <c r="F96" s="2" t="s">
        <v>418</v>
      </c>
      <c r="G96" s="2">
        <v>1</v>
      </c>
      <c r="H96" s="2">
        <v>1</v>
      </c>
      <c r="I96" s="2" t="s">
        <v>94</v>
      </c>
      <c r="J96" s="6">
        <v>95</v>
      </c>
      <c r="K96" s="6">
        <v>285</v>
      </c>
      <c r="L96" s="2">
        <v>0</v>
      </c>
      <c r="N96" s="2">
        <v>0</v>
      </c>
      <c r="Q96" s="6"/>
      <c r="R96" s="7"/>
      <c r="S96" s="2">
        <v>14.75</v>
      </c>
      <c r="T96" s="2">
        <v>16.63</v>
      </c>
      <c r="U96" s="2">
        <v>6</v>
      </c>
      <c r="V96" s="2">
        <v>2.5</v>
      </c>
      <c r="W96" s="2">
        <v>4.59</v>
      </c>
      <c r="X96" s="2">
        <v>1</v>
      </c>
      <c r="Y96" s="2">
        <v>5</v>
      </c>
      <c r="Z96" s="2">
        <v>16.63</v>
      </c>
      <c r="AA96" s="2">
        <v>8</v>
      </c>
      <c r="AB96" s="2">
        <v>0.38500000000000001</v>
      </c>
      <c r="AC96" s="2">
        <v>5.18</v>
      </c>
      <c r="AE96" s="2">
        <v>1</v>
      </c>
      <c r="AF96" s="2" t="s">
        <v>347</v>
      </c>
      <c r="AG96" s="2">
        <v>12</v>
      </c>
      <c r="AK96" s="2" t="s">
        <v>96</v>
      </c>
      <c r="AM96" s="2" t="s">
        <v>95</v>
      </c>
      <c r="AN96" s="2" t="s">
        <v>96</v>
      </c>
      <c r="AO96" s="2" t="s">
        <v>95</v>
      </c>
      <c r="AP96" s="2" t="s">
        <v>97</v>
      </c>
      <c r="AQ96" s="2" t="s">
        <v>98</v>
      </c>
      <c r="AV96" s="2" t="s">
        <v>95</v>
      </c>
      <c r="AX96" s="2" t="s">
        <v>116</v>
      </c>
      <c r="AZ96" s="2" t="s">
        <v>342</v>
      </c>
      <c r="BB96" s="2" t="s">
        <v>329</v>
      </c>
      <c r="BF96" s="2" t="s">
        <v>545</v>
      </c>
      <c r="BG96" s="2" t="s">
        <v>95</v>
      </c>
      <c r="BH96" s="2" t="s">
        <v>95</v>
      </c>
      <c r="BI96" s="2" t="s">
        <v>95</v>
      </c>
      <c r="BK96" s="2" t="s">
        <v>414</v>
      </c>
      <c r="BL96" s="2" t="s">
        <v>350</v>
      </c>
      <c r="BM96" s="2">
        <v>12</v>
      </c>
      <c r="BN96" s="2">
        <v>5</v>
      </c>
      <c r="CA96" s="2" t="s">
        <v>546</v>
      </c>
      <c r="CB96" s="2" t="s">
        <v>116</v>
      </c>
      <c r="CG96" s="2">
        <v>3000</v>
      </c>
      <c r="CH96" s="2">
        <v>90</v>
      </c>
      <c r="CI96" s="2">
        <v>1108.04</v>
      </c>
      <c r="CJ96" s="2">
        <v>669.15</v>
      </c>
      <c r="CK96" s="2">
        <v>30000</v>
      </c>
      <c r="CL96" s="2" t="s">
        <v>96</v>
      </c>
      <c r="CM96" s="2" t="s">
        <v>95</v>
      </c>
      <c r="CN96" s="2" t="s">
        <v>547</v>
      </c>
      <c r="CO96" s="3">
        <v>41565</v>
      </c>
      <c r="CP96" s="3">
        <v>43634</v>
      </c>
    </row>
    <row r="97" spans="1:94" x14ac:dyDescent="0.25">
      <c r="A97" s="2" t="s">
        <v>548</v>
      </c>
      <c r="B97" s="2" t="str">
        <f xml:space="preserve"> "" &amp; 844349013891</f>
        <v>844349013891</v>
      </c>
      <c r="C97" s="2" t="s">
        <v>526</v>
      </c>
      <c r="D97" s="2" t="s">
        <v>526</v>
      </c>
      <c r="F97" s="2" t="s">
        <v>418</v>
      </c>
      <c r="G97" s="2">
        <v>1</v>
      </c>
      <c r="H97" s="2">
        <v>1</v>
      </c>
      <c r="I97" s="2" t="s">
        <v>94</v>
      </c>
      <c r="J97" s="6">
        <v>105</v>
      </c>
      <c r="K97" s="6">
        <v>315</v>
      </c>
      <c r="L97" s="2">
        <v>0</v>
      </c>
      <c r="N97" s="2">
        <v>0</v>
      </c>
      <c r="O97" s="2" t="s">
        <v>96</v>
      </c>
      <c r="P97" s="6">
        <v>219.95</v>
      </c>
      <c r="Q97" s="6"/>
      <c r="R97" s="7"/>
      <c r="S97" s="2">
        <v>12</v>
      </c>
      <c r="T97" s="2">
        <v>15.75</v>
      </c>
      <c r="U97" s="2">
        <v>6</v>
      </c>
      <c r="V97" s="2">
        <v>2.25</v>
      </c>
      <c r="W97" s="2">
        <v>4.1900000000000004</v>
      </c>
      <c r="X97" s="2">
        <v>1</v>
      </c>
      <c r="Y97" s="2">
        <v>8.25</v>
      </c>
      <c r="Z97" s="2">
        <v>15.75</v>
      </c>
      <c r="AA97" s="2">
        <v>8.5</v>
      </c>
      <c r="AB97" s="2">
        <v>0.63900000000000001</v>
      </c>
      <c r="AC97" s="2">
        <v>5.07</v>
      </c>
      <c r="AE97" s="2">
        <v>1</v>
      </c>
      <c r="AF97" s="2" t="s">
        <v>347</v>
      </c>
      <c r="AG97" s="2">
        <v>12</v>
      </c>
      <c r="AK97" s="2" t="s">
        <v>96</v>
      </c>
      <c r="AL97" s="2">
        <v>1</v>
      </c>
      <c r="AM97" s="2" t="s">
        <v>95</v>
      </c>
      <c r="AN97" s="2" t="s">
        <v>96</v>
      </c>
      <c r="AO97" s="2" t="s">
        <v>95</v>
      </c>
      <c r="AP97" s="2" t="s">
        <v>97</v>
      </c>
      <c r="AQ97" s="2" t="s">
        <v>98</v>
      </c>
      <c r="AV97" s="2" t="s">
        <v>95</v>
      </c>
      <c r="AX97" s="2" t="s">
        <v>529</v>
      </c>
      <c r="AZ97" s="2" t="s">
        <v>342</v>
      </c>
      <c r="BB97" s="2" t="s">
        <v>54</v>
      </c>
      <c r="BC97" s="2" t="s">
        <v>549</v>
      </c>
      <c r="BF97" s="2" t="s">
        <v>550</v>
      </c>
      <c r="BG97" s="2" t="s">
        <v>95</v>
      </c>
      <c r="BH97" s="2" t="s">
        <v>96</v>
      </c>
      <c r="BI97" s="2" t="s">
        <v>95</v>
      </c>
      <c r="BK97" s="2" t="s">
        <v>414</v>
      </c>
      <c r="BL97" s="2" t="s">
        <v>476</v>
      </c>
      <c r="BR97" s="2">
        <v>8.5</v>
      </c>
      <c r="BT97" s="2">
        <v>4.75</v>
      </c>
      <c r="CA97" s="2" t="s">
        <v>551</v>
      </c>
      <c r="CB97" s="2" t="s">
        <v>529</v>
      </c>
      <c r="CG97" s="2">
        <v>3000</v>
      </c>
      <c r="CH97" s="2">
        <v>90</v>
      </c>
      <c r="CI97" s="2">
        <v>1021.11</v>
      </c>
      <c r="CJ97" s="2">
        <v>544.29</v>
      </c>
      <c r="CK97" s="2">
        <v>30000</v>
      </c>
      <c r="CL97" s="2" t="s">
        <v>96</v>
      </c>
      <c r="CM97" s="2" t="s">
        <v>95</v>
      </c>
      <c r="CN97" s="2" t="s">
        <v>552</v>
      </c>
      <c r="CO97" s="3">
        <v>41403</v>
      </c>
      <c r="CP97" s="3">
        <v>43634</v>
      </c>
    </row>
    <row r="98" spans="1:94" x14ac:dyDescent="0.25">
      <c r="A98" s="2" t="s">
        <v>553</v>
      </c>
      <c r="B98" s="2" t="str">
        <f xml:space="preserve"> "" &amp; 844349013907</f>
        <v>844349013907</v>
      </c>
      <c r="C98" s="2" t="s">
        <v>526</v>
      </c>
      <c r="D98" s="2" t="s">
        <v>554</v>
      </c>
      <c r="E98" s="2" t="s">
        <v>3710</v>
      </c>
      <c r="F98" s="2" t="s">
        <v>418</v>
      </c>
      <c r="G98" s="2">
        <v>1</v>
      </c>
      <c r="H98" s="2">
        <v>1</v>
      </c>
      <c r="I98" s="2" t="s">
        <v>94</v>
      </c>
      <c r="J98" s="6">
        <v>95</v>
      </c>
      <c r="K98" s="6">
        <v>285</v>
      </c>
      <c r="L98" s="2">
        <v>0</v>
      </c>
      <c r="N98" s="2">
        <v>0</v>
      </c>
      <c r="O98" s="2" t="s">
        <v>96</v>
      </c>
      <c r="P98" s="6">
        <v>199.95</v>
      </c>
      <c r="Q98" s="6"/>
      <c r="R98" s="7"/>
      <c r="S98" s="2">
        <v>6.75</v>
      </c>
      <c r="T98" s="2">
        <v>8.5</v>
      </c>
      <c r="U98" s="2">
        <v>6.75</v>
      </c>
      <c r="V98" s="2">
        <v>2.25</v>
      </c>
      <c r="W98" s="2">
        <v>2.36</v>
      </c>
      <c r="X98" s="2">
        <v>1</v>
      </c>
      <c r="Y98" s="2">
        <v>4.75</v>
      </c>
      <c r="Z98" s="2">
        <v>8.5</v>
      </c>
      <c r="AA98" s="2">
        <v>8.5</v>
      </c>
      <c r="AB98" s="2">
        <v>0.19900000000000001</v>
      </c>
      <c r="AC98" s="2">
        <v>2.76</v>
      </c>
      <c r="AE98" s="2">
        <v>1</v>
      </c>
      <c r="AF98" s="2" t="s">
        <v>347</v>
      </c>
      <c r="AG98" s="2">
        <v>12</v>
      </c>
      <c r="AK98" s="2" t="s">
        <v>96</v>
      </c>
      <c r="AM98" s="2" t="s">
        <v>95</v>
      </c>
      <c r="AN98" s="2" t="s">
        <v>96</v>
      </c>
      <c r="AO98" s="2" t="s">
        <v>95</v>
      </c>
      <c r="AP98" s="2" t="s">
        <v>97</v>
      </c>
      <c r="AQ98" s="2" t="s">
        <v>98</v>
      </c>
      <c r="AV98" s="2" t="s">
        <v>95</v>
      </c>
      <c r="AX98" s="2" t="s">
        <v>116</v>
      </c>
      <c r="AZ98" s="2" t="s">
        <v>342</v>
      </c>
      <c r="BB98" s="2" t="s">
        <v>54</v>
      </c>
      <c r="BC98" s="2" t="s">
        <v>555</v>
      </c>
      <c r="BF98" s="2" t="s">
        <v>556</v>
      </c>
      <c r="BG98" s="2" t="s">
        <v>95</v>
      </c>
      <c r="BH98" s="2" t="s">
        <v>96</v>
      </c>
      <c r="BI98" s="2" t="s">
        <v>95</v>
      </c>
      <c r="BK98" s="2" t="s">
        <v>539</v>
      </c>
      <c r="BL98" s="2" t="s">
        <v>350</v>
      </c>
      <c r="BR98" s="2">
        <v>5</v>
      </c>
      <c r="BT98" s="2">
        <v>5</v>
      </c>
      <c r="CA98" s="2" t="s">
        <v>557</v>
      </c>
      <c r="CB98" s="2" t="s">
        <v>116</v>
      </c>
      <c r="CG98" s="2">
        <v>3000</v>
      </c>
      <c r="CH98" s="2">
        <v>98</v>
      </c>
      <c r="CI98" s="2">
        <v>1067.73</v>
      </c>
      <c r="CJ98" s="2">
        <v>735.28</v>
      </c>
      <c r="CK98" s="2">
        <v>30000</v>
      </c>
      <c r="CL98" s="2" t="s">
        <v>96</v>
      </c>
      <c r="CM98" s="2" t="s">
        <v>95</v>
      </c>
      <c r="CN98" s="2" t="s">
        <v>547</v>
      </c>
      <c r="CO98" s="3">
        <v>41393</v>
      </c>
      <c r="CP98" s="3">
        <v>43634</v>
      </c>
    </row>
    <row r="99" spans="1:94" x14ac:dyDescent="0.25">
      <c r="A99" s="2" t="s">
        <v>558</v>
      </c>
      <c r="B99" s="2" t="str">
        <f xml:space="preserve"> "" &amp; 844349013914</f>
        <v>844349013914</v>
      </c>
      <c r="C99" s="2" t="s">
        <v>526</v>
      </c>
      <c r="D99" s="2" t="s">
        <v>554</v>
      </c>
      <c r="E99" s="2" t="s">
        <v>3710</v>
      </c>
      <c r="F99" s="2" t="s">
        <v>418</v>
      </c>
      <c r="G99" s="2">
        <v>1</v>
      </c>
      <c r="H99" s="2">
        <v>1</v>
      </c>
      <c r="I99" s="2" t="s">
        <v>94</v>
      </c>
      <c r="J99" s="6">
        <v>115</v>
      </c>
      <c r="K99" s="6">
        <v>345</v>
      </c>
      <c r="L99" s="2">
        <v>0</v>
      </c>
      <c r="N99" s="2">
        <v>0</v>
      </c>
      <c r="O99" s="2" t="s">
        <v>96</v>
      </c>
      <c r="P99" s="6">
        <v>239.95</v>
      </c>
      <c r="Q99" s="6"/>
      <c r="R99" s="7"/>
      <c r="S99" s="2">
        <v>12</v>
      </c>
      <c r="T99" s="2">
        <v>14</v>
      </c>
      <c r="U99" s="2">
        <v>6.75</v>
      </c>
      <c r="V99" s="2">
        <v>2.25</v>
      </c>
      <c r="W99" s="2">
        <v>3.81</v>
      </c>
      <c r="X99" s="2">
        <v>1</v>
      </c>
      <c r="Y99" s="2">
        <v>4.75</v>
      </c>
      <c r="Z99" s="2">
        <v>14</v>
      </c>
      <c r="AA99" s="2">
        <v>8.5</v>
      </c>
      <c r="AB99" s="2">
        <v>0.32700000000000001</v>
      </c>
      <c r="AC99" s="2">
        <v>4.4800000000000004</v>
      </c>
      <c r="AE99" s="2">
        <v>1</v>
      </c>
      <c r="AF99" s="2" t="s">
        <v>347</v>
      </c>
      <c r="AG99" s="2">
        <v>12</v>
      </c>
      <c r="AK99" s="2" t="s">
        <v>96</v>
      </c>
      <c r="AM99" s="2" t="s">
        <v>95</v>
      </c>
      <c r="AN99" s="2" t="s">
        <v>96</v>
      </c>
      <c r="AO99" s="2" t="s">
        <v>95</v>
      </c>
      <c r="AP99" s="2" t="s">
        <v>97</v>
      </c>
      <c r="AQ99" s="2" t="s">
        <v>98</v>
      </c>
      <c r="AV99" s="2" t="s">
        <v>95</v>
      </c>
      <c r="AX99" s="2" t="s">
        <v>116</v>
      </c>
      <c r="AZ99" s="2" t="s">
        <v>342</v>
      </c>
      <c r="BB99" s="2" t="s">
        <v>54</v>
      </c>
      <c r="BC99" s="2" t="s">
        <v>555</v>
      </c>
      <c r="BF99" s="2" t="s">
        <v>559</v>
      </c>
      <c r="BG99" s="2" t="s">
        <v>95</v>
      </c>
      <c r="BH99" s="2" t="s">
        <v>96</v>
      </c>
      <c r="BI99" s="2" t="s">
        <v>95</v>
      </c>
      <c r="BK99" s="2" t="s">
        <v>414</v>
      </c>
      <c r="BL99" s="2" t="s">
        <v>350</v>
      </c>
      <c r="BM99" s="2">
        <v>5</v>
      </c>
      <c r="BN99" s="2">
        <v>10.25</v>
      </c>
      <c r="CA99" s="2" t="s">
        <v>560</v>
      </c>
      <c r="CB99" s="2" t="s">
        <v>116</v>
      </c>
      <c r="CG99" s="2">
        <v>3000</v>
      </c>
      <c r="CH99" s="2">
        <v>98</v>
      </c>
      <c r="CI99" s="2">
        <v>1081.07</v>
      </c>
      <c r="CJ99" s="2">
        <v>687.1</v>
      </c>
      <c r="CK99" s="2">
        <v>30000</v>
      </c>
      <c r="CL99" s="2" t="s">
        <v>96</v>
      </c>
      <c r="CM99" s="2" t="s">
        <v>95</v>
      </c>
      <c r="CN99" s="2" t="s">
        <v>547</v>
      </c>
      <c r="CO99" s="3">
        <v>41393</v>
      </c>
      <c r="CP99" s="3">
        <v>43634</v>
      </c>
    </row>
    <row r="100" spans="1:94" x14ac:dyDescent="0.25">
      <c r="A100" s="2" t="s">
        <v>561</v>
      </c>
      <c r="B100" s="2" t="str">
        <f xml:space="preserve"> "" &amp; 844349022572</f>
        <v>844349022572</v>
      </c>
      <c r="C100" s="2" t="s">
        <v>526</v>
      </c>
      <c r="D100" s="2" t="s">
        <v>562</v>
      </c>
      <c r="E100" s="2" t="s">
        <v>563</v>
      </c>
      <c r="F100" s="2" t="s">
        <v>564</v>
      </c>
      <c r="G100" s="2">
        <v>1</v>
      </c>
      <c r="H100" s="2">
        <v>1</v>
      </c>
      <c r="I100" s="2" t="s">
        <v>94</v>
      </c>
      <c r="J100" s="6">
        <v>105</v>
      </c>
      <c r="K100" s="6">
        <v>315</v>
      </c>
      <c r="L100" s="2">
        <v>0</v>
      </c>
      <c r="N100" s="2">
        <v>0</v>
      </c>
      <c r="O100" s="2" t="s">
        <v>96</v>
      </c>
      <c r="P100" s="6">
        <v>219.95</v>
      </c>
      <c r="Q100" s="6"/>
      <c r="R100" s="7"/>
      <c r="S100" s="2">
        <v>8</v>
      </c>
      <c r="U100" s="2">
        <v>8</v>
      </c>
      <c r="V100" s="2">
        <v>3.75</v>
      </c>
      <c r="W100" s="2">
        <v>3.31</v>
      </c>
      <c r="X100" s="2">
        <v>1</v>
      </c>
      <c r="Y100" s="2">
        <v>7</v>
      </c>
      <c r="Z100" s="2">
        <v>10.63</v>
      </c>
      <c r="AA100" s="2">
        <v>10.63</v>
      </c>
      <c r="AB100" s="2">
        <v>0.45800000000000002</v>
      </c>
      <c r="AC100" s="2">
        <v>4.0599999999999996</v>
      </c>
      <c r="AE100" s="2">
        <v>1</v>
      </c>
      <c r="AF100" s="2" t="s">
        <v>347</v>
      </c>
      <c r="AG100" s="2">
        <v>14</v>
      </c>
      <c r="AK100" s="2" t="s">
        <v>96</v>
      </c>
      <c r="AM100" s="2" t="s">
        <v>95</v>
      </c>
      <c r="AN100" s="2" t="s">
        <v>96</v>
      </c>
      <c r="AO100" s="2" t="s">
        <v>95</v>
      </c>
      <c r="AP100" s="2" t="s">
        <v>97</v>
      </c>
      <c r="AQ100" s="2" t="s">
        <v>98</v>
      </c>
      <c r="AV100" s="2" t="s">
        <v>95</v>
      </c>
      <c r="AX100" s="2" t="s">
        <v>205</v>
      </c>
      <c r="AZ100" s="2" t="s">
        <v>449</v>
      </c>
      <c r="BB100" s="2" t="s">
        <v>329</v>
      </c>
      <c r="BC100" s="2" t="s">
        <v>565</v>
      </c>
      <c r="BF100" s="2" t="s">
        <v>566</v>
      </c>
      <c r="BG100" s="2" t="s">
        <v>95</v>
      </c>
      <c r="BH100" s="2" t="s">
        <v>96</v>
      </c>
      <c r="BI100" s="2" t="s">
        <v>95</v>
      </c>
      <c r="BJ100" s="2" t="s">
        <v>96</v>
      </c>
      <c r="BK100" s="2" t="s">
        <v>567</v>
      </c>
      <c r="BM100" s="2">
        <v>7.5</v>
      </c>
      <c r="BN100" s="2">
        <v>7.88</v>
      </c>
      <c r="CA100" s="2" t="s">
        <v>568</v>
      </c>
      <c r="CB100" s="2" t="s">
        <v>205</v>
      </c>
      <c r="CG100" s="2">
        <v>3000</v>
      </c>
      <c r="CH100" s="2">
        <v>93</v>
      </c>
      <c r="CI100" s="2">
        <v>1296</v>
      </c>
      <c r="CJ100" s="2">
        <v>247</v>
      </c>
      <c r="CK100" s="2">
        <v>30000</v>
      </c>
      <c r="CL100" s="2" t="s">
        <v>96</v>
      </c>
      <c r="CM100" s="2" t="s">
        <v>95</v>
      </c>
      <c r="CN100" s="2" t="s">
        <v>569</v>
      </c>
      <c r="CO100" s="3">
        <v>42699</v>
      </c>
      <c r="CP100" s="3">
        <v>43634</v>
      </c>
    </row>
    <row r="101" spans="1:94" x14ac:dyDescent="0.25">
      <c r="A101" s="2" t="s">
        <v>570</v>
      </c>
      <c r="B101" s="2" t="str">
        <f xml:space="preserve"> "" &amp; 844349022565</f>
        <v>844349022565</v>
      </c>
      <c r="C101" s="2" t="s">
        <v>526</v>
      </c>
      <c r="D101" s="2" t="s">
        <v>571</v>
      </c>
      <c r="E101" s="2" t="s">
        <v>572</v>
      </c>
      <c r="F101" s="2" t="s">
        <v>564</v>
      </c>
      <c r="G101" s="2">
        <v>1</v>
      </c>
      <c r="H101" s="2">
        <v>1</v>
      </c>
      <c r="I101" s="2" t="s">
        <v>94</v>
      </c>
      <c r="J101" s="6">
        <v>92</v>
      </c>
      <c r="K101" s="6">
        <v>276</v>
      </c>
      <c r="L101" s="2">
        <v>0</v>
      </c>
      <c r="N101" s="2">
        <v>0</v>
      </c>
      <c r="O101" s="2" t="s">
        <v>96</v>
      </c>
      <c r="P101" s="6">
        <v>195.95</v>
      </c>
      <c r="Q101" s="6"/>
      <c r="R101" s="7"/>
      <c r="S101" s="2">
        <v>11.25</v>
      </c>
      <c r="U101" s="2">
        <v>6.25</v>
      </c>
      <c r="V101" s="2">
        <v>3.25</v>
      </c>
      <c r="W101" s="2">
        <v>3.92</v>
      </c>
      <c r="X101" s="2">
        <v>1</v>
      </c>
      <c r="Y101" s="2">
        <v>6</v>
      </c>
      <c r="Z101" s="2">
        <v>13</v>
      </c>
      <c r="AA101" s="2">
        <v>8.1300000000000008</v>
      </c>
      <c r="AB101" s="2">
        <v>0.36699999999999999</v>
      </c>
      <c r="AC101" s="2">
        <v>4.5199999999999996</v>
      </c>
      <c r="AE101" s="2">
        <v>1</v>
      </c>
      <c r="AF101" s="2" t="s">
        <v>347</v>
      </c>
      <c r="AG101" s="2">
        <v>16</v>
      </c>
      <c r="AK101" s="2" t="s">
        <v>96</v>
      </c>
      <c r="AM101" s="2" t="s">
        <v>95</v>
      </c>
      <c r="AN101" s="2" t="s">
        <v>96</v>
      </c>
      <c r="AO101" s="2" t="s">
        <v>95</v>
      </c>
      <c r="AP101" s="2" t="s">
        <v>97</v>
      </c>
      <c r="AQ101" s="2" t="s">
        <v>98</v>
      </c>
      <c r="AV101" s="2" t="s">
        <v>95</v>
      </c>
      <c r="AX101" s="2" t="s">
        <v>573</v>
      </c>
      <c r="AZ101" s="2" t="s">
        <v>449</v>
      </c>
      <c r="BB101" s="2" t="s">
        <v>329</v>
      </c>
      <c r="BC101" s="2" t="s">
        <v>574</v>
      </c>
      <c r="BF101" s="2" t="s">
        <v>575</v>
      </c>
      <c r="BG101" s="2" t="s">
        <v>95</v>
      </c>
      <c r="BH101" s="2" t="s">
        <v>96</v>
      </c>
      <c r="BI101" s="2" t="s">
        <v>95</v>
      </c>
      <c r="BJ101" s="2" t="s">
        <v>96</v>
      </c>
      <c r="BK101" s="2" t="s">
        <v>567</v>
      </c>
      <c r="BM101" s="2">
        <v>5.88</v>
      </c>
      <c r="BN101" s="2">
        <v>10.75</v>
      </c>
      <c r="CA101" s="2" t="s">
        <v>576</v>
      </c>
      <c r="CB101" s="2" t="s">
        <v>573</v>
      </c>
      <c r="CG101" s="2">
        <v>3000</v>
      </c>
      <c r="CH101" s="2">
        <v>92</v>
      </c>
      <c r="CI101" s="2">
        <v>1378</v>
      </c>
      <c r="CJ101" s="2">
        <v>655</v>
      </c>
      <c r="CK101" s="2">
        <v>30000</v>
      </c>
      <c r="CL101" s="2" t="s">
        <v>96</v>
      </c>
      <c r="CM101" s="2" t="s">
        <v>95</v>
      </c>
      <c r="CN101" s="2" t="s">
        <v>577</v>
      </c>
      <c r="CO101" s="3">
        <v>42699</v>
      </c>
      <c r="CP101" s="3">
        <v>43634</v>
      </c>
    </row>
    <row r="102" spans="1:94" x14ac:dyDescent="0.25">
      <c r="A102" s="2" t="s">
        <v>578</v>
      </c>
      <c r="B102" s="2" t="str">
        <f xml:space="preserve"> "" &amp; 844349022596</f>
        <v>844349022596</v>
      </c>
      <c r="C102" s="2" t="s">
        <v>526</v>
      </c>
      <c r="D102" s="2" t="s">
        <v>579</v>
      </c>
      <c r="E102" s="2" t="s">
        <v>580</v>
      </c>
      <c r="F102" s="2" t="s">
        <v>564</v>
      </c>
      <c r="G102" s="2">
        <v>1</v>
      </c>
      <c r="H102" s="2">
        <v>1</v>
      </c>
      <c r="I102" s="2" t="s">
        <v>94</v>
      </c>
      <c r="J102" s="6">
        <v>55</v>
      </c>
      <c r="K102" s="6">
        <v>165</v>
      </c>
      <c r="L102" s="2">
        <v>0</v>
      </c>
      <c r="N102" s="2">
        <v>0</v>
      </c>
      <c r="O102" s="2" t="s">
        <v>96</v>
      </c>
      <c r="P102" s="6">
        <v>114.95</v>
      </c>
      <c r="Q102" s="6"/>
      <c r="R102" s="7"/>
      <c r="S102" s="2">
        <v>8</v>
      </c>
      <c r="U102" s="2">
        <v>5.75</v>
      </c>
      <c r="V102" s="2">
        <v>3.5</v>
      </c>
      <c r="W102" s="2">
        <v>2.0299999999999998</v>
      </c>
      <c r="X102" s="2">
        <v>1</v>
      </c>
      <c r="Y102" s="2">
        <v>6</v>
      </c>
      <c r="Z102" s="2">
        <v>10.130000000000001</v>
      </c>
      <c r="AA102" s="2">
        <v>8.1300000000000008</v>
      </c>
      <c r="AB102" s="2">
        <v>0.28599999999999998</v>
      </c>
      <c r="AC102" s="2">
        <v>2.6</v>
      </c>
      <c r="AE102" s="2">
        <v>1</v>
      </c>
      <c r="AF102" s="2" t="s">
        <v>347</v>
      </c>
      <c r="AG102" s="2">
        <v>10</v>
      </c>
      <c r="AK102" s="2" t="s">
        <v>96</v>
      </c>
      <c r="AM102" s="2" t="s">
        <v>95</v>
      </c>
      <c r="AN102" s="2" t="s">
        <v>96</v>
      </c>
      <c r="AO102" s="2" t="s">
        <v>95</v>
      </c>
      <c r="AP102" s="2" t="s">
        <v>97</v>
      </c>
      <c r="AQ102" s="2" t="s">
        <v>98</v>
      </c>
      <c r="AV102" s="2" t="s">
        <v>95</v>
      </c>
      <c r="AX102" s="2" t="s">
        <v>581</v>
      </c>
      <c r="AZ102" s="2" t="s">
        <v>177</v>
      </c>
      <c r="BB102" s="2" t="s">
        <v>329</v>
      </c>
      <c r="BC102" s="2" t="s">
        <v>582</v>
      </c>
      <c r="BF102" s="2" t="s">
        <v>583</v>
      </c>
      <c r="BG102" s="2" t="s">
        <v>95</v>
      </c>
      <c r="BH102" s="2" t="s">
        <v>96</v>
      </c>
      <c r="BI102" s="2" t="s">
        <v>95</v>
      </c>
      <c r="BK102" s="2" t="s">
        <v>100</v>
      </c>
      <c r="BM102" s="2">
        <v>5.63</v>
      </c>
      <c r="BN102" s="2">
        <v>7.63</v>
      </c>
      <c r="CA102" s="2" t="s">
        <v>568</v>
      </c>
      <c r="CB102" s="2" t="s">
        <v>581</v>
      </c>
      <c r="CG102" s="2">
        <v>3000</v>
      </c>
      <c r="CH102" s="2">
        <v>93</v>
      </c>
      <c r="CI102" s="2">
        <v>980</v>
      </c>
      <c r="CJ102" s="2">
        <v>729</v>
      </c>
      <c r="CK102" s="2">
        <v>30000</v>
      </c>
      <c r="CL102" s="2" t="s">
        <v>96</v>
      </c>
      <c r="CM102" s="2" t="s">
        <v>95</v>
      </c>
      <c r="CN102" s="2" t="s">
        <v>577</v>
      </c>
      <c r="CO102" s="3">
        <v>42699</v>
      </c>
      <c r="CP102" s="3">
        <v>43634</v>
      </c>
    </row>
    <row r="103" spans="1:94" x14ac:dyDescent="0.25">
      <c r="A103" s="2" t="s">
        <v>584</v>
      </c>
      <c r="B103" s="2" t="str">
        <f xml:space="preserve"> "" &amp; 844349022763</f>
        <v>844349022763</v>
      </c>
      <c r="C103" s="2" t="s">
        <v>526</v>
      </c>
      <c r="D103" s="2" t="s">
        <v>579</v>
      </c>
      <c r="E103" s="2" t="s">
        <v>580</v>
      </c>
      <c r="F103" s="2" t="s">
        <v>564</v>
      </c>
      <c r="G103" s="2">
        <v>1</v>
      </c>
      <c r="H103" s="2">
        <v>1</v>
      </c>
      <c r="I103" s="2" t="s">
        <v>94</v>
      </c>
      <c r="J103" s="6">
        <v>55</v>
      </c>
      <c r="K103" s="6">
        <v>165</v>
      </c>
      <c r="L103" s="2">
        <v>0</v>
      </c>
      <c r="N103" s="2">
        <v>0</v>
      </c>
      <c r="O103" s="2" t="s">
        <v>96</v>
      </c>
      <c r="P103" s="6">
        <v>114.95</v>
      </c>
      <c r="Q103" s="6"/>
      <c r="R103" s="7"/>
      <c r="S103" s="2">
        <v>8</v>
      </c>
      <c r="U103" s="2">
        <v>5.75</v>
      </c>
      <c r="V103" s="2">
        <v>3.5</v>
      </c>
      <c r="W103" s="2">
        <v>2.0299999999999998</v>
      </c>
      <c r="X103" s="2">
        <v>1</v>
      </c>
      <c r="Y103" s="2">
        <v>6</v>
      </c>
      <c r="Z103" s="2">
        <v>10.130000000000001</v>
      </c>
      <c r="AA103" s="2">
        <v>8.1300000000000008</v>
      </c>
      <c r="AB103" s="2">
        <v>0.28599999999999998</v>
      </c>
      <c r="AC103" s="2">
        <v>2.6</v>
      </c>
      <c r="AE103" s="2">
        <v>1</v>
      </c>
      <c r="AF103" s="2" t="s">
        <v>347</v>
      </c>
      <c r="AG103" s="2">
        <v>10</v>
      </c>
      <c r="AK103" s="2" t="s">
        <v>96</v>
      </c>
      <c r="AM103" s="2" t="s">
        <v>95</v>
      </c>
      <c r="AN103" s="2" t="s">
        <v>96</v>
      </c>
      <c r="AO103" s="2" t="s">
        <v>95</v>
      </c>
      <c r="AP103" s="2" t="s">
        <v>97</v>
      </c>
      <c r="AQ103" s="2" t="s">
        <v>98</v>
      </c>
      <c r="AV103" s="2" t="s">
        <v>95</v>
      </c>
      <c r="AX103" s="2" t="s">
        <v>585</v>
      </c>
      <c r="AZ103" s="2" t="s">
        <v>177</v>
      </c>
      <c r="BB103" s="2" t="s">
        <v>329</v>
      </c>
      <c r="BC103" s="2" t="s">
        <v>586</v>
      </c>
      <c r="BF103" s="2" t="s">
        <v>587</v>
      </c>
      <c r="BG103" s="2" t="s">
        <v>95</v>
      </c>
      <c r="BH103" s="2" t="s">
        <v>96</v>
      </c>
      <c r="BI103" s="2" t="s">
        <v>95</v>
      </c>
      <c r="BJ103" s="2" t="s">
        <v>96</v>
      </c>
      <c r="BK103" s="2" t="s">
        <v>567</v>
      </c>
      <c r="BM103" s="2">
        <v>5.63</v>
      </c>
      <c r="BN103" s="2">
        <v>7.63</v>
      </c>
      <c r="CA103" s="2" t="s">
        <v>588</v>
      </c>
      <c r="CB103" s="2" t="s">
        <v>585</v>
      </c>
      <c r="CG103" s="2">
        <v>3000</v>
      </c>
      <c r="CH103" s="2">
        <v>93</v>
      </c>
      <c r="CI103" s="2">
        <v>980</v>
      </c>
      <c r="CJ103" s="2">
        <v>729</v>
      </c>
      <c r="CK103" s="2">
        <v>30000</v>
      </c>
      <c r="CL103" s="2" t="s">
        <v>96</v>
      </c>
      <c r="CM103" s="2" t="s">
        <v>95</v>
      </c>
      <c r="CN103" s="2" t="s">
        <v>577</v>
      </c>
      <c r="CO103" s="3">
        <v>42699</v>
      </c>
      <c r="CP103" s="3">
        <v>43634</v>
      </c>
    </row>
    <row r="104" spans="1:94" x14ac:dyDescent="0.25">
      <c r="A104" s="2" t="s">
        <v>589</v>
      </c>
      <c r="B104" s="2" t="str">
        <f xml:space="preserve"> "" &amp; 844349022602</f>
        <v>844349022602</v>
      </c>
      <c r="C104" s="2" t="s">
        <v>526</v>
      </c>
      <c r="D104" s="2" t="s">
        <v>590</v>
      </c>
      <c r="E104" s="2" t="s">
        <v>591</v>
      </c>
      <c r="F104" s="2" t="s">
        <v>564</v>
      </c>
      <c r="G104" s="2">
        <v>1</v>
      </c>
      <c r="H104" s="2">
        <v>1</v>
      </c>
      <c r="I104" s="2" t="s">
        <v>94</v>
      </c>
      <c r="J104" s="6">
        <v>115</v>
      </c>
      <c r="K104" s="6">
        <v>345</v>
      </c>
      <c r="L104" s="2">
        <v>0</v>
      </c>
      <c r="N104" s="2">
        <v>0</v>
      </c>
      <c r="O104" s="2" t="s">
        <v>96</v>
      </c>
      <c r="P104" s="6">
        <v>244.95</v>
      </c>
      <c r="Q104" s="6"/>
      <c r="R104" s="7"/>
      <c r="S104" s="2">
        <v>16</v>
      </c>
      <c r="U104" s="2">
        <v>6.5</v>
      </c>
      <c r="V104" s="2">
        <v>3.75</v>
      </c>
      <c r="W104" s="2">
        <v>3.4</v>
      </c>
      <c r="X104" s="2">
        <v>1</v>
      </c>
      <c r="Y104" s="2">
        <v>7.25</v>
      </c>
      <c r="Z104" s="2">
        <v>18.13</v>
      </c>
      <c r="AA104" s="2">
        <v>8.75</v>
      </c>
      <c r="AB104" s="2">
        <v>0.66600000000000004</v>
      </c>
      <c r="AC104" s="2">
        <v>4.32</v>
      </c>
      <c r="AE104" s="2">
        <v>1</v>
      </c>
      <c r="AF104" s="2" t="s">
        <v>347</v>
      </c>
      <c r="AG104" s="2">
        <v>16</v>
      </c>
      <c r="AK104" s="2" t="s">
        <v>96</v>
      </c>
      <c r="AM104" s="2" t="s">
        <v>95</v>
      </c>
      <c r="AN104" s="2" t="s">
        <v>96</v>
      </c>
      <c r="AO104" s="2" t="s">
        <v>95</v>
      </c>
      <c r="AP104" s="2" t="s">
        <v>97</v>
      </c>
      <c r="AQ104" s="2" t="s">
        <v>98</v>
      </c>
      <c r="AV104" s="2" t="s">
        <v>95</v>
      </c>
      <c r="AX104" s="2" t="s">
        <v>592</v>
      </c>
      <c r="AZ104" s="2" t="s">
        <v>449</v>
      </c>
      <c r="BB104" s="2" t="s">
        <v>329</v>
      </c>
      <c r="BC104" s="2" t="s">
        <v>593</v>
      </c>
      <c r="BF104" s="2" t="s">
        <v>594</v>
      </c>
      <c r="BG104" s="2" t="s">
        <v>95</v>
      </c>
      <c r="BH104" s="2" t="s">
        <v>96</v>
      </c>
      <c r="BI104" s="2" t="s">
        <v>95</v>
      </c>
      <c r="BJ104" s="2" t="s">
        <v>96</v>
      </c>
      <c r="BK104" s="2" t="s">
        <v>567</v>
      </c>
      <c r="BM104" s="2">
        <v>5.25</v>
      </c>
      <c r="BN104" s="2">
        <v>14.63</v>
      </c>
      <c r="CA104" s="2" t="s">
        <v>595</v>
      </c>
      <c r="CB104" s="2" t="s">
        <v>592</v>
      </c>
      <c r="CG104" s="2">
        <v>3000</v>
      </c>
      <c r="CH104" s="2">
        <v>93</v>
      </c>
      <c r="CI104" s="2">
        <v>1466</v>
      </c>
      <c r="CJ104" s="2">
        <v>701</v>
      </c>
      <c r="CK104" s="2">
        <v>30000</v>
      </c>
      <c r="CL104" s="2" t="s">
        <v>96</v>
      </c>
      <c r="CM104" s="2" t="s">
        <v>95</v>
      </c>
      <c r="CN104" s="2" t="s">
        <v>577</v>
      </c>
      <c r="CO104" s="3">
        <v>42699</v>
      </c>
      <c r="CP104" s="3">
        <v>43634</v>
      </c>
    </row>
    <row r="105" spans="1:94" x14ac:dyDescent="0.25">
      <c r="A105" s="2" t="s">
        <v>596</v>
      </c>
      <c r="B105" s="2" t="str">
        <f xml:space="preserve"> "" &amp; 844349022619</f>
        <v>844349022619</v>
      </c>
      <c r="C105" s="2" t="s">
        <v>526</v>
      </c>
      <c r="D105" s="2" t="s">
        <v>597</v>
      </c>
      <c r="E105" s="2" t="s">
        <v>598</v>
      </c>
      <c r="F105" s="2" t="s">
        <v>340</v>
      </c>
      <c r="G105" s="2">
        <v>1</v>
      </c>
      <c r="H105" s="2">
        <v>1</v>
      </c>
      <c r="I105" s="2" t="s">
        <v>94</v>
      </c>
      <c r="J105" s="6">
        <v>125</v>
      </c>
      <c r="K105" s="6">
        <v>375</v>
      </c>
      <c r="L105" s="2">
        <v>0</v>
      </c>
      <c r="N105" s="2">
        <v>0</v>
      </c>
      <c r="O105" s="2" t="s">
        <v>96</v>
      </c>
      <c r="P105" s="6">
        <v>264.95</v>
      </c>
      <c r="Q105" s="6"/>
      <c r="R105" s="7"/>
      <c r="S105" s="2">
        <v>13</v>
      </c>
      <c r="U105" s="2">
        <v>6.75</v>
      </c>
      <c r="V105" s="2">
        <v>4</v>
      </c>
      <c r="W105" s="2">
        <v>4.5</v>
      </c>
      <c r="X105" s="2">
        <v>1</v>
      </c>
      <c r="Y105" s="2">
        <v>7</v>
      </c>
      <c r="Z105" s="2">
        <v>15.88</v>
      </c>
      <c r="AA105" s="2">
        <v>9.5</v>
      </c>
      <c r="AB105" s="2">
        <v>0.61099999999999999</v>
      </c>
      <c r="AC105" s="2">
        <v>5.34</v>
      </c>
      <c r="AE105" s="2">
        <v>1</v>
      </c>
      <c r="AF105" s="2" t="s">
        <v>347</v>
      </c>
      <c r="AG105" s="2">
        <v>16</v>
      </c>
      <c r="AK105" s="2" t="s">
        <v>96</v>
      </c>
      <c r="AM105" s="2" t="s">
        <v>95</v>
      </c>
      <c r="AN105" s="2" t="s">
        <v>96</v>
      </c>
      <c r="AO105" s="2" t="s">
        <v>95</v>
      </c>
      <c r="AP105" s="2" t="s">
        <v>97</v>
      </c>
      <c r="AQ105" s="2" t="s">
        <v>98</v>
      </c>
      <c r="AV105" s="2" t="s">
        <v>95</v>
      </c>
      <c r="AX105" s="2" t="s">
        <v>599</v>
      </c>
      <c r="AZ105" s="2" t="s">
        <v>449</v>
      </c>
      <c r="BB105" s="2" t="s">
        <v>329</v>
      </c>
      <c r="BC105" s="2" t="s">
        <v>565</v>
      </c>
      <c r="BF105" s="2" t="s">
        <v>600</v>
      </c>
      <c r="BG105" s="2" t="s">
        <v>95</v>
      </c>
      <c r="BH105" s="2" t="s">
        <v>96</v>
      </c>
      <c r="BI105" s="2" t="s">
        <v>95</v>
      </c>
      <c r="BJ105" s="2" t="s">
        <v>96</v>
      </c>
      <c r="BK105" s="2" t="s">
        <v>567</v>
      </c>
      <c r="BM105" s="2">
        <v>5.63</v>
      </c>
      <c r="BN105" s="2">
        <v>12</v>
      </c>
      <c r="CA105" s="2" t="s">
        <v>601</v>
      </c>
      <c r="CB105" s="2" t="s">
        <v>599</v>
      </c>
      <c r="CG105" s="2">
        <v>3000</v>
      </c>
      <c r="CH105" s="2">
        <v>93</v>
      </c>
      <c r="CI105" s="2">
        <v>1466</v>
      </c>
      <c r="CJ105" s="2">
        <v>482</v>
      </c>
      <c r="CK105" s="2">
        <v>30000</v>
      </c>
      <c r="CL105" s="2" t="s">
        <v>96</v>
      </c>
      <c r="CM105" s="2" t="s">
        <v>95</v>
      </c>
      <c r="CN105" s="2" t="s">
        <v>577</v>
      </c>
      <c r="CO105" s="3">
        <v>42699</v>
      </c>
      <c r="CP105" s="3">
        <v>43634</v>
      </c>
    </row>
    <row r="106" spans="1:94" x14ac:dyDescent="0.25">
      <c r="A106" s="2" t="s">
        <v>604</v>
      </c>
      <c r="B106" s="2" t="str">
        <f xml:space="preserve"> "" &amp; 844349022695</f>
        <v>844349022695</v>
      </c>
      <c r="C106" s="2" t="s">
        <v>526</v>
      </c>
      <c r="D106" s="2" t="s">
        <v>605</v>
      </c>
      <c r="E106" s="2" t="s">
        <v>606</v>
      </c>
      <c r="F106" s="2" t="s">
        <v>564</v>
      </c>
      <c r="G106" s="2">
        <v>1</v>
      </c>
      <c r="H106" s="2">
        <v>1</v>
      </c>
      <c r="I106" s="2" t="s">
        <v>94</v>
      </c>
      <c r="J106" s="6">
        <v>84</v>
      </c>
      <c r="K106" s="6">
        <v>252</v>
      </c>
      <c r="L106" s="2">
        <v>0</v>
      </c>
      <c r="N106" s="2">
        <v>0</v>
      </c>
      <c r="O106" s="2" t="s">
        <v>96</v>
      </c>
      <c r="P106" s="6">
        <v>179.95</v>
      </c>
      <c r="Q106" s="6"/>
      <c r="R106" s="7"/>
      <c r="S106" s="2">
        <v>9.75</v>
      </c>
      <c r="U106" s="2">
        <v>5.75</v>
      </c>
      <c r="V106" s="2">
        <v>5.5</v>
      </c>
      <c r="W106" s="2">
        <v>1.98</v>
      </c>
      <c r="X106" s="2">
        <v>1</v>
      </c>
      <c r="Y106" s="2">
        <v>8.5</v>
      </c>
      <c r="Z106" s="2">
        <v>12.75</v>
      </c>
      <c r="AA106" s="2">
        <v>8</v>
      </c>
      <c r="AB106" s="2">
        <v>0.502</v>
      </c>
      <c r="AC106" s="2">
        <v>2.65</v>
      </c>
      <c r="AE106" s="2">
        <v>1</v>
      </c>
      <c r="AF106" s="2" t="s">
        <v>347</v>
      </c>
      <c r="AG106" s="2">
        <v>12</v>
      </c>
      <c r="AK106" s="2" t="s">
        <v>96</v>
      </c>
      <c r="AM106" s="2" t="s">
        <v>95</v>
      </c>
      <c r="AN106" s="2" t="s">
        <v>96</v>
      </c>
      <c r="AO106" s="2" t="s">
        <v>95</v>
      </c>
      <c r="AP106" s="2" t="s">
        <v>97</v>
      </c>
      <c r="AQ106" s="2" t="s">
        <v>98</v>
      </c>
      <c r="AV106" s="2" t="s">
        <v>95</v>
      </c>
      <c r="AX106" s="2" t="s">
        <v>607</v>
      </c>
      <c r="AZ106" s="2" t="s">
        <v>449</v>
      </c>
      <c r="BB106" s="2" t="s">
        <v>329</v>
      </c>
      <c r="BC106" s="2" t="s">
        <v>608</v>
      </c>
      <c r="BF106" s="2" t="s">
        <v>609</v>
      </c>
      <c r="BG106" s="2" t="s">
        <v>95</v>
      </c>
      <c r="BH106" s="2" t="s">
        <v>95</v>
      </c>
      <c r="BI106" s="2" t="s">
        <v>95</v>
      </c>
      <c r="BJ106" s="2" t="s">
        <v>96</v>
      </c>
      <c r="BK106" s="2" t="s">
        <v>567</v>
      </c>
      <c r="BM106" s="2">
        <v>5.63</v>
      </c>
      <c r="BN106" s="2">
        <v>5</v>
      </c>
      <c r="CA106" s="2" t="s">
        <v>603</v>
      </c>
      <c r="CB106" s="2" t="s">
        <v>607</v>
      </c>
      <c r="CH106" s="2">
        <v>93</v>
      </c>
      <c r="CI106" s="2">
        <v>1085</v>
      </c>
      <c r="CJ106" s="2">
        <v>240</v>
      </c>
      <c r="CK106" s="2">
        <v>30000</v>
      </c>
      <c r="CL106" s="2" t="s">
        <v>96</v>
      </c>
      <c r="CM106" s="2" t="s">
        <v>95</v>
      </c>
      <c r="CN106" s="2" t="s">
        <v>577</v>
      </c>
      <c r="CO106" s="3">
        <v>42699</v>
      </c>
      <c r="CP106" s="3">
        <v>43634</v>
      </c>
    </row>
    <row r="107" spans="1:94" x14ac:dyDescent="0.25">
      <c r="A107" s="2" t="s">
        <v>610</v>
      </c>
      <c r="B107" s="2" t="str">
        <f xml:space="preserve"> "" &amp; 844349015642</f>
        <v>844349015642</v>
      </c>
      <c r="C107" s="2" t="s">
        <v>611</v>
      </c>
      <c r="D107" s="2" t="s">
        <v>612</v>
      </c>
      <c r="E107" s="2" t="s">
        <v>613</v>
      </c>
      <c r="F107" s="2" t="s">
        <v>614</v>
      </c>
      <c r="G107" s="2">
        <v>1</v>
      </c>
      <c r="H107" s="2">
        <v>1</v>
      </c>
      <c r="I107" s="2" t="s">
        <v>94</v>
      </c>
      <c r="J107" s="6">
        <v>150</v>
      </c>
      <c r="K107" s="6">
        <v>450</v>
      </c>
      <c r="L107" s="2">
        <v>0</v>
      </c>
      <c r="N107" s="2">
        <v>0</v>
      </c>
      <c r="O107" s="2" t="s">
        <v>96</v>
      </c>
      <c r="P107" s="6">
        <v>314.95</v>
      </c>
      <c r="Q107" s="6"/>
      <c r="R107" s="7"/>
      <c r="S107" s="2">
        <v>3.5</v>
      </c>
      <c r="T107" s="2">
        <v>30</v>
      </c>
      <c r="U107" s="2">
        <v>2.5</v>
      </c>
      <c r="W107" s="2">
        <v>7.94</v>
      </c>
      <c r="X107" s="2">
        <v>1</v>
      </c>
      <c r="Y107" s="2">
        <v>7.88</v>
      </c>
      <c r="Z107" s="2">
        <v>32.630000000000003</v>
      </c>
      <c r="AA107" s="2">
        <v>8.25</v>
      </c>
      <c r="AB107" s="2">
        <v>1.228</v>
      </c>
      <c r="AC107" s="2">
        <v>9.92</v>
      </c>
      <c r="AE107" s="2">
        <v>1</v>
      </c>
      <c r="AF107" s="2" t="s">
        <v>347</v>
      </c>
      <c r="AG107" s="2">
        <v>30</v>
      </c>
      <c r="AK107" s="2" t="s">
        <v>96</v>
      </c>
      <c r="AM107" s="2" t="s">
        <v>95</v>
      </c>
      <c r="AN107" s="2" t="s">
        <v>96</v>
      </c>
      <c r="AO107" s="2" t="s">
        <v>95</v>
      </c>
      <c r="AP107" s="2" t="s">
        <v>97</v>
      </c>
      <c r="AQ107" s="2" t="s">
        <v>98</v>
      </c>
      <c r="AV107" s="2" t="s">
        <v>95</v>
      </c>
      <c r="AX107" s="2" t="s">
        <v>116</v>
      </c>
      <c r="AZ107" s="2" t="s">
        <v>342</v>
      </c>
      <c r="BB107" s="2" t="s">
        <v>54</v>
      </c>
      <c r="BC107" s="2" t="s">
        <v>615</v>
      </c>
      <c r="BF107" s="2" t="s">
        <v>616</v>
      </c>
      <c r="BG107" s="2" t="s">
        <v>95</v>
      </c>
      <c r="BH107" s="2" t="s">
        <v>95</v>
      </c>
      <c r="BI107" s="2" t="s">
        <v>95</v>
      </c>
      <c r="BK107" s="2" t="s">
        <v>100</v>
      </c>
      <c r="BL107" s="2" t="s">
        <v>617</v>
      </c>
      <c r="BR107" s="2">
        <v>1.75</v>
      </c>
      <c r="BT107" s="2">
        <v>14.5</v>
      </c>
      <c r="CA107" s="2" t="s">
        <v>618</v>
      </c>
      <c r="CB107" s="2" t="s">
        <v>116</v>
      </c>
      <c r="CG107" s="2">
        <v>3000</v>
      </c>
      <c r="CH107" s="2">
        <v>97</v>
      </c>
      <c r="CI107" s="2">
        <v>2401.36</v>
      </c>
      <c r="CJ107" s="2">
        <v>1847.24</v>
      </c>
      <c r="CK107" s="2">
        <v>30000</v>
      </c>
      <c r="CL107" s="2" t="s">
        <v>96</v>
      </c>
      <c r="CM107" s="2" t="s">
        <v>95</v>
      </c>
      <c r="CN107" s="2" t="s">
        <v>619</v>
      </c>
      <c r="CO107" s="3">
        <v>41634</v>
      </c>
      <c r="CP107" s="3">
        <v>43634</v>
      </c>
    </row>
    <row r="108" spans="1:94" x14ac:dyDescent="0.25">
      <c r="A108" s="2" t="s">
        <v>620</v>
      </c>
      <c r="B108" s="2" t="str">
        <f xml:space="preserve"> "" &amp; 844349015659</f>
        <v>844349015659</v>
      </c>
      <c r="C108" s="2" t="s">
        <v>611</v>
      </c>
      <c r="D108" s="2" t="s">
        <v>612</v>
      </c>
      <c r="E108" s="2" t="s">
        <v>613</v>
      </c>
      <c r="F108" s="2" t="s">
        <v>614</v>
      </c>
      <c r="G108" s="2">
        <v>1</v>
      </c>
      <c r="H108" s="2">
        <v>1</v>
      </c>
      <c r="I108" s="2" t="s">
        <v>94</v>
      </c>
      <c r="J108" s="6">
        <v>195</v>
      </c>
      <c r="K108" s="6">
        <v>585</v>
      </c>
      <c r="L108" s="2">
        <v>0</v>
      </c>
      <c r="N108" s="2">
        <v>0</v>
      </c>
      <c r="O108" s="2" t="s">
        <v>96</v>
      </c>
      <c r="P108" s="6">
        <v>409.95</v>
      </c>
      <c r="Q108" s="6"/>
      <c r="R108" s="7"/>
      <c r="S108" s="2">
        <v>3.5</v>
      </c>
      <c r="T108" s="2">
        <v>42</v>
      </c>
      <c r="U108" s="2">
        <v>4.75</v>
      </c>
      <c r="W108" s="2">
        <v>9.2200000000000006</v>
      </c>
      <c r="X108" s="2">
        <v>1</v>
      </c>
      <c r="Y108" s="2">
        <v>7.88</v>
      </c>
      <c r="Z108" s="2">
        <v>45.25</v>
      </c>
      <c r="AA108" s="2">
        <v>7.88</v>
      </c>
      <c r="AB108" s="2">
        <v>1.6259999999999999</v>
      </c>
      <c r="AC108" s="2">
        <v>11.24</v>
      </c>
      <c r="AE108" s="2">
        <v>2</v>
      </c>
      <c r="AF108" s="2" t="s">
        <v>347</v>
      </c>
      <c r="AG108" s="2">
        <v>40</v>
      </c>
      <c r="AK108" s="2" t="s">
        <v>96</v>
      </c>
      <c r="AM108" s="2" t="s">
        <v>95</v>
      </c>
      <c r="AN108" s="2" t="s">
        <v>96</v>
      </c>
      <c r="AO108" s="2" t="s">
        <v>95</v>
      </c>
      <c r="AP108" s="2" t="s">
        <v>97</v>
      </c>
      <c r="AQ108" s="2" t="s">
        <v>98</v>
      </c>
      <c r="AV108" s="2" t="s">
        <v>95</v>
      </c>
      <c r="AX108" s="2" t="s">
        <v>116</v>
      </c>
      <c r="AZ108" s="2" t="s">
        <v>342</v>
      </c>
      <c r="BB108" s="2" t="s">
        <v>54</v>
      </c>
      <c r="BC108" s="2" t="s">
        <v>621</v>
      </c>
      <c r="BF108" s="2" t="s">
        <v>622</v>
      </c>
      <c r="BG108" s="2" t="s">
        <v>95</v>
      </c>
      <c r="BH108" s="2" t="s">
        <v>95</v>
      </c>
      <c r="BI108" s="2" t="s">
        <v>95</v>
      </c>
      <c r="BK108" s="2" t="s">
        <v>100</v>
      </c>
      <c r="BR108" s="2">
        <v>1.63</v>
      </c>
      <c r="BT108" s="2">
        <v>14.5</v>
      </c>
      <c r="CA108" s="2" t="s">
        <v>623</v>
      </c>
      <c r="CB108" s="2" t="s">
        <v>116</v>
      </c>
      <c r="CG108" s="2">
        <v>3000</v>
      </c>
      <c r="CH108" s="2">
        <v>97</v>
      </c>
      <c r="CI108" s="2">
        <v>3107</v>
      </c>
      <c r="CJ108" s="2">
        <v>2357</v>
      </c>
      <c r="CK108" s="2">
        <v>30000</v>
      </c>
      <c r="CL108" s="2" t="s">
        <v>96</v>
      </c>
      <c r="CM108" s="2" t="s">
        <v>95</v>
      </c>
      <c r="CN108" s="2" t="s">
        <v>619</v>
      </c>
      <c r="CO108" s="3">
        <v>41634</v>
      </c>
      <c r="CP108" s="3">
        <v>43634</v>
      </c>
    </row>
    <row r="109" spans="1:94" x14ac:dyDescent="0.25">
      <c r="A109" s="2" t="s">
        <v>624</v>
      </c>
      <c r="B109" s="2" t="str">
        <f xml:space="preserve"> "" &amp; 844349025146</f>
        <v>844349025146</v>
      </c>
      <c r="C109" s="2" t="s">
        <v>625</v>
      </c>
      <c r="D109" s="2" t="s">
        <v>626</v>
      </c>
      <c r="E109" s="2" t="s">
        <v>627</v>
      </c>
      <c r="F109" s="2" t="s">
        <v>340</v>
      </c>
      <c r="G109" s="2">
        <v>1</v>
      </c>
      <c r="H109" s="2">
        <v>1</v>
      </c>
      <c r="I109" s="2" t="s">
        <v>94</v>
      </c>
      <c r="J109" s="6">
        <v>295</v>
      </c>
      <c r="K109" s="6">
        <v>885</v>
      </c>
      <c r="L109" s="2">
        <v>0</v>
      </c>
      <c r="N109" s="2">
        <v>0</v>
      </c>
      <c r="O109" s="2" t="s">
        <v>96</v>
      </c>
      <c r="P109" s="6">
        <v>619.95000000000005</v>
      </c>
      <c r="Q109" s="6"/>
      <c r="R109" s="7"/>
      <c r="S109" s="2">
        <v>2.25</v>
      </c>
      <c r="T109" s="2">
        <v>50</v>
      </c>
      <c r="U109" s="2">
        <v>3.5</v>
      </c>
      <c r="W109" s="2">
        <v>6.22</v>
      </c>
      <c r="X109" s="2">
        <v>1</v>
      </c>
      <c r="Y109" s="2">
        <v>6</v>
      </c>
      <c r="Z109" s="2">
        <v>53.63</v>
      </c>
      <c r="AA109" s="2">
        <v>12.88</v>
      </c>
      <c r="AB109" s="2">
        <v>2.3980000000000001</v>
      </c>
      <c r="AC109" s="2">
        <v>11.09</v>
      </c>
      <c r="AE109" s="2">
        <v>1</v>
      </c>
      <c r="AF109" s="2" t="s">
        <v>347</v>
      </c>
      <c r="AG109" s="2">
        <v>58</v>
      </c>
      <c r="AK109" s="2" t="s">
        <v>96</v>
      </c>
      <c r="AM109" s="2" t="s">
        <v>95</v>
      </c>
      <c r="AN109" s="2" t="s">
        <v>96</v>
      </c>
      <c r="AO109" s="2" t="s">
        <v>95</v>
      </c>
      <c r="AP109" s="2" t="s">
        <v>97</v>
      </c>
      <c r="AQ109" s="2" t="s">
        <v>98</v>
      </c>
      <c r="AV109" s="2" t="s">
        <v>95</v>
      </c>
      <c r="AX109" s="2" t="s">
        <v>130</v>
      </c>
      <c r="AZ109" s="2" t="s">
        <v>483</v>
      </c>
      <c r="BB109" s="2" t="s">
        <v>348</v>
      </c>
      <c r="BC109" s="2" t="s">
        <v>379</v>
      </c>
      <c r="BF109" s="2" t="s">
        <v>628</v>
      </c>
      <c r="BG109" s="2" t="s">
        <v>95</v>
      </c>
      <c r="BH109" s="2" t="s">
        <v>95</v>
      </c>
      <c r="BI109" s="2" t="s">
        <v>95</v>
      </c>
      <c r="BK109" s="2" t="s">
        <v>100</v>
      </c>
      <c r="BR109" s="2">
        <v>2.13</v>
      </c>
      <c r="BS109" s="2">
        <v>19.63</v>
      </c>
      <c r="BT109" s="2">
        <v>19.63</v>
      </c>
      <c r="CA109" s="2" t="s">
        <v>629</v>
      </c>
      <c r="CB109" s="2" t="s">
        <v>130</v>
      </c>
      <c r="CG109" s="2">
        <v>3000</v>
      </c>
      <c r="CH109" s="2">
        <v>93</v>
      </c>
      <c r="CI109" s="2">
        <v>3367</v>
      </c>
      <c r="CJ109" s="2">
        <v>2072</v>
      </c>
      <c r="CK109" s="2">
        <v>30000</v>
      </c>
      <c r="CL109" s="2" t="s">
        <v>96</v>
      </c>
      <c r="CM109" s="2" t="s">
        <v>95</v>
      </c>
      <c r="CN109" s="2" t="s">
        <v>630</v>
      </c>
      <c r="CO109" s="3">
        <v>43088</v>
      </c>
      <c r="CP109" s="3">
        <v>43634</v>
      </c>
    </row>
    <row r="110" spans="1:94" x14ac:dyDescent="0.25">
      <c r="A110" s="2" t="s">
        <v>631</v>
      </c>
      <c r="B110" s="2" t="str">
        <f xml:space="preserve"> "" &amp; 844349025153</f>
        <v>844349025153</v>
      </c>
      <c r="C110" s="2" t="s">
        <v>625</v>
      </c>
      <c r="D110" s="2" t="s">
        <v>632</v>
      </c>
      <c r="E110" s="2" t="s">
        <v>633</v>
      </c>
      <c r="F110" s="2" t="s">
        <v>340</v>
      </c>
      <c r="G110" s="2">
        <v>1</v>
      </c>
      <c r="H110" s="2">
        <v>1</v>
      </c>
      <c r="I110" s="2" t="s">
        <v>94</v>
      </c>
      <c r="J110" s="6">
        <v>255</v>
      </c>
      <c r="K110" s="6">
        <v>765</v>
      </c>
      <c r="L110" s="2">
        <v>0</v>
      </c>
      <c r="N110" s="2">
        <v>0</v>
      </c>
      <c r="O110" s="2" t="s">
        <v>96</v>
      </c>
      <c r="P110" s="6">
        <v>535.95000000000005</v>
      </c>
      <c r="Q110" s="6"/>
      <c r="R110" s="7"/>
      <c r="S110" s="2">
        <v>59</v>
      </c>
      <c r="T110" s="2">
        <v>35.5</v>
      </c>
      <c r="U110" s="2">
        <v>2.75</v>
      </c>
      <c r="W110" s="2">
        <v>15.27</v>
      </c>
      <c r="X110" s="2">
        <v>1</v>
      </c>
      <c r="Y110" s="2">
        <v>7.5</v>
      </c>
      <c r="Z110" s="2">
        <v>38.75</v>
      </c>
      <c r="AA110" s="2">
        <v>12.5</v>
      </c>
      <c r="AB110" s="2">
        <v>2.1019999999999999</v>
      </c>
      <c r="AC110" s="2">
        <v>19.29</v>
      </c>
      <c r="AE110" s="2">
        <v>1</v>
      </c>
      <c r="AF110" s="2" t="s">
        <v>347</v>
      </c>
      <c r="AG110" s="2">
        <v>44</v>
      </c>
      <c r="AK110" s="2" t="s">
        <v>96</v>
      </c>
      <c r="AM110" s="2" t="s">
        <v>95</v>
      </c>
      <c r="AN110" s="2" t="s">
        <v>95</v>
      </c>
      <c r="AO110" s="2" t="s">
        <v>95</v>
      </c>
      <c r="AP110" s="2" t="s">
        <v>97</v>
      </c>
      <c r="AQ110" s="2" t="s">
        <v>98</v>
      </c>
      <c r="AV110" s="2" t="s">
        <v>95</v>
      </c>
      <c r="AX110" s="2" t="s">
        <v>634</v>
      </c>
      <c r="AZ110" s="2" t="s">
        <v>483</v>
      </c>
      <c r="BF110" s="2" t="s">
        <v>635</v>
      </c>
      <c r="BG110" s="2" t="s">
        <v>95</v>
      </c>
      <c r="BH110" s="2" t="s">
        <v>95</v>
      </c>
      <c r="BI110" s="2" t="s">
        <v>95</v>
      </c>
      <c r="BK110" s="2" t="s">
        <v>100</v>
      </c>
      <c r="CA110" s="2" t="s">
        <v>636</v>
      </c>
      <c r="CB110" s="2" t="s">
        <v>634</v>
      </c>
      <c r="CG110" s="2">
        <v>3000</v>
      </c>
      <c r="CJ110" s="2">
        <v>1760</v>
      </c>
      <c r="CK110" s="2">
        <v>30000</v>
      </c>
      <c r="CL110" s="2" t="s">
        <v>95</v>
      </c>
      <c r="CM110" s="2" t="s">
        <v>95</v>
      </c>
      <c r="CO110" s="3">
        <v>43090</v>
      </c>
      <c r="CP110" s="3">
        <v>43634</v>
      </c>
    </row>
    <row r="111" spans="1:94" x14ac:dyDescent="0.25">
      <c r="A111" s="2" t="s">
        <v>637</v>
      </c>
      <c r="B111" s="2" t="str">
        <f xml:space="preserve"> "" &amp; 844349025160</f>
        <v>844349025160</v>
      </c>
      <c r="C111" s="2" t="s">
        <v>625</v>
      </c>
      <c r="D111" s="2" t="s">
        <v>632</v>
      </c>
      <c r="E111" s="2" t="s">
        <v>633</v>
      </c>
      <c r="F111" s="2" t="s">
        <v>340</v>
      </c>
      <c r="G111" s="2">
        <v>1</v>
      </c>
      <c r="H111" s="2">
        <v>1</v>
      </c>
      <c r="I111" s="2" t="s">
        <v>94</v>
      </c>
      <c r="J111" s="6">
        <v>335</v>
      </c>
      <c r="K111" s="6">
        <v>1005</v>
      </c>
      <c r="L111" s="2">
        <v>0</v>
      </c>
      <c r="N111" s="2">
        <v>0</v>
      </c>
      <c r="O111" s="2" t="s">
        <v>96</v>
      </c>
      <c r="P111" s="6">
        <v>699.95</v>
      </c>
      <c r="Q111" s="6"/>
      <c r="R111" s="7"/>
      <c r="S111" s="2">
        <v>59</v>
      </c>
      <c r="T111" s="2">
        <v>49</v>
      </c>
      <c r="U111" s="2">
        <v>2.75</v>
      </c>
      <c r="W111" s="2">
        <v>22.62</v>
      </c>
      <c r="X111" s="2">
        <v>1</v>
      </c>
      <c r="Y111" s="2">
        <v>7.38</v>
      </c>
      <c r="Z111" s="2">
        <v>53.13</v>
      </c>
      <c r="AA111" s="2">
        <v>12.5</v>
      </c>
      <c r="AB111" s="2">
        <v>2.8359999999999999</v>
      </c>
      <c r="AC111" s="2">
        <v>28.01</v>
      </c>
      <c r="AE111" s="2">
        <v>1</v>
      </c>
      <c r="AF111" s="2" t="s">
        <v>347</v>
      </c>
      <c r="AG111" s="2">
        <v>47</v>
      </c>
      <c r="AK111" s="2" t="s">
        <v>96</v>
      </c>
      <c r="AM111" s="2" t="s">
        <v>95</v>
      </c>
      <c r="AN111" s="2" t="s">
        <v>95</v>
      </c>
      <c r="AO111" s="2" t="s">
        <v>95</v>
      </c>
      <c r="AP111" s="2" t="s">
        <v>97</v>
      </c>
      <c r="AQ111" s="2" t="s">
        <v>98</v>
      </c>
      <c r="AV111" s="2" t="s">
        <v>95</v>
      </c>
      <c r="AX111" s="2" t="s">
        <v>634</v>
      </c>
      <c r="AZ111" s="2" t="s">
        <v>483</v>
      </c>
      <c r="BF111" s="2" t="s">
        <v>638</v>
      </c>
      <c r="BG111" s="2" t="s">
        <v>95</v>
      </c>
      <c r="BH111" s="2" t="s">
        <v>95</v>
      </c>
      <c r="BI111" s="2" t="s">
        <v>95</v>
      </c>
      <c r="BK111" s="2" t="s">
        <v>100</v>
      </c>
      <c r="CA111" s="2" t="s">
        <v>639</v>
      </c>
      <c r="CB111" s="2" t="s">
        <v>634</v>
      </c>
      <c r="CG111" s="2">
        <v>3000</v>
      </c>
      <c r="CJ111" s="2">
        <v>1880</v>
      </c>
      <c r="CK111" s="2">
        <v>30000</v>
      </c>
      <c r="CL111" s="2" t="s">
        <v>95</v>
      </c>
      <c r="CM111" s="2" t="s">
        <v>95</v>
      </c>
      <c r="CO111" s="3">
        <v>43090</v>
      </c>
      <c r="CP111" s="3">
        <v>43634</v>
      </c>
    </row>
    <row r="112" spans="1:94" x14ac:dyDescent="0.25">
      <c r="A112" s="2" t="s">
        <v>640</v>
      </c>
      <c r="B112" s="2" t="str">
        <f xml:space="preserve"> "" &amp; 844349025177</f>
        <v>844349025177</v>
      </c>
      <c r="C112" s="2" t="s">
        <v>625</v>
      </c>
      <c r="D112" s="2" t="s">
        <v>641</v>
      </c>
      <c r="E112" s="2" t="s">
        <v>3709</v>
      </c>
      <c r="F112" s="2" t="s">
        <v>340</v>
      </c>
      <c r="G112" s="2">
        <v>1</v>
      </c>
      <c r="H112" s="2">
        <v>1</v>
      </c>
      <c r="I112" s="2" t="s">
        <v>94</v>
      </c>
      <c r="J112" s="6">
        <v>279</v>
      </c>
      <c r="K112" s="6">
        <v>837</v>
      </c>
      <c r="L112" s="2">
        <v>0</v>
      </c>
      <c r="N112" s="2">
        <v>0</v>
      </c>
      <c r="O112" s="2" t="s">
        <v>96</v>
      </c>
      <c r="P112" s="6">
        <v>585.95000000000005</v>
      </c>
      <c r="Q112" s="6"/>
      <c r="R112" s="7"/>
      <c r="S112" s="2">
        <v>6</v>
      </c>
      <c r="T112" s="2">
        <v>38.75</v>
      </c>
      <c r="U112" s="2">
        <v>10.75</v>
      </c>
      <c r="W112" s="2">
        <v>8.6</v>
      </c>
      <c r="X112" s="2">
        <v>1</v>
      </c>
      <c r="Y112" s="2">
        <v>7.13</v>
      </c>
      <c r="Z112" s="2">
        <v>42.75</v>
      </c>
      <c r="AA112" s="2">
        <v>19.38</v>
      </c>
      <c r="AB112" s="2">
        <v>3.419</v>
      </c>
      <c r="AC112" s="2">
        <v>13.36</v>
      </c>
      <c r="AE112" s="2">
        <v>8</v>
      </c>
      <c r="AF112" s="2" t="s">
        <v>347</v>
      </c>
      <c r="AG112" s="2">
        <v>32</v>
      </c>
      <c r="AK112" s="2" t="s">
        <v>96</v>
      </c>
      <c r="AM112" s="2" t="s">
        <v>95</v>
      </c>
      <c r="AN112" s="2" t="s">
        <v>96</v>
      </c>
      <c r="AO112" s="2" t="s">
        <v>95</v>
      </c>
      <c r="AP112" s="2" t="s">
        <v>97</v>
      </c>
      <c r="AQ112" s="2" t="s">
        <v>98</v>
      </c>
      <c r="AV112" s="2" t="s">
        <v>95</v>
      </c>
      <c r="AX112" s="2" t="s">
        <v>642</v>
      </c>
      <c r="AZ112" s="2" t="s">
        <v>483</v>
      </c>
      <c r="BB112" s="2" t="s">
        <v>348</v>
      </c>
      <c r="BC112" s="2" t="s">
        <v>379</v>
      </c>
      <c r="BF112" s="2" t="s">
        <v>643</v>
      </c>
      <c r="BG112" s="2" t="s">
        <v>95</v>
      </c>
      <c r="BH112" s="2" t="s">
        <v>95</v>
      </c>
      <c r="BI112" s="2" t="s">
        <v>95</v>
      </c>
      <c r="BK112" s="2" t="s">
        <v>100</v>
      </c>
      <c r="BR112" s="2">
        <v>3.13</v>
      </c>
      <c r="BS112" s="2">
        <v>13.38</v>
      </c>
      <c r="BT112" s="2">
        <v>13.38</v>
      </c>
      <c r="CA112" s="2" t="s">
        <v>644</v>
      </c>
      <c r="CB112" s="2" t="s">
        <v>642</v>
      </c>
      <c r="CG112" s="2">
        <v>3000</v>
      </c>
      <c r="CH112" s="2">
        <v>92</v>
      </c>
      <c r="CI112" s="2">
        <v>3142.7</v>
      </c>
      <c r="CJ112" s="2">
        <v>2339.5</v>
      </c>
      <c r="CK112" s="2">
        <v>50000</v>
      </c>
      <c r="CL112" s="2" t="s">
        <v>96</v>
      </c>
      <c r="CM112" s="2" t="s">
        <v>95</v>
      </c>
      <c r="CN112" s="2" t="s">
        <v>630</v>
      </c>
      <c r="CO112" s="3">
        <v>43088</v>
      </c>
      <c r="CP112" s="3">
        <v>43634</v>
      </c>
    </row>
    <row r="113" spans="1:94" x14ac:dyDescent="0.25">
      <c r="A113" s="2" t="s">
        <v>645</v>
      </c>
      <c r="B113" s="2" t="str">
        <f xml:space="preserve"> "" &amp; 844349025184</f>
        <v>844349025184</v>
      </c>
      <c r="C113" s="2" t="s">
        <v>467</v>
      </c>
      <c r="D113" s="2" t="s">
        <v>646</v>
      </c>
      <c r="E113" s="2" t="s">
        <v>647</v>
      </c>
      <c r="F113" s="2" t="s">
        <v>340</v>
      </c>
      <c r="G113" s="2">
        <v>1</v>
      </c>
      <c r="H113" s="2">
        <v>1</v>
      </c>
      <c r="I113" s="2" t="s">
        <v>94</v>
      </c>
      <c r="J113" s="6">
        <v>495</v>
      </c>
      <c r="K113" s="6">
        <v>1485</v>
      </c>
      <c r="L113" s="2">
        <v>0</v>
      </c>
      <c r="N113" s="2">
        <v>0</v>
      </c>
      <c r="O113" s="2" t="s">
        <v>96</v>
      </c>
      <c r="P113" s="6">
        <v>1039.95</v>
      </c>
      <c r="Q113" s="6"/>
      <c r="R113" s="7"/>
      <c r="S113" s="2">
        <v>59</v>
      </c>
      <c r="T113" s="2">
        <v>34</v>
      </c>
      <c r="U113" s="2">
        <v>18.5</v>
      </c>
      <c r="W113" s="2">
        <v>11.9</v>
      </c>
      <c r="X113" s="2">
        <v>1</v>
      </c>
      <c r="Y113" s="2">
        <v>5.75</v>
      </c>
      <c r="Z113" s="2">
        <v>37</v>
      </c>
      <c r="AA113" s="2">
        <v>28</v>
      </c>
      <c r="AB113" s="2">
        <v>3.4470000000000001</v>
      </c>
      <c r="AC113" s="2">
        <v>20.239999999999998</v>
      </c>
      <c r="AE113" s="2">
        <v>1</v>
      </c>
      <c r="AF113" s="2" t="s">
        <v>347</v>
      </c>
      <c r="AG113" s="2">
        <v>66</v>
      </c>
      <c r="AK113" s="2" t="s">
        <v>96</v>
      </c>
      <c r="AM113" s="2" t="s">
        <v>95</v>
      </c>
      <c r="AN113" s="2" t="s">
        <v>95</v>
      </c>
      <c r="AO113" s="2" t="s">
        <v>95</v>
      </c>
      <c r="AP113" s="2" t="s">
        <v>97</v>
      </c>
      <c r="AQ113" s="2" t="s">
        <v>98</v>
      </c>
      <c r="AV113" s="2" t="s">
        <v>95</v>
      </c>
      <c r="AX113" s="2" t="s">
        <v>648</v>
      </c>
      <c r="AZ113" s="2" t="s">
        <v>483</v>
      </c>
      <c r="BF113" s="2" t="s">
        <v>649</v>
      </c>
      <c r="BG113" s="2" t="s">
        <v>95</v>
      </c>
      <c r="BH113" s="2" t="s">
        <v>95</v>
      </c>
      <c r="BI113" s="2" t="s">
        <v>95</v>
      </c>
      <c r="BK113" s="2" t="s">
        <v>100</v>
      </c>
      <c r="CA113" s="2" t="s">
        <v>650</v>
      </c>
      <c r="CB113" s="2" t="s">
        <v>648</v>
      </c>
      <c r="CG113" s="2">
        <v>3000</v>
      </c>
      <c r="CJ113" s="2">
        <v>1980</v>
      </c>
      <c r="CK113" s="2">
        <v>30000</v>
      </c>
      <c r="CL113" s="2" t="s">
        <v>95</v>
      </c>
      <c r="CM113" s="2" t="s">
        <v>95</v>
      </c>
      <c r="CO113" s="3">
        <v>43090</v>
      </c>
      <c r="CP113" s="3">
        <v>43634</v>
      </c>
    </row>
    <row r="114" spans="1:94" x14ac:dyDescent="0.25">
      <c r="A114" s="2" t="s">
        <v>651</v>
      </c>
      <c r="B114" s="2" t="str">
        <f xml:space="preserve"> "" &amp; 844349025191</f>
        <v>844349025191</v>
      </c>
      <c r="C114" s="2" t="s">
        <v>467</v>
      </c>
      <c r="D114" s="2" t="s">
        <v>646</v>
      </c>
      <c r="E114" s="2" t="s">
        <v>647</v>
      </c>
      <c r="F114" s="2" t="s">
        <v>340</v>
      </c>
      <c r="G114" s="2">
        <v>1</v>
      </c>
      <c r="H114" s="2">
        <v>1</v>
      </c>
      <c r="I114" s="2" t="s">
        <v>94</v>
      </c>
      <c r="J114" s="6">
        <v>730</v>
      </c>
      <c r="K114" s="6">
        <v>2190</v>
      </c>
      <c r="L114" s="2">
        <v>0</v>
      </c>
      <c r="N114" s="2">
        <v>0</v>
      </c>
      <c r="O114" s="2" t="s">
        <v>96</v>
      </c>
      <c r="P114" s="6">
        <v>1534.99</v>
      </c>
      <c r="Q114" s="6"/>
      <c r="R114" s="7"/>
      <c r="S114" s="2">
        <v>59</v>
      </c>
      <c r="T114" s="2">
        <v>49</v>
      </c>
      <c r="U114" s="2">
        <v>18.5</v>
      </c>
      <c r="W114" s="2">
        <v>18.13</v>
      </c>
      <c r="X114" s="2">
        <v>1</v>
      </c>
      <c r="Y114" s="2">
        <v>5.75</v>
      </c>
      <c r="Z114" s="2">
        <v>52.63</v>
      </c>
      <c r="AA114" s="2">
        <v>28</v>
      </c>
      <c r="AB114" s="2">
        <v>4.9039999999999999</v>
      </c>
      <c r="AC114" s="2">
        <v>28.91</v>
      </c>
      <c r="AE114" s="2">
        <v>1</v>
      </c>
      <c r="AF114" s="2" t="s">
        <v>347</v>
      </c>
      <c r="AG114" s="2">
        <v>103</v>
      </c>
      <c r="AK114" s="2" t="s">
        <v>96</v>
      </c>
      <c r="AM114" s="2" t="s">
        <v>95</v>
      </c>
      <c r="AN114" s="2" t="s">
        <v>95</v>
      </c>
      <c r="AO114" s="2" t="s">
        <v>95</v>
      </c>
      <c r="AP114" s="2" t="s">
        <v>97</v>
      </c>
      <c r="AQ114" s="2" t="s">
        <v>98</v>
      </c>
      <c r="AV114" s="2" t="s">
        <v>95</v>
      </c>
      <c r="AX114" s="2" t="s">
        <v>648</v>
      </c>
      <c r="AZ114" s="2" t="s">
        <v>483</v>
      </c>
      <c r="BF114" s="2" t="s">
        <v>652</v>
      </c>
      <c r="BG114" s="2" t="s">
        <v>95</v>
      </c>
      <c r="BH114" s="2" t="s">
        <v>95</v>
      </c>
      <c r="BI114" s="2" t="s">
        <v>95</v>
      </c>
      <c r="BK114" s="2" t="s">
        <v>100</v>
      </c>
      <c r="CA114" s="2" t="s">
        <v>653</v>
      </c>
      <c r="CB114" s="2" t="s">
        <v>648</v>
      </c>
      <c r="CG114" s="2">
        <v>3000</v>
      </c>
      <c r="CJ114" s="2">
        <v>3090</v>
      </c>
      <c r="CK114" s="2">
        <v>30000</v>
      </c>
      <c r="CL114" s="2" t="s">
        <v>95</v>
      </c>
      <c r="CM114" s="2" t="s">
        <v>95</v>
      </c>
      <c r="CO114" s="3">
        <v>43090</v>
      </c>
      <c r="CP114" s="3">
        <v>43634</v>
      </c>
    </row>
    <row r="115" spans="1:94" x14ac:dyDescent="0.25">
      <c r="A115" s="2" t="s">
        <v>654</v>
      </c>
      <c r="B115" s="2" t="str">
        <f xml:space="preserve"> "" &amp; 844349015673</f>
        <v>844349015673</v>
      </c>
      <c r="C115" s="2" t="s">
        <v>655</v>
      </c>
      <c r="D115" s="2" t="s">
        <v>656</v>
      </c>
      <c r="E115" s="2" t="s">
        <v>657</v>
      </c>
      <c r="F115" s="2" t="s">
        <v>658</v>
      </c>
      <c r="G115" s="2">
        <v>1</v>
      </c>
      <c r="H115" s="2">
        <v>1</v>
      </c>
      <c r="I115" s="2" t="s">
        <v>94</v>
      </c>
      <c r="J115" s="6">
        <v>85</v>
      </c>
      <c r="K115" s="6">
        <v>255</v>
      </c>
      <c r="L115" s="2">
        <v>0</v>
      </c>
      <c r="N115" s="2">
        <v>0</v>
      </c>
      <c r="O115" s="2" t="s">
        <v>96</v>
      </c>
      <c r="P115" s="6">
        <v>178.95</v>
      </c>
      <c r="Q115" s="6"/>
      <c r="R115" s="7"/>
      <c r="S115" s="2">
        <v>6.25</v>
      </c>
      <c r="U115" s="2">
        <v>9.25</v>
      </c>
      <c r="V115" s="2">
        <v>1.5</v>
      </c>
      <c r="W115" s="2">
        <v>1.98</v>
      </c>
      <c r="X115" s="2">
        <v>1</v>
      </c>
      <c r="Y115" s="2">
        <v>3.5</v>
      </c>
      <c r="Z115" s="2">
        <v>11</v>
      </c>
      <c r="AA115" s="2">
        <v>8</v>
      </c>
      <c r="AB115" s="2">
        <v>0.17799999999999999</v>
      </c>
      <c r="AC115" s="2">
        <v>2.54</v>
      </c>
      <c r="AE115" s="2">
        <v>1</v>
      </c>
      <c r="AF115" s="2" t="s">
        <v>347</v>
      </c>
      <c r="AG115" s="2">
        <v>19</v>
      </c>
      <c r="AK115" s="2" t="s">
        <v>96</v>
      </c>
      <c r="AM115" s="2" t="s">
        <v>95</v>
      </c>
      <c r="AN115" s="2" t="s">
        <v>96</v>
      </c>
      <c r="AO115" s="2" t="s">
        <v>95</v>
      </c>
      <c r="AP115" s="2" t="s">
        <v>97</v>
      </c>
      <c r="AQ115" s="2" t="s">
        <v>98</v>
      </c>
      <c r="AV115" s="2" t="s">
        <v>95</v>
      </c>
      <c r="AX115" s="2" t="s">
        <v>395</v>
      </c>
      <c r="AZ115" s="2" t="s">
        <v>342</v>
      </c>
      <c r="BB115" s="2" t="s">
        <v>54</v>
      </c>
      <c r="BC115" s="2" t="s">
        <v>659</v>
      </c>
      <c r="BF115" s="2" t="s">
        <v>660</v>
      </c>
      <c r="BG115" s="2" t="s">
        <v>95</v>
      </c>
      <c r="BH115" s="2" t="s">
        <v>96</v>
      </c>
      <c r="BI115" s="2" t="s">
        <v>95</v>
      </c>
      <c r="BK115" s="2" t="s">
        <v>414</v>
      </c>
      <c r="BR115" s="2">
        <v>4.75</v>
      </c>
      <c r="BT115" s="2">
        <v>7.75</v>
      </c>
      <c r="CA115" s="2" t="s">
        <v>661</v>
      </c>
      <c r="CB115" s="2" t="s">
        <v>395</v>
      </c>
      <c r="CG115" s="2">
        <v>3000</v>
      </c>
      <c r="CH115" s="2">
        <v>83</v>
      </c>
      <c r="CI115" s="2">
        <v>1563.86</v>
      </c>
      <c r="CJ115" s="2">
        <v>669.13</v>
      </c>
      <c r="CK115" s="2">
        <v>30000</v>
      </c>
      <c r="CL115" s="2" t="s">
        <v>96</v>
      </c>
      <c r="CM115" s="2" t="s">
        <v>95</v>
      </c>
      <c r="CN115" s="2" t="s">
        <v>662</v>
      </c>
      <c r="CO115" s="3">
        <v>41682</v>
      </c>
      <c r="CP115" s="3">
        <v>43634</v>
      </c>
    </row>
    <row r="116" spans="1:94" x14ac:dyDescent="0.25">
      <c r="A116" s="2" t="s">
        <v>663</v>
      </c>
      <c r="B116" s="2" t="str">
        <f xml:space="preserve"> "" &amp; 844349015680</f>
        <v>844349015680</v>
      </c>
      <c r="C116" s="2" t="s">
        <v>655</v>
      </c>
      <c r="D116" s="2" t="s">
        <v>656</v>
      </c>
      <c r="E116" s="2" t="s">
        <v>657</v>
      </c>
      <c r="F116" s="2" t="s">
        <v>658</v>
      </c>
      <c r="G116" s="2">
        <v>1</v>
      </c>
      <c r="H116" s="2">
        <v>1</v>
      </c>
      <c r="I116" s="2" t="s">
        <v>94</v>
      </c>
      <c r="J116" s="6">
        <v>115</v>
      </c>
      <c r="K116" s="6">
        <v>345</v>
      </c>
      <c r="L116" s="2">
        <v>0</v>
      </c>
      <c r="N116" s="2">
        <v>0</v>
      </c>
      <c r="O116" s="2" t="s">
        <v>96</v>
      </c>
      <c r="P116" s="6">
        <v>241.95</v>
      </c>
      <c r="Q116" s="6"/>
      <c r="R116" s="7"/>
      <c r="S116" s="2">
        <v>6.25</v>
      </c>
      <c r="U116" s="2">
        <v>16</v>
      </c>
      <c r="V116" s="2">
        <v>1.5</v>
      </c>
      <c r="W116" s="2">
        <v>3.2</v>
      </c>
      <c r="X116" s="2">
        <v>1</v>
      </c>
      <c r="Y116" s="2">
        <v>4.25</v>
      </c>
      <c r="Z116" s="2">
        <v>18.25</v>
      </c>
      <c r="AA116" s="2">
        <v>8.25</v>
      </c>
      <c r="AB116" s="2">
        <v>0.37</v>
      </c>
      <c r="AC116" s="2">
        <v>3.86</v>
      </c>
      <c r="AE116" s="2">
        <v>1</v>
      </c>
      <c r="AF116" s="2" t="s">
        <v>347</v>
      </c>
      <c r="AG116" s="2">
        <v>28</v>
      </c>
      <c r="AK116" s="2" t="s">
        <v>96</v>
      </c>
      <c r="AM116" s="2" t="s">
        <v>95</v>
      </c>
      <c r="AN116" s="2" t="s">
        <v>96</v>
      </c>
      <c r="AO116" s="2" t="s">
        <v>95</v>
      </c>
      <c r="AP116" s="2" t="s">
        <v>97</v>
      </c>
      <c r="AQ116" s="2" t="s">
        <v>98</v>
      </c>
      <c r="AV116" s="2" t="s">
        <v>95</v>
      </c>
      <c r="AX116" s="2" t="s">
        <v>395</v>
      </c>
      <c r="AZ116" s="2" t="s">
        <v>342</v>
      </c>
      <c r="BB116" s="2" t="s">
        <v>54</v>
      </c>
      <c r="BC116" s="2" t="s">
        <v>659</v>
      </c>
      <c r="BF116" s="2" t="s">
        <v>664</v>
      </c>
      <c r="BG116" s="2" t="s">
        <v>95</v>
      </c>
      <c r="BH116" s="2" t="s">
        <v>95</v>
      </c>
      <c r="BI116" s="2" t="s">
        <v>95</v>
      </c>
      <c r="BK116" s="2" t="s">
        <v>414</v>
      </c>
      <c r="BR116" s="2">
        <v>4.13</v>
      </c>
      <c r="BS116" s="2">
        <v>0.13</v>
      </c>
      <c r="BT116" s="2">
        <v>14</v>
      </c>
      <c r="CA116" s="2" t="s">
        <v>665</v>
      </c>
      <c r="CB116" s="2" t="s">
        <v>395</v>
      </c>
      <c r="CG116" s="2">
        <v>3000</v>
      </c>
      <c r="CH116" s="2">
        <v>83</v>
      </c>
      <c r="CI116" s="2">
        <v>2338.4499999999998</v>
      </c>
      <c r="CJ116" s="2">
        <v>1009.22</v>
      </c>
      <c r="CK116" s="2">
        <v>30000</v>
      </c>
      <c r="CL116" s="2" t="s">
        <v>96</v>
      </c>
      <c r="CM116" s="2" t="s">
        <v>95</v>
      </c>
      <c r="CN116" s="2" t="s">
        <v>662</v>
      </c>
      <c r="CO116" s="3">
        <v>41682</v>
      </c>
      <c r="CP116" s="3">
        <v>43634</v>
      </c>
    </row>
    <row r="117" spans="1:94" x14ac:dyDescent="0.25">
      <c r="A117" s="2" t="s">
        <v>666</v>
      </c>
      <c r="B117" s="2" t="str">
        <f xml:space="preserve"> "" &amp; 844349015697</f>
        <v>844349015697</v>
      </c>
      <c r="C117" s="2" t="s">
        <v>655</v>
      </c>
      <c r="D117" s="2" t="s">
        <v>656</v>
      </c>
      <c r="E117" s="2" t="s">
        <v>657</v>
      </c>
      <c r="F117" s="2" t="s">
        <v>658</v>
      </c>
      <c r="G117" s="2">
        <v>1</v>
      </c>
      <c r="H117" s="2">
        <v>1</v>
      </c>
      <c r="I117" s="2" t="s">
        <v>94</v>
      </c>
      <c r="J117" s="6">
        <v>124</v>
      </c>
      <c r="K117" s="6">
        <v>372</v>
      </c>
      <c r="L117" s="2">
        <v>0</v>
      </c>
      <c r="N117" s="2">
        <v>0</v>
      </c>
      <c r="O117" s="2" t="s">
        <v>96</v>
      </c>
      <c r="P117" s="6">
        <v>259.95</v>
      </c>
      <c r="Q117" s="6"/>
      <c r="R117" s="7"/>
      <c r="S117" s="2">
        <v>6.25</v>
      </c>
      <c r="U117" s="2">
        <v>24</v>
      </c>
      <c r="V117" s="2">
        <v>1.5</v>
      </c>
      <c r="W117" s="2">
        <v>4.74</v>
      </c>
      <c r="X117" s="2">
        <v>1</v>
      </c>
      <c r="Y117" s="2">
        <v>4.25</v>
      </c>
      <c r="Z117" s="2">
        <v>27</v>
      </c>
      <c r="AA117" s="2">
        <v>8.25</v>
      </c>
      <c r="AB117" s="2">
        <v>0.54800000000000004</v>
      </c>
      <c r="AC117" s="2">
        <v>5.62</v>
      </c>
      <c r="AE117" s="2">
        <v>1</v>
      </c>
      <c r="AF117" s="2" t="s">
        <v>347</v>
      </c>
      <c r="AG117" s="2">
        <v>37</v>
      </c>
      <c r="AK117" s="2" t="s">
        <v>96</v>
      </c>
      <c r="AM117" s="2" t="s">
        <v>95</v>
      </c>
      <c r="AN117" s="2" t="s">
        <v>96</v>
      </c>
      <c r="AO117" s="2" t="s">
        <v>95</v>
      </c>
      <c r="AP117" s="2" t="s">
        <v>97</v>
      </c>
      <c r="AQ117" s="2" t="s">
        <v>98</v>
      </c>
      <c r="AV117" s="2" t="s">
        <v>95</v>
      </c>
      <c r="AX117" s="2" t="s">
        <v>395</v>
      </c>
      <c r="AZ117" s="2" t="s">
        <v>342</v>
      </c>
      <c r="BB117" s="2" t="s">
        <v>54</v>
      </c>
      <c r="BC117" s="2" t="s">
        <v>659</v>
      </c>
      <c r="BF117" s="2" t="s">
        <v>667</v>
      </c>
      <c r="BG117" s="2" t="s">
        <v>95</v>
      </c>
      <c r="BH117" s="2" t="s">
        <v>95</v>
      </c>
      <c r="BI117" s="2" t="s">
        <v>95</v>
      </c>
      <c r="BK117" s="2" t="s">
        <v>414</v>
      </c>
      <c r="BR117" s="2">
        <v>4.75</v>
      </c>
      <c r="BT117" s="2">
        <v>22.63</v>
      </c>
      <c r="CA117" s="2" t="s">
        <v>668</v>
      </c>
      <c r="CB117" s="2" t="s">
        <v>395</v>
      </c>
      <c r="CG117" s="2">
        <v>3000</v>
      </c>
      <c r="CH117" s="2">
        <v>84</v>
      </c>
      <c r="CI117" s="2">
        <v>3059.11</v>
      </c>
      <c r="CJ117" s="2">
        <v>1349.39</v>
      </c>
      <c r="CK117" s="2">
        <v>30000</v>
      </c>
      <c r="CL117" s="2" t="s">
        <v>96</v>
      </c>
      <c r="CM117" s="2" t="s">
        <v>95</v>
      </c>
      <c r="CN117" s="2" t="s">
        <v>662</v>
      </c>
      <c r="CO117" s="3">
        <v>41682</v>
      </c>
      <c r="CP117" s="3">
        <v>43634</v>
      </c>
    </row>
    <row r="118" spans="1:94" x14ac:dyDescent="0.25">
      <c r="A118" s="2" t="s">
        <v>669</v>
      </c>
      <c r="B118" s="2" t="str">
        <f xml:space="preserve"> "" &amp; 844349028482</f>
        <v>844349028482</v>
      </c>
      <c r="C118" s="2" t="s">
        <v>670</v>
      </c>
      <c r="D118" s="2" t="s">
        <v>671</v>
      </c>
      <c r="E118" s="2" t="s">
        <v>672</v>
      </c>
      <c r="F118" s="2" t="s">
        <v>340</v>
      </c>
      <c r="G118" s="2">
        <v>1</v>
      </c>
      <c r="H118" s="2">
        <v>1</v>
      </c>
      <c r="I118" s="2" t="s">
        <v>94</v>
      </c>
      <c r="J118" s="6">
        <v>219</v>
      </c>
      <c r="K118" s="6">
        <v>657</v>
      </c>
      <c r="L118" s="2">
        <v>0</v>
      </c>
      <c r="N118" s="2">
        <v>0</v>
      </c>
      <c r="O118" s="2" t="s">
        <v>96</v>
      </c>
      <c r="P118" s="6">
        <v>459.95</v>
      </c>
      <c r="Q118" s="6"/>
      <c r="R118" s="7"/>
      <c r="S118" s="2">
        <v>3.5</v>
      </c>
      <c r="U118" s="2">
        <v>33.5</v>
      </c>
      <c r="V118" s="2">
        <v>7.75</v>
      </c>
      <c r="W118" s="2">
        <v>9.48</v>
      </c>
      <c r="X118" s="2">
        <v>1</v>
      </c>
      <c r="Y118" s="2">
        <v>9</v>
      </c>
      <c r="Z118" s="2">
        <v>37.130000000000003</v>
      </c>
      <c r="AA118" s="2">
        <v>11</v>
      </c>
      <c r="AB118" s="2">
        <v>2.1269999999999998</v>
      </c>
      <c r="AC118" s="2">
        <v>11.02</v>
      </c>
      <c r="AE118" s="2">
        <v>1</v>
      </c>
      <c r="AF118" s="2" t="s">
        <v>673</v>
      </c>
      <c r="AG118" s="2">
        <v>38</v>
      </c>
      <c r="AK118" s="2" t="s">
        <v>96</v>
      </c>
      <c r="AM118" s="2" t="s">
        <v>95</v>
      </c>
      <c r="AN118" s="2" t="s">
        <v>96</v>
      </c>
      <c r="AO118" s="2" t="s">
        <v>95</v>
      </c>
      <c r="AP118" s="2" t="s">
        <v>97</v>
      </c>
      <c r="AQ118" s="2" t="s">
        <v>98</v>
      </c>
      <c r="AV118" s="2" t="s">
        <v>95</v>
      </c>
      <c r="AX118" s="2" t="s">
        <v>674</v>
      </c>
      <c r="AZ118" s="2" t="s">
        <v>483</v>
      </c>
      <c r="BB118" s="2" t="s">
        <v>348</v>
      </c>
      <c r="BC118" s="2" t="s">
        <v>379</v>
      </c>
      <c r="BF118" s="2" t="s">
        <v>675</v>
      </c>
      <c r="BG118" s="2" t="s">
        <v>95</v>
      </c>
      <c r="BH118" s="2" t="s">
        <v>95</v>
      </c>
      <c r="BI118" s="2" t="s">
        <v>95</v>
      </c>
      <c r="BK118" s="2" t="s">
        <v>414</v>
      </c>
      <c r="BR118" s="2">
        <v>4.75</v>
      </c>
      <c r="BT118" s="2">
        <v>19.75</v>
      </c>
      <c r="CA118" s="2" t="s">
        <v>676</v>
      </c>
      <c r="CB118" s="2" t="s">
        <v>674</v>
      </c>
      <c r="CG118" s="2">
        <v>3000</v>
      </c>
      <c r="CH118" s="2">
        <v>93</v>
      </c>
      <c r="CI118" s="2">
        <v>4150.3</v>
      </c>
      <c r="CJ118" s="2">
        <v>1078.0999999999999</v>
      </c>
      <c r="CK118" s="2">
        <v>30000</v>
      </c>
      <c r="CL118" s="2" t="s">
        <v>96</v>
      </c>
      <c r="CM118" s="2" t="s">
        <v>95</v>
      </c>
      <c r="CN118" s="2" t="s">
        <v>677</v>
      </c>
      <c r="CO118" s="3">
        <v>43537</v>
      </c>
      <c r="CP118" s="3">
        <v>43634</v>
      </c>
    </row>
    <row r="119" spans="1:94" x14ac:dyDescent="0.25">
      <c r="A119" s="2" t="s">
        <v>678</v>
      </c>
      <c r="B119" s="2" t="str">
        <f xml:space="preserve"> "" &amp; 844349017691</f>
        <v>844349017691</v>
      </c>
      <c r="C119" s="2" t="s">
        <v>655</v>
      </c>
      <c r="D119" s="2" t="s">
        <v>679</v>
      </c>
      <c r="E119" s="2" t="s">
        <v>680</v>
      </c>
      <c r="F119" s="2" t="s">
        <v>658</v>
      </c>
      <c r="G119" s="2">
        <v>1</v>
      </c>
      <c r="H119" s="2">
        <v>1</v>
      </c>
      <c r="I119" s="2" t="s">
        <v>94</v>
      </c>
      <c r="J119" s="6">
        <v>75</v>
      </c>
      <c r="K119" s="6">
        <v>225</v>
      </c>
      <c r="L119" s="2">
        <v>0</v>
      </c>
      <c r="N119" s="2">
        <v>0</v>
      </c>
      <c r="O119" s="2" t="s">
        <v>96</v>
      </c>
      <c r="P119" s="6">
        <v>154.94999999999999</v>
      </c>
      <c r="Q119" s="6"/>
      <c r="R119" s="7"/>
      <c r="S119" s="2">
        <v>6.75</v>
      </c>
      <c r="U119" s="2">
        <v>10</v>
      </c>
      <c r="V119" s="2">
        <v>4</v>
      </c>
      <c r="W119" s="2">
        <v>4.5599999999999996</v>
      </c>
      <c r="X119" s="2">
        <v>1</v>
      </c>
      <c r="Y119" s="2">
        <v>7.25</v>
      </c>
      <c r="Z119" s="2">
        <v>19</v>
      </c>
      <c r="AA119" s="2">
        <v>13.5</v>
      </c>
      <c r="AB119" s="2">
        <v>1.0760000000000001</v>
      </c>
      <c r="AC119" s="2">
        <v>6.15</v>
      </c>
      <c r="AE119" s="2">
        <v>1</v>
      </c>
      <c r="AF119" s="2" t="s">
        <v>347</v>
      </c>
      <c r="AG119" s="2">
        <v>11</v>
      </c>
      <c r="AK119" s="2" t="s">
        <v>96</v>
      </c>
      <c r="AM119" s="2" t="s">
        <v>95</v>
      </c>
      <c r="AN119" s="2" t="s">
        <v>96</v>
      </c>
      <c r="AO119" s="2" t="s">
        <v>95</v>
      </c>
      <c r="AP119" s="2" t="s">
        <v>97</v>
      </c>
      <c r="AQ119" s="2" t="s">
        <v>98</v>
      </c>
      <c r="AV119" s="2" t="s">
        <v>95</v>
      </c>
      <c r="AX119" s="2" t="s">
        <v>529</v>
      </c>
      <c r="AZ119" s="2" t="s">
        <v>342</v>
      </c>
      <c r="BB119" s="2" t="s">
        <v>329</v>
      </c>
      <c r="BC119" s="2" t="s">
        <v>681</v>
      </c>
      <c r="BF119" s="2" t="s">
        <v>682</v>
      </c>
      <c r="BG119" s="2" t="s">
        <v>95</v>
      </c>
      <c r="BH119" s="2" t="s">
        <v>96</v>
      </c>
      <c r="BI119" s="2" t="s">
        <v>95</v>
      </c>
      <c r="BK119" s="2" t="s">
        <v>414</v>
      </c>
      <c r="BR119" s="2">
        <v>6.38</v>
      </c>
      <c r="BT119" s="2">
        <v>7.5</v>
      </c>
      <c r="CA119" s="2" t="s">
        <v>683</v>
      </c>
      <c r="CB119" s="2" t="s">
        <v>529</v>
      </c>
      <c r="CG119" s="2">
        <v>3000</v>
      </c>
      <c r="CH119" s="2">
        <v>98</v>
      </c>
      <c r="CI119" s="2">
        <v>546</v>
      </c>
      <c r="CJ119" s="2">
        <v>253</v>
      </c>
      <c r="CK119" s="2">
        <v>30000</v>
      </c>
      <c r="CL119" s="2" t="s">
        <v>95</v>
      </c>
      <c r="CM119" s="2" t="s">
        <v>95</v>
      </c>
      <c r="CN119" s="2" t="s">
        <v>684</v>
      </c>
      <c r="CO119" s="3">
        <v>42042</v>
      </c>
      <c r="CP119" s="3">
        <v>43634</v>
      </c>
    </row>
    <row r="120" spans="1:94" x14ac:dyDescent="0.25">
      <c r="A120" s="2" t="s">
        <v>685</v>
      </c>
      <c r="B120" s="2" t="str">
        <f xml:space="preserve"> "" &amp; 844349017707</f>
        <v>844349017707</v>
      </c>
      <c r="C120" s="2" t="s">
        <v>655</v>
      </c>
      <c r="D120" s="2" t="s">
        <v>679</v>
      </c>
      <c r="E120" s="2" t="s">
        <v>680</v>
      </c>
      <c r="F120" s="2" t="s">
        <v>658</v>
      </c>
      <c r="G120" s="2">
        <v>1</v>
      </c>
      <c r="H120" s="2">
        <v>1</v>
      </c>
      <c r="I120" s="2" t="s">
        <v>94</v>
      </c>
      <c r="J120" s="6">
        <v>110</v>
      </c>
      <c r="K120" s="6">
        <v>330</v>
      </c>
      <c r="L120" s="2">
        <v>0</v>
      </c>
      <c r="N120" s="2">
        <v>0</v>
      </c>
      <c r="O120" s="2" t="s">
        <v>96</v>
      </c>
      <c r="P120" s="6">
        <v>229.95</v>
      </c>
      <c r="Q120" s="6"/>
      <c r="R120" s="7"/>
      <c r="S120" s="2">
        <v>6.75</v>
      </c>
      <c r="U120" s="2">
        <v>16</v>
      </c>
      <c r="V120" s="2">
        <v>4</v>
      </c>
      <c r="W120" s="2">
        <v>6.83</v>
      </c>
      <c r="X120" s="2">
        <v>1</v>
      </c>
      <c r="Y120" s="2">
        <v>8.5</v>
      </c>
      <c r="Z120" s="2">
        <v>19.75</v>
      </c>
      <c r="AA120" s="2">
        <v>19.5</v>
      </c>
      <c r="AB120" s="2">
        <v>1.8939999999999999</v>
      </c>
      <c r="AC120" s="2">
        <v>9.85</v>
      </c>
      <c r="AE120" s="2">
        <v>1</v>
      </c>
      <c r="AF120" s="2" t="s">
        <v>347</v>
      </c>
      <c r="AG120" s="2">
        <v>15</v>
      </c>
      <c r="AK120" s="2" t="s">
        <v>96</v>
      </c>
      <c r="AM120" s="2" t="s">
        <v>95</v>
      </c>
      <c r="AN120" s="2" t="s">
        <v>96</v>
      </c>
      <c r="AO120" s="2" t="s">
        <v>95</v>
      </c>
      <c r="AP120" s="2" t="s">
        <v>97</v>
      </c>
      <c r="AQ120" s="2" t="s">
        <v>98</v>
      </c>
      <c r="AV120" s="2" t="s">
        <v>95</v>
      </c>
      <c r="AX120" s="2" t="s">
        <v>529</v>
      </c>
      <c r="AZ120" s="2" t="s">
        <v>342</v>
      </c>
      <c r="BB120" s="2" t="s">
        <v>329</v>
      </c>
      <c r="BC120" s="2" t="s">
        <v>681</v>
      </c>
      <c r="BF120" s="2" t="s">
        <v>686</v>
      </c>
      <c r="BG120" s="2" t="s">
        <v>95</v>
      </c>
      <c r="BH120" s="2" t="s">
        <v>96</v>
      </c>
      <c r="BI120" s="2" t="s">
        <v>95</v>
      </c>
      <c r="BK120" s="2" t="s">
        <v>414</v>
      </c>
      <c r="BR120" s="2">
        <v>6.38</v>
      </c>
      <c r="BT120" s="2">
        <v>13.5</v>
      </c>
      <c r="CA120" s="2" t="s">
        <v>687</v>
      </c>
      <c r="CB120" s="2" t="s">
        <v>529</v>
      </c>
      <c r="CG120" s="2">
        <v>3000</v>
      </c>
      <c r="CH120" s="2">
        <v>98</v>
      </c>
      <c r="CI120" s="2">
        <v>1008</v>
      </c>
      <c r="CJ120" s="2">
        <v>501</v>
      </c>
      <c r="CK120" s="2">
        <v>30000</v>
      </c>
      <c r="CL120" s="2" t="s">
        <v>95</v>
      </c>
      <c r="CM120" s="2" t="s">
        <v>95</v>
      </c>
      <c r="CN120" s="2" t="s">
        <v>684</v>
      </c>
      <c r="CO120" s="3">
        <v>41942</v>
      </c>
      <c r="CP120" s="3">
        <v>43634</v>
      </c>
    </row>
    <row r="121" spans="1:94" x14ac:dyDescent="0.25">
      <c r="A121" s="2" t="s">
        <v>688</v>
      </c>
      <c r="B121" s="2" t="str">
        <f xml:space="preserve"> "" &amp; 844349017714</f>
        <v>844349017714</v>
      </c>
      <c r="C121" s="2" t="s">
        <v>655</v>
      </c>
      <c r="D121" s="2" t="s">
        <v>679</v>
      </c>
      <c r="E121" s="2" t="s">
        <v>680</v>
      </c>
      <c r="F121" s="2" t="s">
        <v>658</v>
      </c>
      <c r="G121" s="2">
        <v>1</v>
      </c>
      <c r="H121" s="2">
        <v>1</v>
      </c>
      <c r="I121" s="2" t="s">
        <v>94</v>
      </c>
      <c r="J121" s="6">
        <v>145</v>
      </c>
      <c r="K121" s="6">
        <v>435</v>
      </c>
      <c r="L121" s="2">
        <v>0</v>
      </c>
      <c r="N121" s="2">
        <v>0</v>
      </c>
      <c r="O121" s="2" t="s">
        <v>96</v>
      </c>
      <c r="P121" s="6">
        <v>304.95</v>
      </c>
      <c r="Q121" s="6"/>
      <c r="R121" s="7"/>
      <c r="S121" s="2">
        <v>6.75</v>
      </c>
      <c r="U121" s="2">
        <v>22</v>
      </c>
      <c r="V121" s="2">
        <v>4</v>
      </c>
      <c r="W121" s="2">
        <v>10.16</v>
      </c>
      <c r="X121" s="2">
        <v>1</v>
      </c>
      <c r="Y121" s="2">
        <v>8.75</v>
      </c>
      <c r="Z121" s="2">
        <v>26.25</v>
      </c>
      <c r="AA121" s="2">
        <v>19.5</v>
      </c>
      <c r="AB121" s="2">
        <v>2.5920000000000001</v>
      </c>
      <c r="AC121" s="2">
        <v>13.49</v>
      </c>
      <c r="AE121" s="2">
        <v>1</v>
      </c>
      <c r="AF121" s="2" t="s">
        <v>347</v>
      </c>
      <c r="AG121" s="2">
        <v>23</v>
      </c>
      <c r="AK121" s="2" t="s">
        <v>96</v>
      </c>
      <c r="AM121" s="2" t="s">
        <v>95</v>
      </c>
      <c r="AN121" s="2" t="s">
        <v>96</v>
      </c>
      <c r="AO121" s="2" t="s">
        <v>95</v>
      </c>
      <c r="AP121" s="2" t="s">
        <v>97</v>
      </c>
      <c r="AQ121" s="2" t="s">
        <v>98</v>
      </c>
      <c r="AV121" s="2" t="s">
        <v>95</v>
      </c>
      <c r="AX121" s="2" t="s">
        <v>529</v>
      </c>
      <c r="AZ121" s="2" t="s">
        <v>342</v>
      </c>
      <c r="BB121" s="2" t="s">
        <v>329</v>
      </c>
      <c r="BC121" s="2" t="s">
        <v>681</v>
      </c>
      <c r="BF121" s="2" t="s">
        <v>689</v>
      </c>
      <c r="BG121" s="2" t="s">
        <v>95</v>
      </c>
      <c r="BH121" s="2" t="s">
        <v>96</v>
      </c>
      <c r="BI121" s="2" t="s">
        <v>95</v>
      </c>
      <c r="BK121" s="2" t="s">
        <v>414</v>
      </c>
      <c r="BR121" s="2">
        <v>6.38</v>
      </c>
      <c r="BT121" s="2">
        <v>19.5</v>
      </c>
      <c r="CA121" s="2" t="s">
        <v>690</v>
      </c>
      <c r="CB121" s="2" t="s">
        <v>529</v>
      </c>
      <c r="CG121" s="2">
        <v>3000</v>
      </c>
      <c r="CH121" s="2">
        <v>98</v>
      </c>
      <c r="CI121" s="2">
        <v>1418</v>
      </c>
      <c r="CJ121" s="2">
        <v>772</v>
      </c>
      <c r="CK121" s="2">
        <v>30000</v>
      </c>
      <c r="CL121" s="2" t="s">
        <v>95</v>
      </c>
      <c r="CM121" s="2" t="s">
        <v>95</v>
      </c>
      <c r="CN121" s="2" t="s">
        <v>684</v>
      </c>
      <c r="CO121" s="3">
        <v>42307</v>
      </c>
      <c r="CP121" s="3">
        <v>43634</v>
      </c>
    </row>
    <row r="122" spans="1:94" x14ac:dyDescent="0.25">
      <c r="A122" s="2" t="s">
        <v>691</v>
      </c>
      <c r="B122" s="2" t="str">
        <f xml:space="preserve"> "" &amp; 844349019930</f>
        <v>844349019930</v>
      </c>
      <c r="C122" s="2" t="s">
        <v>692</v>
      </c>
      <c r="D122" s="2" t="s">
        <v>693</v>
      </c>
      <c r="E122" s="2" t="s">
        <v>694</v>
      </c>
      <c r="F122" s="2" t="s">
        <v>658</v>
      </c>
      <c r="G122" s="2">
        <v>1</v>
      </c>
      <c r="H122" s="2">
        <v>1</v>
      </c>
      <c r="I122" s="2" t="s">
        <v>94</v>
      </c>
      <c r="J122" s="6">
        <v>82</v>
      </c>
      <c r="K122" s="6">
        <v>246</v>
      </c>
      <c r="L122" s="2">
        <v>0</v>
      </c>
      <c r="N122" s="2">
        <v>0</v>
      </c>
      <c r="O122" s="2" t="s">
        <v>96</v>
      </c>
      <c r="P122" s="6">
        <v>172.95</v>
      </c>
      <c r="Q122" s="6"/>
      <c r="R122" s="7"/>
      <c r="S122" s="2">
        <v>5</v>
      </c>
      <c r="T122" s="2">
        <v>12.25</v>
      </c>
      <c r="U122" s="2">
        <v>12.25</v>
      </c>
      <c r="V122" s="2">
        <v>3</v>
      </c>
      <c r="W122" s="2">
        <v>2.78</v>
      </c>
      <c r="X122" s="2">
        <v>1</v>
      </c>
      <c r="Y122" s="2">
        <v>5.5</v>
      </c>
      <c r="Z122" s="2">
        <v>14</v>
      </c>
      <c r="AA122" s="2">
        <v>6.5</v>
      </c>
      <c r="AB122" s="2">
        <v>0.28999999999999998</v>
      </c>
      <c r="AC122" s="2">
        <v>3.31</v>
      </c>
      <c r="AE122" s="2">
        <v>1</v>
      </c>
      <c r="AF122" s="2" t="s">
        <v>695</v>
      </c>
      <c r="AG122" s="2">
        <v>12</v>
      </c>
      <c r="AK122" s="2" t="s">
        <v>96</v>
      </c>
      <c r="AM122" s="2" t="s">
        <v>95</v>
      </c>
      <c r="AN122" s="2" t="s">
        <v>96</v>
      </c>
      <c r="AO122" s="2" t="s">
        <v>95</v>
      </c>
      <c r="AP122" s="2" t="s">
        <v>97</v>
      </c>
      <c r="AQ122" s="2" t="s">
        <v>98</v>
      </c>
      <c r="AV122" s="2" t="s">
        <v>95</v>
      </c>
      <c r="AX122" s="2" t="s">
        <v>395</v>
      </c>
      <c r="AZ122" s="2" t="s">
        <v>483</v>
      </c>
      <c r="BB122" s="2" t="s">
        <v>329</v>
      </c>
      <c r="BC122" s="2" t="s">
        <v>696</v>
      </c>
      <c r="BF122" s="2" t="s">
        <v>697</v>
      </c>
      <c r="BG122" s="2" t="s">
        <v>95</v>
      </c>
      <c r="BH122" s="2" t="s">
        <v>96</v>
      </c>
      <c r="BI122" s="2" t="s">
        <v>95</v>
      </c>
      <c r="BK122" s="2" t="s">
        <v>414</v>
      </c>
      <c r="BL122" s="2" t="s">
        <v>350</v>
      </c>
      <c r="BM122" s="2">
        <v>7</v>
      </c>
      <c r="BN122" s="2">
        <v>5</v>
      </c>
      <c r="CA122" s="2" t="s">
        <v>698</v>
      </c>
      <c r="CB122" s="2" t="s">
        <v>395</v>
      </c>
      <c r="CG122" s="2">
        <v>3000</v>
      </c>
      <c r="CH122" s="2">
        <v>92</v>
      </c>
      <c r="CI122" s="2">
        <v>998</v>
      </c>
      <c r="CJ122" s="2">
        <v>744</v>
      </c>
      <c r="CK122" s="2">
        <v>30000</v>
      </c>
      <c r="CL122" s="2" t="s">
        <v>96</v>
      </c>
      <c r="CM122" s="2" t="s">
        <v>95</v>
      </c>
      <c r="CN122" s="2" t="s">
        <v>471</v>
      </c>
      <c r="CO122" s="3">
        <v>42327</v>
      </c>
      <c r="CP122" s="3">
        <v>43634</v>
      </c>
    </row>
    <row r="123" spans="1:94" x14ac:dyDescent="0.25">
      <c r="A123" s="2" t="s">
        <v>699</v>
      </c>
      <c r="B123" s="2" t="str">
        <f xml:space="preserve"> "" &amp; 844349019947</f>
        <v>844349019947</v>
      </c>
      <c r="C123" s="2" t="s">
        <v>692</v>
      </c>
      <c r="D123" s="2" t="s">
        <v>693</v>
      </c>
      <c r="E123" s="2" t="s">
        <v>694</v>
      </c>
      <c r="F123" s="2" t="s">
        <v>658</v>
      </c>
      <c r="G123" s="2">
        <v>1</v>
      </c>
      <c r="H123" s="2">
        <v>1</v>
      </c>
      <c r="I123" s="2" t="s">
        <v>94</v>
      </c>
      <c r="J123" s="6">
        <v>135</v>
      </c>
      <c r="K123" s="6">
        <v>405</v>
      </c>
      <c r="L123" s="2">
        <v>0</v>
      </c>
      <c r="N123" s="2">
        <v>0</v>
      </c>
      <c r="O123" s="2" t="s">
        <v>96</v>
      </c>
      <c r="P123" s="6">
        <v>283.95</v>
      </c>
      <c r="Q123" s="6"/>
      <c r="R123" s="7"/>
      <c r="S123" s="2">
        <v>5</v>
      </c>
      <c r="U123" s="2">
        <v>24</v>
      </c>
      <c r="V123" s="2">
        <v>3</v>
      </c>
      <c r="W123" s="2">
        <v>4.9400000000000004</v>
      </c>
      <c r="X123" s="2">
        <v>1</v>
      </c>
      <c r="Y123" s="2">
        <v>6.13</v>
      </c>
      <c r="Z123" s="2">
        <v>26.88</v>
      </c>
      <c r="AA123" s="2">
        <v>6.5</v>
      </c>
      <c r="AB123" s="2">
        <v>0.62</v>
      </c>
      <c r="AC123" s="2">
        <v>5.95</v>
      </c>
      <c r="AE123" s="2">
        <v>1</v>
      </c>
      <c r="AF123" s="2" t="s">
        <v>700</v>
      </c>
      <c r="AG123" s="2">
        <v>23</v>
      </c>
      <c r="AK123" s="2" t="s">
        <v>96</v>
      </c>
      <c r="AM123" s="2" t="s">
        <v>95</v>
      </c>
      <c r="AN123" s="2" t="s">
        <v>96</v>
      </c>
      <c r="AO123" s="2" t="s">
        <v>95</v>
      </c>
      <c r="AP123" s="2" t="s">
        <v>97</v>
      </c>
      <c r="AQ123" s="2" t="s">
        <v>98</v>
      </c>
      <c r="AV123" s="2" t="s">
        <v>95</v>
      </c>
      <c r="AX123" s="2" t="s">
        <v>395</v>
      </c>
      <c r="AZ123" s="2" t="s">
        <v>483</v>
      </c>
      <c r="BB123" s="2" t="s">
        <v>329</v>
      </c>
      <c r="BC123" s="2" t="s">
        <v>696</v>
      </c>
      <c r="BF123" s="2" t="s">
        <v>701</v>
      </c>
      <c r="BG123" s="2" t="s">
        <v>95</v>
      </c>
      <c r="BH123" s="2" t="s">
        <v>96</v>
      </c>
      <c r="BI123" s="2" t="s">
        <v>95</v>
      </c>
      <c r="BK123" s="2" t="s">
        <v>414</v>
      </c>
      <c r="BL123" s="2" t="s">
        <v>350</v>
      </c>
      <c r="BM123" s="2">
        <v>7</v>
      </c>
      <c r="BN123" s="2">
        <v>5</v>
      </c>
      <c r="CA123" s="2" t="s">
        <v>702</v>
      </c>
      <c r="CB123" s="2" t="s">
        <v>395</v>
      </c>
      <c r="CG123" s="2">
        <v>3000</v>
      </c>
      <c r="CH123" s="2">
        <v>92</v>
      </c>
      <c r="CI123" s="2">
        <v>1896</v>
      </c>
      <c r="CJ123" s="2">
        <v>1401</v>
      </c>
      <c r="CK123" s="2">
        <v>30000</v>
      </c>
      <c r="CL123" s="2" t="s">
        <v>96</v>
      </c>
      <c r="CM123" s="2" t="s">
        <v>95</v>
      </c>
      <c r="CN123" s="2" t="s">
        <v>471</v>
      </c>
      <c r="CO123" s="3">
        <v>42327</v>
      </c>
      <c r="CP123" s="3">
        <v>43634</v>
      </c>
    </row>
    <row r="124" spans="1:94" x14ac:dyDescent="0.25">
      <c r="A124" s="2" t="s">
        <v>703</v>
      </c>
      <c r="B124" s="2" t="str">
        <f xml:space="preserve"> "" &amp; 844349019954</f>
        <v>844349019954</v>
      </c>
      <c r="C124" s="2" t="s">
        <v>692</v>
      </c>
      <c r="D124" s="2" t="s">
        <v>693</v>
      </c>
      <c r="E124" s="2" t="s">
        <v>694</v>
      </c>
      <c r="F124" s="2" t="s">
        <v>658</v>
      </c>
      <c r="G124" s="2">
        <v>1</v>
      </c>
      <c r="H124" s="2">
        <v>1</v>
      </c>
      <c r="I124" s="2" t="s">
        <v>94</v>
      </c>
      <c r="J124" s="6">
        <v>169</v>
      </c>
      <c r="K124" s="6">
        <v>507</v>
      </c>
      <c r="L124" s="2">
        <v>0</v>
      </c>
      <c r="N124" s="2">
        <v>0</v>
      </c>
      <c r="O124" s="2" t="s">
        <v>96</v>
      </c>
      <c r="P124" s="6">
        <v>354.95</v>
      </c>
      <c r="Q124" s="6"/>
      <c r="R124" s="7"/>
      <c r="S124" s="2">
        <v>5</v>
      </c>
      <c r="U124" s="2">
        <v>32</v>
      </c>
      <c r="V124" s="2">
        <v>3</v>
      </c>
      <c r="W124" s="2">
        <v>6.53</v>
      </c>
      <c r="X124" s="2">
        <v>1</v>
      </c>
      <c r="Y124" s="2">
        <v>6.375</v>
      </c>
      <c r="Z124" s="2">
        <v>35.625</v>
      </c>
      <c r="AA124" s="2">
        <v>7</v>
      </c>
      <c r="AB124" s="2">
        <v>0.92</v>
      </c>
      <c r="AC124" s="2">
        <v>7.85</v>
      </c>
      <c r="AE124" s="2">
        <v>1</v>
      </c>
      <c r="AF124" s="2" t="s">
        <v>704</v>
      </c>
      <c r="AG124" s="2">
        <v>33</v>
      </c>
      <c r="AK124" s="2" t="s">
        <v>96</v>
      </c>
      <c r="AM124" s="2" t="s">
        <v>95</v>
      </c>
      <c r="AN124" s="2" t="s">
        <v>96</v>
      </c>
      <c r="AO124" s="2" t="s">
        <v>95</v>
      </c>
      <c r="AP124" s="2" t="s">
        <v>97</v>
      </c>
      <c r="AQ124" s="2" t="s">
        <v>98</v>
      </c>
      <c r="AV124" s="2" t="s">
        <v>95</v>
      </c>
      <c r="AX124" s="2" t="s">
        <v>395</v>
      </c>
      <c r="AZ124" s="2" t="s">
        <v>483</v>
      </c>
      <c r="BB124" s="2" t="s">
        <v>329</v>
      </c>
      <c r="BC124" s="2" t="s">
        <v>451</v>
      </c>
      <c r="BF124" s="2" t="s">
        <v>705</v>
      </c>
      <c r="BG124" s="2" t="s">
        <v>95</v>
      </c>
      <c r="BH124" s="2" t="s">
        <v>96</v>
      </c>
      <c r="BI124" s="2" t="s">
        <v>95</v>
      </c>
      <c r="BK124" s="2" t="s">
        <v>414</v>
      </c>
      <c r="BL124" s="2" t="s">
        <v>350</v>
      </c>
      <c r="BM124" s="2">
        <v>7</v>
      </c>
      <c r="BN124" s="2">
        <v>5</v>
      </c>
      <c r="CA124" s="2" t="s">
        <v>706</v>
      </c>
      <c r="CB124" s="2" t="s">
        <v>395</v>
      </c>
      <c r="CG124" s="2">
        <v>3000</v>
      </c>
      <c r="CH124" s="2">
        <v>92</v>
      </c>
      <c r="CI124" s="2">
        <v>2707</v>
      </c>
      <c r="CJ124" s="2">
        <v>2085</v>
      </c>
      <c r="CK124" s="2">
        <v>30000</v>
      </c>
      <c r="CL124" s="2" t="s">
        <v>96</v>
      </c>
      <c r="CM124" s="2" t="s">
        <v>95</v>
      </c>
      <c r="CN124" s="2" t="s">
        <v>471</v>
      </c>
      <c r="CO124" s="3">
        <v>42327</v>
      </c>
      <c r="CP124" s="3">
        <v>43634</v>
      </c>
    </row>
    <row r="125" spans="1:94" x14ac:dyDescent="0.25">
      <c r="A125" s="2" t="s">
        <v>707</v>
      </c>
      <c r="B125" s="2" t="str">
        <f xml:space="preserve"> "" &amp; 844349016809</f>
        <v>844349016809</v>
      </c>
      <c r="C125" s="2" t="s">
        <v>526</v>
      </c>
      <c r="D125" s="2" t="s">
        <v>708</v>
      </c>
      <c r="E125" s="2" t="s">
        <v>709</v>
      </c>
      <c r="F125" s="2" t="s">
        <v>564</v>
      </c>
      <c r="G125" s="2">
        <v>1</v>
      </c>
      <c r="H125" s="2">
        <v>1</v>
      </c>
      <c r="I125" s="2" t="s">
        <v>94</v>
      </c>
      <c r="J125" s="6">
        <v>95</v>
      </c>
      <c r="K125" s="6">
        <v>285</v>
      </c>
      <c r="L125" s="2">
        <v>0</v>
      </c>
      <c r="N125" s="2">
        <v>0</v>
      </c>
      <c r="O125" s="2" t="s">
        <v>96</v>
      </c>
      <c r="P125" s="6">
        <v>199.95</v>
      </c>
      <c r="Q125" s="6"/>
      <c r="R125" s="7"/>
      <c r="S125" s="2">
        <v>10</v>
      </c>
      <c r="U125" s="2">
        <v>4.75</v>
      </c>
      <c r="V125" s="2">
        <v>6.75</v>
      </c>
      <c r="W125" s="2">
        <v>4.32</v>
      </c>
      <c r="X125" s="2">
        <v>1</v>
      </c>
      <c r="Y125" s="2">
        <v>8.1300000000000008</v>
      </c>
      <c r="Z125" s="2">
        <v>14.63</v>
      </c>
      <c r="AA125" s="2">
        <v>10.25</v>
      </c>
      <c r="AB125" s="2">
        <v>0.70599999999999996</v>
      </c>
      <c r="AC125" s="2">
        <v>5.31</v>
      </c>
      <c r="AE125" s="2">
        <v>1</v>
      </c>
      <c r="AF125" s="2" t="s">
        <v>710</v>
      </c>
      <c r="AG125" s="2">
        <v>30</v>
      </c>
      <c r="AK125" s="2" t="s">
        <v>96</v>
      </c>
      <c r="AM125" s="2" t="s">
        <v>95</v>
      </c>
      <c r="AN125" s="2" t="s">
        <v>96</v>
      </c>
      <c r="AO125" s="2" t="s">
        <v>95</v>
      </c>
      <c r="AP125" s="2" t="s">
        <v>97</v>
      </c>
      <c r="AQ125" s="2" t="s">
        <v>98</v>
      </c>
      <c r="AV125" s="2" t="s">
        <v>95</v>
      </c>
      <c r="AX125" s="2" t="s">
        <v>711</v>
      </c>
      <c r="AZ125" s="2" t="s">
        <v>342</v>
      </c>
      <c r="BC125" s="2" t="s">
        <v>712</v>
      </c>
      <c r="BF125" s="2" t="s">
        <v>713</v>
      </c>
      <c r="BG125" s="2" t="s">
        <v>95</v>
      </c>
      <c r="BH125" s="2" t="s">
        <v>95</v>
      </c>
      <c r="BI125" s="2" t="s">
        <v>95</v>
      </c>
      <c r="BJ125" s="2" t="s">
        <v>96</v>
      </c>
      <c r="BK125" s="2" t="s">
        <v>567</v>
      </c>
      <c r="BR125" s="2">
        <v>6</v>
      </c>
      <c r="BT125" s="2">
        <v>4.75</v>
      </c>
      <c r="CA125" s="2" t="s">
        <v>714</v>
      </c>
      <c r="CB125" s="2" t="s">
        <v>711</v>
      </c>
      <c r="CG125" s="2">
        <v>3000</v>
      </c>
      <c r="CH125" s="2">
        <v>92</v>
      </c>
      <c r="CI125" s="2">
        <v>2400</v>
      </c>
      <c r="CJ125" s="2">
        <v>786.2</v>
      </c>
      <c r="CK125" s="2">
        <v>30000</v>
      </c>
      <c r="CL125" s="2" t="s">
        <v>95</v>
      </c>
      <c r="CM125" s="2" t="s">
        <v>95</v>
      </c>
      <c r="CN125" s="2" t="s">
        <v>577</v>
      </c>
      <c r="CO125" s="3">
        <v>41919</v>
      </c>
      <c r="CP125" s="3">
        <v>43644</v>
      </c>
    </row>
    <row r="126" spans="1:94" x14ac:dyDescent="0.25">
      <c r="A126" s="2" t="s">
        <v>715</v>
      </c>
      <c r="B126" s="2" t="str">
        <f xml:space="preserve"> "" &amp; 844349016816</f>
        <v>844349016816</v>
      </c>
      <c r="C126" s="2" t="s">
        <v>526</v>
      </c>
      <c r="D126" s="2" t="s">
        <v>708</v>
      </c>
      <c r="E126" s="2" t="s">
        <v>709</v>
      </c>
      <c r="F126" s="2" t="s">
        <v>564</v>
      </c>
      <c r="G126" s="2">
        <v>1</v>
      </c>
      <c r="H126" s="2">
        <v>1</v>
      </c>
      <c r="I126" s="2" t="s">
        <v>94</v>
      </c>
      <c r="J126" s="6">
        <v>135</v>
      </c>
      <c r="K126" s="6">
        <v>405</v>
      </c>
      <c r="L126" s="2">
        <v>0</v>
      </c>
      <c r="N126" s="2">
        <v>0</v>
      </c>
      <c r="O126" s="2" t="s">
        <v>96</v>
      </c>
      <c r="P126" s="6">
        <v>283.95</v>
      </c>
      <c r="Q126" s="6"/>
      <c r="R126" s="7"/>
      <c r="S126" s="2">
        <v>15.75</v>
      </c>
      <c r="U126" s="2">
        <v>4.75</v>
      </c>
      <c r="V126" s="2">
        <v>6.75</v>
      </c>
      <c r="W126" s="2">
        <v>6.72</v>
      </c>
      <c r="X126" s="2">
        <v>1</v>
      </c>
      <c r="Y126" s="2">
        <v>8.1300000000000008</v>
      </c>
      <c r="Z126" s="2">
        <v>20.5</v>
      </c>
      <c r="AA126" s="2">
        <v>10.25</v>
      </c>
      <c r="AB126" s="2">
        <v>0.98899999999999999</v>
      </c>
      <c r="AC126" s="2">
        <v>7.98</v>
      </c>
      <c r="AE126" s="2">
        <v>1</v>
      </c>
      <c r="AF126" s="2" t="s">
        <v>716</v>
      </c>
      <c r="AG126" s="2">
        <v>45</v>
      </c>
      <c r="AK126" s="2" t="s">
        <v>96</v>
      </c>
      <c r="AM126" s="2" t="s">
        <v>95</v>
      </c>
      <c r="AN126" s="2" t="s">
        <v>96</v>
      </c>
      <c r="AO126" s="2" t="s">
        <v>95</v>
      </c>
      <c r="AP126" s="2" t="s">
        <v>97</v>
      </c>
      <c r="AQ126" s="2" t="s">
        <v>98</v>
      </c>
      <c r="AV126" s="2" t="s">
        <v>95</v>
      </c>
      <c r="AX126" s="2" t="s">
        <v>711</v>
      </c>
      <c r="AZ126" s="2" t="s">
        <v>342</v>
      </c>
      <c r="BB126" s="2" t="s">
        <v>329</v>
      </c>
      <c r="BC126" s="2" t="s">
        <v>565</v>
      </c>
      <c r="BF126" s="2" t="s">
        <v>717</v>
      </c>
      <c r="BG126" s="2" t="s">
        <v>95</v>
      </c>
      <c r="BH126" s="2" t="s">
        <v>95</v>
      </c>
      <c r="BI126" s="2" t="s">
        <v>95</v>
      </c>
      <c r="BJ126" s="2" t="s">
        <v>96</v>
      </c>
      <c r="BK126" s="2" t="s">
        <v>567</v>
      </c>
      <c r="BM126" s="2">
        <v>4.75</v>
      </c>
      <c r="BN126" s="2">
        <v>9</v>
      </c>
      <c r="CA126" s="2" t="s">
        <v>718</v>
      </c>
      <c r="CB126" s="2" t="s">
        <v>711</v>
      </c>
      <c r="CG126" s="2">
        <v>3000</v>
      </c>
      <c r="CH126" s="2">
        <v>91</v>
      </c>
      <c r="CI126" s="2">
        <v>3600</v>
      </c>
      <c r="CJ126" s="2">
        <v>847.1</v>
      </c>
      <c r="CK126" s="2">
        <v>30000</v>
      </c>
      <c r="CL126" s="2" t="s">
        <v>96</v>
      </c>
      <c r="CM126" s="2" t="s">
        <v>95</v>
      </c>
      <c r="CN126" s="2" t="s">
        <v>577</v>
      </c>
      <c r="CO126" s="3">
        <v>41919</v>
      </c>
      <c r="CP126" s="3">
        <v>43644</v>
      </c>
    </row>
    <row r="127" spans="1:94" x14ac:dyDescent="0.25">
      <c r="A127" s="2" t="s">
        <v>719</v>
      </c>
      <c r="B127" s="2" t="str">
        <f xml:space="preserve"> "" &amp; 844349016823</f>
        <v>844349016823</v>
      </c>
      <c r="C127" s="2" t="s">
        <v>720</v>
      </c>
      <c r="D127" s="2" t="s">
        <v>721</v>
      </c>
      <c r="E127" s="2" t="s">
        <v>722</v>
      </c>
      <c r="F127" s="2" t="s">
        <v>564</v>
      </c>
      <c r="G127" s="2">
        <v>1</v>
      </c>
      <c r="H127" s="2">
        <v>1</v>
      </c>
      <c r="I127" s="2" t="s">
        <v>94</v>
      </c>
      <c r="J127" s="6">
        <v>60</v>
      </c>
      <c r="K127" s="6">
        <v>180</v>
      </c>
      <c r="L127" s="2">
        <v>0</v>
      </c>
      <c r="N127" s="2">
        <v>0</v>
      </c>
      <c r="O127" s="2" t="s">
        <v>96</v>
      </c>
      <c r="P127" s="6">
        <v>125.95</v>
      </c>
      <c r="Q127" s="6"/>
      <c r="R127" s="7"/>
      <c r="S127" s="2">
        <v>6.5</v>
      </c>
      <c r="U127" s="2">
        <v>6.5</v>
      </c>
      <c r="V127" s="2">
        <v>4</v>
      </c>
      <c r="W127" s="2">
        <v>2.4300000000000002</v>
      </c>
      <c r="X127" s="2">
        <v>1</v>
      </c>
      <c r="Y127" s="2">
        <v>7.63</v>
      </c>
      <c r="Z127" s="2">
        <v>9.75</v>
      </c>
      <c r="AA127" s="2">
        <v>9.75</v>
      </c>
      <c r="AB127" s="2">
        <v>0.42</v>
      </c>
      <c r="AC127" s="2">
        <v>3.09</v>
      </c>
      <c r="AE127" s="2">
        <v>1</v>
      </c>
      <c r="AF127" s="2" t="s">
        <v>723</v>
      </c>
      <c r="AG127" s="2">
        <v>7</v>
      </c>
      <c r="AK127" s="2" t="s">
        <v>96</v>
      </c>
      <c r="AM127" s="2" t="s">
        <v>95</v>
      </c>
      <c r="AN127" s="2" t="s">
        <v>96</v>
      </c>
      <c r="AO127" s="2" t="s">
        <v>95</v>
      </c>
      <c r="AP127" s="2" t="s">
        <v>97</v>
      </c>
      <c r="AQ127" s="2" t="s">
        <v>98</v>
      </c>
      <c r="AV127" s="2" t="s">
        <v>95</v>
      </c>
      <c r="AX127" s="2" t="s">
        <v>607</v>
      </c>
      <c r="AZ127" s="2" t="s">
        <v>342</v>
      </c>
      <c r="BB127" s="2" t="s">
        <v>329</v>
      </c>
      <c r="BC127" s="2" t="s">
        <v>451</v>
      </c>
      <c r="BF127" s="2" t="s">
        <v>724</v>
      </c>
      <c r="BG127" s="2" t="s">
        <v>95</v>
      </c>
      <c r="BH127" s="2" t="s">
        <v>96</v>
      </c>
      <c r="BI127" s="2" t="s">
        <v>95</v>
      </c>
      <c r="BJ127" s="2" t="s">
        <v>96</v>
      </c>
      <c r="BK127" s="2" t="s">
        <v>567</v>
      </c>
      <c r="BM127" s="2">
        <v>5</v>
      </c>
      <c r="BN127" s="2">
        <v>5</v>
      </c>
      <c r="CA127" s="2" t="s">
        <v>725</v>
      </c>
      <c r="CB127" s="2" t="s">
        <v>607</v>
      </c>
      <c r="CG127" s="2">
        <v>3000</v>
      </c>
      <c r="CH127" s="2">
        <v>93</v>
      </c>
      <c r="CI127" s="2">
        <v>490</v>
      </c>
      <c r="CJ127" s="2">
        <v>233.3</v>
      </c>
      <c r="CK127" s="2">
        <v>30000</v>
      </c>
      <c r="CL127" s="2" t="s">
        <v>96</v>
      </c>
      <c r="CM127" s="2" t="s">
        <v>95</v>
      </c>
      <c r="CN127" s="2" t="s">
        <v>726</v>
      </c>
      <c r="CO127" s="3">
        <v>41926</v>
      </c>
      <c r="CP127" s="3">
        <v>43644</v>
      </c>
    </row>
    <row r="128" spans="1:94" x14ac:dyDescent="0.25">
      <c r="A128" s="2" t="s">
        <v>727</v>
      </c>
      <c r="B128" s="2" t="str">
        <f xml:space="preserve"> "" &amp; 844349016830</f>
        <v>844349016830</v>
      </c>
      <c r="C128" s="2" t="s">
        <v>720</v>
      </c>
      <c r="D128" s="2" t="s">
        <v>721</v>
      </c>
      <c r="E128" s="2" t="s">
        <v>722</v>
      </c>
      <c r="F128" s="2" t="s">
        <v>564</v>
      </c>
      <c r="G128" s="2">
        <v>1</v>
      </c>
      <c r="H128" s="2">
        <v>1</v>
      </c>
      <c r="I128" s="2" t="s">
        <v>94</v>
      </c>
      <c r="J128" s="6">
        <v>79</v>
      </c>
      <c r="K128" s="6">
        <v>237</v>
      </c>
      <c r="L128" s="2">
        <v>0</v>
      </c>
      <c r="N128" s="2">
        <v>0</v>
      </c>
      <c r="O128" s="2" t="s">
        <v>96</v>
      </c>
      <c r="P128" s="6">
        <v>165.95</v>
      </c>
      <c r="Q128" s="6"/>
      <c r="R128" s="7"/>
      <c r="S128" s="2">
        <v>10.5</v>
      </c>
      <c r="U128" s="2">
        <v>6.5</v>
      </c>
      <c r="V128" s="2">
        <v>4</v>
      </c>
      <c r="W128" s="2">
        <v>3.48</v>
      </c>
      <c r="X128" s="2">
        <v>1</v>
      </c>
      <c r="Y128" s="2">
        <v>7.63</v>
      </c>
      <c r="Z128" s="2">
        <v>15</v>
      </c>
      <c r="AA128" s="2">
        <v>10.25</v>
      </c>
      <c r="AB128" s="2">
        <v>0.67900000000000005</v>
      </c>
      <c r="AC128" s="2">
        <v>4.4800000000000004</v>
      </c>
      <c r="AE128" s="2">
        <v>1</v>
      </c>
      <c r="AF128" s="2" t="s">
        <v>728</v>
      </c>
      <c r="AG128" s="2">
        <v>15</v>
      </c>
      <c r="AK128" s="2" t="s">
        <v>96</v>
      </c>
      <c r="AM128" s="2" t="s">
        <v>95</v>
      </c>
      <c r="AN128" s="2" t="s">
        <v>96</v>
      </c>
      <c r="AO128" s="2" t="s">
        <v>95</v>
      </c>
      <c r="AP128" s="2" t="s">
        <v>97</v>
      </c>
      <c r="AQ128" s="2" t="s">
        <v>98</v>
      </c>
      <c r="AV128" s="2" t="s">
        <v>95</v>
      </c>
      <c r="AX128" s="2" t="s">
        <v>607</v>
      </c>
      <c r="AZ128" s="2" t="s">
        <v>342</v>
      </c>
      <c r="BB128" s="2" t="s">
        <v>329</v>
      </c>
      <c r="BC128" s="2" t="s">
        <v>451</v>
      </c>
      <c r="BF128" s="2" t="s">
        <v>729</v>
      </c>
      <c r="BG128" s="2" t="s">
        <v>95</v>
      </c>
      <c r="BH128" s="2" t="s">
        <v>96</v>
      </c>
      <c r="BI128" s="2" t="s">
        <v>95</v>
      </c>
      <c r="BJ128" s="2" t="s">
        <v>96</v>
      </c>
      <c r="BK128" s="2" t="s">
        <v>567</v>
      </c>
      <c r="BM128" s="2">
        <v>5</v>
      </c>
      <c r="BN128" s="2">
        <v>9</v>
      </c>
      <c r="CA128" s="2" t="s">
        <v>730</v>
      </c>
      <c r="CB128" s="2" t="s">
        <v>607</v>
      </c>
      <c r="CG128" s="2">
        <v>3000</v>
      </c>
      <c r="CH128" s="2">
        <v>85</v>
      </c>
      <c r="CI128" s="2">
        <v>1254.06</v>
      </c>
      <c r="CJ128" s="2">
        <v>484</v>
      </c>
      <c r="CK128" s="2">
        <v>30000</v>
      </c>
      <c r="CL128" s="2" t="s">
        <v>96</v>
      </c>
      <c r="CM128" s="2" t="s">
        <v>95</v>
      </c>
      <c r="CN128" s="2" t="s">
        <v>726</v>
      </c>
      <c r="CO128" s="3">
        <v>41926</v>
      </c>
      <c r="CP128" s="3">
        <v>43634</v>
      </c>
    </row>
    <row r="129" spans="1:94" x14ac:dyDescent="0.25">
      <c r="A129" s="2" t="s">
        <v>731</v>
      </c>
      <c r="B129" s="2" t="str">
        <f xml:space="preserve"> "" &amp; 844349016854</f>
        <v>844349016854</v>
      </c>
      <c r="C129" s="2" t="s">
        <v>526</v>
      </c>
      <c r="D129" s="2" t="s">
        <v>732</v>
      </c>
      <c r="E129" s="2" t="s">
        <v>733</v>
      </c>
      <c r="F129" s="2" t="s">
        <v>564</v>
      </c>
      <c r="G129" s="2">
        <v>1</v>
      </c>
      <c r="H129" s="2">
        <v>1</v>
      </c>
      <c r="I129" s="2" t="s">
        <v>94</v>
      </c>
      <c r="J129" s="6">
        <v>99</v>
      </c>
      <c r="K129" s="6">
        <v>297</v>
      </c>
      <c r="L129" s="2">
        <v>0</v>
      </c>
      <c r="N129" s="2">
        <v>0</v>
      </c>
      <c r="O129" s="2" t="s">
        <v>96</v>
      </c>
      <c r="P129" s="6">
        <v>207.95</v>
      </c>
      <c r="Q129" s="6"/>
      <c r="R129" s="7"/>
      <c r="S129" s="2">
        <v>11.5</v>
      </c>
      <c r="U129" s="2">
        <v>4.75</v>
      </c>
      <c r="V129" s="2">
        <v>4</v>
      </c>
      <c r="W129" s="2">
        <v>2.09</v>
      </c>
      <c r="X129" s="2">
        <v>1</v>
      </c>
      <c r="Y129" s="2">
        <v>7.63</v>
      </c>
      <c r="Z129" s="2">
        <v>15.38</v>
      </c>
      <c r="AA129" s="2">
        <v>8.25</v>
      </c>
      <c r="AB129" s="2">
        <v>0.56000000000000005</v>
      </c>
      <c r="AC129" s="2">
        <v>3</v>
      </c>
      <c r="AE129" s="2">
        <v>1</v>
      </c>
      <c r="AF129" s="2" t="s">
        <v>347</v>
      </c>
      <c r="AG129" s="2">
        <v>12</v>
      </c>
      <c r="AK129" s="2" t="s">
        <v>96</v>
      </c>
      <c r="AM129" s="2" t="s">
        <v>95</v>
      </c>
      <c r="AN129" s="2" t="s">
        <v>96</v>
      </c>
      <c r="AO129" s="2" t="s">
        <v>95</v>
      </c>
      <c r="AP129" s="2" t="s">
        <v>97</v>
      </c>
      <c r="AQ129" s="2" t="s">
        <v>98</v>
      </c>
      <c r="AV129" s="2" t="s">
        <v>95</v>
      </c>
      <c r="AX129" s="2" t="s">
        <v>205</v>
      </c>
      <c r="AZ129" s="2" t="s">
        <v>342</v>
      </c>
      <c r="BB129" s="2" t="s">
        <v>329</v>
      </c>
      <c r="BC129" s="2" t="s">
        <v>451</v>
      </c>
      <c r="BF129" s="2" t="s">
        <v>734</v>
      </c>
      <c r="BG129" s="2" t="s">
        <v>95</v>
      </c>
      <c r="BH129" s="2" t="s">
        <v>96</v>
      </c>
      <c r="BI129" s="2" t="s">
        <v>95</v>
      </c>
      <c r="BJ129" s="2" t="s">
        <v>96</v>
      </c>
      <c r="BK129" s="2" t="s">
        <v>567</v>
      </c>
      <c r="BM129" s="2">
        <v>4.75</v>
      </c>
      <c r="BN129" s="2">
        <v>6</v>
      </c>
      <c r="CA129" s="2" t="s">
        <v>735</v>
      </c>
      <c r="CB129" s="2" t="s">
        <v>205</v>
      </c>
      <c r="CG129" s="2">
        <v>3000</v>
      </c>
      <c r="CH129" s="2">
        <v>84</v>
      </c>
      <c r="CI129" s="2">
        <v>960</v>
      </c>
      <c r="CJ129" s="2">
        <v>476</v>
      </c>
      <c r="CK129" s="2">
        <v>30000</v>
      </c>
      <c r="CL129" s="2" t="s">
        <v>96</v>
      </c>
      <c r="CM129" s="2" t="s">
        <v>95</v>
      </c>
      <c r="CN129" s="2" t="s">
        <v>577</v>
      </c>
      <c r="CO129" s="3">
        <v>41921</v>
      </c>
      <c r="CP129" s="3">
        <v>43634</v>
      </c>
    </row>
    <row r="130" spans="1:94" x14ac:dyDescent="0.25">
      <c r="A130" s="2" t="s">
        <v>736</v>
      </c>
      <c r="B130" s="2" t="str">
        <f xml:space="preserve"> "" &amp; 844349016878</f>
        <v>844349016878</v>
      </c>
      <c r="C130" s="2" t="s">
        <v>526</v>
      </c>
      <c r="D130" s="2" t="s">
        <v>732</v>
      </c>
      <c r="E130" s="2" t="s">
        <v>733</v>
      </c>
      <c r="F130" s="2" t="s">
        <v>564</v>
      </c>
      <c r="G130" s="2">
        <v>1</v>
      </c>
      <c r="H130" s="2">
        <v>1</v>
      </c>
      <c r="I130" s="2" t="s">
        <v>94</v>
      </c>
      <c r="J130" s="6">
        <v>115</v>
      </c>
      <c r="K130" s="6">
        <v>345</v>
      </c>
      <c r="L130" s="2">
        <v>0</v>
      </c>
      <c r="N130" s="2">
        <v>0</v>
      </c>
      <c r="O130" s="2" t="s">
        <v>96</v>
      </c>
      <c r="P130" s="6">
        <v>241.95</v>
      </c>
      <c r="Q130" s="6"/>
      <c r="R130" s="7"/>
      <c r="S130" s="2">
        <v>18.5</v>
      </c>
      <c r="U130" s="2">
        <v>4.75</v>
      </c>
      <c r="V130" s="2">
        <v>4</v>
      </c>
      <c r="W130" s="2">
        <v>3.11</v>
      </c>
      <c r="X130" s="2">
        <v>1</v>
      </c>
      <c r="Y130" s="2">
        <v>7.63</v>
      </c>
      <c r="Z130" s="2">
        <v>22.75</v>
      </c>
      <c r="AA130" s="2">
        <v>8.25</v>
      </c>
      <c r="AB130" s="2">
        <v>0.82899999999999996</v>
      </c>
      <c r="AC130" s="2">
        <v>4.25</v>
      </c>
      <c r="AE130" s="2">
        <v>1</v>
      </c>
      <c r="AF130" s="2" t="s">
        <v>737</v>
      </c>
      <c r="AG130" s="2">
        <v>23</v>
      </c>
      <c r="AK130" s="2" t="s">
        <v>96</v>
      </c>
      <c r="AM130" s="2" t="s">
        <v>95</v>
      </c>
      <c r="AN130" s="2" t="s">
        <v>96</v>
      </c>
      <c r="AO130" s="2" t="s">
        <v>95</v>
      </c>
      <c r="AP130" s="2" t="s">
        <v>97</v>
      </c>
      <c r="AQ130" s="2" t="s">
        <v>98</v>
      </c>
      <c r="AV130" s="2" t="s">
        <v>95</v>
      </c>
      <c r="AX130" s="2" t="s">
        <v>205</v>
      </c>
      <c r="AZ130" s="2" t="s">
        <v>342</v>
      </c>
      <c r="BB130" s="2" t="s">
        <v>329</v>
      </c>
      <c r="BC130" s="2" t="s">
        <v>451</v>
      </c>
      <c r="BF130" s="2" t="s">
        <v>738</v>
      </c>
      <c r="BG130" s="2" t="s">
        <v>95</v>
      </c>
      <c r="BH130" s="2" t="s">
        <v>96</v>
      </c>
      <c r="BI130" s="2" t="s">
        <v>95</v>
      </c>
      <c r="BJ130" s="2" t="s">
        <v>96</v>
      </c>
      <c r="BK130" s="2" t="s">
        <v>567</v>
      </c>
      <c r="BR130" s="2">
        <v>6</v>
      </c>
      <c r="BT130" s="2">
        <v>4.75</v>
      </c>
      <c r="CA130" s="2" t="s">
        <v>739</v>
      </c>
      <c r="CB130" s="2" t="s">
        <v>205</v>
      </c>
      <c r="CG130" s="2">
        <v>3000</v>
      </c>
      <c r="CH130" s="2">
        <v>83</v>
      </c>
      <c r="CI130" s="2">
        <v>1760</v>
      </c>
      <c r="CJ130" s="2">
        <v>666</v>
      </c>
      <c r="CK130" s="2">
        <v>30000</v>
      </c>
      <c r="CL130" s="2" t="s">
        <v>95</v>
      </c>
      <c r="CM130" s="2" t="s">
        <v>95</v>
      </c>
      <c r="CN130" s="2" t="s">
        <v>577</v>
      </c>
      <c r="CO130" s="3">
        <v>41921</v>
      </c>
      <c r="CP130" s="3">
        <v>43634</v>
      </c>
    </row>
    <row r="131" spans="1:94" x14ac:dyDescent="0.25">
      <c r="A131" s="2" t="s">
        <v>740</v>
      </c>
      <c r="B131" s="2" t="str">
        <f xml:space="preserve"> "" &amp; 844349016885</f>
        <v>844349016885</v>
      </c>
      <c r="C131" s="2" t="s">
        <v>526</v>
      </c>
      <c r="D131" s="2" t="s">
        <v>741</v>
      </c>
      <c r="E131" s="2" t="s">
        <v>742</v>
      </c>
      <c r="F131" s="2" t="s">
        <v>564</v>
      </c>
      <c r="G131" s="2">
        <v>1</v>
      </c>
      <c r="H131" s="2">
        <v>1</v>
      </c>
      <c r="I131" s="2" t="s">
        <v>94</v>
      </c>
      <c r="J131" s="6">
        <v>85</v>
      </c>
      <c r="K131" s="6">
        <v>255</v>
      </c>
      <c r="L131" s="2">
        <v>0</v>
      </c>
      <c r="N131" s="2">
        <v>0</v>
      </c>
      <c r="O131" s="2" t="s">
        <v>96</v>
      </c>
      <c r="P131" s="6">
        <v>178.95</v>
      </c>
      <c r="Q131" s="6"/>
      <c r="R131" s="7"/>
      <c r="S131" s="2">
        <v>10</v>
      </c>
      <c r="U131" s="2">
        <v>7</v>
      </c>
      <c r="V131" s="2">
        <v>3.5</v>
      </c>
      <c r="W131" s="2">
        <v>2.64</v>
      </c>
      <c r="X131" s="2">
        <v>1</v>
      </c>
      <c r="Y131" s="2">
        <v>8.8800000000000008</v>
      </c>
      <c r="Z131" s="2">
        <v>14.63</v>
      </c>
      <c r="AA131" s="2">
        <v>11.38</v>
      </c>
      <c r="AB131" s="2">
        <v>0.85599999999999998</v>
      </c>
      <c r="AC131" s="2">
        <v>4.07</v>
      </c>
      <c r="AE131" s="2">
        <v>1</v>
      </c>
      <c r="AF131" s="2" t="s">
        <v>743</v>
      </c>
      <c r="AG131" s="2">
        <v>15</v>
      </c>
      <c r="AK131" s="2" t="s">
        <v>96</v>
      </c>
      <c r="AM131" s="2" t="s">
        <v>95</v>
      </c>
      <c r="AN131" s="2" t="s">
        <v>96</v>
      </c>
      <c r="AO131" s="2" t="s">
        <v>95</v>
      </c>
      <c r="AP131" s="2" t="s">
        <v>97</v>
      </c>
      <c r="AQ131" s="2" t="s">
        <v>98</v>
      </c>
      <c r="AV131" s="2" t="s">
        <v>95</v>
      </c>
      <c r="AX131" s="2" t="s">
        <v>744</v>
      </c>
      <c r="AZ131" s="2" t="s">
        <v>342</v>
      </c>
      <c r="BB131" s="2" t="s">
        <v>329</v>
      </c>
      <c r="BC131" s="2" t="s">
        <v>745</v>
      </c>
      <c r="BF131" s="2" t="s">
        <v>746</v>
      </c>
      <c r="BG131" s="2" t="s">
        <v>95</v>
      </c>
      <c r="BH131" s="2" t="s">
        <v>96</v>
      </c>
      <c r="BI131" s="2" t="s">
        <v>95</v>
      </c>
      <c r="BJ131" s="2" t="s">
        <v>96</v>
      </c>
      <c r="BK131" s="2" t="s">
        <v>567</v>
      </c>
      <c r="BR131" s="2">
        <v>6</v>
      </c>
      <c r="BT131" s="2">
        <v>4.75</v>
      </c>
      <c r="CA131" s="2" t="s">
        <v>747</v>
      </c>
      <c r="CB131" s="2" t="s">
        <v>744</v>
      </c>
      <c r="CG131" s="2">
        <v>3000</v>
      </c>
      <c r="CH131" s="2">
        <v>83</v>
      </c>
      <c r="CI131" s="2">
        <v>367.98</v>
      </c>
      <c r="CJ131" s="2">
        <v>256</v>
      </c>
      <c r="CK131" s="2">
        <v>30000</v>
      </c>
      <c r="CL131" s="2" t="s">
        <v>95</v>
      </c>
      <c r="CM131" s="2" t="s">
        <v>95</v>
      </c>
      <c r="CN131" s="2" t="s">
        <v>748</v>
      </c>
      <c r="CO131" s="3">
        <v>41926</v>
      </c>
      <c r="CP131" s="3">
        <v>43634</v>
      </c>
    </row>
    <row r="132" spans="1:94" x14ac:dyDescent="0.25">
      <c r="A132" s="2" t="s">
        <v>749</v>
      </c>
      <c r="B132" s="2" t="str">
        <f xml:space="preserve"> "" &amp; 844349016892</f>
        <v>844349016892</v>
      </c>
      <c r="C132" s="2" t="s">
        <v>526</v>
      </c>
      <c r="D132" s="2" t="s">
        <v>741</v>
      </c>
      <c r="E132" s="2" t="s">
        <v>742</v>
      </c>
      <c r="F132" s="2" t="s">
        <v>564</v>
      </c>
      <c r="G132" s="2">
        <v>1</v>
      </c>
      <c r="H132" s="2">
        <v>1</v>
      </c>
      <c r="I132" s="2" t="s">
        <v>94</v>
      </c>
      <c r="J132" s="6">
        <v>115</v>
      </c>
      <c r="K132" s="6">
        <v>345</v>
      </c>
      <c r="L132" s="2">
        <v>0</v>
      </c>
      <c r="N132" s="2">
        <v>0</v>
      </c>
      <c r="O132" s="2" t="s">
        <v>96</v>
      </c>
      <c r="P132" s="6">
        <v>241.95</v>
      </c>
      <c r="Q132" s="6"/>
      <c r="R132" s="7"/>
      <c r="S132" s="2">
        <v>15.25</v>
      </c>
      <c r="U132" s="2">
        <v>9</v>
      </c>
      <c r="V132" s="2">
        <v>3.5</v>
      </c>
      <c r="W132" s="2">
        <v>4.41</v>
      </c>
      <c r="X132" s="2">
        <v>1</v>
      </c>
      <c r="Y132" s="2">
        <v>8.8800000000000008</v>
      </c>
      <c r="Z132" s="2">
        <v>20</v>
      </c>
      <c r="AA132" s="2">
        <v>13.38</v>
      </c>
      <c r="AB132" s="2">
        <v>1.375</v>
      </c>
      <c r="AC132" s="2">
        <v>6.15</v>
      </c>
      <c r="AE132" s="2">
        <v>1</v>
      </c>
      <c r="AF132" s="2" t="s">
        <v>750</v>
      </c>
      <c r="AG132" s="2">
        <v>35</v>
      </c>
      <c r="AK132" s="2" t="s">
        <v>96</v>
      </c>
      <c r="AM132" s="2" t="s">
        <v>95</v>
      </c>
      <c r="AN132" s="2" t="s">
        <v>96</v>
      </c>
      <c r="AO132" s="2" t="s">
        <v>95</v>
      </c>
      <c r="AP132" s="2" t="s">
        <v>97</v>
      </c>
      <c r="AQ132" s="2" t="s">
        <v>98</v>
      </c>
      <c r="AV132" s="2" t="s">
        <v>95</v>
      </c>
      <c r="AX132" s="2" t="s">
        <v>744</v>
      </c>
      <c r="AZ132" s="2" t="s">
        <v>342</v>
      </c>
      <c r="BB132" s="2" t="s">
        <v>329</v>
      </c>
      <c r="BC132" s="2" t="s">
        <v>745</v>
      </c>
      <c r="BF132" s="2" t="s">
        <v>751</v>
      </c>
      <c r="BG132" s="2" t="s">
        <v>95</v>
      </c>
      <c r="BH132" s="2" t="s">
        <v>96</v>
      </c>
      <c r="BI132" s="2" t="s">
        <v>95</v>
      </c>
      <c r="BJ132" s="2" t="s">
        <v>96</v>
      </c>
      <c r="BK132" s="2" t="s">
        <v>567</v>
      </c>
      <c r="BM132" s="2">
        <v>5</v>
      </c>
      <c r="BN132" s="2">
        <v>9</v>
      </c>
      <c r="CA132" s="2" t="s">
        <v>752</v>
      </c>
      <c r="CB132" s="2" t="s">
        <v>744</v>
      </c>
      <c r="CG132" s="2">
        <v>3000</v>
      </c>
      <c r="CH132" s="2">
        <v>92</v>
      </c>
      <c r="CI132" s="2">
        <v>2800</v>
      </c>
      <c r="CJ132" s="2">
        <v>649.5</v>
      </c>
      <c r="CK132" s="2">
        <v>30000</v>
      </c>
      <c r="CL132" s="2" t="s">
        <v>96</v>
      </c>
      <c r="CM132" s="2" t="s">
        <v>95</v>
      </c>
      <c r="CN132" s="2" t="s">
        <v>748</v>
      </c>
      <c r="CO132" s="3">
        <v>41926</v>
      </c>
      <c r="CP132" s="3">
        <v>43662</v>
      </c>
    </row>
    <row r="133" spans="1:94" x14ac:dyDescent="0.25">
      <c r="A133" s="2" t="s">
        <v>753</v>
      </c>
      <c r="B133" s="2" t="str">
        <f xml:space="preserve"> "" &amp; 844349016908</f>
        <v>844349016908</v>
      </c>
      <c r="C133" s="2" t="s">
        <v>720</v>
      </c>
      <c r="D133" s="2" t="s">
        <v>754</v>
      </c>
      <c r="E133" s="2" t="s">
        <v>755</v>
      </c>
      <c r="F133" s="2" t="s">
        <v>564</v>
      </c>
      <c r="G133" s="2">
        <v>1</v>
      </c>
      <c r="H133" s="2">
        <v>1</v>
      </c>
      <c r="I133" s="2" t="s">
        <v>94</v>
      </c>
      <c r="J133" s="6">
        <v>85</v>
      </c>
      <c r="K133" s="6">
        <v>255</v>
      </c>
      <c r="L133" s="2">
        <v>0</v>
      </c>
      <c r="N133" s="2">
        <v>0</v>
      </c>
      <c r="O133" s="2" t="s">
        <v>96</v>
      </c>
      <c r="P133" s="6">
        <v>178.95</v>
      </c>
      <c r="Q133" s="6"/>
      <c r="R133" s="7"/>
      <c r="S133" s="2">
        <v>10</v>
      </c>
      <c r="T133" s="2">
        <v>5</v>
      </c>
      <c r="U133" s="2">
        <v>5</v>
      </c>
      <c r="V133" s="2">
        <v>3</v>
      </c>
      <c r="W133" s="2">
        <v>3.15</v>
      </c>
      <c r="X133" s="2">
        <v>1</v>
      </c>
      <c r="Y133" s="2">
        <v>6.88</v>
      </c>
      <c r="Z133" s="2">
        <v>13.8</v>
      </c>
      <c r="AA133" s="2">
        <v>8.6300000000000008</v>
      </c>
      <c r="AB133" s="2">
        <v>0.47399999999999998</v>
      </c>
      <c r="AC133" s="2">
        <v>3.92</v>
      </c>
      <c r="AE133" s="2">
        <v>1</v>
      </c>
      <c r="AF133" s="2" t="s">
        <v>756</v>
      </c>
      <c r="AG133" s="2">
        <v>15</v>
      </c>
      <c r="AK133" s="2" t="s">
        <v>96</v>
      </c>
      <c r="AM133" s="2" t="s">
        <v>95</v>
      </c>
      <c r="AN133" s="2" t="s">
        <v>96</v>
      </c>
      <c r="AO133" s="2" t="s">
        <v>95</v>
      </c>
      <c r="AP133" s="2" t="s">
        <v>97</v>
      </c>
      <c r="AQ133" s="2" t="s">
        <v>98</v>
      </c>
      <c r="AV133" s="2" t="s">
        <v>95</v>
      </c>
      <c r="AX133" s="2" t="s">
        <v>711</v>
      </c>
      <c r="AZ133" s="2" t="s">
        <v>342</v>
      </c>
      <c r="BB133" s="2" t="s">
        <v>329</v>
      </c>
      <c r="BC133" s="2" t="s">
        <v>757</v>
      </c>
      <c r="BF133" s="2" t="s">
        <v>758</v>
      </c>
      <c r="BG133" s="2" t="s">
        <v>95</v>
      </c>
      <c r="BH133" s="2" t="s">
        <v>96</v>
      </c>
      <c r="BI133" s="2" t="s">
        <v>95</v>
      </c>
      <c r="BJ133" s="2" t="s">
        <v>96</v>
      </c>
      <c r="BK133" s="2" t="s">
        <v>567</v>
      </c>
      <c r="BR133" s="2">
        <v>9.75</v>
      </c>
      <c r="BT133" s="2">
        <v>4.75</v>
      </c>
      <c r="CA133" s="2" t="s">
        <v>759</v>
      </c>
      <c r="CB133" s="2" t="s">
        <v>711</v>
      </c>
      <c r="CG133" s="2">
        <v>3000</v>
      </c>
      <c r="CH133" s="2">
        <v>85</v>
      </c>
      <c r="CI133" s="2">
        <v>1200</v>
      </c>
      <c r="CJ133" s="2">
        <v>405</v>
      </c>
      <c r="CK133" s="2">
        <v>30000</v>
      </c>
      <c r="CL133" s="2" t="s">
        <v>95</v>
      </c>
      <c r="CM133" s="2" t="s">
        <v>95</v>
      </c>
      <c r="CN133" s="2" t="s">
        <v>760</v>
      </c>
      <c r="CO133" s="3">
        <v>41928</v>
      </c>
      <c r="CP133" s="3">
        <v>43634</v>
      </c>
    </row>
    <row r="134" spans="1:94" x14ac:dyDescent="0.25">
      <c r="A134" s="2" t="s">
        <v>761</v>
      </c>
      <c r="B134" s="2" t="str">
        <f xml:space="preserve"> "" &amp; 844349016915</f>
        <v>844349016915</v>
      </c>
      <c r="C134" s="2" t="s">
        <v>720</v>
      </c>
      <c r="D134" s="2" t="s">
        <v>762</v>
      </c>
      <c r="E134" s="2" t="s">
        <v>755</v>
      </c>
      <c r="F134" s="2" t="s">
        <v>564</v>
      </c>
      <c r="G134" s="2">
        <v>1</v>
      </c>
      <c r="H134" s="2">
        <v>1</v>
      </c>
      <c r="I134" s="2" t="s">
        <v>94</v>
      </c>
      <c r="J134" s="6">
        <v>105</v>
      </c>
      <c r="K134" s="6">
        <v>315</v>
      </c>
      <c r="L134" s="2">
        <v>0</v>
      </c>
      <c r="N134" s="2">
        <v>0</v>
      </c>
      <c r="O134" s="2" t="s">
        <v>96</v>
      </c>
      <c r="P134" s="6">
        <v>219.95</v>
      </c>
      <c r="Q134" s="6"/>
      <c r="R134" s="7"/>
      <c r="S134" s="2">
        <v>16</v>
      </c>
      <c r="T134" s="2">
        <v>5</v>
      </c>
      <c r="U134" s="2">
        <v>5</v>
      </c>
      <c r="V134" s="2">
        <v>3</v>
      </c>
      <c r="W134" s="2">
        <v>5.07</v>
      </c>
      <c r="X134" s="2">
        <v>1</v>
      </c>
      <c r="Y134" s="2">
        <v>6.88</v>
      </c>
      <c r="Z134" s="2">
        <v>20</v>
      </c>
      <c r="AA134" s="2">
        <v>8.6300000000000008</v>
      </c>
      <c r="AB134" s="2">
        <v>0.68700000000000006</v>
      </c>
      <c r="AC134" s="2">
        <v>6.02</v>
      </c>
      <c r="AE134" s="2">
        <v>1</v>
      </c>
      <c r="AF134" s="2" t="s">
        <v>763</v>
      </c>
      <c r="AG134" s="2">
        <v>24</v>
      </c>
      <c r="AK134" s="2" t="s">
        <v>96</v>
      </c>
      <c r="AM134" s="2" t="s">
        <v>95</v>
      </c>
      <c r="AN134" s="2" t="s">
        <v>96</v>
      </c>
      <c r="AO134" s="2" t="s">
        <v>95</v>
      </c>
      <c r="AP134" s="2" t="s">
        <v>97</v>
      </c>
      <c r="AQ134" s="2" t="s">
        <v>98</v>
      </c>
      <c r="AV134" s="2" t="s">
        <v>95</v>
      </c>
      <c r="AX134" s="2" t="s">
        <v>711</v>
      </c>
      <c r="AZ134" s="2" t="s">
        <v>342</v>
      </c>
      <c r="BB134" s="2" t="s">
        <v>329</v>
      </c>
      <c r="BC134" s="2" t="s">
        <v>757</v>
      </c>
      <c r="BF134" s="2" t="s">
        <v>764</v>
      </c>
      <c r="BG134" s="2" t="s">
        <v>95</v>
      </c>
      <c r="BH134" s="2" t="s">
        <v>96</v>
      </c>
      <c r="BI134" s="2" t="s">
        <v>95</v>
      </c>
      <c r="BJ134" s="2" t="s">
        <v>96</v>
      </c>
      <c r="BK134" s="2" t="s">
        <v>567</v>
      </c>
      <c r="BM134" s="2">
        <v>4.75</v>
      </c>
      <c r="BN134" s="2">
        <v>15.75</v>
      </c>
      <c r="CA134" s="2" t="s">
        <v>765</v>
      </c>
      <c r="CB134" s="2" t="s">
        <v>711</v>
      </c>
      <c r="CG134" s="2">
        <v>3000</v>
      </c>
      <c r="CH134" s="2">
        <v>91</v>
      </c>
      <c r="CI134" s="2">
        <v>1900</v>
      </c>
      <c r="CJ134" s="2">
        <v>848.4</v>
      </c>
      <c r="CK134" s="2">
        <v>30000</v>
      </c>
      <c r="CL134" s="2" t="s">
        <v>96</v>
      </c>
      <c r="CM134" s="2" t="s">
        <v>95</v>
      </c>
      <c r="CN134" s="2" t="s">
        <v>760</v>
      </c>
      <c r="CO134" s="3">
        <v>41928</v>
      </c>
      <c r="CP134" s="3">
        <v>43662</v>
      </c>
    </row>
    <row r="135" spans="1:94" x14ac:dyDescent="0.25">
      <c r="A135" s="2" t="s">
        <v>766</v>
      </c>
      <c r="B135" s="2" t="str">
        <f xml:space="preserve"> "" &amp; 844349016922</f>
        <v>844349016922</v>
      </c>
      <c r="C135" s="2" t="s">
        <v>526</v>
      </c>
      <c r="D135" s="2" t="s">
        <v>767</v>
      </c>
      <c r="E135" s="2" t="s">
        <v>768</v>
      </c>
      <c r="F135" s="2" t="s">
        <v>564</v>
      </c>
      <c r="G135" s="2">
        <v>1</v>
      </c>
      <c r="H135" s="2">
        <v>1</v>
      </c>
      <c r="I135" s="2" t="s">
        <v>94</v>
      </c>
      <c r="J135" s="6">
        <v>59</v>
      </c>
      <c r="K135" s="6">
        <v>177</v>
      </c>
      <c r="L135" s="2">
        <v>0</v>
      </c>
      <c r="N135" s="2">
        <v>0</v>
      </c>
      <c r="O135" s="2" t="s">
        <v>96</v>
      </c>
      <c r="P135" s="6">
        <v>123.95</v>
      </c>
      <c r="Q135" s="6"/>
      <c r="R135" s="7"/>
      <c r="S135" s="2">
        <v>11</v>
      </c>
      <c r="U135" s="2">
        <v>5.25</v>
      </c>
      <c r="V135" s="2">
        <v>3</v>
      </c>
      <c r="W135" s="2">
        <v>1.76</v>
      </c>
      <c r="X135" s="2">
        <v>1</v>
      </c>
      <c r="Y135" s="2">
        <v>6.5</v>
      </c>
      <c r="Z135" s="2">
        <v>14.63</v>
      </c>
      <c r="AA135" s="2">
        <v>7.88</v>
      </c>
      <c r="AB135" s="2">
        <v>0.434</v>
      </c>
      <c r="AC135" s="2">
        <v>2.56</v>
      </c>
      <c r="AE135" s="2">
        <v>1</v>
      </c>
      <c r="AF135" s="2" t="s">
        <v>347</v>
      </c>
      <c r="AG135" s="2">
        <v>12</v>
      </c>
      <c r="AK135" s="2" t="s">
        <v>96</v>
      </c>
      <c r="AM135" s="2" t="s">
        <v>95</v>
      </c>
      <c r="AN135" s="2" t="s">
        <v>96</v>
      </c>
      <c r="AO135" s="2" t="s">
        <v>95</v>
      </c>
      <c r="AP135" s="2" t="s">
        <v>97</v>
      </c>
      <c r="AQ135" s="2" t="s">
        <v>98</v>
      </c>
      <c r="AV135" s="2" t="s">
        <v>95</v>
      </c>
      <c r="AX135" s="2" t="s">
        <v>607</v>
      </c>
      <c r="AZ135" s="2" t="s">
        <v>342</v>
      </c>
      <c r="BB135" s="2" t="s">
        <v>329</v>
      </c>
      <c r="BC135" s="2" t="s">
        <v>565</v>
      </c>
      <c r="BF135" s="2" t="s">
        <v>769</v>
      </c>
      <c r="BG135" s="2" t="s">
        <v>95</v>
      </c>
      <c r="BH135" s="2" t="s">
        <v>96</v>
      </c>
      <c r="BI135" s="2" t="s">
        <v>95</v>
      </c>
      <c r="BJ135" s="2" t="s">
        <v>96</v>
      </c>
      <c r="BK135" s="2" t="s">
        <v>567</v>
      </c>
      <c r="BR135" s="2">
        <v>4.75</v>
      </c>
      <c r="BT135" s="2">
        <v>5.25</v>
      </c>
      <c r="CA135" s="2" t="s">
        <v>770</v>
      </c>
      <c r="CB135" s="2" t="s">
        <v>607</v>
      </c>
      <c r="CG135" s="2">
        <v>3000</v>
      </c>
      <c r="CH135" s="2">
        <v>85</v>
      </c>
      <c r="CI135" s="2">
        <v>960</v>
      </c>
      <c r="CJ135" s="2">
        <v>286</v>
      </c>
      <c r="CK135" s="2">
        <v>30000</v>
      </c>
      <c r="CL135" s="2" t="s">
        <v>95</v>
      </c>
      <c r="CM135" s="2" t="s">
        <v>95</v>
      </c>
      <c r="CN135" s="2" t="s">
        <v>577</v>
      </c>
      <c r="CO135" s="3">
        <v>41928</v>
      </c>
      <c r="CP135" s="3">
        <v>43634</v>
      </c>
    </row>
    <row r="136" spans="1:94" x14ac:dyDescent="0.25">
      <c r="A136" s="2" t="s">
        <v>771</v>
      </c>
      <c r="B136" s="2" t="str">
        <f xml:space="preserve"> "" &amp; 844349016939</f>
        <v>844349016939</v>
      </c>
      <c r="C136" s="2" t="s">
        <v>526</v>
      </c>
      <c r="D136" s="2" t="s">
        <v>767</v>
      </c>
      <c r="E136" s="2" t="s">
        <v>768</v>
      </c>
      <c r="F136" s="2" t="s">
        <v>564</v>
      </c>
      <c r="G136" s="2">
        <v>1</v>
      </c>
      <c r="H136" s="2">
        <v>1</v>
      </c>
      <c r="I136" s="2" t="s">
        <v>94</v>
      </c>
      <c r="J136" s="6">
        <v>69</v>
      </c>
      <c r="K136" s="6">
        <v>207</v>
      </c>
      <c r="L136" s="2">
        <v>0</v>
      </c>
      <c r="N136" s="2">
        <v>0</v>
      </c>
      <c r="O136" s="2" t="s">
        <v>96</v>
      </c>
      <c r="P136" s="6">
        <v>144.94999999999999</v>
      </c>
      <c r="Q136" s="6"/>
      <c r="R136" s="7"/>
      <c r="S136" s="2">
        <v>16</v>
      </c>
      <c r="U136" s="2">
        <v>5.25</v>
      </c>
      <c r="V136" s="2">
        <v>3</v>
      </c>
      <c r="W136" s="2">
        <v>2.4300000000000002</v>
      </c>
      <c r="X136" s="2">
        <v>1</v>
      </c>
      <c r="Y136" s="2">
        <v>6.5</v>
      </c>
      <c r="Z136" s="2">
        <v>20</v>
      </c>
      <c r="AA136" s="2">
        <v>7.88</v>
      </c>
      <c r="AB136" s="2">
        <v>0.59299999999999997</v>
      </c>
      <c r="AC136" s="2">
        <v>3.46</v>
      </c>
      <c r="AE136" s="2">
        <v>1</v>
      </c>
      <c r="AF136" s="2" t="s">
        <v>347</v>
      </c>
      <c r="AG136" s="2">
        <v>21</v>
      </c>
      <c r="AK136" s="2" t="s">
        <v>96</v>
      </c>
      <c r="AM136" s="2" t="s">
        <v>95</v>
      </c>
      <c r="AN136" s="2" t="s">
        <v>96</v>
      </c>
      <c r="AO136" s="2" t="s">
        <v>95</v>
      </c>
      <c r="AP136" s="2" t="s">
        <v>97</v>
      </c>
      <c r="AQ136" s="2" t="s">
        <v>98</v>
      </c>
      <c r="AV136" s="2" t="s">
        <v>95</v>
      </c>
      <c r="AX136" s="2" t="s">
        <v>607</v>
      </c>
      <c r="AZ136" s="2" t="s">
        <v>342</v>
      </c>
      <c r="BB136" s="2" t="s">
        <v>329</v>
      </c>
      <c r="BC136" s="2" t="s">
        <v>565</v>
      </c>
      <c r="BF136" s="2" t="s">
        <v>772</v>
      </c>
      <c r="BG136" s="2" t="s">
        <v>95</v>
      </c>
      <c r="BH136" s="2" t="s">
        <v>96</v>
      </c>
      <c r="BI136" s="2" t="s">
        <v>95</v>
      </c>
      <c r="BJ136" s="2" t="s">
        <v>96</v>
      </c>
      <c r="BK136" s="2" t="s">
        <v>567</v>
      </c>
      <c r="BR136" s="2">
        <v>4.75</v>
      </c>
      <c r="BT136" s="2">
        <v>5.25</v>
      </c>
      <c r="CA136" s="2" t="s">
        <v>773</v>
      </c>
      <c r="CB136" s="2" t="s">
        <v>607</v>
      </c>
      <c r="CG136" s="2">
        <v>3000</v>
      </c>
      <c r="CH136" s="2">
        <v>85</v>
      </c>
      <c r="CI136" s="2">
        <v>1600</v>
      </c>
      <c r="CJ136" s="2">
        <v>500</v>
      </c>
      <c r="CK136" s="2">
        <v>30000</v>
      </c>
      <c r="CL136" s="2" t="s">
        <v>95</v>
      </c>
      <c r="CM136" s="2" t="s">
        <v>95</v>
      </c>
      <c r="CN136" s="2" t="s">
        <v>577</v>
      </c>
      <c r="CO136" s="3">
        <v>41928</v>
      </c>
      <c r="CP136" s="3">
        <v>43634</v>
      </c>
    </row>
    <row r="137" spans="1:94" x14ac:dyDescent="0.25">
      <c r="A137" s="2" t="s">
        <v>774</v>
      </c>
      <c r="B137" s="2" t="str">
        <f xml:space="preserve"> "" &amp; 844349017417</f>
        <v>844349017417</v>
      </c>
      <c r="C137" s="2" t="s">
        <v>775</v>
      </c>
      <c r="D137" s="2" t="s">
        <v>3662</v>
      </c>
      <c r="E137" s="2" t="s">
        <v>776</v>
      </c>
      <c r="F137" s="2" t="s">
        <v>564</v>
      </c>
      <c r="G137" s="2">
        <v>1</v>
      </c>
      <c r="H137" s="2">
        <v>1</v>
      </c>
      <c r="I137" s="2" t="s">
        <v>94</v>
      </c>
      <c r="J137" s="6">
        <v>90</v>
      </c>
      <c r="K137" s="6">
        <v>270</v>
      </c>
      <c r="L137" s="2">
        <v>0</v>
      </c>
      <c r="N137" s="2">
        <v>0</v>
      </c>
      <c r="O137" s="2" t="s">
        <v>96</v>
      </c>
      <c r="P137" s="6">
        <v>189.95</v>
      </c>
      <c r="Q137" s="6"/>
      <c r="R137" s="7"/>
      <c r="S137" s="2">
        <v>9</v>
      </c>
      <c r="U137" s="2">
        <v>6</v>
      </c>
      <c r="V137" s="2">
        <v>2.25</v>
      </c>
      <c r="W137" s="2">
        <v>2.93</v>
      </c>
      <c r="X137" s="2">
        <v>1</v>
      </c>
      <c r="Y137" s="2">
        <v>6.75</v>
      </c>
      <c r="Z137" s="2">
        <v>14</v>
      </c>
      <c r="AA137" s="2">
        <v>10.5</v>
      </c>
      <c r="AB137" s="2">
        <v>0.57399999999999995</v>
      </c>
      <c r="AC137" s="2">
        <v>4.6500000000000004</v>
      </c>
      <c r="AE137" s="2">
        <v>1</v>
      </c>
      <c r="AF137" s="2" t="s">
        <v>347</v>
      </c>
      <c r="AG137" s="2">
        <v>15</v>
      </c>
      <c r="AK137" s="2" t="s">
        <v>96</v>
      </c>
      <c r="AM137" s="2" t="s">
        <v>95</v>
      </c>
      <c r="AN137" s="2" t="s">
        <v>96</v>
      </c>
      <c r="AO137" s="2" t="s">
        <v>95</v>
      </c>
      <c r="AP137" s="2" t="s">
        <v>97</v>
      </c>
      <c r="AQ137" s="2" t="s">
        <v>98</v>
      </c>
      <c r="AV137" s="2" t="s">
        <v>95</v>
      </c>
      <c r="AX137" s="2" t="s">
        <v>607</v>
      </c>
      <c r="AZ137" s="2" t="s">
        <v>342</v>
      </c>
      <c r="BB137" s="2" t="s">
        <v>329</v>
      </c>
      <c r="BC137" s="2" t="s">
        <v>574</v>
      </c>
      <c r="BF137" s="2" t="s">
        <v>777</v>
      </c>
      <c r="BG137" s="2" t="s">
        <v>95</v>
      </c>
      <c r="BH137" s="2" t="s">
        <v>96</v>
      </c>
      <c r="BI137" s="2" t="s">
        <v>95</v>
      </c>
      <c r="BJ137" s="2" t="s">
        <v>96</v>
      </c>
      <c r="BK137" s="2" t="s">
        <v>567</v>
      </c>
      <c r="BL137" s="2" t="s">
        <v>421</v>
      </c>
      <c r="BR137" s="2">
        <v>9</v>
      </c>
      <c r="BT137" s="2">
        <v>6</v>
      </c>
      <c r="CA137" s="2" t="s">
        <v>778</v>
      </c>
      <c r="CB137" s="2" t="s">
        <v>607</v>
      </c>
      <c r="CG137" s="2">
        <v>3000</v>
      </c>
      <c r="CH137" s="2">
        <v>84</v>
      </c>
      <c r="CI137" s="2">
        <v>1339</v>
      </c>
      <c r="CJ137" s="2">
        <v>370</v>
      </c>
      <c r="CK137" s="2">
        <v>30000</v>
      </c>
      <c r="CL137" s="2" t="s">
        <v>96</v>
      </c>
      <c r="CM137" s="2" t="s">
        <v>95</v>
      </c>
      <c r="CN137" s="2" t="s">
        <v>577</v>
      </c>
      <c r="CO137" s="3">
        <v>42241</v>
      </c>
      <c r="CP137" s="3">
        <v>43634</v>
      </c>
    </row>
    <row r="138" spans="1:94" x14ac:dyDescent="0.25">
      <c r="A138" s="2" t="s">
        <v>779</v>
      </c>
      <c r="B138" s="2" t="str">
        <f xml:space="preserve"> "" &amp; 844349017424</f>
        <v>844349017424</v>
      </c>
      <c r="C138" s="2" t="s">
        <v>775</v>
      </c>
      <c r="D138" s="2" t="s">
        <v>3662</v>
      </c>
      <c r="E138" s="2" t="s">
        <v>776</v>
      </c>
      <c r="F138" s="2" t="s">
        <v>564</v>
      </c>
      <c r="G138" s="2">
        <v>1</v>
      </c>
      <c r="H138" s="2">
        <v>1</v>
      </c>
      <c r="I138" s="2" t="s">
        <v>94</v>
      </c>
      <c r="J138" s="6">
        <v>142</v>
      </c>
      <c r="K138" s="6">
        <v>426</v>
      </c>
      <c r="L138" s="2">
        <v>0</v>
      </c>
      <c r="N138" s="2">
        <v>0</v>
      </c>
      <c r="O138" s="2" t="s">
        <v>96</v>
      </c>
      <c r="P138" s="6">
        <v>298.95</v>
      </c>
      <c r="Q138" s="6"/>
      <c r="R138" s="7"/>
      <c r="S138" s="2">
        <v>16</v>
      </c>
      <c r="U138" s="2">
        <v>6</v>
      </c>
      <c r="V138" s="2">
        <v>2.25</v>
      </c>
      <c r="W138" s="2">
        <v>5.2</v>
      </c>
      <c r="X138" s="2">
        <v>1</v>
      </c>
      <c r="Y138" s="2">
        <v>6.5</v>
      </c>
      <c r="Z138" s="2">
        <v>20.5</v>
      </c>
      <c r="AA138" s="2">
        <v>10.5</v>
      </c>
      <c r="AB138" s="2">
        <v>0.81</v>
      </c>
      <c r="AC138" s="2">
        <v>7.5</v>
      </c>
      <c r="AE138" s="2">
        <v>1</v>
      </c>
      <c r="AF138" s="2" t="s">
        <v>347</v>
      </c>
      <c r="AG138" s="2">
        <v>19</v>
      </c>
      <c r="AK138" s="2" t="s">
        <v>96</v>
      </c>
      <c r="AM138" s="2" t="s">
        <v>95</v>
      </c>
      <c r="AN138" s="2" t="s">
        <v>96</v>
      </c>
      <c r="AO138" s="2" t="s">
        <v>95</v>
      </c>
      <c r="AP138" s="2" t="s">
        <v>97</v>
      </c>
      <c r="AQ138" s="2" t="s">
        <v>98</v>
      </c>
      <c r="AV138" s="2" t="s">
        <v>95</v>
      </c>
      <c r="AX138" s="2" t="s">
        <v>607</v>
      </c>
      <c r="AZ138" s="2" t="s">
        <v>342</v>
      </c>
      <c r="BB138" s="2" t="s">
        <v>329</v>
      </c>
      <c r="BC138" s="2" t="s">
        <v>681</v>
      </c>
      <c r="BF138" s="2" t="s">
        <v>780</v>
      </c>
      <c r="BG138" s="2" t="s">
        <v>95</v>
      </c>
      <c r="BH138" s="2" t="s">
        <v>96</v>
      </c>
      <c r="BI138" s="2" t="s">
        <v>95</v>
      </c>
      <c r="BJ138" s="2" t="s">
        <v>96</v>
      </c>
      <c r="BK138" s="2" t="s">
        <v>567</v>
      </c>
      <c r="BL138" s="2" t="s">
        <v>421</v>
      </c>
      <c r="BR138" s="2">
        <v>16</v>
      </c>
      <c r="BT138" s="2">
        <v>6</v>
      </c>
      <c r="CA138" s="2" t="s">
        <v>781</v>
      </c>
      <c r="CB138" s="2" t="s">
        <v>607</v>
      </c>
      <c r="CG138" s="2">
        <v>3000</v>
      </c>
      <c r="CH138" s="2">
        <v>84</v>
      </c>
      <c r="CI138" s="2">
        <v>1751</v>
      </c>
      <c r="CJ138" s="2">
        <v>540</v>
      </c>
      <c r="CK138" s="2">
        <v>30000</v>
      </c>
      <c r="CL138" s="2" t="s">
        <v>96</v>
      </c>
      <c r="CM138" s="2" t="s">
        <v>95</v>
      </c>
      <c r="CN138" s="2" t="s">
        <v>577</v>
      </c>
      <c r="CO138" s="3">
        <v>42241</v>
      </c>
      <c r="CP138" s="3">
        <v>43634</v>
      </c>
    </row>
    <row r="139" spans="1:94" x14ac:dyDescent="0.25">
      <c r="A139" s="2" t="s">
        <v>782</v>
      </c>
      <c r="B139" s="2" t="str">
        <f xml:space="preserve"> "" &amp; 844349016960</f>
        <v>844349016960</v>
      </c>
      <c r="C139" s="2" t="s">
        <v>526</v>
      </c>
      <c r="D139" s="2" t="s">
        <v>783</v>
      </c>
      <c r="E139" s="2" t="s">
        <v>784</v>
      </c>
      <c r="F139" s="2" t="s">
        <v>785</v>
      </c>
      <c r="G139" s="2">
        <v>1</v>
      </c>
      <c r="H139" s="2">
        <v>1</v>
      </c>
      <c r="I139" s="2" t="s">
        <v>94</v>
      </c>
      <c r="J139" s="6">
        <v>55</v>
      </c>
      <c r="K139" s="6">
        <v>165</v>
      </c>
      <c r="L139" s="2">
        <v>0</v>
      </c>
      <c r="N139" s="2">
        <v>0</v>
      </c>
      <c r="Q139" s="6"/>
      <c r="R139" s="7"/>
      <c r="S139" s="2">
        <v>11.25</v>
      </c>
      <c r="U139" s="2">
        <v>4.75</v>
      </c>
      <c r="V139" s="2">
        <v>6.75</v>
      </c>
      <c r="W139" s="2">
        <v>4.34</v>
      </c>
      <c r="X139" s="2">
        <v>1</v>
      </c>
      <c r="Y139" s="2">
        <v>6.5</v>
      </c>
      <c r="Z139" s="2">
        <v>14</v>
      </c>
      <c r="AA139" s="2">
        <v>9.625</v>
      </c>
      <c r="AB139" s="2">
        <v>0.50700000000000001</v>
      </c>
      <c r="AC139" s="2">
        <v>5.27</v>
      </c>
      <c r="AE139" s="2">
        <v>1</v>
      </c>
      <c r="AF139" s="2" t="s">
        <v>786</v>
      </c>
      <c r="AG139" s="2">
        <v>13</v>
      </c>
      <c r="AK139" s="2" t="s">
        <v>96</v>
      </c>
      <c r="AM139" s="2" t="s">
        <v>95</v>
      </c>
      <c r="AN139" s="2" t="s">
        <v>96</v>
      </c>
      <c r="AO139" s="2" t="s">
        <v>95</v>
      </c>
      <c r="AP139" s="2" t="s">
        <v>97</v>
      </c>
      <c r="AQ139" s="2" t="s">
        <v>98</v>
      </c>
      <c r="AV139" s="2" t="s">
        <v>95</v>
      </c>
      <c r="AX139" s="2" t="s">
        <v>205</v>
      </c>
      <c r="AZ139" s="2" t="s">
        <v>342</v>
      </c>
      <c r="BB139" s="2" t="s">
        <v>329</v>
      </c>
      <c r="BC139" s="2" t="s">
        <v>787</v>
      </c>
      <c r="BF139" s="2" t="s">
        <v>788</v>
      </c>
      <c r="BG139" s="2" t="s">
        <v>95</v>
      </c>
      <c r="BH139" s="2" t="s">
        <v>95</v>
      </c>
      <c r="BI139" s="2" t="s">
        <v>95</v>
      </c>
      <c r="BJ139" s="2" t="s">
        <v>96</v>
      </c>
      <c r="BK139" s="2" t="s">
        <v>567</v>
      </c>
      <c r="BR139" s="2">
        <v>6</v>
      </c>
      <c r="BT139" s="2">
        <v>4.75</v>
      </c>
      <c r="CA139" s="2" t="s">
        <v>789</v>
      </c>
      <c r="CB139" s="2" t="s">
        <v>205</v>
      </c>
      <c r="CG139" s="2">
        <v>3000</v>
      </c>
      <c r="CH139" s="2">
        <v>84</v>
      </c>
      <c r="CI139" s="2">
        <v>1040</v>
      </c>
      <c r="CJ139" s="2">
        <v>335</v>
      </c>
      <c r="CK139" s="2">
        <v>30000</v>
      </c>
      <c r="CL139" s="2" t="s">
        <v>95</v>
      </c>
      <c r="CM139" s="2" t="s">
        <v>95</v>
      </c>
      <c r="CN139" s="2" t="s">
        <v>577</v>
      </c>
      <c r="CO139" s="3">
        <v>41909</v>
      </c>
      <c r="CP139" s="3">
        <v>43634</v>
      </c>
    </row>
    <row r="140" spans="1:94" x14ac:dyDescent="0.25">
      <c r="A140" s="2" t="s">
        <v>790</v>
      </c>
      <c r="B140" s="2" t="str">
        <f xml:space="preserve"> "" &amp; 844349016946</f>
        <v>844349016946</v>
      </c>
      <c r="C140" s="2" t="s">
        <v>526</v>
      </c>
      <c r="D140" s="2" t="s">
        <v>783</v>
      </c>
      <c r="E140" s="2" t="s">
        <v>784</v>
      </c>
      <c r="F140" s="2" t="s">
        <v>785</v>
      </c>
      <c r="G140" s="2">
        <v>1</v>
      </c>
      <c r="H140" s="2">
        <v>1</v>
      </c>
      <c r="I140" s="2" t="s">
        <v>94</v>
      </c>
      <c r="J140" s="6">
        <v>59</v>
      </c>
      <c r="K140" s="6">
        <v>177</v>
      </c>
      <c r="L140" s="2">
        <v>0</v>
      </c>
      <c r="N140" s="2">
        <v>0</v>
      </c>
      <c r="Q140" s="6"/>
      <c r="R140" s="7"/>
      <c r="S140" s="2">
        <v>11.25</v>
      </c>
      <c r="U140" s="2">
        <v>4.75</v>
      </c>
      <c r="V140" s="2">
        <v>6.75</v>
      </c>
      <c r="W140" s="2">
        <v>4.34</v>
      </c>
      <c r="X140" s="2">
        <v>1</v>
      </c>
      <c r="Y140" s="2">
        <v>6.5</v>
      </c>
      <c r="Z140" s="2">
        <v>14</v>
      </c>
      <c r="AA140" s="2">
        <v>9.625</v>
      </c>
      <c r="AB140" s="2">
        <v>0.50700000000000001</v>
      </c>
      <c r="AC140" s="2">
        <v>5.27</v>
      </c>
      <c r="AE140" s="2">
        <v>1</v>
      </c>
      <c r="AF140" s="2" t="s">
        <v>791</v>
      </c>
      <c r="AG140" s="2">
        <v>13</v>
      </c>
      <c r="AK140" s="2" t="s">
        <v>96</v>
      </c>
      <c r="AM140" s="2" t="s">
        <v>95</v>
      </c>
      <c r="AN140" s="2" t="s">
        <v>96</v>
      </c>
      <c r="AO140" s="2" t="s">
        <v>95</v>
      </c>
      <c r="AP140" s="2" t="s">
        <v>97</v>
      </c>
      <c r="AQ140" s="2" t="s">
        <v>98</v>
      </c>
      <c r="AV140" s="2" t="s">
        <v>95</v>
      </c>
      <c r="AX140" s="2" t="s">
        <v>792</v>
      </c>
      <c r="AZ140" s="2" t="s">
        <v>342</v>
      </c>
      <c r="BB140" s="2" t="s">
        <v>329</v>
      </c>
      <c r="BC140" s="2" t="s">
        <v>787</v>
      </c>
      <c r="BF140" s="2" t="s">
        <v>793</v>
      </c>
      <c r="BG140" s="2" t="s">
        <v>95</v>
      </c>
      <c r="BH140" s="2" t="s">
        <v>95</v>
      </c>
      <c r="BI140" s="2" t="s">
        <v>95</v>
      </c>
      <c r="BJ140" s="2" t="s">
        <v>96</v>
      </c>
      <c r="BK140" s="2" t="s">
        <v>567</v>
      </c>
      <c r="BR140" s="2">
        <v>6</v>
      </c>
      <c r="BT140" s="2">
        <v>4.75</v>
      </c>
      <c r="CA140" s="2" t="s">
        <v>789</v>
      </c>
      <c r="CB140" s="2" t="s">
        <v>792</v>
      </c>
      <c r="CG140" s="2">
        <v>3000</v>
      </c>
      <c r="CH140" s="2">
        <v>84</v>
      </c>
      <c r="CI140" s="2">
        <v>1040</v>
      </c>
      <c r="CJ140" s="2">
        <v>335</v>
      </c>
      <c r="CK140" s="2">
        <v>30000</v>
      </c>
      <c r="CL140" s="2" t="s">
        <v>95</v>
      </c>
      <c r="CM140" s="2" t="s">
        <v>95</v>
      </c>
      <c r="CN140" s="2" t="s">
        <v>577</v>
      </c>
      <c r="CO140" s="3">
        <v>41909</v>
      </c>
      <c r="CP140" s="3">
        <v>43634</v>
      </c>
    </row>
    <row r="141" spans="1:94" x14ac:dyDescent="0.25">
      <c r="A141" s="2" t="s">
        <v>794</v>
      </c>
      <c r="B141" s="2" t="str">
        <f xml:space="preserve"> "" &amp; 844349016977</f>
        <v>844349016977</v>
      </c>
      <c r="C141" s="2" t="s">
        <v>526</v>
      </c>
      <c r="D141" s="2" t="s">
        <v>783</v>
      </c>
      <c r="E141" s="2" t="s">
        <v>784</v>
      </c>
      <c r="F141" s="2" t="s">
        <v>785</v>
      </c>
      <c r="G141" s="2">
        <v>1</v>
      </c>
      <c r="H141" s="2">
        <v>1</v>
      </c>
      <c r="I141" s="2" t="s">
        <v>94</v>
      </c>
      <c r="J141" s="6">
        <v>85</v>
      </c>
      <c r="K141" s="6">
        <v>255</v>
      </c>
      <c r="L141" s="2">
        <v>0</v>
      </c>
      <c r="N141" s="2">
        <v>0</v>
      </c>
      <c r="Q141" s="6"/>
      <c r="R141" s="7"/>
      <c r="S141" s="2">
        <v>16</v>
      </c>
      <c r="U141" s="2">
        <v>4.75</v>
      </c>
      <c r="V141" s="2">
        <v>6.75</v>
      </c>
      <c r="W141" s="2">
        <v>5.67</v>
      </c>
      <c r="X141" s="2">
        <v>1</v>
      </c>
      <c r="Y141" s="2">
        <v>7.25</v>
      </c>
      <c r="Z141" s="2">
        <v>20</v>
      </c>
      <c r="AA141" s="2">
        <v>9.625</v>
      </c>
      <c r="AB141" s="2">
        <v>0.80800000000000005</v>
      </c>
      <c r="AC141" s="2">
        <v>6.86</v>
      </c>
      <c r="AE141" s="2">
        <v>1</v>
      </c>
      <c r="AF141" s="2" t="s">
        <v>786</v>
      </c>
      <c r="AG141" s="2">
        <v>19</v>
      </c>
      <c r="AK141" s="2" t="s">
        <v>96</v>
      </c>
      <c r="AM141" s="2" t="s">
        <v>95</v>
      </c>
      <c r="AN141" s="2" t="s">
        <v>96</v>
      </c>
      <c r="AO141" s="2" t="s">
        <v>95</v>
      </c>
      <c r="AP141" s="2" t="s">
        <v>97</v>
      </c>
      <c r="AQ141" s="2" t="s">
        <v>98</v>
      </c>
      <c r="AV141" s="2" t="s">
        <v>95</v>
      </c>
      <c r="AX141" s="2" t="s">
        <v>205</v>
      </c>
      <c r="AZ141" s="2" t="s">
        <v>342</v>
      </c>
      <c r="BB141" s="2" t="s">
        <v>329</v>
      </c>
      <c r="BC141" s="2" t="s">
        <v>787</v>
      </c>
      <c r="BF141" s="2" t="s">
        <v>795</v>
      </c>
      <c r="BG141" s="2" t="s">
        <v>95</v>
      </c>
      <c r="BH141" s="2" t="s">
        <v>95</v>
      </c>
      <c r="BI141" s="2" t="s">
        <v>95</v>
      </c>
      <c r="BJ141" s="2" t="s">
        <v>96</v>
      </c>
      <c r="BK141" s="2" t="s">
        <v>567</v>
      </c>
      <c r="BR141" s="2">
        <v>10</v>
      </c>
      <c r="BT141" s="2">
        <v>4.75</v>
      </c>
      <c r="CA141" s="2" t="s">
        <v>796</v>
      </c>
      <c r="CB141" s="2" t="s">
        <v>205</v>
      </c>
      <c r="CG141" s="2">
        <v>3000</v>
      </c>
      <c r="CH141" s="2">
        <v>84</v>
      </c>
      <c r="CI141" s="2">
        <v>1520</v>
      </c>
      <c r="CJ141" s="2">
        <v>510</v>
      </c>
      <c r="CK141" s="2">
        <v>30000</v>
      </c>
      <c r="CL141" s="2" t="s">
        <v>95</v>
      </c>
      <c r="CM141" s="2" t="s">
        <v>95</v>
      </c>
      <c r="CN141" s="2" t="s">
        <v>577</v>
      </c>
      <c r="CO141" s="3">
        <v>41909</v>
      </c>
      <c r="CP141" s="3">
        <v>43634</v>
      </c>
    </row>
    <row r="142" spans="1:94" x14ac:dyDescent="0.25">
      <c r="A142" s="2" t="s">
        <v>797</v>
      </c>
      <c r="B142" s="2" t="str">
        <f xml:space="preserve"> "" &amp; 844349016953</f>
        <v>844349016953</v>
      </c>
      <c r="C142" s="2" t="s">
        <v>526</v>
      </c>
      <c r="D142" s="2" t="s">
        <v>783</v>
      </c>
      <c r="E142" s="2" t="s">
        <v>784</v>
      </c>
      <c r="F142" s="2" t="s">
        <v>785</v>
      </c>
      <c r="G142" s="2">
        <v>1</v>
      </c>
      <c r="H142" s="2">
        <v>1</v>
      </c>
      <c r="I142" s="2" t="s">
        <v>94</v>
      </c>
      <c r="J142" s="6">
        <v>89</v>
      </c>
      <c r="K142" s="6">
        <v>267</v>
      </c>
      <c r="L142" s="2">
        <v>0</v>
      </c>
      <c r="N142" s="2">
        <v>0</v>
      </c>
      <c r="Q142" s="6"/>
      <c r="R142" s="7"/>
      <c r="S142" s="2">
        <v>16</v>
      </c>
      <c r="U142" s="2">
        <v>4.75</v>
      </c>
      <c r="V142" s="2">
        <v>6.75</v>
      </c>
      <c r="W142" s="2">
        <v>5.67</v>
      </c>
      <c r="X142" s="2">
        <v>1</v>
      </c>
      <c r="Y142" s="2">
        <v>7.25</v>
      </c>
      <c r="Z142" s="2">
        <v>20</v>
      </c>
      <c r="AA142" s="2">
        <v>9.625</v>
      </c>
      <c r="AB142" s="2">
        <v>0.80800000000000005</v>
      </c>
      <c r="AC142" s="2">
        <v>6.86</v>
      </c>
      <c r="AE142" s="2">
        <v>1</v>
      </c>
      <c r="AF142" s="2" t="s">
        <v>786</v>
      </c>
      <c r="AG142" s="2">
        <v>19</v>
      </c>
      <c r="AK142" s="2" t="s">
        <v>96</v>
      </c>
      <c r="AM142" s="2" t="s">
        <v>95</v>
      </c>
      <c r="AN142" s="2" t="s">
        <v>96</v>
      </c>
      <c r="AO142" s="2" t="s">
        <v>95</v>
      </c>
      <c r="AP142" s="2" t="s">
        <v>97</v>
      </c>
      <c r="AQ142" s="2" t="s">
        <v>98</v>
      </c>
      <c r="AV142" s="2" t="s">
        <v>95</v>
      </c>
      <c r="AX142" s="2" t="s">
        <v>792</v>
      </c>
      <c r="AZ142" s="2" t="s">
        <v>342</v>
      </c>
      <c r="BB142" s="2" t="s">
        <v>329</v>
      </c>
      <c r="BC142" s="2" t="s">
        <v>787</v>
      </c>
      <c r="BF142" s="2" t="s">
        <v>798</v>
      </c>
      <c r="BG142" s="2" t="s">
        <v>95</v>
      </c>
      <c r="BH142" s="2" t="s">
        <v>95</v>
      </c>
      <c r="BI142" s="2" t="s">
        <v>95</v>
      </c>
      <c r="BJ142" s="2" t="s">
        <v>96</v>
      </c>
      <c r="BK142" s="2" t="s">
        <v>567</v>
      </c>
      <c r="BR142" s="2">
        <v>10</v>
      </c>
      <c r="BT142" s="2">
        <v>4.75</v>
      </c>
      <c r="CA142" s="2" t="s">
        <v>796</v>
      </c>
      <c r="CB142" s="2" t="s">
        <v>792</v>
      </c>
      <c r="CG142" s="2">
        <v>3000</v>
      </c>
      <c r="CH142" s="2">
        <v>84</v>
      </c>
      <c r="CI142" s="2">
        <v>1520</v>
      </c>
      <c r="CJ142" s="2">
        <v>510</v>
      </c>
      <c r="CK142" s="2">
        <v>30000</v>
      </c>
      <c r="CL142" s="2" t="s">
        <v>95</v>
      </c>
      <c r="CM142" s="2" t="s">
        <v>95</v>
      </c>
      <c r="CN142" s="2" t="s">
        <v>577</v>
      </c>
      <c r="CO142" s="3">
        <v>41909</v>
      </c>
      <c r="CP142" s="3">
        <v>43634</v>
      </c>
    </row>
    <row r="143" spans="1:94" x14ac:dyDescent="0.25">
      <c r="A143" s="2" t="s">
        <v>799</v>
      </c>
      <c r="B143" s="2" t="str">
        <f xml:space="preserve"> "" &amp; 844349016984</f>
        <v>844349016984</v>
      </c>
      <c r="C143" s="2" t="s">
        <v>720</v>
      </c>
      <c r="D143" s="2" t="s">
        <v>800</v>
      </c>
      <c r="E143" s="2" t="s">
        <v>801</v>
      </c>
      <c r="F143" s="2" t="s">
        <v>564</v>
      </c>
      <c r="G143" s="2">
        <v>1</v>
      </c>
      <c r="H143" s="2">
        <v>1</v>
      </c>
      <c r="I143" s="2" t="s">
        <v>94</v>
      </c>
      <c r="J143" s="6">
        <v>65</v>
      </c>
      <c r="K143" s="6">
        <v>195</v>
      </c>
      <c r="L143" s="2">
        <v>0</v>
      </c>
      <c r="N143" s="2">
        <v>0</v>
      </c>
      <c r="O143" s="2" t="s">
        <v>96</v>
      </c>
      <c r="P143" s="6">
        <v>134.94999999999999</v>
      </c>
      <c r="Q143" s="6"/>
      <c r="R143" s="7"/>
      <c r="S143" s="2">
        <v>10</v>
      </c>
      <c r="U143" s="2">
        <v>5</v>
      </c>
      <c r="V143" s="2">
        <v>2</v>
      </c>
      <c r="W143" s="2">
        <v>2.4300000000000002</v>
      </c>
      <c r="X143" s="2">
        <v>1</v>
      </c>
      <c r="Y143" s="2">
        <v>5.75</v>
      </c>
      <c r="Z143" s="2">
        <v>14</v>
      </c>
      <c r="AA143" s="2">
        <v>9</v>
      </c>
      <c r="AB143" s="2">
        <v>0.41899999999999998</v>
      </c>
      <c r="AC143" s="2">
        <v>3.31</v>
      </c>
      <c r="AE143" s="2">
        <v>1</v>
      </c>
      <c r="AF143" s="2" t="s">
        <v>802</v>
      </c>
      <c r="AG143" s="2">
        <v>10</v>
      </c>
      <c r="AK143" s="2" t="s">
        <v>96</v>
      </c>
      <c r="AM143" s="2" t="s">
        <v>95</v>
      </c>
      <c r="AN143" s="2" t="s">
        <v>96</v>
      </c>
      <c r="AO143" s="2" t="s">
        <v>95</v>
      </c>
      <c r="AP143" s="2" t="s">
        <v>97</v>
      </c>
      <c r="AQ143" s="2" t="s">
        <v>98</v>
      </c>
      <c r="AV143" s="2" t="s">
        <v>95</v>
      </c>
      <c r="AX143" s="2" t="s">
        <v>803</v>
      </c>
      <c r="AZ143" s="2" t="s">
        <v>342</v>
      </c>
      <c r="BC143" s="2" t="s">
        <v>804</v>
      </c>
      <c r="BF143" s="2" t="s">
        <v>805</v>
      </c>
      <c r="BG143" s="2" t="s">
        <v>95</v>
      </c>
      <c r="BH143" s="2" t="s">
        <v>96</v>
      </c>
      <c r="BI143" s="2" t="s">
        <v>95</v>
      </c>
      <c r="BJ143" s="2" t="s">
        <v>96</v>
      </c>
      <c r="BK143" s="2" t="s">
        <v>567</v>
      </c>
      <c r="BR143" s="2">
        <v>9.6300000000000008</v>
      </c>
      <c r="BT143" s="2">
        <v>4.5</v>
      </c>
      <c r="CA143" s="2" t="s">
        <v>806</v>
      </c>
      <c r="CB143" s="2" t="s">
        <v>803</v>
      </c>
      <c r="CG143" s="2">
        <v>3000</v>
      </c>
      <c r="CH143" s="2">
        <v>85</v>
      </c>
      <c r="CI143" s="2">
        <v>561.37</v>
      </c>
      <c r="CJ143" s="2">
        <v>328</v>
      </c>
      <c r="CK143" s="2">
        <v>30000</v>
      </c>
      <c r="CL143" s="2" t="s">
        <v>95</v>
      </c>
      <c r="CM143" s="2" t="s">
        <v>95</v>
      </c>
      <c r="CN143" s="2" t="s">
        <v>577</v>
      </c>
      <c r="CO143" s="3">
        <v>41922</v>
      </c>
      <c r="CP143" s="3">
        <v>43634</v>
      </c>
    </row>
    <row r="144" spans="1:94" x14ac:dyDescent="0.25">
      <c r="A144" s="2" t="s">
        <v>807</v>
      </c>
      <c r="B144" s="2" t="str">
        <f xml:space="preserve"> "" &amp; 844349016991</f>
        <v>844349016991</v>
      </c>
      <c r="C144" s="2" t="s">
        <v>720</v>
      </c>
      <c r="D144" s="2" t="s">
        <v>800</v>
      </c>
      <c r="E144" s="2" t="s">
        <v>801</v>
      </c>
      <c r="F144" s="2" t="s">
        <v>564</v>
      </c>
      <c r="G144" s="2">
        <v>1</v>
      </c>
      <c r="H144" s="2">
        <v>1</v>
      </c>
      <c r="I144" s="2" t="s">
        <v>94</v>
      </c>
      <c r="J144" s="6">
        <v>88</v>
      </c>
      <c r="K144" s="6">
        <v>264</v>
      </c>
      <c r="L144" s="2">
        <v>0</v>
      </c>
      <c r="N144" s="2">
        <v>0</v>
      </c>
      <c r="O144" s="2" t="s">
        <v>96</v>
      </c>
      <c r="P144" s="6">
        <v>184.95</v>
      </c>
      <c r="Q144" s="6"/>
      <c r="R144" s="7"/>
      <c r="S144" s="2">
        <v>14</v>
      </c>
      <c r="U144" s="2">
        <v>7</v>
      </c>
      <c r="V144" s="2">
        <v>2</v>
      </c>
      <c r="W144" s="2">
        <v>3.31</v>
      </c>
      <c r="X144" s="2">
        <v>1</v>
      </c>
      <c r="Y144" s="2">
        <v>5.75</v>
      </c>
      <c r="Z144" s="2">
        <v>18</v>
      </c>
      <c r="AA144" s="2">
        <v>10.63</v>
      </c>
      <c r="AB144" s="2">
        <v>0.63700000000000001</v>
      </c>
      <c r="AC144" s="2">
        <v>4.5199999999999996</v>
      </c>
      <c r="AE144" s="2">
        <v>1</v>
      </c>
      <c r="AF144" s="2" t="s">
        <v>808</v>
      </c>
      <c r="AG144" s="2">
        <v>10</v>
      </c>
      <c r="AK144" s="2" t="s">
        <v>96</v>
      </c>
      <c r="AM144" s="2" t="s">
        <v>95</v>
      </c>
      <c r="AN144" s="2" t="s">
        <v>96</v>
      </c>
      <c r="AO144" s="2" t="s">
        <v>95</v>
      </c>
      <c r="AP144" s="2" t="s">
        <v>97</v>
      </c>
      <c r="AQ144" s="2" t="s">
        <v>98</v>
      </c>
      <c r="AV144" s="2" t="s">
        <v>95</v>
      </c>
      <c r="AX144" s="2" t="s">
        <v>809</v>
      </c>
      <c r="AZ144" s="2" t="s">
        <v>342</v>
      </c>
      <c r="BC144" s="2" t="s">
        <v>451</v>
      </c>
      <c r="BF144" s="2" t="s">
        <v>810</v>
      </c>
      <c r="BG144" s="2" t="s">
        <v>95</v>
      </c>
      <c r="BH144" s="2" t="s">
        <v>96</v>
      </c>
      <c r="BI144" s="2" t="s">
        <v>95</v>
      </c>
      <c r="BJ144" s="2" t="s">
        <v>96</v>
      </c>
      <c r="BK144" s="2" t="s">
        <v>567</v>
      </c>
      <c r="BR144" s="2">
        <v>13.88</v>
      </c>
      <c r="BT144" s="2">
        <v>6.88</v>
      </c>
      <c r="CA144" s="2" t="s">
        <v>811</v>
      </c>
      <c r="CB144" s="2" t="s">
        <v>809</v>
      </c>
      <c r="CG144" s="2">
        <v>3000</v>
      </c>
      <c r="CH144" s="2">
        <v>85</v>
      </c>
      <c r="CI144" s="2">
        <v>534.88</v>
      </c>
      <c r="CJ144" s="2">
        <v>316</v>
      </c>
      <c r="CK144" s="2">
        <v>30000</v>
      </c>
      <c r="CL144" s="2" t="s">
        <v>95</v>
      </c>
      <c r="CM144" s="2" t="s">
        <v>95</v>
      </c>
      <c r="CN144" s="2" t="s">
        <v>577</v>
      </c>
      <c r="CO144" s="3">
        <v>41922</v>
      </c>
      <c r="CP144" s="3">
        <v>43634</v>
      </c>
    </row>
    <row r="145" spans="1:94" x14ac:dyDescent="0.25">
      <c r="A145" s="2" t="s">
        <v>812</v>
      </c>
      <c r="B145" s="2" t="str">
        <f xml:space="preserve"> "" &amp; 844349016700</f>
        <v>844349016700</v>
      </c>
      <c r="C145" s="2" t="s">
        <v>526</v>
      </c>
      <c r="D145" s="2" t="s">
        <v>813</v>
      </c>
      <c r="E145" s="2" t="s">
        <v>814</v>
      </c>
      <c r="F145" s="2" t="s">
        <v>564</v>
      </c>
      <c r="G145" s="2">
        <v>1</v>
      </c>
      <c r="H145" s="2">
        <v>1</v>
      </c>
      <c r="I145" s="2" t="s">
        <v>94</v>
      </c>
      <c r="J145" s="6">
        <v>45</v>
      </c>
      <c r="K145" s="6">
        <v>135</v>
      </c>
      <c r="L145" s="2">
        <v>0</v>
      </c>
      <c r="N145" s="2">
        <v>0</v>
      </c>
      <c r="O145" s="2" t="s">
        <v>96</v>
      </c>
      <c r="P145" s="6">
        <v>94.95</v>
      </c>
      <c r="Q145" s="6"/>
      <c r="R145" s="7"/>
      <c r="S145" s="2">
        <v>5</v>
      </c>
      <c r="U145" s="2">
        <v>5</v>
      </c>
      <c r="V145" s="2">
        <v>6</v>
      </c>
      <c r="W145" s="2">
        <v>1.19</v>
      </c>
      <c r="X145" s="2">
        <v>1</v>
      </c>
      <c r="Y145" s="2">
        <v>7.63</v>
      </c>
      <c r="Z145" s="2">
        <v>10.25</v>
      </c>
      <c r="AA145" s="2">
        <v>8.25</v>
      </c>
      <c r="AB145" s="2">
        <v>0.373</v>
      </c>
      <c r="AC145" s="2">
        <v>1.81</v>
      </c>
      <c r="AE145" s="2">
        <v>1</v>
      </c>
      <c r="AF145" s="2" t="s">
        <v>815</v>
      </c>
      <c r="AG145" s="2">
        <v>7</v>
      </c>
      <c r="AK145" s="2" t="s">
        <v>96</v>
      </c>
      <c r="AM145" s="2" t="s">
        <v>95</v>
      </c>
      <c r="AN145" s="2" t="s">
        <v>96</v>
      </c>
      <c r="AO145" s="2" t="s">
        <v>95</v>
      </c>
      <c r="AP145" s="2" t="s">
        <v>97</v>
      </c>
      <c r="AQ145" s="2" t="s">
        <v>98</v>
      </c>
      <c r="AV145" s="2" t="s">
        <v>95</v>
      </c>
      <c r="AX145" s="2" t="s">
        <v>816</v>
      </c>
      <c r="AZ145" s="2" t="s">
        <v>342</v>
      </c>
      <c r="BB145" s="2" t="s">
        <v>817</v>
      </c>
      <c r="BC145" s="2" t="s">
        <v>818</v>
      </c>
      <c r="BF145" s="2" t="s">
        <v>819</v>
      </c>
      <c r="BG145" s="2" t="s">
        <v>95</v>
      </c>
      <c r="BH145" s="2" t="s">
        <v>95</v>
      </c>
      <c r="BI145" s="2" t="s">
        <v>95</v>
      </c>
      <c r="BJ145" s="2" t="s">
        <v>96</v>
      </c>
      <c r="BK145" s="2" t="s">
        <v>567</v>
      </c>
      <c r="BR145" s="2">
        <v>0.75</v>
      </c>
      <c r="BT145" s="2">
        <v>5</v>
      </c>
      <c r="CA145" s="2" t="s">
        <v>820</v>
      </c>
      <c r="CB145" s="2" t="s">
        <v>816</v>
      </c>
      <c r="CG145" s="2">
        <v>3000</v>
      </c>
      <c r="CH145" s="2">
        <v>85</v>
      </c>
      <c r="CI145" s="2">
        <v>592.6</v>
      </c>
      <c r="CJ145" s="2">
        <v>177</v>
      </c>
      <c r="CK145" s="2">
        <v>30000</v>
      </c>
      <c r="CL145" s="2" t="s">
        <v>95</v>
      </c>
      <c r="CM145" s="2" t="s">
        <v>95</v>
      </c>
      <c r="CN145" s="2" t="s">
        <v>577</v>
      </c>
      <c r="CO145" s="3">
        <v>41926</v>
      </c>
      <c r="CP145" s="3">
        <v>43634</v>
      </c>
    </row>
    <row r="146" spans="1:94" x14ac:dyDescent="0.25">
      <c r="A146" s="2" t="s">
        <v>821</v>
      </c>
      <c r="B146" s="2" t="str">
        <f xml:space="preserve"> "" &amp; 844349016717</f>
        <v>844349016717</v>
      </c>
      <c r="C146" s="2" t="s">
        <v>446</v>
      </c>
      <c r="D146" s="2" t="s">
        <v>822</v>
      </c>
      <c r="E146" s="2" t="s">
        <v>823</v>
      </c>
      <c r="F146" s="2" t="s">
        <v>564</v>
      </c>
      <c r="G146" s="2">
        <v>1</v>
      </c>
      <c r="H146" s="2">
        <v>1</v>
      </c>
      <c r="I146" s="2" t="s">
        <v>94</v>
      </c>
      <c r="J146" s="6">
        <v>105</v>
      </c>
      <c r="K146" s="6">
        <v>315</v>
      </c>
      <c r="L146" s="2">
        <v>0</v>
      </c>
      <c r="N146" s="2">
        <v>0</v>
      </c>
      <c r="O146" s="2" t="s">
        <v>96</v>
      </c>
      <c r="P146" s="6">
        <v>219.95</v>
      </c>
      <c r="Q146" s="6"/>
      <c r="R146" s="7"/>
      <c r="S146" s="2">
        <v>12</v>
      </c>
      <c r="T146" s="2">
        <v>14.5</v>
      </c>
      <c r="U146" s="2">
        <v>5.25</v>
      </c>
      <c r="V146" s="2">
        <v>1.75</v>
      </c>
      <c r="W146" s="2">
        <v>2.95</v>
      </c>
      <c r="X146" s="2">
        <v>1</v>
      </c>
      <c r="Y146" s="2">
        <v>4.5</v>
      </c>
      <c r="Z146" s="2">
        <v>14.5</v>
      </c>
      <c r="AA146" s="2">
        <v>7.75</v>
      </c>
      <c r="AB146" s="2">
        <v>0.29299999999999998</v>
      </c>
      <c r="AC146" s="2">
        <v>3.57</v>
      </c>
      <c r="AE146" s="2">
        <v>1</v>
      </c>
      <c r="AF146" s="2" t="s">
        <v>824</v>
      </c>
      <c r="AG146" s="2">
        <v>13</v>
      </c>
      <c r="AK146" s="2" t="s">
        <v>96</v>
      </c>
      <c r="AM146" s="2" t="s">
        <v>95</v>
      </c>
      <c r="AN146" s="2" t="s">
        <v>96</v>
      </c>
      <c r="AO146" s="2" t="s">
        <v>95</v>
      </c>
      <c r="AP146" s="2" t="s">
        <v>97</v>
      </c>
      <c r="AQ146" s="2" t="s">
        <v>98</v>
      </c>
      <c r="AV146" s="2" t="s">
        <v>95</v>
      </c>
      <c r="AX146" s="2" t="s">
        <v>592</v>
      </c>
      <c r="AZ146" s="2" t="s">
        <v>342</v>
      </c>
      <c r="BB146" s="2" t="s">
        <v>329</v>
      </c>
      <c r="BC146" s="2" t="s">
        <v>825</v>
      </c>
      <c r="BF146" s="2" t="s">
        <v>826</v>
      </c>
      <c r="BG146" s="2" t="s">
        <v>95</v>
      </c>
      <c r="BH146" s="2" t="s">
        <v>96</v>
      </c>
      <c r="BI146" s="2" t="s">
        <v>95</v>
      </c>
      <c r="BJ146" s="2" t="s">
        <v>96</v>
      </c>
      <c r="BK146" s="2" t="s">
        <v>567</v>
      </c>
      <c r="BL146" s="2" t="s">
        <v>421</v>
      </c>
      <c r="BM146" s="2">
        <v>5.25</v>
      </c>
      <c r="BN146" s="2">
        <v>9.5</v>
      </c>
      <c r="CA146" s="2" t="s">
        <v>827</v>
      </c>
      <c r="CB146" s="2" t="s">
        <v>592</v>
      </c>
      <c r="CG146" s="2">
        <v>3000</v>
      </c>
      <c r="CH146" s="2">
        <v>83</v>
      </c>
      <c r="CI146" s="2">
        <v>769</v>
      </c>
      <c r="CJ146" s="2">
        <v>235</v>
      </c>
      <c r="CK146" s="2">
        <v>30000</v>
      </c>
      <c r="CL146" s="2" t="s">
        <v>96</v>
      </c>
      <c r="CM146" s="2" t="s">
        <v>95</v>
      </c>
      <c r="CN146" s="2" t="s">
        <v>577</v>
      </c>
      <c r="CO146" s="3">
        <v>42345</v>
      </c>
      <c r="CP146" s="3">
        <v>43634</v>
      </c>
    </row>
    <row r="147" spans="1:94" x14ac:dyDescent="0.25">
      <c r="A147" s="2" t="s">
        <v>828</v>
      </c>
      <c r="B147" s="2" t="str">
        <f xml:space="preserve"> "" &amp; 844349016724</f>
        <v>844349016724</v>
      </c>
      <c r="C147" s="2" t="s">
        <v>775</v>
      </c>
      <c r="D147" s="2" t="s">
        <v>822</v>
      </c>
      <c r="E147" s="2" t="s">
        <v>823</v>
      </c>
      <c r="F147" s="2" t="s">
        <v>564</v>
      </c>
      <c r="G147" s="2">
        <v>1</v>
      </c>
      <c r="H147" s="2">
        <v>1</v>
      </c>
      <c r="I147" s="2" t="s">
        <v>94</v>
      </c>
      <c r="J147" s="6">
        <v>135</v>
      </c>
      <c r="K147" s="6">
        <v>405</v>
      </c>
      <c r="L147" s="2">
        <v>0</v>
      </c>
      <c r="N147" s="2">
        <v>0</v>
      </c>
      <c r="O147" s="2" t="s">
        <v>96</v>
      </c>
      <c r="P147" s="6">
        <v>283.95</v>
      </c>
      <c r="Q147" s="6"/>
      <c r="R147" s="7"/>
      <c r="S147" s="2">
        <v>16.5</v>
      </c>
      <c r="T147" s="2">
        <v>19</v>
      </c>
      <c r="U147" s="2">
        <v>6.5</v>
      </c>
      <c r="V147" s="2">
        <v>1.75</v>
      </c>
      <c r="W147" s="2">
        <v>4.5599999999999996</v>
      </c>
      <c r="X147" s="2">
        <v>1</v>
      </c>
      <c r="Y147" s="2">
        <v>4.5</v>
      </c>
      <c r="Z147" s="2">
        <v>19</v>
      </c>
      <c r="AA147" s="2">
        <v>9</v>
      </c>
      <c r="AB147" s="2">
        <v>0.44500000000000001</v>
      </c>
      <c r="AC147" s="2">
        <v>5.29</v>
      </c>
      <c r="AE147" s="2">
        <v>1</v>
      </c>
      <c r="AF147" s="2" t="s">
        <v>829</v>
      </c>
      <c r="AG147" s="2">
        <v>19</v>
      </c>
      <c r="AK147" s="2" t="s">
        <v>96</v>
      </c>
      <c r="AM147" s="2" t="s">
        <v>95</v>
      </c>
      <c r="AN147" s="2" t="s">
        <v>96</v>
      </c>
      <c r="AO147" s="2" t="s">
        <v>95</v>
      </c>
      <c r="AP147" s="2" t="s">
        <v>97</v>
      </c>
      <c r="AQ147" s="2" t="s">
        <v>98</v>
      </c>
      <c r="AV147" s="2" t="s">
        <v>95</v>
      </c>
      <c r="AX147" s="2" t="s">
        <v>592</v>
      </c>
      <c r="AZ147" s="2" t="s">
        <v>342</v>
      </c>
      <c r="BB147" s="2" t="s">
        <v>329</v>
      </c>
      <c r="BC147" s="2" t="s">
        <v>830</v>
      </c>
      <c r="BF147" s="2" t="s">
        <v>831</v>
      </c>
      <c r="BG147" s="2" t="s">
        <v>95</v>
      </c>
      <c r="BH147" s="2" t="s">
        <v>96</v>
      </c>
      <c r="BI147" s="2" t="s">
        <v>95</v>
      </c>
      <c r="BJ147" s="2" t="s">
        <v>96</v>
      </c>
      <c r="BK147" s="2" t="s">
        <v>567</v>
      </c>
      <c r="BM147" s="2">
        <v>6.5</v>
      </c>
      <c r="BN147" s="2">
        <v>13</v>
      </c>
      <c r="CA147" s="2" t="s">
        <v>832</v>
      </c>
      <c r="CB147" s="2" t="s">
        <v>592</v>
      </c>
      <c r="CG147" s="2">
        <v>3000</v>
      </c>
      <c r="CH147" s="2">
        <v>84</v>
      </c>
      <c r="CI147" s="2">
        <v>1757</v>
      </c>
      <c r="CJ147" s="2">
        <v>669</v>
      </c>
      <c r="CK147" s="2">
        <v>30000</v>
      </c>
      <c r="CL147" s="2" t="s">
        <v>96</v>
      </c>
      <c r="CM147" s="2" t="s">
        <v>96</v>
      </c>
      <c r="CN147" s="2" t="s">
        <v>577</v>
      </c>
      <c r="CO147" s="3">
        <v>42274</v>
      </c>
      <c r="CP147" s="3">
        <v>43634</v>
      </c>
    </row>
    <row r="148" spans="1:94" x14ac:dyDescent="0.25">
      <c r="A148" s="2" t="s">
        <v>833</v>
      </c>
      <c r="B148" s="2" t="str">
        <f xml:space="preserve"> "" &amp; 844349016755</f>
        <v>844349016755</v>
      </c>
      <c r="C148" s="2" t="s">
        <v>526</v>
      </c>
      <c r="D148" s="2" t="s">
        <v>834</v>
      </c>
      <c r="E148" s="2" t="s">
        <v>835</v>
      </c>
      <c r="F148" s="2" t="s">
        <v>564</v>
      </c>
      <c r="G148" s="2">
        <v>1</v>
      </c>
      <c r="H148" s="2">
        <v>1</v>
      </c>
      <c r="I148" s="2" t="s">
        <v>94</v>
      </c>
      <c r="J148" s="6">
        <v>45</v>
      </c>
      <c r="K148" s="6">
        <v>135</v>
      </c>
      <c r="L148" s="2">
        <v>0</v>
      </c>
      <c r="N148" s="2">
        <v>0</v>
      </c>
      <c r="O148" s="2" t="s">
        <v>96</v>
      </c>
      <c r="P148" s="6">
        <v>94.95</v>
      </c>
      <c r="Q148" s="6"/>
      <c r="R148" s="7"/>
      <c r="S148" s="2">
        <v>8.25</v>
      </c>
      <c r="U148" s="2">
        <v>5</v>
      </c>
      <c r="V148" s="2">
        <v>4</v>
      </c>
      <c r="W148" s="2">
        <v>1.28</v>
      </c>
      <c r="X148" s="2">
        <v>1</v>
      </c>
      <c r="Y148" s="2">
        <v>6.88</v>
      </c>
      <c r="Z148" s="2">
        <v>13.38</v>
      </c>
      <c r="AA148" s="2">
        <v>8.6300000000000008</v>
      </c>
      <c r="AB148" s="2">
        <v>0.46</v>
      </c>
      <c r="AC148" s="2">
        <v>2.09</v>
      </c>
      <c r="AE148" s="2">
        <v>1</v>
      </c>
      <c r="AF148" s="2" t="s">
        <v>347</v>
      </c>
      <c r="AG148" s="2">
        <v>8</v>
      </c>
      <c r="AK148" s="2" t="s">
        <v>96</v>
      </c>
      <c r="AM148" s="2" t="s">
        <v>95</v>
      </c>
      <c r="AN148" s="2" t="s">
        <v>96</v>
      </c>
      <c r="AO148" s="2" t="s">
        <v>95</v>
      </c>
      <c r="AP148" s="2" t="s">
        <v>97</v>
      </c>
      <c r="AQ148" s="2" t="s">
        <v>98</v>
      </c>
      <c r="AV148" s="2" t="s">
        <v>95</v>
      </c>
      <c r="AX148" s="2" t="s">
        <v>205</v>
      </c>
      <c r="AZ148" s="2" t="s">
        <v>342</v>
      </c>
      <c r="BB148" s="2" t="s">
        <v>329</v>
      </c>
      <c r="BC148" s="2" t="s">
        <v>836</v>
      </c>
      <c r="BF148" s="2" t="s">
        <v>837</v>
      </c>
      <c r="BG148" s="2" t="s">
        <v>95</v>
      </c>
      <c r="BH148" s="2" t="s">
        <v>96</v>
      </c>
      <c r="BI148" s="2" t="s">
        <v>95</v>
      </c>
      <c r="BJ148" s="2" t="s">
        <v>96</v>
      </c>
      <c r="BK148" s="2" t="s">
        <v>567</v>
      </c>
      <c r="BR148" s="2">
        <v>0.75</v>
      </c>
      <c r="BT148" s="2">
        <v>5</v>
      </c>
      <c r="CA148" s="2" t="s">
        <v>838</v>
      </c>
      <c r="CB148" s="2" t="s">
        <v>205</v>
      </c>
      <c r="CG148" s="2">
        <v>3000</v>
      </c>
      <c r="CH148" s="2">
        <v>85</v>
      </c>
      <c r="CI148" s="2">
        <v>621.51</v>
      </c>
      <c r="CJ148" s="2">
        <v>452</v>
      </c>
      <c r="CK148" s="2">
        <v>30000</v>
      </c>
      <c r="CL148" s="2" t="s">
        <v>95</v>
      </c>
      <c r="CM148" s="2" t="s">
        <v>95</v>
      </c>
      <c r="CN148" s="2" t="s">
        <v>577</v>
      </c>
      <c r="CO148" s="3">
        <v>41928</v>
      </c>
      <c r="CP148" s="3">
        <v>43634</v>
      </c>
    </row>
    <row r="149" spans="1:94" x14ac:dyDescent="0.25">
      <c r="A149" s="2" t="s">
        <v>839</v>
      </c>
      <c r="B149" s="2" t="str">
        <f xml:space="preserve"> "" &amp; 844349016779</f>
        <v>844349016779</v>
      </c>
      <c r="C149" s="2" t="s">
        <v>526</v>
      </c>
      <c r="D149" s="2" t="s">
        <v>834</v>
      </c>
      <c r="E149" s="2" t="s">
        <v>835</v>
      </c>
      <c r="F149" s="2" t="s">
        <v>564</v>
      </c>
      <c r="G149" s="2">
        <v>1</v>
      </c>
      <c r="H149" s="2">
        <v>1</v>
      </c>
      <c r="I149" s="2" t="s">
        <v>94</v>
      </c>
      <c r="J149" s="6">
        <v>45</v>
      </c>
      <c r="K149" s="6">
        <v>135</v>
      </c>
      <c r="L149" s="2">
        <v>0</v>
      </c>
      <c r="N149" s="2">
        <v>0</v>
      </c>
      <c r="O149" s="2" t="s">
        <v>96</v>
      </c>
      <c r="P149" s="6">
        <v>94.95</v>
      </c>
      <c r="Q149" s="6"/>
      <c r="R149" s="7"/>
      <c r="S149" s="2">
        <v>8.25</v>
      </c>
      <c r="U149" s="2">
        <v>5</v>
      </c>
      <c r="V149" s="2">
        <v>4</v>
      </c>
      <c r="W149" s="2">
        <v>1.28</v>
      </c>
      <c r="X149" s="2">
        <v>1</v>
      </c>
      <c r="Y149" s="2">
        <v>6.88</v>
      </c>
      <c r="Z149" s="2">
        <v>13.38</v>
      </c>
      <c r="AA149" s="2">
        <v>8.6300000000000008</v>
      </c>
      <c r="AB149" s="2">
        <v>0.46</v>
      </c>
      <c r="AC149" s="2">
        <v>2.09</v>
      </c>
      <c r="AE149" s="2">
        <v>1</v>
      </c>
      <c r="AF149" s="2" t="s">
        <v>347</v>
      </c>
      <c r="AG149" s="2">
        <v>8</v>
      </c>
      <c r="AK149" s="2" t="s">
        <v>96</v>
      </c>
      <c r="AM149" s="2" t="s">
        <v>95</v>
      </c>
      <c r="AN149" s="2" t="s">
        <v>96</v>
      </c>
      <c r="AO149" s="2" t="s">
        <v>95</v>
      </c>
      <c r="AP149" s="2" t="s">
        <v>97</v>
      </c>
      <c r="AQ149" s="2" t="s">
        <v>98</v>
      </c>
      <c r="AV149" s="2" t="s">
        <v>95</v>
      </c>
      <c r="AX149" s="2" t="s">
        <v>840</v>
      </c>
      <c r="AZ149" s="2" t="s">
        <v>342</v>
      </c>
      <c r="BB149" s="2" t="s">
        <v>329</v>
      </c>
      <c r="BC149" s="2" t="s">
        <v>836</v>
      </c>
      <c r="BF149" s="2" t="s">
        <v>841</v>
      </c>
      <c r="BG149" s="2" t="s">
        <v>95</v>
      </c>
      <c r="BH149" s="2" t="s">
        <v>96</v>
      </c>
      <c r="BI149" s="2" t="s">
        <v>95</v>
      </c>
      <c r="BJ149" s="2" t="s">
        <v>96</v>
      </c>
      <c r="BK149" s="2" t="s">
        <v>567</v>
      </c>
      <c r="BR149" s="2">
        <v>0.75</v>
      </c>
      <c r="BT149" s="2">
        <v>5</v>
      </c>
      <c r="CA149" s="2" t="s">
        <v>838</v>
      </c>
      <c r="CB149" s="2" t="s">
        <v>840</v>
      </c>
      <c r="CG149" s="2">
        <v>3000</v>
      </c>
      <c r="CH149" s="2">
        <v>84</v>
      </c>
      <c r="CI149" s="2">
        <v>621.51</v>
      </c>
      <c r="CJ149" s="2">
        <v>452</v>
      </c>
      <c r="CK149" s="2">
        <v>30000</v>
      </c>
      <c r="CL149" s="2" t="s">
        <v>95</v>
      </c>
      <c r="CM149" s="2" t="s">
        <v>95</v>
      </c>
      <c r="CN149" s="2" t="s">
        <v>577</v>
      </c>
      <c r="CO149" s="3">
        <v>41928</v>
      </c>
      <c r="CP149" s="3">
        <v>43634</v>
      </c>
    </row>
    <row r="150" spans="1:94" x14ac:dyDescent="0.25">
      <c r="A150" s="2" t="s">
        <v>842</v>
      </c>
      <c r="B150" s="2" t="str">
        <f xml:space="preserve"> "" &amp; 844349016762</f>
        <v>844349016762</v>
      </c>
      <c r="C150" s="2" t="s">
        <v>526</v>
      </c>
      <c r="D150" s="2" t="s">
        <v>834</v>
      </c>
      <c r="E150" s="2" t="s">
        <v>835</v>
      </c>
      <c r="F150" s="2" t="s">
        <v>564</v>
      </c>
      <c r="G150" s="2">
        <v>1</v>
      </c>
      <c r="H150" s="2">
        <v>1</v>
      </c>
      <c r="I150" s="2" t="s">
        <v>94</v>
      </c>
      <c r="J150" s="6">
        <v>75</v>
      </c>
      <c r="K150" s="6">
        <v>225</v>
      </c>
      <c r="L150" s="2">
        <v>0</v>
      </c>
      <c r="N150" s="2">
        <v>0</v>
      </c>
      <c r="O150" s="2" t="s">
        <v>96</v>
      </c>
      <c r="P150" s="6">
        <v>157.94999999999999</v>
      </c>
      <c r="Q150" s="6"/>
      <c r="R150" s="7"/>
      <c r="S150" s="2">
        <v>14</v>
      </c>
      <c r="U150" s="2">
        <v>5</v>
      </c>
      <c r="V150" s="2">
        <v>4</v>
      </c>
      <c r="W150" s="2">
        <v>1.87</v>
      </c>
      <c r="X150" s="2">
        <v>1</v>
      </c>
      <c r="Y150" s="2">
        <v>6.88</v>
      </c>
      <c r="Z150" s="2">
        <v>18.5</v>
      </c>
      <c r="AA150" s="2">
        <v>8.6300000000000008</v>
      </c>
      <c r="AB150" s="2">
        <v>0.63600000000000001</v>
      </c>
      <c r="AC150" s="2">
        <v>1.3</v>
      </c>
      <c r="AE150" s="2">
        <v>1</v>
      </c>
      <c r="AF150" s="2" t="s">
        <v>347</v>
      </c>
      <c r="AG150" s="2">
        <v>20</v>
      </c>
      <c r="AK150" s="2" t="s">
        <v>96</v>
      </c>
      <c r="AM150" s="2" t="s">
        <v>95</v>
      </c>
      <c r="AN150" s="2" t="s">
        <v>96</v>
      </c>
      <c r="AO150" s="2" t="s">
        <v>95</v>
      </c>
      <c r="AP150" s="2" t="s">
        <v>97</v>
      </c>
      <c r="AQ150" s="2" t="s">
        <v>98</v>
      </c>
      <c r="AV150" s="2" t="s">
        <v>95</v>
      </c>
      <c r="AX150" s="2" t="s">
        <v>205</v>
      </c>
      <c r="AZ150" s="2" t="s">
        <v>342</v>
      </c>
      <c r="BC150" s="2" t="s">
        <v>836</v>
      </c>
      <c r="BF150" s="2" t="s">
        <v>843</v>
      </c>
      <c r="BG150" s="2" t="s">
        <v>95</v>
      </c>
      <c r="BH150" s="2" t="s">
        <v>96</v>
      </c>
      <c r="BI150" s="2" t="s">
        <v>95</v>
      </c>
      <c r="BJ150" s="2" t="s">
        <v>96</v>
      </c>
      <c r="BK150" s="2" t="s">
        <v>567</v>
      </c>
      <c r="BR150" s="2">
        <v>0.75</v>
      </c>
      <c r="BT150" s="2">
        <v>5</v>
      </c>
      <c r="CA150" s="2" t="s">
        <v>844</v>
      </c>
      <c r="CB150" s="2" t="s">
        <v>205</v>
      </c>
      <c r="CG150" s="2">
        <v>3000</v>
      </c>
      <c r="CH150" s="2">
        <v>86</v>
      </c>
      <c r="CI150" s="2">
        <v>1664.57</v>
      </c>
      <c r="CJ150" s="2">
        <v>1189</v>
      </c>
      <c r="CK150" s="2">
        <v>30000</v>
      </c>
      <c r="CL150" s="2" t="s">
        <v>95</v>
      </c>
      <c r="CM150" s="2" t="s">
        <v>95</v>
      </c>
      <c r="CN150" s="2" t="s">
        <v>577</v>
      </c>
      <c r="CO150" s="3">
        <v>41928</v>
      </c>
      <c r="CP150" s="3">
        <v>43634</v>
      </c>
    </row>
    <row r="151" spans="1:94" x14ac:dyDescent="0.25">
      <c r="A151" s="2" t="s">
        <v>845</v>
      </c>
      <c r="B151" s="2" t="str">
        <f xml:space="preserve"> "" &amp; 844349016786</f>
        <v>844349016786</v>
      </c>
      <c r="C151" s="2" t="s">
        <v>526</v>
      </c>
      <c r="D151" s="2" t="s">
        <v>834</v>
      </c>
      <c r="E151" s="2" t="s">
        <v>835</v>
      </c>
      <c r="F151" s="2" t="s">
        <v>564</v>
      </c>
      <c r="G151" s="2">
        <v>1</v>
      </c>
      <c r="H151" s="2">
        <v>1</v>
      </c>
      <c r="I151" s="2" t="s">
        <v>94</v>
      </c>
      <c r="J151" s="6">
        <v>75</v>
      </c>
      <c r="K151" s="6">
        <v>225</v>
      </c>
      <c r="L151" s="2">
        <v>0</v>
      </c>
      <c r="N151" s="2">
        <v>0</v>
      </c>
      <c r="O151" s="2" t="s">
        <v>96</v>
      </c>
      <c r="P151" s="6">
        <v>157.94999999999999</v>
      </c>
      <c r="Q151" s="6"/>
      <c r="R151" s="7"/>
      <c r="S151" s="2">
        <v>14</v>
      </c>
      <c r="U151" s="2">
        <v>5</v>
      </c>
      <c r="V151" s="2">
        <v>4</v>
      </c>
      <c r="W151" s="2">
        <v>1.87</v>
      </c>
      <c r="X151" s="2">
        <v>1</v>
      </c>
      <c r="Y151" s="2">
        <v>6.88</v>
      </c>
      <c r="Z151" s="2">
        <v>18.5</v>
      </c>
      <c r="AA151" s="2">
        <v>8.6300000000000008</v>
      </c>
      <c r="AB151" s="2">
        <v>0.63600000000000001</v>
      </c>
      <c r="AC151" s="2">
        <v>2.87</v>
      </c>
      <c r="AE151" s="2">
        <v>1</v>
      </c>
      <c r="AF151" s="2" t="s">
        <v>347</v>
      </c>
      <c r="AG151" s="2">
        <v>20</v>
      </c>
      <c r="AK151" s="2" t="s">
        <v>96</v>
      </c>
      <c r="AM151" s="2" t="s">
        <v>95</v>
      </c>
      <c r="AN151" s="2" t="s">
        <v>96</v>
      </c>
      <c r="AO151" s="2" t="s">
        <v>95</v>
      </c>
      <c r="AP151" s="2" t="s">
        <v>97</v>
      </c>
      <c r="AQ151" s="2" t="s">
        <v>98</v>
      </c>
      <c r="AV151" s="2" t="s">
        <v>95</v>
      </c>
      <c r="AX151" s="2" t="s">
        <v>840</v>
      </c>
      <c r="AZ151" s="2" t="s">
        <v>342</v>
      </c>
      <c r="BC151" s="2" t="s">
        <v>836</v>
      </c>
      <c r="BF151" s="2" t="s">
        <v>846</v>
      </c>
      <c r="BG151" s="2" t="s">
        <v>95</v>
      </c>
      <c r="BH151" s="2" t="s">
        <v>96</v>
      </c>
      <c r="BI151" s="2" t="s">
        <v>95</v>
      </c>
      <c r="BJ151" s="2" t="s">
        <v>96</v>
      </c>
      <c r="BK151" s="2" t="s">
        <v>567</v>
      </c>
      <c r="BM151" s="2">
        <v>5</v>
      </c>
      <c r="BN151" s="2">
        <v>0.75</v>
      </c>
      <c r="CA151" s="2" t="s">
        <v>844</v>
      </c>
      <c r="CB151" s="2" t="s">
        <v>840</v>
      </c>
      <c r="CG151" s="2">
        <v>3000</v>
      </c>
      <c r="CH151" s="2">
        <v>86</v>
      </c>
      <c r="CI151" s="2">
        <v>1664.57</v>
      </c>
      <c r="CJ151" s="2">
        <v>1189</v>
      </c>
      <c r="CK151" s="2">
        <v>30000</v>
      </c>
      <c r="CL151" s="2" t="s">
        <v>95</v>
      </c>
      <c r="CM151" s="2" t="s">
        <v>95</v>
      </c>
      <c r="CN151" s="2" t="s">
        <v>577</v>
      </c>
      <c r="CO151" s="3">
        <v>41928</v>
      </c>
      <c r="CP151" s="3">
        <v>43634</v>
      </c>
    </row>
    <row r="152" spans="1:94" x14ac:dyDescent="0.25">
      <c r="A152" s="2" t="s">
        <v>847</v>
      </c>
      <c r="B152" s="2" t="str">
        <f xml:space="preserve"> "" &amp; 844349017004</f>
        <v>844349017004</v>
      </c>
      <c r="C152" s="2" t="s">
        <v>720</v>
      </c>
      <c r="D152" s="2" t="s">
        <v>848</v>
      </c>
      <c r="E152" s="2" t="s">
        <v>849</v>
      </c>
      <c r="F152" s="2" t="s">
        <v>564</v>
      </c>
      <c r="G152" s="2">
        <v>1</v>
      </c>
      <c r="H152" s="2">
        <v>1</v>
      </c>
      <c r="I152" s="2" t="s">
        <v>94</v>
      </c>
      <c r="J152" s="6">
        <v>69</v>
      </c>
      <c r="K152" s="6">
        <v>207</v>
      </c>
      <c r="L152" s="2">
        <v>0</v>
      </c>
      <c r="N152" s="2">
        <v>0</v>
      </c>
      <c r="O152" s="2" t="s">
        <v>96</v>
      </c>
      <c r="P152" s="6">
        <v>144.94999999999999</v>
      </c>
      <c r="Q152" s="6"/>
      <c r="R152" s="7"/>
      <c r="S152" s="2">
        <v>9</v>
      </c>
      <c r="U152" s="2">
        <v>5.25</v>
      </c>
      <c r="V152" s="2">
        <v>4</v>
      </c>
      <c r="W152" s="2">
        <v>2.4700000000000002</v>
      </c>
      <c r="X152" s="2">
        <v>1</v>
      </c>
      <c r="Y152" s="2">
        <v>7.63</v>
      </c>
      <c r="Z152" s="2">
        <v>13.38</v>
      </c>
      <c r="AA152" s="2">
        <v>8.6300000000000008</v>
      </c>
      <c r="AB152" s="2">
        <v>0.51</v>
      </c>
      <c r="AC152" s="2">
        <v>3.48</v>
      </c>
      <c r="AE152" s="2">
        <v>1</v>
      </c>
      <c r="AF152" s="2" t="s">
        <v>347</v>
      </c>
      <c r="AG152" s="2">
        <v>10</v>
      </c>
      <c r="AK152" s="2" t="s">
        <v>96</v>
      </c>
      <c r="AM152" s="2" t="s">
        <v>95</v>
      </c>
      <c r="AN152" s="2" t="s">
        <v>96</v>
      </c>
      <c r="AO152" s="2" t="s">
        <v>95</v>
      </c>
      <c r="AP152" s="2" t="s">
        <v>97</v>
      </c>
      <c r="AQ152" s="2" t="s">
        <v>98</v>
      </c>
      <c r="AV152" s="2" t="s">
        <v>95</v>
      </c>
      <c r="AX152" s="2" t="s">
        <v>205</v>
      </c>
      <c r="AZ152" s="2" t="s">
        <v>342</v>
      </c>
      <c r="BB152" s="2" t="s">
        <v>329</v>
      </c>
      <c r="BC152" s="2" t="s">
        <v>850</v>
      </c>
      <c r="BF152" s="2" t="s">
        <v>851</v>
      </c>
      <c r="BG152" s="2" t="s">
        <v>95</v>
      </c>
      <c r="BH152" s="2" t="s">
        <v>96</v>
      </c>
      <c r="BI152" s="2" t="s">
        <v>95</v>
      </c>
      <c r="BJ152" s="2" t="s">
        <v>96</v>
      </c>
      <c r="BK152" s="2" t="s">
        <v>567</v>
      </c>
      <c r="BR152" s="2">
        <v>8.8800000000000008</v>
      </c>
      <c r="BT152" s="2">
        <v>4.88</v>
      </c>
      <c r="CA152" s="2" t="s">
        <v>852</v>
      </c>
      <c r="CB152" s="2" t="s">
        <v>205</v>
      </c>
      <c r="CG152" s="2">
        <v>3000</v>
      </c>
      <c r="CH152" s="2">
        <v>83</v>
      </c>
      <c r="CI152" s="2">
        <v>1059.49</v>
      </c>
      <c r="CJ152" s="2">
        <v>360</v>
      </c>
      <c r="CK152" s="2">
        <v>30000</v>
      </c>
      <c r="CL152" s="2" t="s">
        <v>95</v>
      </c>
      <c r="CM152" s="2" t="s">
        <v>95</v>
      </c>
      <c r="CN152" s="2" t="s">
        <v>853</v>
      </c>
      <c r="CO152" s="3">
        <v>41926</v>
      </c>
      <c r="CP152" s="3">
        <v>43634</v>
      </c>
    </row>
    <row r="153" spans="1:94" x14ac:dyDescent="0.25">
      <c r="A153" s="2" t="s">
        <v>854</v>
      </c>
      <c r="B153" s="2" t="str">
        <f xml:space="preserve"> "" &amp; 844349016793</f>
        <v>844349016793</v>
      </c>
      <c r="C153" s="2" t="s">
        <v>720</v>
      </c>
      <c r="D153" s="2" t="s">
        <v>848</v>
      </c>
      <c r="E153" s="2" t="s">
        <v>849</v>
      </c>
      <c r="F153" s="2" t="s">
        <v>564</v>
      </c>
      <c r="G153" s="2">
        <v>1</v>
      </c>
      <c r="H153" s="2">
        <v>1</v>
      </c>
      <c r="I153" s="2" t="s">
        <v>94</v>
      </c>
      <c r="J153" s="6">
        <v>69</v>
      </c>
      <c r="K153" s="6">
        <v>207</v>
      </c>
      <c r="L153" s="2">
        <v>0</v>
      </c>
      <c r="N153" s="2">
        <v>0</v>
      </c>
      <c r="O153" s="2" t="s">
        <v>96</v>
      </c>
      <c r="P153" s="6">
        <v>144.94999999999999</v>
      </c>
      <c r="Q153" s="6"/>
      <c r="R153" s="7"/>
      <c r="S153" s="2">
        <v>9</v>
      </c>
      <c r="U153" s="2">
        <v>5.25</v>
      </c>
      <c r="V153" s="2">
        <v>4</v>
      </c>
      <c r="W153" s="2">
        <v>2.4300000000000002</v>
      </c>
      <c r="X153" s="2">
        <v>1</v>
      </c>
      <c r="Y153" s="2">
        <v>7.63</v>
      </c>
      <c r="Z153" s="2">
        <v>13.38</v>
      </c>
      <c r="AA153" s="2">
        <v>8.6300000000000008</v>
      </c>
      <c r="AB153" s="2">
        <v>0.51</v>
      </c>
      <c r="AC153" s="2">
        <v>3.48</v>
      </c>
      <c r="AE153" s="2">
        <v>1</v>
      </c>
      <c r="AF153" s="2" t="s">
        <v>347</v>
      </c>
      <c r="AG153" s="2">
        <v>10</v>
      </c>
      <c r="AK153" s="2" t="s">
        <v>96</v>
      </c>
      <c r="AM153" s="2" t="s">
        <v>95</v>
      </c>
      <c r="AN153" s="2" t="s">
        <v>96</v>
      </c>
      <c r="AO153" s="2" t="s">
        <v>95</v>
      </c>
      <c r="AP153" s="2" t="s">
        <v>97</v>
      </c>
      <c r="AQ153" s="2" t="s">
        <v>98</v>
      </c>
      <c r="AV153" s="2" t="s">
        <v>95</v>
      </c>
      <c r="AX153" s="2" t="s">
        <v>816</v>
      </c>
      <c r="AZ153" s="2" t="s">
        <v>342</v>
      </c>
      <c r="BB153" s="2" t="s">
        <v>329</v>
      </c>
      <c r="BC153" s="2" t="s">
        <v>565</v>
      </c>
      <c r="BF153" s="2" t="s">
        <v>855</v>
      </c>
      <c r="BG153" s="2" t="s">
        <v>95</v>
      </c>
      <c r="BH153" s="2" t="s">
        <v>96</v>
      </c>
      <c r="BI153" s="2" t="s">
        <v>95</v>
      </c>
      <c r="BJ153" s="2" t="s">
        <v>96</v>
      </c>
      <c r="BK153" s="2" t="s">
        <v>567</v>
      </c>
      <c r="BR153" s="2">
        <v>8.8800000000000008</v>
      </c>
      <c r="BT153" s="2">
        <v>4.88</v>
      </c>
      <c r="CA153" s="2" t="s">
        <v>852</v>
      </c>
      <c r="CB153" s="2" t="s">
        <v>816</v>
      </c>
      <c r="CG153" s="2">
        <v>3000</v>
      </c>
      <c r="CH153" s="2">
        <v>83</v>
      </c>
      <c r="CI153" s="2">
        <v>1059.49</v>
      </c>
      <c r="CJ153" s="2">
        <v>360</v>
      </c>
      <c r="CK153" s="2">
        <v>30000</v>
      </c>
      <c r="CL153" s="2" t="s">
        <v>95</v>
      </c>
      <c r="CM153" s="2" t="s">
        <v>95</v>
      </c>
      <c r="CN153" s="2" t="s">
        <v>577</v>
      </c>
      <c r="CO153" s="3">
        <v>41926</v>
      </c>
      <c r="CP153" s="3">
        <v>43634</v>
      </c>
    </row>
    <row r="154" spans="1:94" x14ac:dyDescent="0.25">
      <c r="A154" s="2" t="s">
        <v>856</v>
      </c>
      <c r="B154" s="2" t="str">
        <f xml:space="preserve"> "" &amp; 844349017028</f>
        <v>844349017028</v>
      </c>
      <c r="C154" s="2" t="s">
        <v>720</v>
      </c>
      <c r="D154" s="2" t="s">
        <v>848</v>
      </c>
      <c r="E154" s="2" t="s">
        <v>849</v>
      </c>
      <c r="F154" s="2" t="s">
        <v>564</v>
      </c>
      <c r="G154" s="2">
        <v>1</v>
      </c>
      <c r="H154" s="2">
        <v>1</v>
      </c>
      <c r="I154" s="2" t="s">
        <v>94</v>
      </c>
      <c r="J154" s="6">
        <v>85</v>
      </c>
      <c r="K154" s="6">
        <v>255</v>
      </c>
      <c r="L154" s="2">
        <v>0</v>
      </c>
      <c r="N154" s="2">
        <v>0</v>
      </c>
      <c r="O154" s="2" t="s">
        <v>96</v>
      </c>
      <c r="P154" s="6">
        <v>178.95</v>
      </c>
      <c r="Q154" s="6"/>
      <c r="R154" s="7"/>
      <c r="S154" s="2">
        <v>15</v>
      </c>
      <c r="U154" s="2">
        <v>5.25</v>
      </c>
      <c r="V154" s="2">
        <v>4</v>
      </c>
      <c r="W154" s="2">
        <v>4.2300000000000004</v>
      </c>
      <c r="X154" s="2">
        <v>1</v>
      </c>
      <c r="Y154" s="2">
        <v>7.63</v>
      </c>
      <c r="Z154" s="2">
        <v>19.25</v>
      </c>
      <c r="AA154" s="2">
        <v>8.6300000000000008</v>
      </c>
      <c r="AB154" s="2">
        <v>0.73399999999999999</v>
      </c>
      <c r="AC154" s="2">
        <v>5.56</v>
      </c>
      <c r="AE154" s="2">
        <v>1</v>
      </c>
      <c r="AF154" s="2" t="s">
        <v>347</v>
      </c>
      <c r="AG154" s="2">
        <v>15</v>
      </c>
      <c r="AK154" s="2" t="s">
        <v>96</v>
      </c>
      <c r="AM154" s="2" t="s">
        <v>95</v>
      </c>
      <c r="AN154" s="2" t="s">
        <v>96</v>
      </c>
      <c r="AO154" s="2" t="s">
        <v>95</v>
      </c>
      <c r="AP154" s="2" t="s">
        <v>97</v>
      </c>
      <c r="AQ154" s="2" t="s">
        <v>98</v>
      </c>
      <c r="AV154" s="2" t="s">
        <v>95</v>
      </c>
      <c r="AX154" s="2" t="s">
        <v>205</v>
      </c>
      <c r="AZ154" s="2" t="s">
        <v>342</v>
      </c>
      <c r="BB154" s="2" t="s">
        <v>329</v>
      </c>
      <c r="BC154" s="2" t="s">
        <v>850</v>
      </c>
      <c r="BF154" s="2" t="s">
        <v>857</v>
      </c>
      <c r="BG154" s="2" t="s">
        <v>95</v>
      </c>
      <c r="BH154" s="2" t="s">
        <v>96</v>
      </c>
      <c r="BI154" s="2" t="s">
        <v>95</v>
      </c>
      <c r="BJ154" s="2" t="s">
        <v>96</v>
      </c>
      <c r="BK154" s="2" t="s">
        <v>567</v>
      </c>
      <c r="BR154" s="2">
        <v>14.75</v>
      </c>
      <c r="BT154" s="2">
        <v>4.88</v>
      </c>
      <c r="CA154" s="2" t="s">
        <v>858</v>
      </c>
      <c r="CB154" s="2" t="s">
        <v>205</v>
      </c>
      <c r="CG154" s="2">
        <v>3000</v>
      </c>
      <c r="CH154" s="2">
        <v>84</v>
      </c>
      <c r="CI154" s="2">
        <v>1574.83</v>
      </c>
      <c r="CJ154" s="2">
        <v>645</v>
      </c>
      <c r="CK154" s="2">
        <v>30000</v>
      </c>
      <c r="CL154" s="2" t="s">
        <v>95</v>
      </c>
      <c r="CM154" s="2" t="s">
        <v>95</v>
      </c>
      <c r="CN154" s="2" t="s">
        <v>577</v>
      </c>
      <c r="CO154" s="3">
        <v>41926</v>
      </c>
      <c r="CP154" s="3">
        <v>43634</v>
      </c>
    </row>
    <row r="155" spans="1:94" x14ac:dyDescent="0.25">
      <c r="A155" s="2" t="s">
        <v>859</v>
      </c>
      <c r="B155" s="2" t="str">
        <f xml:space="preserve"> "" &amp; 844349017011</f>
        <v>844349017011</v>
      </c>
      <c r="C155" s="2" t="s">
        <v>720</v>
      </c>
      <c r="D155" s="2" t="s">
        <v>848</v>
      </c>
      <c r="E155" s="2" t="s">
        <v>849</v>
      </c>
      <c r="F155" s="2" t="s">
        <v>564</v>
      </c>
      <c r="G155" s="2">
        <v>1</v>
      </c>
      <c r="H155" s="2">
        <v>1</v>
      </c>
      <c r="I155" s="2" t="s">
        <v>94</v>
      </c>
      <c r="J155" s="6">
        <v>92</v>
      </c>
      <c r="K155" s="6">
        <v>276</v>
      </c>
      <c r="L155" s="2">
        <v>0</v>
      </c>
      <c r="N155" s="2">
        <v>0</v>
      </c>
      <c r="O155" s="2" t="s">
        <v>96</v>
      </c>
      <c r="P155" s="6">
        <v>192.95</v>
      </c>
      <c r="Q155" s="6"/>
      <c r="R155" s="7"/>
      <c r="S155" s="2">
        <v>15</v>
      </c>
      <c r="U155" s="2">
        <v>5.25</v>
      </c>
      <c r="V155" s="2">
        <v>4</v>
      </c>
      <c r="W155" s="2">
        <v>4.2300000000000004</v>
      </c>
      <c r="X155" s="2">
        <v>1</v>
      </c>
      <c r="Y155" s="2">
        <v>7.63</v>
      </c>
      <c r="Z155" s="2">
        <v>19.25</v>
      </c>
      <c r="AA155" s="2">
        <v>8.6300000000000008</v>
      </c>
      <c r="AB155" s="2">
        <v>0.73399999999999999</v>
      </c>
      <c r="AC155" s="2">
        <v>2.5099999999999998</v>
      </c>
      <c r="AE155" s="2">
        <v>1</v>
      </c>
      <c r="AF155" s="2" t="s">
        <v>347</v>
      </c>
      <c r="AG155" s="2">
        <v>15</v>
      </c>
      <c r="AK155" s="2" t="s">
        <v>96</v>
      </c>
      <c r="AM155" s="2" t="s">
        <v>95</v>
      </c>
      <c r="AN155" s="2" t="s">
        <v>96</v>
      </c>
      <c r="AO155" s="2" t="s">
        <v>95</v>
      </c>
      <c r="AP155" s="2" t="s">
        <v>97</v>
      </c>
      <c r="AQ155" s="2" t="s">
        <v>98</v>
      </c>
      <c r="AV155" s="2" t="s">
        <v>95</v>
      </c>
      <c r="AX155" s="2" t="s">
        <v>816</v>
      </c>
      <c r="AZ155" s="2" t="s">
        <v>342</v>
      </c>
      <c r="BB155" s="2" t="s">
        <v>329</v>
      </c>
      <c r="BC155" s="2" t="s">
        <v>565</v>
      </c>
      <c r="BF155" s="2" t="s">
        <v>860</v>
      </c>
      <c r="BG155" s="2" t="s">
        <v>95</v>
      </c>
      <c r="BH155" s="2" t="s">
        <v>96</v>
      </c>
      <c r="BI155" s="2" t="s">
        <v>95</v>
      </c>
      <c r="BJ155" s="2" t="s">
        <v>96</v>
      </c>
      <c r="BK155" s="2" t="s">
        <v>567</v>
      </c>
      <c r="BR155" s="2">
        <v>14.75</v>
      </c>
      <c r="BT155" s="2">
        <v>4.88</v>
      </c>
      <c r="CA155" s="2" t="s">
        <v>858</v>
      </c>
      <c r="CB155" s="2" t="s">
        <v>816</v>
      </c>
      <c r="CG155" s="2">
        <v>3000</v>
      </c>
      <c r="CH155" s="2">
        <v>84</v>
      </c>
      <c r="CI155" s="2">
        <v>1574.83</v>
      </c>
      <c r="CJ155" s="2">
        <v>645</v>
      </c>
      <c r="CK155" s="2">
        <v>30000</v>
      </c>
      <c r="CL155" s="2" t="s">
        <v>95</v>
      </c>
      <c r="CM155" s="2" t="s">
        <v>95</v>
      </c>
      <c r="CN155" s="2" t="s">
        <v>577</v>
      </c>
      <c r="CO155" s="3">
        <v>41926</v>
      </c>
      <c r="CP155" s="3">
        <v>43634</v>
      </c>
    </row>
    <row r="156" spans="1:94" x14ac:dyDescent="0.25">
      <c r="A156" s="2" t="s">
        <v>861</v>
      </c>
      <c r="B156" s="2" t="str">
        <f xml:space="preserve"> "" &amp; 844349017035</f>
        <v>844349017035</v>
      </c>
      <c r="C156" s="2" t="s">
        <v>720</v>
      </c>
      <c r="D156" s="2" t="s">
        <v>862</v>
      </c>
      <c r="E156" s="2" t="s">
        <v>863</v>
      </c>
      <c r="F156" s="2" t="s">
        <v>564</v>
      </c>
      <c r="G156" s="2">
        <v>1</v>
      </c>
      <c r="H156" s="2">
        <v>1</v>
      </c>
      <c r="I156" s="2" t="s">
        <v>94</v>
      </c>
      <c r="J156" s="6">
        <v>79</v>
      </c>
      <c r="K156" s="6">
        <v>237</v>
      </c>
      <c r="L156" s="2">
        <v>0</v>
      </c>
      <c r="N156" s="2">
        <v>0</v>
      </c>
      <c r="O156" s="2" t="s">
        <v>96</v>
      </c>
      <c r="P156" s="6">
        <v>164.95</v>
      </c>
      <c r="Q156" s="6"/>
      <c r="R156" s="7"/>
      <c r="S156" s="2">
        <v>9.5</v>
      </c>
      <c r="U156" s="2">
        <v>5</v>
      </c>
      <c r="V156" s="2">
        <v>3</v>
      </c>
      <c r="W156" s="2">
        <v>2.6</v>
      </c>
      <c r="X156" s="2">
        <v>1</v>
      </c>
      <c r="Y156" s="2">
        <v>6.88</v>
      </c>
      <c r="Z156" s="2">
        <v>12.25</v>
      </c>
      <c r="AA156" s="2">
        <v>8.6300000000000008</v>
      </c>
      <c r="AB156" s="2">
        <v>0.42099999999999999</v>
      </c>
      <c r="AC156" s="2">
        <v>3.35</v>
      </c>
      <c r="AE156" s="2">
        <v>1</v>
      </c>
      <c r="AF156" s="2" t="s">
        <v>864</v>
      </c>
      <c r="AG156" s="2">
        <v>15</v>
      </c>
      <c r="AK156" s="2" t="s">
        <v>96</v>
      </c>
      <c r="AM156" s="2" t="s">
        <v>95</v>
      </c>
      <c r="AN156" s="2" t="s">
        <v>96</v>
      </c>
      <c r="AO156" s="2" t="s">
        <v>95</v>
      </c>
      <c r="AP156" s="2" t="s">
        <v>97</v>
      </c>
      <c r="AQ156" s="2" t="s">
        <v>98</v>
      </c>
      <c r="AV156" s="2" t="s">
        <v>95</v>
      </c>
      <c r="AX156" s="2" t="s">
        <v>602</v>
      </c>
      <c r="AZ156" s="2" t="s">
        <v>342</v>
      </c>
      <c r="BB156" s="2" t="s">
        <v>329</v>
      </c>
      <c r="BC156" s="2" t="s">
        <v>865</v>
      </c>
      <c r="BF156" s="2" t="s">
        <v>866</v>
      </c>
      <c r="BG156" s="2" t="s">
        <v>95</v>
      </c>
      <c r="BH156" s="2" t="s">
        <v>96</v>
      </c>
      <c r="BI156" s="2" t="s">
        <v>95</v>
      </c>
      <c r="BJ156" s="2" t="s">
        <v>96</v>
      </c>
      <c r="BK156" s="2" t="s">
        <v>567</v>
      </c>
      <c r="BR156" s="2">
        <v>9.1300000000000008</v>
      </c>
      <c r="BT156" s="2">
        <v>4.63</v>
      </c>
      <c r="CA156" s="2" t="s">
        <v>867</v>
      </c>
      <c r="CB156" s="2" t="s">
        <v>602</v>
      </c>
      <c r="CG156" s="2">
        <v>3000</v>
      </c>
      <c r="CH156" s="2">
        <v>84</v>
      </c>
      <c r="CI156" s="2">
        <v>1358.21</v>
      </c>
      <c r="CJ156" s="2">
        <v>419</v>
      </c>
      <c r="CK156" s="2">
        <v>30000</v>
      </c>
      <c r="CL156" s="2" t="s">
        <v>95</v>
      </c>
      <c r="CM156" s="2" t="s">
        <v>95</v>
      </c>
      <c r="CN156" s="2" t="s">
        <v>577</v>
      </c>
      <c r="CO156" s="3">
        <v>41926</v>
      </c>
      <c r="CP156" s="3">
        <v>43634</v>
      </c>
    </row>
    <row r="157" spans="1:94" x14ac:dyDescent="0.25">
      <c r="A157" s="2" t="s">
        <v>868</v>
      </c>
      <c r="B157" s="2" t="str">
        <f xml:space="preserve"> "" &amp; 844349017042</f>
        <v>844349017042</v>
      </c>
      <c r="C157" s="2" t="s">
        <v>720</v>
      </c>
      <c r="D157" s="2" t="s">
        <v>862</v>
      </c>
      <c r="E157" s="2" t="s">
        <v>863</v>
      </c>
      <c r="F157" s="2" t="s">
        <v>564</v>
      </c>
      <c r="G157" s="2">
        <v>1</v>
      </c>
      <c r="H157" s="2">
        <v>1</v>
      </c>
      <c r="I157" s="2" t="s">
        <v>94</v>
      </c>
      <c r="J157" s="6">
        <v>99</v>
      </c>
      <c r="K157" s="6">
        <v>297</v>
      </c>
      <c r="L157" s="2">
        <v>0</v>
      </c>
      <c r="N157" s="2">
        <v>0</v>
      </c>
      <c r="O157" s="2" t="s">
        <v>96</v>
      </c>
      <c r="P157" s="6">
        <v>207.95</v>
      </c>
      <c r="Q157" s="6"/>
      <c r="R157" s="7"/>
      <c r="S157" s="2">
        <v>13</v>
      </c>
      <c r="U157" s="2">
        <v>5</v>
      </c>
      <c r="V157" s="2">
        <v>3</v>
      </c>
      <c r="W157" s="2">
        <v>3.53</v>
      </c>
      <c r="X157" s="2">
        <v>1</v>
      </c>
      <c r="Y157" s="2">
        <v>6.88</v>
      </c>
      <c r="Z157" s="2">
        <v>17.25</v>
      </c>
      <c r="AA157" s="2">
        <v>8.6300000000000008</v>
      </c>
      <c r="AB157" s="2">
        <v>0.59299999999999997</v>
      </c>
      <c r="AC157" s="2">
        <v>4.41</v>
      </c>
      <c r="AE157" s="2">
        <v>1</v>
      </c>
      <c r="AF157" s="2" t="s">
        <v>869</v>
      </c>
      <c r="AG157" s="2">
        <v>25</v>
      </c>
      <c r="AK157" s="2" t="s">
        <v>96</v>
      </c>
      <c r="AM157" s="2" t="s">
        <v>95</v>
      </c>
      <c r="AN157" s="2" t="s">
        <v>96</v>
      </c>
      <c r="AO157" s="2" t="s">
        <v>95</v>
      </c>
      <c r="AP157" s="2" t="s">
        <v>97</v>
      </c>
      <c r="AQ157" s="2" t="s">
        <v>98</v>
      </c>
      <c r="AV157" s="2" t="s">
        <v>95</v>
      </c>
      <c r="AX157" s="2" t="s">
        <v>602</v>
      </c>
      <c r="AZ157" s="2" t="s">
        <v>342</v>
      </c>
      <c r="BB157" s="2" t="s">
        <v>329</v>
      </c>
      <c r="BC157" s="2" t="s">
        <v>565</v>
      </c>
      <c r="BF157" s="2" t="s">
        <v>870</v>
      </c>
      <c r="BG157" s="2" t="s">
        <v>95</v>
      </c>
      <c r="BH157" s="2" t="s">
        <v>96</v>
      </c>
      <c r="BI157" s="2" t="s">
        <v>95</v>
      </c>
      <c r="BJ157" s="2" t="s">
        <v>96</v>
      </c>
      <c r="BK157" s="2" t="s">
        <v>567</v>
      </c>
      <c r="BR157" s="2">
        <v>12.63</v>
      </c>
      <c r="BT157" s="2">
        <v>4.63</v>
      </c>
      <c r="CA157" s="2" t="s">
        <v>871</v>
      </c>
      <c r="CB157" s="2" t="s">
        <v>602</v>
      </c>
      <c r="CG157" s="2">
        <v>3000</v>
      </c>
      <c r="CH157" s="2">
        <v>83</v>
      </c>
      <c r="CI157" s="2">
        <v>2233.5700000000002</v>
      </c>
      <c r="CJ157" s="2">
        <v>559</v>
      </c>
      <c r="CK157" s="2">
        <v>30000</v>
      </c>
      <c r="CL157" s="2" t="s">
        <v>95</v>
      </c>
      <c r="CM157" s="2" t="s">
        <v>95</v>
      </c>
      <c r="CN157" s="2" t="s">
        <v>577</v>
      </c>
      <c r="CO157" s="3">
        <v>41926</v>
      </c>
      <c r="CP157" s="3">
        <v>43634</v>
      </c>
    </row>
    <row r="158" spans="1:94" x14ac:dyDescent="0.25">
      <c r="A158" s="2" t="s">
        <v>872</v>
      </c>
      <c r="B158" s="2" t="str">
        <f xml:space="preserve"> "" &amp; 844349017066</f>
        <v>844349017066</v>
      </c>
      <c r="C158" s="2" t="s">
        <v>873</v>
      </c>
      <c r="D158" s="2" t="s">
        <v>874</v>
      </c>
      <c r="E158" s="2" t="s">
        <v>875</v>
      </c>
      <c r="F158" s="2" t="s">
        <v>564</v>
      </c>
      <c r="G158" s="2">
        <v>1</v>
      </c>
      <c r="H158" s="2">
        <v>1</v>
      </c>
      <c r="I158" s="2" t="s">
        <v>94</v>
      </c>
      <c r="J158" s="6">
        <v>60</v>
      </c>
      <c r="K158" s="6">
        <v>180</v>
      </c>
      <c r="L158" s="2">
        <v>0</v>
      </c>
      <c r="N158" s="2">
        <v>0</v>
      </c>
      <c r="O158" s="2" t="s">
        <v>96</v>
      </c>
      <c r="P158" s="6">
        <v>125.95</v>
      </c>
      <c r="Q158" s="6"/>
      <c r="R158" s="7"/>
      <c r="S158" s="2">
        <v>5</v>
      </c>
      <c r="T158" s="2">
        <v>5</v>
      </c>
      <c r="U158" s="2">
        <v>5</v>
      </c>
      <c r="V158" s="2">
        <v>3</v>
      </c>
      <c r="W158" s="2">
        <v>2.87</v>
      </c>
      <c r="X158" s="2">
        <v>1</v>
      </c>
      <c r="Y158" s="2">
        <v>5.75</v>
      </c>
      <c r="Z158" s="2">
        <v>5.25</v>
      </c>
      <c r="AA158" s="2">
        <v>5.25</v>
      </c>
      <c r="AB158" s="2">
        <v>9.1999999999999998E-2</v>
      </c>
      <c r="AC158" s="2">
        <v>3.09</v>
      </c>
      <c r="AE158" s="2">
        <v>1</v>
      </c>
      <c r="AF158" s="2" t="s">
        <v>876</v>
      </c>
      <c r="AG158" s="2">
        <v>8</v>
      </c>
      <c r="AK158" s="2" t="s">
        <v>96</v>
      </c>
      <c r="AM158" s="2" t="s">
        <v>95</v>
      </c>
      <c r="AN158" s="2" t="s">
        <v>96</v>
      </c>
      <c r="AO158" s="2" t="s">
        <v>95</v>
      </c>
      <c r="AP158" s="2" t="s">
        <v>97</v>
      </c>
      <c r="AQ158" s="2" t="s">
        <v>98</v>
      </c>
      <c r="AV158" s="2" t="s">
        <v>95</v>
      </c>
      <c r="AX158" s="2" t="s">
        <v>581</v>
      </c>
      <c r="AZ158" s="2" t="s">
        <v>342</v>
      </c>
      <c r="BB158" s="2" t="s">
        <v>329</v>
      </c>
      <c r="BC158" s="2" t="s">
        <v>451</v>
      </c>
      <c r="BF158" s="2" t="s">
        <v>877</v>
      </c>
      <c r="BG158" s="2" t="s">
        <v>95</v>
      </c>
      <c r="BH158" s="2" t="s">
        <v>96</v>
      </c>
      <c r="BI158" s="2" t="s">
        <v>95</v>
      </c>
      <c r="BJ158" s="2" t="s">
        <v>96</v>
      </c>
      <c r="BK158" s="2" t="s">
        <v>567</v>
      </c>
      <c r="BL158" s="2" t="s">
        <v>878</v>
      </c>
      <c r="BM158" s="2">
        <v>5</v>
      </c>
      <c r="BN158" s="2">
        <v>1.5</v>
      </c>
      <c r="BO158" s="2">
        <v>5</v>
      </c>
      <c r="BP158" s="2">
        <v>5</v>
      </c>
      <c r="CA158" s="2" t="s">
        <v>879</v>
      </c>
      <c r="CB158" s="2" t="s">
        <v>581</v>
      </c>
      <c r="CG158" s="2">
        <v>3000</v>
      </c>
      <c r="CH158" s="2">
        <v>91</v>
      </c>
      <c r="CI158" s="2">
        <v>540.9</v>
      </c>
      <c r="CJ158" s="2">
        <v>264.3</v>
      </c>
      <c r="CK158" s="2">
        <v>30000</v>
      </c>
      <c r="CL158" s="2" t="s">
        <v>96</v>
      </c>
      <c r="CM158" s="2" t="s">
        <v>95</v>
      </c>
      <c r="CN158" s="2" t="s">
        <v>880</v>
      </c>
      <c r="CO158" s="3">
        <v>41899</v>
      </c>
      <c r="CP158" s="3">
        <v>43634</v>
      </c>
    </row>
    <row r="159" spans="1:94" x14ac:dyDescent="0.25">
      <c r="A159" s="2" t="s">
        <v>881</v>
      </c>
      <c r="B159" s="2" t="str">
        <f xml:space="preserve"> "" &amp; 844349017059</f>
        <v>844349017059</v>
      </c>
      <c r="C159" s="2" t="s">
        <v>873</v>
      </c>
      <c r="D159" s="2" t="s">
        <v>874</v>
      </c>
      <c r="E159" s="2" t="s">
        <v>875</v>
      </c>
      <c r="F159" s="2" t="s">
        <v>564</v>
      </c>
      <c r="G159" s="2">
        <v>1</v>
      </c>
      <c r="H159" s="2">
        <v>1</v>
      </c>
      <c r="I159" s="2" t="s">
        <v>94</v>
      </c>
      <c r="J159" s="6">
        <v>60</v>
      </c>
      <c r="K159" s="6">
        <v>180</v>
      </c>
      <c r="L159" s="2">
        <v>0</v>
      </c>
      <c r="N159" s="2">
        <v>0</v>
      </c>
      <c r="O159" s="2" t="s">
        <v>96</v>
      </c>
      <c r="P159" s="6">
        <v>125.95</v>
      </c>
      <c r="Q159" s="6"/>
      <c r="R159" s="7"/>
      <c r="S159" s="2">
        <v>5</v>
      </c>
      <c r="T159" s="2">
        <v>5</v>
      </c>
      <c r="U159" s="2">
        <v>5</v>
      </c>
      <c r="V159" s="2">
        <v>3</v>
      </c>
      <c r="W159" s="2">
        <v>2.87</v>
      </c>
      <c r="X159" s="2">
        <v>1</v>
      </c>
      <c r="Y159" s="2">
        <v>5.75</v>
      </c>
      <c r="Z159" s="2">
        <v>5.25</v>
      </c>
      <c r="AA159" s="2">
        <v>5.25</v>
      </c>
      <c r="AB159" s="2">
        <v>9.1999999999999998E-2</v>
      </c>
      <c r="AC159" s="2">
        <v>3.09</v>
      </c>
      <c r="AE159" s="2">
        <v>1</v>
      </c>
      <c r="AF159" s="2" t="s">
        <v>882</v>
      </c>
      <c r="AG159" s="2">
        <v>8</v>
      </c>
      <c r="AK159" s="2" t="s">
        <v>96</v>
      </c>
      <c r="AM159" s="2" t="s">
        <v>95</v>
      </c>
      <c r="AN159" s="2" t="s">
        <v>96</v>
      </c>
      <c r="AO159" s="2" t="s">
        <v>95</v>
      </c>
      <c r="AP159" s="2" t="s">
        <v>97</v>
      </c>
      <c r="AQ159" s="2" t="s">
        <v>98</v>
      </c>
      <c r="AV159" s="2" t="s">
        <v>95</v>
      </c>
      <c r="AX159" s="2" t="s">
        <v>883</v>
      </c>
      <c r="AZ159" s="2" t="s">
        <v>342</v>
      </c>
      <c r="BB159" s="2" t="s">
        <v>329</v>
      </c>
      <c r="BC159" s="2" t="s">
        <v>451</v>
      </c>
      <c r="BF159" s="2" t="s">
        <v>884</v>
      </c>
      <c r="BG159" s="2" t="s">
        <v>95</v>
      </c>
      <c r="BH159" s="2" t="s">
        <v>96</v>
      </c>
      <c r="BI159" s="2" t="s">
        <v>95</v>
      </c>
      <c r="BJ159" s="2" t="s">
        <v>96</v>
      </c>
      <c r="BK159" s="2" t="s">
        <v>567</v>
      </c>
      <c r="BL159" s="2" t="s">
        <v>878</v>
      </c>
      <c r="BM159" s="2">
        <v>5</v>
      </c>
      <c r="BN159" s="2">
        <v>1.5</v>
      </c>
      <c r="BO159" s="2">
        <v>5</v>
      </c>
      <c r="BP159" s="2">
        <v>5</v>
      </c>
      <c r="CA159" s="2" t="s">
        <v>879</v>
      </c>
      <c r="CB159" s="2" t="s">
        <v>883</v>
      </c>
      <c r="CG159" s="2">
        <v>3000</v>
      </c>
      <c r="CH159" s="2">
        <v>94</v>
      </c>
      <c r="CI159" s="2">
        <v>496</v>
      </c>
      <c r="CJ159" s="2">
        <v>252</v>
      </c>
      <c r="CK159" s="2">
        <v>30000</v>
      </c>
      <c r="CL159" s="2" t="s">
        <v>96</v>
      </c>
      <c r="CM159" s="2" t="s">
        <v>95</v>
      </c>
      <c r="CN159" s="2" t="s">
        <v>880</v>
      </c>
      <c r="CO159" s="3">
        <v>41899</v>
      </c>
      <c r="CP159" s="3">
        <v>43634</v>
      </c>
    </row>
    <row r="160" spans="1:94" x14ac:dyDescent="0.25">
      <c r="A160" s="2" t="s">
        <v>885</v>
      </c>
      <c r="B160" s="2" t="str">
        <f xml:space="preserve"> "" &amp; 844349017073</f>
        <v>844349017073</v>
      </c>
      <c r="C160" s="2" t="s">
        <v>720</v>
      </c>
      <c r="D160" s="2" t="s">
        <v>886</v>
      </c>
      <c r="E160" s="2" t="s">
        <v>887</v>
      </c>
      <c r="F160" s="2" t="s">
        <v>564</v>
      </c>
      <c r="G160" s="2">
        <v>1</v>
      </c>
      <c r="H160" s="2">
        <v>1</v>
      </c>
      <c r="I160" s="2" t="s">
        <v>94</v>
      </c>
      <c r="J160" s="6">
        <v>85</v>
      </c>
      <c r="K160" s="6">
        <v>255</v>
      </c>
      <c r="L160" s="2">
        <v>0</v>
      </c>
      <c r="N160" s="2">
        <v>0</v>
      </c>
      <c r="O160" s="2" t="s">
        <v>96</v>
      </c>
      <c r="P160" s="6">
        <v>187.95</v>
      </c>
      <c r="Q160" s="6"/>
      <c r="R160" s="7"/>
      <c r="S160" s="2">
        <v>9.25</v>
      </c>
      <c r="U160" s="2">
        <v>5.5</v>
      </c>
      <c r="V160" s="2">
        <v>3.25</v>
      </c>
      <c r="W160" s="2">
        <v>3.02</v>
      </c>
      <c r="X160" s="2">
        <v>1</v>
      </c>
      <c r="Y160" s="2">
        <v>6.25</v>
      </c>
      <c r="Z160" s="2">
        <v>12.25</v>
      </c>
      <c r="AA160" s="2">
        <v>8.625</v>
      </c>
      <c r="AB160" s="2">
        <v>0.38200000000000001</v>
      </c>
      <c r="AC160" s="2">
        <v>3.66</v>
      </c>
      <c r="AE160" s="2">
        <v>1</v>
      </c>
      <c r="AF160" s="2" t="s">
        <v>888</v>
      </c>
      <c r="AG160" s="2">
        <v>14</v>
      </c>
      <c r="AK160" s="2" t="s">
        <v>96</v>
      </c>
      <c r="AM160" s="2" t="s">
        <v>95</v>
      </c>
      <c r="AN160" s="2" t="s">
        <v>96</v>
      </c>
      <c r="AO160" s="2" t="s">
        <v>95</v>
      </c>
      <c r="AP160" s="2" t="s">
        <v>97</v>
      </c>
      <c r="AQ160" s="2" t="s">
        <v>98</v>
      </c>
      <c r="AV160" s="2" t="s">
        <v>95</v>
      </c>
      <c r="AX160" s="2" t="s">
        <v>592</v>
      </c>
      <c r="AZ160" s="2" t="s">
        <v>342</v>
      </c>
      <c r="BB160" s="2" t="s">
        <v>329</v>
      </c>
      <c r="BC160" s="2" t="s">
        <v>865</v>
      </c>
      <c r="BF160" s="2" t="s">
        <v>889</v>
      </c>
      <c r="BG160" s="2" t="s">
        <v>95</v>
      </c>
      <c r="BH160" s="2" t="s">
        <v>96</v>
      </c>
      <c r="BI160" s="2" t="s">
        <v>95</v>
      </c>
      <c r="BJ160" s="2" t="s">
        <v>96</v>
      </c>
      <c r="BK160" s="2" t="s">
        <v>567</v>
      </c>
      <c r="BR160" s="2">
        <v>9.1300000000000008</v>
      </c>
      <c r="BT160" s="2">
        <v>5.13</v>
      </c>
      <c r="CA160" s="2" t="s">
        <v>890</v>
      </c>
      <c r="CB160" s="2" t="s">
        <v>592</v>
      </c>
      <c r="CG160" s="2">
        <v>3000</v>
      </c>
      <c r="CH160" s="2">
        <v>84</v>
      </c>
      <c r="CI160" s="2">
        <v>1195.57</v>
      </c>
      <c r="CJ160" s="2">
        <v>247</v>
      </c>
      <c r="CK160" s="2">
        <v>30000</v>
      </c>
      <c r="CL160" s="2" t="s">
        <v>95</v>
      </c>
      <c r="CM160" s="2" t="s">
        <v>95</v>
      </c>
      <c r="CN160" s="2" t="s">
        <v>577</v>
      </c>
      <c r="CO160" s="3">
        <v>41909</v>
      </c>
      <c r="CP160" s="3">
        <v>43634</v>
      </c>
    </row>
    <row r="161" spans="1:94" x14ac:dyDescent="0.25">
      <c r="A161" s="2" t="s">
        <v>891</v>
      </c>
      <c r="B161" s="2" t="str">
        <f xml:space="preserve"> "" &amp; 844349017080</f>
        <v>844349017080</v>
      </c>
      <c r="C161" s="2" t="s">
        <v>720</v>
      </c>
      <c r="D161" s="2" t="s">
        <v>886</v>
      </c>
      <c r="E161" s="2" t="s">
        <v>887</v>
      </c>
      <c r="F161" s="2" t="s">
        <v>564</v>
      </c>
      <c r="G161" s="2">
        <v>1</v>
      </c>
      <c r="H161" s="2">
        <v>1</v>
      </c>
      <c r="I161" s="2" t="s">
        <v>94</v>
      </c>
      <c r="J161" s="6">
        <v>135</v>
      </c>
      <c r="K161" s="6">
        <v>405</v>
      </c>
      <c r="L161" s="2">
        <v>0</v>
      </c>
      <c r="N161" s="2">
        <v>0</v>
      </c>
      <c r="O161" s="2" t="s">
        <v>96</v>
      </c>
      <c r="P161" s="6">
        <v>283.95</v>
      </c>
      <c r="Q161" s="6"/>
      <c r="R161" s="7"/>
      <c r="S161" s="2">
        <v>15.75</v>
      </c>
      <c r="U161" s="2">
        <v>5.5</v>
      </c>
      <c r="V161" s="2">
        <v>3.25</v>
      </c>
      <c r="W161" s="2">
        <v>4.72</v>
      </c>
      <c r="X161" s="2">
        <v>1</v>
      </c>
      <c r="Y161" s="2">
        <v>6.25</v>
      </c>
      <c r="Z161" s="2">
        <v>18.625</v>
      </c>
      <c r="AA161" s="2">
        <v>8.625</v>
      </c>
      <c r="AB161" s="2">
        <v>0.58099999999999996</v>
      </c>
      <c r="AC161" s="2">
        <v>5.49</v>
      </c>
      <c r="AE161" s="2">
        <v>1</v>
      </c>
      <c r="AF161" s="2" t="s">
        <v>892</v>
      </c>
      <c r="AG161" s="2">
        <v>24</v>
      </c>
      <c r="AK161" s="2" t="s">
        <v>96</v>
      </c>
      <c r="AM161" s="2" t="s">
        <v>95</v>
      </c>
      <c r="AN161" s="2" t="s">
        <v>96</v>
      </c>
      <c r="AO161" s="2" t="s">
        <v>95</v>
      </c>
      <c r="AP161" s="2" t="s">
        <v>97</v>
      </c>
      <c r="AQ161" s="2" t="s">
        <v>98</v>
      </c>
      <c r="AV161" s="2" t="s">
        <v>95</v>
      </c>
      <c r="AX161" s="2" t="s">
        <v>592</v>
      </c>
      <c r="AZ161" s="2" t="s">
        <v>342</v>
      </c>
      <c r="BB161" s="2" t="s">
        <v>329</v>
      </c>
      <c r="BC161" s="2" t="s">
        <v>865</v>
      </c>
      <c r="BF161" s="2" t="s">
        <v>893</v>
      </c>
      <c r="BG161" s="2" t="s">
        <v>95</v>
      </c>
      <c r="BH161" s="2" t="s">
        <v>96</v>
      </c>
      <c r="BI161" s="2" t="s">
        <v>95</v>
      </c>
      <c r="BJ161" s="2" t="s">
        <v>96</v>
      </c>
      <c r="BK161" s="2" t="s">
        <v>567</v>
      </c>
      <c r="BR161" s="2">
        <v>15.38</v>
      </c>
      <c r="BT161" s="2">
        <v>5.13</v>
      </c>
      <c r="CA161" s="2" t="s">
        <v>894</v>
      </c>
      <c r="CB161" s="2" t="s">
        <v>592</v>
      </c>
      <c r="CG161" s="2">
        <v>3000</v>
      </c>
      <c r="CH161" s="2">
        <v>85</v>
      </c>
      <c r="CI161" s="2">
        <v>2096.6999999999998</v>
      </c>
      <c r="CJ161" s="2">
        <v>485</v>
      </c>
      <c r="CK161" s="2">
        <v>30000</v>
      </c>
      <c r="CL161" s="2" t="s">
        <v>95</v>
      </c>
      <c r="CM161" s="2" t="s">
        <v>95</v>
      </c>
      <c r="CN161" s="2" t="s">
        <v>577</v>
      </c>
      <c r="CO161" s="3">
        <v>41909</v>
      </c>
      <c r="CP161" s="3">
        <v>43634</v>
      </c>
    </row>
    <row r="162" spans="1:94" x14ac:dyDescent="0.25">
      <c r="A162" s="2" t="s">
        <v>895</v>
      </c>
      <c r="B162" s="2" t="str">
        <f xml:space="preserve"> "" &amp; 844349028321</f>
        <v>844349028321</v>
      </c>
      <c r="C162" s="2" t="s">
        <v>896</v>
      </c>
      <c r="D162" s="2" t="s">
        <v>897</v>
      </c>
      <c r="E162" s="2" t="s">
        <v>898</v>
      </c>
      <c r="F162" s="2" t="s">
        <v>340</v>
      </c>
      <c r="G162" s="2">
        <v>1</v>
      </c>
      <c r="H162" s="2">
        <v>1</v>
      </c>
      <c r="I162" s="2" t="s">
        <v>94</v>
      </c>
      <c r="J162" s="6">
        <v>55</v>
      </c>
      <c r="K162" s="6">
        <v>165</v>
      </c>
      <c r="L162" s="2">
        <v>0</v>
      </c>
      <c r="N162" s="2">
        <v>0</v>
      </c>
      <c r="O162" s="2" t="s">
        <v>96</v>
      </c>
      <c r="P162" s="6">
        <v>115.95</v>
      </c>
      <c r="Q162" s="6"/>
      <c r="R162" s="7"/>
      <c r="S162" s="2">
        <v>4.5</v>
      </c>
      <c r="U162" s="2">
        <v>4.5</v>
      </c>
      <c r="V162" s="2">
        <v>4</v>
      </c>
      <c r="W162" s="2">
        <v>1.76</v>
      </c>
      <c r="X162" s="2">
        <v>1</v>
      </c>
      <c r="Y162" s="2">
        <v>8</v>
      </c>
      <c r="Z162" s="2">
        <v>21</v>
      </c>
      <c r="AA162" s="2">
        <v>15</v>
      </c>
      <c r="AB162" s="2">
        <v>1.458</v>
      </c>
      <c r="AC162" s="2">
        <v>1.98</v>
      </c>
      <c r="AE162" s="2">
        <v>2</v>
      </c>
      <c r="AF162" s="2" t="s">
        <v>899</v>
      </c>
      <c r="AG162" s="2">
        <v>4</v>
      </c>
      <c r="AK162" s="2" t="s">
        <v>96</v>
      </c>
      <c r="AM162" s="2" t="s">
        <v>95</v>
      </c>
      <c r="AN162" s="2" t="s">
        <v>96</v>
      </c>
      <c r="AO162" s="2" t="s">
        <v>95</v>
      </c>
      <c r="AP162" s="2" t="s">
        <v>97</v>
      </c>
      <c r="AQ162" s="2" t="s">
        <v>98</v>
      </c>
      <c r="AV162" s="2" t="s">
        <v>95</v>
      </c>
      <c r="AX162" s="2" t="s">
        <v>816</v>
      </c>
      <c r="AZ162" s="2" t="s">
        <v>483</v>
      </c>
      <c r="BF162" s="2" t="s">
        <v>900</v>
      </c>
      <c r="BG162" s="2" t="s">
        <v>95</v>
      </c>
      <c r="BH162" s="2" t="s">
        <v>95</v>
      </c>
      <c r="BI162" s="2" t="s">
        <v>95</v>
      </c>
      <c r="BJ162" s="2" t="s">
        <v>96</v>
      </c>
      <c r="BK162" s="2" t="s">
        <v>567</v>
      </c>
      <c r="BM162" s="2">
        <v>4.5</v>
      </c>
      <c r="BN162" s="2">
        <v>4.5</v>
      </c>
      <c r="CA162" s="2" t="s">
        <v>901</v>
      </c>
      <c r="CB162" s="2" t="s">
        <v>816</v>
      </c>
      <c r="CG162" s="2">
        <v>3000</v>
      </c>
      <c r="CH162" s="2">
        <v>93</v>
      </c>
      <c r="CI162" s="2">
        <v>520.29999999999995</v>
      </c>
      <c r="CJ162" s="2">
        <v>283.3</v>
      </c>
      <c r="CK162" s="2">
        <v>30000</v>
      </c>
      <c r="CL162" s="2" t="s">
        <v>96</v>
      </c>
      <c r="CM162" s="2" t="s">
        <v>95</v>
      </c>
      <c r="CN162" s="2" t="s">
        <v>471</v>
      </c>
      <c r="CO162" s="3">
        <v>43537</v>
      </c>
      <c r="CP162" s="3">
        <v>43634</v>
      </c>
    </row>
    <row r="163" spans="1:94" x14ac:dyDescent="0.25">
      <c r="A163" s="2" t="s">
        <v>902</v>
      </c>
      <c r="B163" s="2" t="str">
        <f xml:space="preserve"> "" &amp; 844349028420</f>
        <v>844349028420</v>
      </c>
      <c r="C163" s="2" t="s">
        <v>903</v>
      </c>
      <c r="D163" s="2" t="s">
        <v>904</v>
      </c>
      <c r="E163" s="2" t="s">
        <v>905</v>
      </c>
      <c r="F163" s="2" t="s">
        <v>340</v>
      </c>
      <c r="G163" s="2">
        <v>1</v>
      </c>
      <c r="H163" s="2">
        <v>1</v>
      </c>
      <c r="I163" s="2" t="s">
        <v>94</v>
      </c>
      <c r="J163" s="6">
        <v>65</v>
      </c>
      <c r="K163" s="6">
        <v>195</v>
      </c>
      <c r="L163" s="2">
        <v>0</v>
      </c>
      <c r="N163" s="2">
        <v>0</v>
      </c>
      <c r="O163" s="2" t="s">
        <v>96</v>
      </c>
      <c r="P163" s="6">
        <v>135.94999999999999</v>
      </c>
      <c r="Q163" s="6"/>
      <c r="R163" s="7"/>
      <c r="S163" s="2">
        <v>4.75</v>
      </c>
      <c r="T163" s="2">
        <v>6.25</v>
      </c>
      <c r="U163" s="2">
        <v>4.75</v>
      </c>
      <c r="V163" s="2">
        <v>4</v>
      </c>
      <c r="W163" s="2">
        <v>1.1200000000000001</v>
      </c>
      <c r="X163" s="2">
        <v>1</v>
      </c>
      <c r="Y163" s="2">
        <v>6.63</v>
      </c>
      <c r="Z163" s="2">
        <v>6.25</v>
      </c>
      <c r="AA163" s="2">
        <v>5.5</v>
      </c>
      <c r="AB163" s="2">
        <v>0.13200000000000001</v>
      </c>
      <c r="AC163" s="2">
        <v>1.46</v>
      </c>
      <c r="AE163" s="2">
        <v>2</v>
      </c>
      <c r="AF163" s="2" t="s">
        <v>906</v>
      </c>
      <c r="AG163" s="2">
        <v>3</v>
      </c>
      <c r="AK163" s="2" t="s">
        <v>96</v>
      </c>
      <c r="AM163" s="2" t="s">
        <v>95</v>
      </c>
      <c r="AN163" s="2" t="s">
        <v>96</v>
      </c>
      <c r="AO163" s="2" t="s">
        <v>95</v>
      </c>
      <c r="AP163" s="2" t="s">
        <v>97</v>
      </c>
      <c r="AQ163" s="2" t="s">
        <v>98</v>
      </c>
      <c r="AV163" s="2" t="s">
        <v>95</v>
      </c>
      <c r="AX163" s="2" t="s">
        <v>205</v>
      </c>
      <c r="AZ163" s="2" t="s">
        <v>483</v>
      </c>
      <c r="BC163" s="2" t="s">
        <v>907</v>
      </c>
      <c r="BF163" s="2" t="s">
        <v>908</v>
      </c>
      <c r="BG163" s="2" t="s">
        <v>95</v>
      </c>
      <c r="BH163" s="2" t="s">
        <v>95</v>
      </c>
      <c r="BI163" s="2" t="s">
        <v>95</v>
      </c>
      <c r="BJ163" s="2" t="s">
        <v>96</v>
      </c>
      <c r="BK163" s="2" t="s">
        <v>567</v>
      </c>
      <c r="BL163" s="2" t="s">
        <v>350</v>
      </c>
      <c r="BM163" s="2">
        <v>4.75</v>
      </c>
      <c r="BN163" s="2">
        <v>4.75</v>
      </c>
      <c r="CA163" s="2" t="s">
        <v>909</v>
      </c>
      <c r="CB163" s="2" t="s">
        <v>205</v>
      </c>
      <c r="CG163" s="2">
        <v>3000</v>
      </c>
      <c r="CH163" s="2">
        <v>95</v>
      </c>
      <c r="CI163" s="2">
        <v>246</v>
      </c>
      <c r="CJ163" s="2">
        <v>232</v>
      </c>
      <c r="CK163" s="2">
        <v>30000</v>
      </c>
      <c r="CL163" s="2" t="s">
        <v>96</v>
      </c>
      <c r="CM163" s="2" t="s">
        <v>95</v>
      </c>
      <c r="CN163" s="2" t="s">
        <v>910</v>
      </c>
      <c r="CO163" s="3">
        <v>43537</v>
      </c>
      <c r="CP163" s="3">
        <v>43634</v>
      </c>
    </row>
    <row r="164" spans="1:94" x14ac:dyDescent="0.25">
      <c r="A164" s="2" t="s">
        <v>911</v>
      </c>
      <c r="B164" s="2" t="str">
        <f xml:space="preserve"> "" &amp; 844349028413</f>
        <v>844349028413</v>
      </c>
      <c r="C164" s="2" t="s">
        <v>903</v>
      </c>
      <c r="D164" s="2" t="s">
        <v>904</v>
      </c>
      <c r="E164" s="2" t="s">
        <v>905</v>
      </c>
      <c r="F164" s="2" t="s">
        <v>340</v>
      </c>
      <c r="G164" s="2">
        <v>1</v>
      </c>
      <c r="H164" s="2">
        <v>1</v>
      </c>
      <c r="I164" s="2" t="s">
        <v>94</v>
      </c>
      <c r="J164" s="6">
        <v>65</v>
      </c>
      <c r="K164" s="6">
        <v>195</v>
      </c>
      <c r="L164" s="2">
        <v>0</v>
      </c>
      <c r="N164" s="2">
        <v>0</v>
      </c>
      <c r="O164" s="2" t="s">
        <v>96</v>
      </c>
      <c r="P164" s="6">
        <v>135.94999999999999</v>
      </c>
      <c r="Q164" s="6"/>
      <c r="R164" s="7"/>
      <c r="S164" s="2">
        <v>4.75</v>
      </c>
      <c r="T164" s="2">
        <v>6.25</v>
      </c>
      <c r="U164" s="2">
        <v>4.75</v>
      </c>
      <c r="V164" s="2">
        <v>4</v>
      </c>
      <c r="W164" s="2">
        <v>1.23</v>
      </c>
      <c r="X164" s="2">
        <v>1</v>
      </c>
      <c r="Y164" s="2">
        <v>6.63</v>
      </c>
      <c r="Z164" s="2">
        <v>6.25</v>
      </c>
      <c r="AA164" s="2">
        <v>5.5</v>
      </c>
      <c r="AB164" s="2">
        <v>0.13200000000000001</v>
      </c>
      <c r="AC164" s="2">
        <v>1.54</v>
      </c>
      <c r="AE164" s="2">
        <v>2</v>
      </c>
      <c r="AF164" s="2" t="s">
        <v>906</v>
      </c>
      <c r="AG164" s="2">
        <v>3</v>
      </c>
      <c r="AK164" s="2" t="s">
        <v>96</v>
      </c>
      <c r="AM164" s="2" t="s">
        <v>95</v>
      </c>
      <c r="AN164" s="2" t="s">
        <v>96</v>
      </c>
      <c r="AO164" s="2" t="s">
        <v>95</v>
      </c>
      <c r="AP164" s="2" t="s">
        <v>97</v>
      </c>
      <c r="AQ164" s="2" t="s">
        <v>98</v>
      </c>
      <c r="AV164" s="2" t="s">
        <v>95</v>
      </c>
      <c r="AX164" s="2" t="s">
        <v>205</v>
      </c>
      <c r="AZ164" s="2" t="s">
        <v>483</v>
      </c>
      <c r="BC164" s="2" t="s">
        <v>907</v>
      </c>
      <c r="BF164" s="2" t="s">
        <v>912</v>
      </c>
      <c r="BG164" s="2" t="s">
        <v>95</v>
      </c>
      <c r="BH164" s="2" t="s">
        <v>95</v>
      </c>
      <c r="BI164" s="2" t="s">
        <v>95</v>
      </c>
      <c r="BJ164" s="2" t="s">
        <v>96</v>
      </c>
      <c r="BK164" s="2" t="s">
        <v>567</v>
      </c>
      <c r="BL164" s="2" t="s">
        <v>350</v>
      </c>
      <c r="BM164" s="2">
        <v>4.75</v>
      </c>
      <c r="BN164" s="2">
        <v>4.75</v>
      </c>
      <c r="CA164" s="2" t="s">
        <v>913</v>
      </c>
      <c r="CB164" s="2" t="s">
        <v>205</v>
      </c>
      <c r="CG164" s="2">
        <v>3000</v>
      </c>
      <c r="CH164" s="2">
        <v>95</v>
      </c>
      <c r="CI164" s="2">
        <v>267</v>
      </c>
      <c r="CJ164" s="2">
        <v>249</v>
      </c>
      <c r="CK164" s="2">
        <v>30000</v>
      </c>
      <c r="CL164" s="2" t="s">
        <v>96</v>
      </c>
      <c r="CM164" s="2" t="s">
        <v>95</v>
      </c>
      <c r="CN164" s="2" t="s">
        <v>910</v>
      </c>
      <c r="CO164" s="3">
        <v>43537</v>
      </c>
      <c r="CP164" s="3">
        <v>43634</v>
      </c>
    </row>
    <row r="165" spans="1:94" x14ac:dyDescent="0.25">
      <c r="A165" s="2" t="s">
        <v>914</v>
      </c>
      <c r="B165" s="2" t="str">
        <f xml:space="preserve"> "" &amp; 844349019978</f>
        <v>844349019978</v>
      </c>
      <c r="C165" s="2" t="s">
        <v>915</v>
      </c>
      <c r="D165" s="2" t="s">
        <v>916</v>
      </c>
      <c r="E165" s="2" t="s">
        <v>917</v>
      </c>
      <c r="F165" s="2" t="s">
        <v>658</v>
      </c>
      <c r="G165" s="2">
        <v>1</v>
      </c>
      <c r="H165" s="2">
        <v>1</v>
      </c>
      <c r="I165" s="2" t="s">
        <v>94</v>
      </c>
      <c r="J165" s="6">
        <v>149</v>
      </c>
      <c r="K165" s="6">
        <v>447</v>
      </c>
      <c r="L165" s="2">
        <v>0</v>
      </c>
      <c r="N165" s="2">
        <v>0</v>
      </c>
      <c r="O165" s="2" t="s">
        <v>96</v>
      </c>
      <c r="P165" s="6">
        <v>312.95</v>
      </c>
      <c r="Q165" s="6"/>
      <c r="R165" s="7"/>
      <c r="S165" s="2">
        <v>7</v>
      </c>
      <c r="U165" s="2">
        <v>13.5</v>
      </c>
      <c r="V165" s="2">
        <v>6.5</v>
      </c>
      <c r="W165" s="2">
        <v>6.02</v>
      </c>
      <c r="X165" s="2">
        <v>1</v>
      </c>
      <c r="Y165" s="2">
        <v>8.25</v>
      </c>
      <c r="Z165" s="2">
        <v>16.5</v>
      </c>
      <c r="AA165" s="2">
        <v>9.8800000000000008</v>
      </c>
      <c r="AB165" s="2">
        <v>0.77800000000000002</v>
      </c>
      <c r="AC165" s="2">
        <v>7.19</v>
      </c>
      <c r="AE165" s="2">
        <v>2</v>
      </c>
      <c r="AF165" s="2" t="s">
        <v>918</v>
      </c>
      <c r="AG165" s="2">
        <v>22</v>
      </c>
      <c r="AK165" s="2" t="s">
        <v>96</v>
      </c>
      <c r="AM165" s="2" t="s">
        <v>95</v>
      </c>
      <c r="AN165" s="2" t="s">
        <v>96</v>
      </c>
      <c r="AO165" s="2" t="s">
        <v>95</v>
      </c>
      <c r="AP165" s="2" t="s">
        <v>97</v>
      </c>
      <c r="AQ165" s="2" t="s">
        <v>98</v>
      </c>
      <c r="AV165" s="2" t="s">
        <v>95</v>
      </c>
      <c r="AX165" s="2" t="s">
        <v>116</v>
      </c>
      <c r="AZ165" s="2" t="s">
        <v>483</v>
      </c>
      <c r="BB165" s="2" t="s">
        <v>329</v>
      </c>
      <c r="BC165" s="2" t="s">
        <v>565</v>
      </c>
      <c r="BF165" s="2" t="s">
        <v>919</v>
      </c>
      <c r="BG165" s="2" t="s">
        <v>95</v>
      </c>
      <c r="BH165" s="2" t="s">
        <v>95</v>
      </c>
      <c r="BI165" s="2" t="s">
        <v>95</v>
      </c>
      <c r="BK165" s="2" t="s">
        <v>414</v>
      </c>
      <c r="BL165" s="2" t="s">
        <v>617</v>
      </c>
      <c r="BM165" s="2">
        <v>6</v>
      </c>
      <c r="BN165" s="2">
        <v>5.38</v>
      </c>
      <c r="CA165" s="2" t="s">
        <v>920</v>
      </c>
      <c r="CB165" s="2" t="s">
        <v>116</v>
      </c>
      <c r="CG165" s="2">
        <v>3000</v>
      </c>
      <c r="CH165" s="2">
        <v>92</v>
      </c>
      <c r="CI165" s="2">
        <v>3194</v>
      </c>
      <c r="CJ165" s="2">
        <v>1279</v>
      </c>
      <c r="CK165" s="2">
        <v>30000</v>
      </c>
      <c r="CL165" s="2" t="s">
        <v>96</v>
      </c>
      <c r="CM165" s="2" t="s">
        <v>95</v>
      </c>
      <c r="CN165" s="2" t="s">
        <v>921</v>
      </c>
      <c r="CO165" s="3">
        <v>42350</v>
      </c>
      <c r="CP165" s="3">
        <v>43634</v>
      </c>
    </row>
    <row r="166" spans="1:94" x14ac:dyDescent="0.25">
      <c r="A166" s="2" t="s">
        <v>922</v>
      </c>
      <c r="B166" s="2" t="str">
        <f xml:space="preserve"> "" &amp; 844349020592</f>
        <v>844349020592</v>
      </c>
      <c r="C166" s="2" t="s">
        <v>923</v>
      </c>
      <c r="D166" s="2" t="s">
        <v>924</v>
      </c>
      <c r="E166" s="2" t="s">
        <v>917</v>
      </c>
      <c r="F166" s="2" t="s">
        <v>564</v>
      </c>
      <c r="G166" s="2">
        <v>1</v>
      </c>
      <c r="H166" s="2">
        <v>1</v>
      </c>
      <c r="I166" s="2" t="s">
        <v>94</v>
      </c>
      <c r="J166" s="6">
        <v>79</v>
      </c>
      <c r="K166" s="6">
        <v>237</v>
      </c>
      <c r="L166" s="2">
        <v>0</v>
      </c>
      <c r="N166" s="2">
        <v>0</v>
      </c>
      <c r="O166" s="2" t="s">
        <v>96</v>
      </c>
      <c r="P166" s="6">
        <v>165.95</v>
      </c>
      <c r="Q166" s="6"/>
      <c r="R166" s="7"/>
      <c r="S166" s="2">
        <v>6</v>
      </c>
      <c r="U166" s="2">
        <v>6</v>
      </c>
      <c r="V166" s="2">
        <v>6.5</v>
      </c>
      <c r="W166" s="2">
        <v>3.2</v>
      </c>
      <c r="X166" s="2">
        <v>1</v>
      </c>
      <c r="Y166" s="2">
        <v>9.6300000000000008</v>
      </c>
      <c r="Z166" s="2">
        <v>8.6300000000000008</v>
      </c>
      <c r="AA166" s="2">
        <v>7.88</v>
      </c>
      <c r="AB166" s="2">
        <v>0.379</v>
      </c>
      <c r="AC166" s="2">
        <v>4.08</v>
      </c>
      <c r="AE166" s="2">
        <v>1</v>
      </c>
      <c r="AF166" s="2" t="s">
        <v>347</v>
      </c>
      <c r="AG166" s="2">
        <v>22</v>
      </c>
      <c r="AK166" s="2" t="s">
        <v>96</v>
      </c>
      <c r="AM166" s="2" t="s">
        <v>95</v>
      </c>
      <c r="AN166" s="2" t="s">
        <v>96</v>
      </c>
      <c r="AO166" s="2" t="s">
        <v>95</v>
      </c>
      <c r="AP166" s="2" t="s">
        <v>97</v>
      </c>
      <c r="AQ166" s="2" t="s">
        <v>98</v>
      </c>
      <c r="AV166" s="2" t="s">
        <v>95</v>
      </c>
      <c r="AX166" s="2" t="s">
        <v>581</v>
      </c>
      <c r="AZ166" s="2" t="s">
        <v>483</v>
      </c>
      <c r="BB166" s="2" t="s">
        <v>329</v>
      </c>
      <c r="BC166" s="2" t="s">
        <v>565</v>
      </c>
      <c r="BF166" s="2" t="s">
        <v>925</v>
      </c>
      <c r="BG166" s="2" t="s">
        <v>95</v>
      </c>
      <c r="BH166" s="2" t="s">
        <v>95</v>
      </c>
      <c r="BI166" s="2" t="s">
        <v>95</v>
      </c>
      <c r="BJ166" s="2" t="s">
        <v>96</v>
      </c>
      <c r="BK166" s="2" t="s">
        <v>567</v>
      </c>
      <c r="BL166" s="2" t="s">
        <v>617</v>
      </c>
      <c r="BM166" s="2">
        <v>6</v>
      </c>
      <c r="BN166" s="2">
        <v>1</v>
      </c>
      <c r="CA166" s="2" t="s">
        <v>926</v>
      </c>
      <c r="CB166" s="2" t="s">
        <v>581</v>
      </c>
      <c r="CG166" s="2">
        <v>3000</v>
      </c>
      <c r="CH166" s="2">
        <v>91</v>
      </c>
      <c r="CI166" s="2">
        <v>1717</v>
      </c>
      <c r="CJ166" s="2">
        <v>617</v>
      </c>
      <c r="CK166" s="2">
        <v>30000</v>
      </c>
      <c r="CL166" s="2" t="s">
        <v>96</v>
      </c>
      <c r="CM166" s="2" t="s">
        <v>95</v>
      </c>
      <c r="CN166" s="2" t="s">
        <v>927</v>
      </c>
      <c r="CO166" s="3">
        <v>42391</v>
      </c>
      <c r="CP166" s="3">
        <v>43634</v>
      </c>
    </row>
    <row r="167" spans="1:94" x14ac:dyDescent="0.25">
      <c r="A167" s="2" t="s">
        <v>928</v>
      </c>
      <c r="B167" s="2" t="str">
        <f xml:space="preserve"> "" &amp; 844349020585</f>
        <v>844349020585</v>
      </c>
      <c r="C167" s="2" t="s">
        <v>929</v>
      </c>
      <c r="D167" s="2" t="s">
        <v>924</v>
      </c>
      <c r="E167" s="2" t="s">
        <v>917</v>
      </c>
      <c r="F167" s="2" t="s">
        <v>564</v>
      </c>
      <c r="G167" s="2">
        <v>1</v>
      </c>
      <c r="H167" s="2">
        <v>1</v>
      </c>
      <c r="I167" s="2" t="s">
        <v>94</v>
      </c>
      <c r="J167" s="6">
        <v>79</v>
      </c>
      <c r="K167" s="6">
        <v>237</v>
      </c>
      <c r="L167" s="2">
        <v>0</v>
      </c>
      <c r="N167" s="2">
        <v>0</v>
      </c>
      <c r="O167" s="2" t="s">
        <v>96</v>
      </c>
      <c r="P167" s="6">
        <v>165.95</v>
      </c>
      <c r="Q167" s="6"/>
      <c r="R167" s="7"/>
      <c r="S167" s="2">
        <v>6</v>
      </c>
      <c r="U167" s="2">
        <v>6</v>
      </c>
      <c r="V167" s="2">
        <v>6.5</v>
      </c>
      <c r="W167" s="2">
        <v>3.2</v>
      </c>
      <c r="X167" s="2">
        <v>1</v>
      </c>
      <c r="Y167" s="2">
        <v>9.6300000000000008</v>
      </c>
      <c r="Z167" s="2">
        <v>8.6300000000000008</v>
      </c>
      <c r="AA167" s="2">
        <v>7.88</v>
      </c>
      <c r="AB167" s="2">
        <v>0.379</v>
      </c>
      <c r="AC167" s="2">
        <v>4.08</v>
      </c>
      <c r="AE167" s="2">
        <v>1</v>
      </c>
      <c r="AF167" s="2" t="s">
        <v>918</v>
      </c>
      <c r="AG167" s="2">
        <v>22</v>
      </c>
      <c r="AK167" s="2" t="s">
        <v>96</v>
      </c>
      <c r="AM167" s="2" t="s">
        <v>95</v>
      </c>
      <c r="AN167" s="2" t="s">
        <v>96</v>
      </c>
      <c r="AO167" s="2" t="s">
        <v>95</v>
      </c>
      <c r="AP167" s="2" t="s">
        <v>97</v>
      </c>
      <c r="AQ167" s="2" t="s">
        <v>98</v>
      </c>
      <c r="AV167" s="2" t="s">
        <v>95</v>
      </c>
      <c r="AX167" s="2" t="s">
        <v>816</v>
      </c>
      <c r="AZ167" s="2" t="s">
        <v>483</v>
      </c>
      <c r="BB167" s="2" t="s">
        <v>329</v>
      </c>
      <c r="BC167" s="2" t="s">
        <v>565</v>
      </c>
      <c r="BF167" s="2" t="s">
        <v>930</v>
      </c>
      <c r="BG167" s="2" t="s">
        <v>95</v>
      </c>
      <c r="BH167" s="2" t="s">
        <v>95</v>
      </c>
      <c r="BI167" s="2" t="s">
        <v>95</v>
      </c>
      <c r="BJ167" s="2" t="s">
        <v>96</v>
      </c>
      <c r="BK167" s="2" t="s">
        <v>567</v>
      </c>
      <c r="BL167" s="2" t="s">
        <v>617</v>
      </c>
      <c r="BM167" s="2">
        <v>6</v>
      </c>
      <c r="BN167" s="2">
        <v>1</v>
      </c>
      <c r="CA167" s="2" t="s">
        <v>926</v>
      </c>
      <c r="CB167" s="2" t="s">
        <v>816</v>
      </c>
      <c r="CG167" s="2">
        <v>3000</v>
      </c>
      <c r="CH167" s="2">
        <v>91</v>
      </c>
      <c r="CI167" s="2">
        <v>1717</v>
      </c>
      <c r="CJ167" s="2">
        <v>617</v>
      </c>
      <c r="CK167" s="2">
        <v>30000</v>
      </c>
      <c r="CL167" s="2" t="s">
        <v>96</v>
      </c>
      <c r="CM167" s="2" t="s">
        <v>95</v>
      </c>
      <c r="CN167" s="2" t="s">
        <v>454</v>
      </c>
      <c r="CO167" s="3">
        <v>42394</v>
      </c>
      <c r="CP167" s="3">
        <v>43634</v>
      </c>
    </row>
    <row r="168" spans="1:94" x14ac:dyDescent="0.25">
      <c r="A168" s="2" t="s">
        <v>931</v>
      </c>
      <c r="B168" s="2" t="str">
        <f xml:space="preserve"> "" &amp; 844349020066</f>
        <v>844349020066</v>
      </c>
      <c r="C168" s="2" t="s">
        <v>932</v>
      </c>
      <c r="D168" s="2" t="s">
        <v>933</v>
      </c>
      <c r="E168" s="2" t="s">
        <v>934</v>
      </c>
      <c r="F168" s="2" t="s">
        <v>658</v>
      </c>
      <c r="G168" s="2">
        <v>1</v>
      </c>
      <c r="H168" s="2">
        <v>1</v>
      </c>
      <c r="I168" s="2" t="s">
        <v>94</v>
      </c>
      <c r="J168" s="6">
        <v>75</v>
      </c>
      <c r="K168" s="6">
        <v>225</v>
      </c>
      <c r="L168" s="2">
        <v>0</v>
      </c>
      <c r="N168" s="2">
        <v>0</v>
      </c>
      <c r="O168" s="2" t="s">
        <v>96</v>
      </c>
      <c r="P168" s="6">
        <v>158.94999999999999</v>
      </c>
      <c r="Q168" s="6"/>
      <c r="R168" s="7"/>
      <c r="S168" s="2">
        <v>5.5</v>
      </c>
      <c r="T168" s="2">
        <v>15.63</v>
      </c>
      <c r="U168" s="2">
        <v>12.75</v>
      </c>
      <c r="V168" s="2">
        <v>3.75</v>
      </c>
      <c r="W168" s="2">
        <v>2.2000000000000002</v>
      </c>
      <c r="X168" s="2">
        <v>1</v>
      </c>
      <c r="Y168" s="2">
        <v>7.13</v>
      </c>
      <c r="Z168" s="2">
        <v>15.63</v>
      </c>
      <c r="AA168" s="2">
        <v>6.25</v>
      </c>
      <c r="AB168" s="2">
        <v>0.40300000000000002</v>
      </c>
      <c r="AC168" s="2">
        <v>1.41</v>
      </c>
      <c r="AE168" s="2">
        <v>1</v>
      </c>
      <c r="AF168" s="2" t="s">
        <v>347</v>
      </c>
      <c r="AG168" s="2">
        <v>17</v>
      </c>
      <c r="AK168" s="2" t="s">
        <v>96</v>
      </c>
      <c r="AM168" s="2" t="s">
        <v>96</v>
      </c>
      <c r="AN168" s="2" t="s">
        <v>95</v>
      </c>
      <c r="AO168" s="2" t="s">
        <v>95</v>
      </c>
      <c r="AP168" s="2" t="s">
        <v>97</v>
      </c>
      <c r="AQ168" s="2" t="s">
        <v>98</v>
      </c>
      <c r="AV168" s="2" t="s">
        <v>95</v>
      </c>
      <c r="AX168" s="2" t="s">
        <v>116</v>
      </c>
      <c r="AZ168" s="2" t="s">
        <v>483</v>
      </c>
      <c r="BB168" s="2" t="s">
        <v>329</v>
      </c>
      <c r="BC168" s="2" t="s">
        <v>379</v>
      </c>
      <c r="BF168" s="2" t="s">
        <v>935</v>
      </c>
      <c r="BG168" s="2" t="s">
        <v>95</v>
      </c>
      <c r="BH168" s="2" t="s">
        <v>96</v>
      </c>
      <c r="BI168" s="2" t="s">
        <v>95</v>
      </c>
      <c r="BK168" s="2" t="s">
        <v>414</v>
      </c>
      <c r="BL168" s="2" t="s">
        <v>350</v>
      </c>
      <c r="BR168" s="2">
        <v>5.38</v>
      </c>
      <c r="BT168" s="2">
        <v>7.88</v>
      </c>
      <c r="CA168" s="2" t="s">
        <v>936</v>
      </c>
      <c r="CB168" s="2" t="s">
        <v>116</v>
      </c>
      <c r="CG168" s="2">
        <v>3000</v>
      </c>
      <c r="CH168" s="2">
        <v>95</v>
      </c>
      <c r="CI168" s="2">
        <v>1222</v>
      </c>
      <c r="CJ168" s="2">
        <v>536</v>
      </c>
      <c r="CK168" s="2">
        <v>30000</v>
      </c>
      <c r="CL168" s="2" t="s">
        <v>96</v>
      </c>
      <c r="CM168" s="2" t="s">
        <v>95</v>
      </c>
      <c r="CN168" s="2" t="s">
        <v>937</v>
      </c>
      <c r="CO168" s="3">
        <v>42356</v>
      </c>
      <c r="CP168" s="3">
        <v>43634</v>
      </c>
    </row>
    <row r="169" spans="1:94" x14ac:dyDescent="0.25">
      <c r="A169" s="2" t="s">
        <v>938</v>
      </c>
      <c r="B169" s="2" t="str">
        <f xml:space="preserve"> "" &amp; 844349020073</f>
        <v>844349020073</v>
      </c>
      <c r="C169" s="2" t="s">
        <v>932</v>
      </c>
      <c r="D169" s="2" t="s">
        <v>933</v>
      </c>
      <c r="E169" s="2" t="s">
        <v>934</v>
      </c>
      <c r="F169" s="2" t="s">
        <v>658</v>
      </c>
      <c r="G169" s="2">
        <v>1</v>
      </c>
      <c r="H169" s="2">
        <v>1</v>
      </c>
      <c r="I169" s="2" t="s">
        <v>94</v>
      </c>
      <c r="J169" s="6">
        <v>110</v>
      </c>
      <c r="K169" s="6">
        <v>330</v>
      </c>
      <c r="L169" s="2">
        <v>0</v>
      </c>
      <c r="N169" s="2">
        <v>0</v>
      </c>
      <c r="O169" s="2" t="s">
        <v>96</v>
      </c>
      <c r="P169" s="6">
        <v>231.95</v>
      </c>
      <c r="Q169" s="6"/>
      <c r="R169" s="7"/>
      <c r="S169" s="2">
        <v>5.5</v>
      </c>
      <c r="T169" s="2">
        <v>27.38</v>
      </c>
      <c r="U169" s="2">
        <v>24.5</v>
      </c>
      <c r="V169" s="2">
        <v>3.75</v>
      </c>
      <c r="W169" s="2">
        <v>3.31</v>
      </c>
      <c r="X169" s="2">
        <v>1</v>
      </c>
      <c r="Y169" s="2">
        <v>7.13</v>
      </c>
      <c r="Z169" s="2">
        <v>27.38</v>
      </c>
      <c r="AA169" s="2">
        <v>6.25</v>
      </c>
      <c r="AB169" s="2">
        <v>0.70599999999999996</v>
      </c>
      <c r="AC169" s="2">
        <v>4.63</v>
      </c>
      <c r="AE169" s="2">
        <v>1</v>
      </c>
      <c r="AF169" s="2" t="s">
        <v>347</v>
      </c>
      <c r="AG169" s="2">
        <v>24</v>
      </c>
      <c r="AK169" s="2" t="s">
        <v>96</v>
      </c>
      <c r="AM169" s="2" t="s">
        <v>96</v>
      </c>
      <c r="AN169" s="2" t="s">
        <v>95</v>
      </c>
      <c r="AO169" s="2" t="s">
        <v>95</v>
      </c>
      <c r="AP169" s="2" t="s">
        <v>97</v>
      </c>
      <c r="AQ169" s="2" t="s">
        <v>98</v>
      </c>
      <c r="AV169" s="2" t="s">
        <v>95</v>
      </c>
      <c r="AX169" s="2" t="s">
        <v>116</v>
      </c>
      <c r="AZ169" s="2" t="s">
        <v>483</v>
      </c>
      <c r="BB169" s="2" t="s">
        <v>329</v>
      </c>
      <c r="BC169" s="2" t="s">
        <v>379</v>
      </c>
      <c r="BF169" s="2" t="s">
        <v>939</v>
      </c>
      <c r="BG169" s="2" t="s">
        <v>95</v>
      </c>
      <c r="BH169" s="2" t="s">
        <v>96</v>
      </c>
      <c r="BI169" s="2" t="s">
        <v>95</v>
      </c>
      <c r="BK169" s="2" t="s">
        <v>414</v>
      </c>
      <c r="BL169" s="2" t="s">
        <v>350</v>
      </c>
      <c r="BR169" s="2">
        <v>5.38</v>
      </c>
      <c r="BS169" s="2">
        <v>7.88</v>
      </c>
      <c r="CA169" s="2" t="s">
        <v>940</v>
      </c>
      <c r="CB169" s="2" t="s">
        <v>116</v>
      </c>
      <c r="CG169" s="2">
        <v>3000</v>
      </c>
      <c r="CH169" s="2">
        <v>92</v>
      </c>
      <c r="CI169" s="2">
        <v>2549</v>
      </c>
      <c r="CJ169" s="2">
        <v>1202</v>
      </c>
      <c r="CK169" s="2">
        <v>30000</v>
      </c>
      <c r="CL169" s="2" t="s">
        <v>96</v>
      </c>
      <c r="CM169" s="2" t="s">
        <v>95</v>
      </c>
      <c r="CN169" s="2" t="s">
        <v>937</v>
      </c>
      <c r="CO169" s="3">
        <v>42356</v>
      </c>
      <c r="CP169" s="3">
        <v>43634</v>
      </c>
    </row>
    <row r="170" spans="1:94" x14ac:dyDescent="0.25">
      <c r="A170" s="2" t="s">
        <v>941</v>
      </c>
      <c r="B170" s="2" t="str">
        <f xml:space="preserve"> "" &amp; 844349020097</f>
        <v>844349020097</v>
      </c>
      <c r="C170" s="2" t="s">
        <v>402</v>
      </c>
      <c r="D170" s="2" t="s">
        <v>942</v>
      </c>
      <c r="E170" s="2" t="s">
        <v>934</v>
      </c>
      <c r="F170" s="2" t="s">
        <v>393</v>
      </c>
      <c r="G170" s="2">
        <v>1</v>
      </c>
      <c r="H170" s="2">
        <v>1</v>
      </c>
      <c r="I170" s="2" t="s">
        <v>94</v>
      </c>
      <c r="J170" s="6">
        <v>115</v>
      </c>
      <c r="K170" s="6">
        <v>345</v>
      </c>
      <c r="L170" s="2">
        <v>0</v>
      </c>
      <c r="N170" s="2">
        <v>0</v>
      </c>
      <c r="O170" s="2" t="s">
        <v>96</v>
      </c>
      <c r="P170" s="6">
        <v>239.95</v>
      </c>
      <c r="Q170" s="6"/>
      <c r="R170" s="7"/>
      <c r="S170" s="2">
        <v>7.25</v>
      </c>
      <c r="T170" s="2">
        <v>18</v>
      </c>
      <c r="U170" s="2">
        <v>18</v>
      </c>
      <c r="W170" s="2">
        <v>8.16</v>
      </c>
      <c r="X170" s="2">
        <v>1</v>
      </c>
      <c r="Y170" s="2">
        <v>10.25</v>
      </c>
      <c r="Z170" s="2">
        <v>19.25</v>
      </c>
      <c r="AA170" s="2">
        <v>19.25</v>
      </c>
      <c r="AB170" s="2">
        <v>2.198</v>
      </c>
      <c r="AC170" s="2">
        <v>12.57</v>
      </c>
      <c r="AE170" s="2">
        <v>3</v>
      </c>
      <c r="AF170" s="2" t="s">
        <v>943</v>
      </c>
      <c r="AG170" s="2">
        <v>75</v>
      </c>
      <c r="AK170" s="2" t="s">
        <v>95</v>
      </c>
      <c r="AM170" s="2" t="s">
        <v>96</v>
      </c>
      <c r="AN170" s="2" t="s">
        <v>95</v>
      </c>
      <c r="AO170" s="2" t="s">
        <v>95</v>
      </c>
      <c r="AP170" s="2" t="s">
        <v>97</v>
      </c>
      <c r="AQ170" s="2" t="s">
        <v>98</v>
      </c>
      <c r="AV170" s="2" t="s">
        <v>95</v>
      </c>
      <c r="AX170" s="2" t="s">
        <v>116</v>
      </c>
      <c r="AZ170" s="2" t="s">
        <v>483</v>
      </c>
      <c r="BB170" s="2" t="s">
        <v>212</v>
      </c>
      <c r="BC170" s="2" t="s">
        <v>116</v>
      </c>
      <c r="BF170" s="2" t="s">
        <v>944</v>
      </c>
      <c r="BG170" s="2" t="s">
        <v>95</v>
      </c>
      <c r="BH170" s="2" t="s">
        <v>95</v>
      </c>
      <c r="BI170" s="2" t="s">
        <v>95</v>
      </c>
      <c r="BK170" s="2" t="s">
        <v>100</v>
      </c>
      <c r="BR170" s="2">
        <v>1</v>
      </c>
      <c r="BS170" s="2">
        <v>4.88</v>
      </c>
      <c r="BT170" s="2">
        <v>4.88</v>
      </c>
      <c r="CA170" s="2" t="s">
        <v>945</v>
      </c>
      <c r="CB170" s="2" t="s">
        <v>116</v>
      </c>
      <c r="CL170" s="2" t="s">
        <v>96</v>
      </c>
      <c r="CM170" s="2" t="s">
        <v>96</v>
      </c>
      <c r="CN170" s="2" t="s">
        <v>946</v>
      </c>
      <c r="CO170" s="3">
        <v>42405</v>
      </c>
      <c r="CP170" s="3">
        <v>43634</v>
      </c>
    </row>
    <row r="171" spans="1:94" x14ac:dyDescent="0.25">
      <c r="A171" s="2" t="s">
        <v>947</v>
      </c>
      <c r="B171" s="2" t="str">
        <f xml:space="preserve"> "" &amp; 844349020103</f>
        <v>844349020103</v>
      </c>
      <c r="C171" s="2" t="s">
        <v>411</v>
      </c>
      <c r="D171" s="2" t="s">
        <v>948</v>
      </c>
      <c r="E171" s="2" t="s">
        <v>934</v>
      </c>
      <c r="F171" s="2" t="s">
        <v>412</v>
      </c>
      <c r="G171" s="2">
        <v>1</v>
      </c>
      <c r="H171" s="2">
        <v>1</v>
      </c>
      <c r="I171" s="2" t="s">
        <v>94</v>
      </c>
      <c r="J171" s="6">
        <v>115</v>
      </c>
      <c r="K171" s="6">
        <v>345</v>
      </c>
      <c r="L171" s="2">
        <v>0</v>
      </c>
      <c r="N171" s="2">
        <v>0</v>
      </c>
      <c r="O171" s="2" t="s">
        <v>96</v>
      </c>
      <c r="P171" s="6">
        <v>241.95</v>
      </c>
      <c r="Q171" s="6"/>
      <c r="R171" s="7"/>
      <c r="S171" s="2">
        <v>12.5</v>
      </c>
      <c r="T171" s="2">
        <v>16</v>
      </c>
      <c r="U171" s="2">
        <v>16</v>
      </c>
      <c r="W171" s="2">
        <v>5.95</v>
      </c>
      <c r="X171" s="2">
        <v>1</v>
      </c>
      <c r="Y171" s="2">
        <v>9</v>
      </c>
      <c r="Z171" s="2">
        <v>17.25</v>
      </c>
      <c r="AA171" s="2">
        <v>17.25</v>
      </c>
      <c r="AB171" s="2">
        <v>1.55</v>
      </c>
      <c r="AC171" s="2">
        <v>9.26</v>
      </c>
      <c r="AE171" s="2">
        <v>3</v>
      </c>
      <c r="AF171" s="2" t="s">
        <v>519</v>
      </c>
      <c r="AG171" s="2">
        <v>75</v>
      </c>
      <c r="AK171" s="2" t="s">
        <v>95</v>
      </c>
      <c r="AM171" s="2" t="s">
        <v>96</v>
      </c>
      <c r="AN171" s="2" t="s">
        <v>95</v>
      </c>
      <c r="AO171" s="2" t="s">
        <v>95</v>
      </c>
      <c r="AP171" s="2" t="s">
        <v>97</v>
      </c>
      <c r="AQ171" s="2" t="s">
        <v>98</v>
      </c>
      <c r="AV171" s="2" t="s">
        <v>95</v>
      </c>
      <c r="AX171" s="2" t="s">
        <v>116</v>
      </c>
      <c r="AZ171" s="2" t="s">
        <v>483</v>
      </c>
      <c r="BB171" s="2" t="s">
        <v>212</v>
      </c>
      <c r="BC171" s="2" t="s">
        <v>116</v>
      </c>
      <c r="BF171" s="2" t="s">
        <v>949</v>
      </c>
      <c r="BG171" s="2" t="s">
        <v>95</v>
      </c>
      <c r="BH171" s="2" t="s">
        <v>95</v>
      </c>
      <c r="BI171" s="2" t="s">
        <v>95</v>
      </c>
      <c r="BK171" s="2" t="s">
        <v>414</v>
      </c>
      <c r="BR171" s="2">
        <v>0.57999999999999996</v>
      </c>
      <c r="BS171" s="2">
        <v>4.75</v>
      </c>
      <c r="BT171" s="2">
        <v>4.75</v>
      </c>
      <c r="CA171" s="2" t="s">
        <v>950</v>
      </c>
      <c r="CB171" s="2" t="s">
        <v>116</v>
      </c>
      <c r="CL171" s="2" t="s">
        <v>96</v>
      </c>
      <c r="CM171" s="2" t="s">
        <v>96</v>
      </c>
      <c r="CN171" s="2" t="s">
        <v>946</v>
      </c>
      <c r="CO171" s="3">
        <v>42356</v>
      </c>
      <c r="CP171" s="3">
        <v>43634</v>
      </c>
    </row>
    <row r="172" spans="1:94" x14ac:dyDescent="0.25">
      <c r="A172" s="2" t="s">
        <v>951</v>
      </c>
      <c r="B172" s="2" t="str">
        <f xml:space="preserve"> "" &amp; 844349020233</f>
        <v>844349020233</v>
      </c>
      <c r="C172" s="2" t="s">
        <v>952</v>
      </c>
      <c r="D172" s="2" t="s">
        <v>953</v>
      </c>
      <c r="E172" s="2" t="s">
        <v>954</v>
      </c>
      <c r="F172" s="2" t="s">
        <v>564</v>
      </c>
      <c r="G172" s="2">
        <v>1</v>
      </c>
      <c r="H172" s="2">
        <v>1</v>
      </c>
      <c r="I172" s="2" t="s">
        <v>94</v>
      </c>
      <c r="J172" s="6">
        <v>145</v>
      </c>
      <c r="K172" s="6">
        <v>435</v>
      </c>
      <c r="L172" s="2">
        <v>0</v>
      </c>
      <c r="N172" s="2">
        <v>0</v>
      </c>
      <c r="O172" s="2" t="s">
        <v>96</v>
      </c>
      <c r="P172" s="6">
        <v>304.95</v>
      </c>
      <c r="Q172" s="6"/>
      <c r="R172" s="7"/>
      <c r="S172" s="2">
        <v>13</v>
      </c>
      <c r="U172" s="2">
        <v>5.5</v>
      </c>
      <c r="V172" s="2">
        <v>3.75</v>
      </c>
      <c r="W172" s="2">
        <v>5.69</v>
      </c>
      <c r="X172" s="2">
        <v>1</v>
      </c>
      <c r="Y172" s="2">
        <v>7.5</v>
      </c>
      <c r="Z172" s="2">
        <v>16.25</v>
      </c>
      <c r="AA172" s="2">
        <v>8.3800000000000008</v>
      </c>
      <c r="AB172" s="2">
        <v>0.59099999999999997</v>
      </c>
      <c r="AC172" s="2">
        <v>6.39</v>
      </c>
      <c r="AE172" s="2">
        <v>1</v>
      </c>
      <c r="AF172" s="2" t="s">
        <v>955</v>
      </c>
      <c r="AG172" s="2">
        <v>17</v>
      </c>
      <c r="AK172" s="2" t="s">
        <v>96</v>
      </c>
      <c r="AM172" s="2" t="s">
        <v>95</v>
      </c>
      <c r="AN172" s="2" t="s">
        <v>96</v>
      </c>
      <c r="AO172" s="2" t="s">
        <v>95</v>
      </c>
      <c r="AP172" s="2" t="s">
        <v>97</v>
      </c>
      <c r="AQ172" s="2" t="s">
        <v>98</v>
      </c>
      <c r="AV172" s="2" t="s">
        <v>95</v>
      </c>
      <c r="AX172" s="2" t="s">
        <v>956</v>
      </c>
      <c r="AZ172" s="2" t="s">
        <v>483</v>
      </c>
      <c r="BB172" s="2" t="s">
        <v>329</v>
      </c>
      <c r="BC172" s="2" t="s">
        <v>379</v>
      </c>
      <c r="BF172" s="2" t="s">
        <v>957</v>
      </c>
      <c r="BG172" s="2" t="s">
        <v>95</v>
      </c>
      <c r="BH172" s="2" t="s">
        <v>96</v>
      </c>
      <c r="BI172" s="2" t="s">
        <v>95</v>
      </c>
      <c r="BJ172" s="2" t="s">
        <v>96</v>
      </c>
      <c r="BK172" s="2" t="s">
        <v>567</v>
      </c>
      <c r="BL172" s="2" t="s">
        <v>421</v>
      </c>
      <c r="BM172" s="2">
        <v>5.38</v>
      </c>
      <c r="BN172" s="2">
        <v>12.75</v>
      </c>
      <c r="BP172" s="2">
        <v>5.38</v>
      </c>
      <c r="CA172" s="2" t="s">
        <v>958</v>
      </c>
      <c r="CB172" s="2" t="s">
        <v>956</v>
      </c>
      <c r="CG172" s="2">
        <v>3000</v>
      </c>
      <c r="CH172" s="2">
        <v>92</v>
      </c>
      <c r="CI172" s="2">
        <v>1503</v>
      </c>
      <c r="CJ172" s="2">
        <v>508</v>
      </c>
      <c r="CK172" s="2">
        <v>30000</v>
      </c>
      <c r="CL172" s="2" t="s">
        <v>96</v>
      </c>
      <c r="CM172" s="2" t="s">
        <v>95</v>
      </c>
      <c r="CN172" s="2" t="s">
        <v>959</v>
      </c>
      <c r="CO172" s="3">
        <v>42382</v>
      </c>
      <c r="CP172" s="3">
        <v>43634</v>
      </c>
    </row>
    <row r="173" spans="1:94" x14ac:dyDescent="0.25">
      <c r="A173" s="2" t="s">
        <v>960</v>
      </c>
      <c r="B173" s="2" t="str">
        <f xml:space="preserve"> "" &amp; 844349020240</f>
        <v>844349020240</v>
      </c>
      <c r="C173" s="2" t="s">
        <v>952</v>
      </c>
      <c r="D173" s="2" t="s">
        <v>953</v>
      </c>
      <c r="E173" s="2" t="s">
        <v>954</v>
      </c>
      <c r="F173" s="2" t="s">
        <v>564</v>
      </c>
      <c r="G173" s="2">
        <v>1</v>
      </c>
      <c r="H173" s="2">
        <v>1</v>
      </c>
      <c r="I173" s="2" t="s">
        <v>94</v>
      </c>
      <c r="J173" s="6">
        <v>169</v>
      </c>
      <c r="K173" s="6">
        <v>507</v>
      </c>
      <c r="L173" s="2">
        <v>0</v>
      </c>
      <c r="N173" s="2">
        <v>0</v>
      </c>
      <c r="O173" s="2" t="s">
        <v>96</v>
      </c>
      <c r="P173" s="6">
        <v>354.95</v>
      </c>
      <c r="Q173" s="6"/>
      <c r="R173" s="7"/>
      <c r="S173" s="2">
        <v>17</v>
      </c>
      <c r="U173" s="2">
        <v>6.5</v>
      </c>
      <c r="V173" s="2">
        <v>3.75</v>
      </c>
      <c r="W173" s="2">
        <v>8.1999999999999993</v>
      </c>
      <c r="X173" s="2">
        <v>1</v>
      </c>
      <c r="Y173" s="2">
        <v>7.75</v>
      </c>
      <c r="Z173" s="2">
        <v>20.63</v>
      </c>
      <c r="AA173" s="2">
        <v>9.75</v>
      </c>
      <c r="AB173" s="2">
        <v>0.90200000000000002</v>
      </c>
      <c r="AC173" s="2">
        <v>9.1300000000000008</v>
      </c>
      <c r="AE173" s="2">
        <v>1</v>
      </c>
      <c r="AF173" s="2" t="s">
        <v>961</v>
      </c>
      <c r="AG173" s="2">
        <v>25</v>
      </c>
      <c r="AK173" s="2" t="s">
        <v>96</v>
      </c>
      <c r="AM173" s="2" t="s">
        <v>95</v>
      </c>
      <c r="AN173" s="2" t="s">
        <v>96</v>
      </c>
      <c r="AO173" s="2" t="s">
        <v>95</v>
      </c>
      <c r="AP173" s="2" t="s">
        <v>97</v>
      </c>
      <c r="AQ173" s="2" t="s">
        <v>98</v>
      </c>
      <c r="AV173" s="2" t="s">
        <v>95</v>
      </c>
      <c r="AX173" s="2" t="s">
        <v>956</v>
      </c>
      <c r="AZ173" s="2" t="s">
        <v>483</v>
      </c>
      <c r="BB173" s="2" t="s">
        <v>329</v>
      </c>
      <c r="BC173" s="2" t="s">
        <v>379</v>
      </c>
      <c r="BF173" s="2" t="s">
        <v>962</v>
      </c>
      <c r="BG173" s="2" t="s">
        <v>95</v>
      </c>
      <c r="BH173" s="2" t="s">
        <v>96</v>
      </c>
      <c r="BI173" s="2" t="s">
        <v>95</v>
      </c>
      <c r="BJ173" s="2" t="s">
        <v>96</v>
      </c>
      <c r="BK173" s="2" t="s">
        <v>567</v>
      </c>
      <c r="BL173" s="2" t="s">
        <v>421</v>
      </c>
      <c r="BM173" s="2">
        <v>6.38</v>
      </c>
      <c r="BN173" s="2">
        <v>16.88</v>
      </c>
      <c r="BP173" s="2">
        <v>6.38</v>
      </c>
      <c r="CA173" s="2" t="s">
        <v>963</v>
      </c>
      <c r="CB173" s="2" t="s">
        <v>956</v>
      </c>
      <c r="CG173" s="2">
        <v>3000</v>
      </c>
      <c r="CH173" s="2">
        <v>92</v>
      </c>
      <c r="CI173" s="2">
        <v>2137</v>
      </c>
      <c r="CJ173" s="2">
        <v>716</v>
      </c>
      <c r="CK173" s="2">
        <v>30000</v>
      </c>
      <c r="CL173" s="2" t="s">
        <v>96</v>
      </c>
      <c r="CM173" s="2" t="s">
        <v>95</v>
      </c>
      <c r="CN173" s="2" t="s">
        <v>577</v>
      </c>
      <c r="CO173" s="3">
        <v>42382</v>
      </c>
      <c r="CP173" s="3">
        <v>43634</v>
      </c>
    </row>
    <row r="174" spans="1:94" x14ac:dyDescent="0.25">
      <c r="A174" s="2" t="s">
        <v>964</v>
      </c>
      <c r="B174" s="2" t="str">
        <f xml:space="preserve"> "" &amp; 844349010999</f>
        <v>844349010999</v>
      </c>
      <c r="C174" s="2" t="s">
        <v>965</v>
      </c>
      <c r="D174" s="2" t="s">
        <v>966</v>
      </c>
      <c r="E174" s="2" t="s">
        <v>967</v>
      </c>
      <c r="F174" s="2" t="s">
        <v>614</v>
      </c>
      <c r="G174" s="2">
        <v>1</v>
      </c>
      <c r="H174" s="2">
        <v>1</v>
      </c>
      <c r="I174" s="2" t="s">
        <v>94</v>
      </c>
      <c r="J174" s="6">
        <v>189</v>
      </c>
      <c r="K174" s="6">
        <v>567</v>
      </c>
      <c r="L174" s="2">
        <v>0</v>
      </c>
      <c r="N174" s="2">
        <v>0</v>
      </c>
      <c r="O174" s="2" t="s">
        <v>96</v>
      </c>
      <c r="P174" s="6">
        <v>396.95</v>
      </c>
      <c r="Q174" s="6"/>
      <c r="R174" s="7"/>
      <c r="S174" s="2">
        <v>6</v>
      </c>
      <c r="T174" s="2">
        <v>3.25</v>
      </c>
      <c r="U174" s="2">
        <v>39.25</v>
      </c>
      <c r="W174" s="2">
        <v>12.02</v>
      </c>
      <c r="X174" s="2">
        <v>1</v>
      </c>
      <c r="Y174" s="2">
        <v>10</v>
      </c>
      <c r="Z174" s="2">
        <v>41.5</v>
      </c>
      <c r="AA174" s="2">
        <v>6</v>
      </c>
      <c r="AB174" s="2">
        <v>1.4410000000000001</v>
      </c>
      <c r="AC174" s="2">
        <v>14.22</v>
      </c>
      <c r="AE174" s="2">
        <v>4</v>
      </c>
      <c r="AF174" s="2" t="s">
        <v>968</v>
      </c>
      <c r="AG174" s="2">
        <v>75</v>
      </c>
      <c r="AK174" s="2" t="s">
        <v>96</v>
      </c>
      <c r="AM174" s="2" t="s">
        <v>95</v>
      </c>
      <c r="AN174" s="2" t="s">
        <v>96</v>
      </c>
      <c r="AO174" s="2" t="s">
        <v>95</v>
      </c>
      <c r="AP174" s="2" t="s">
        <v>97</v>
      </c>
      <c r="AQ174" s="2" t="s">
        <v>98</v>
      </c>
      <c r="AV174" s="2" t="s">
        <v>95</v>
      </c>
      <c r="AX174" s="2" t="s">
        <v>395</v>
      </c>
      <c r="AZ174" s="2" t="s">
        <v>342</v>
      </c>
      <c r="BB174" s="2" t="s">
        <v>54</v>
      </c>
      <c r="BC174" s="2" t="s">
        <v>969</v>
      </c>
      <c r="BF174" s="2" t="s">
        <v>970</v>
      </c>
      <c r="BG174" s="2" t="s">
        <v>95</v>
      </c>
      <c r="BH174" s="2" t="s">
        <v>95</v>
      </c>
      <c r="BI174" s="2" t="s">
        <v>95</v>
      </c>
      <c r="BK174" s="2" t="s">
        <v>100</v>
      </c>
      <c r="BR174" s="2">
        <v>1.1299999999999999</v>
      </c>
      <c r="BT174" s="2">
        <v>6.38</v>
      </c>
      <c r="CA174" s="2" t="s">
        <v>971</v>
      </c>
      <c r="CB174" s="2" t="s">
        <v>395</v>
      </c>
      <c r="CL174" s="2" t="s">
        <v>96</v>
      </c>
      <c r="CM174" s="2" t="s">
        <v>95</v>
      </c>
      <c r="CN174" s="2" t="s">
        <v>937</v>
      </c>
      <c r="CO174" s="3">
        <v>40807</v>
      </c>
      <c r="CP174" s="3">
        <v>43634</v>
      </c>
    </row>
    <row r="175" spans="1:94" x14ac:dyDescent="0.25">
      <c r="A175" s="2" t="s">
        <v>972</v>
      </c>
      <c r="B175" s="2" t="str">
        <f xml:space="preserve"> "" &amp; 844349020264</f>
        <v>844349020264</v>
      </c>
      <c r="C175" s="2" t="s">
        <v>973</v>
      </c>
      <c r="D175" s="2" t="s">
        <v>974</v>
      </c>
      <c r="E175" s="2" t="s">
        <v>975</v>
      </c>
      <c r="F175" s="2" t="s">
        <v>564</v>
      </c>
      <c r="G175" s="2">
        <v>1</v>
      </c>
      <c r="H175" s="2">
        <v>1</v>
      </c>
      <c r="I175" s="2" t="s">
        <v>94</v>
      </c>
      <c r="J175" s="6">
        <v>103</v>
      </c>
      <c r="K175" s="6">
        <v>309</v>
      </c>
      <c r="L175" s="2">
        <v>0</v>
      </c>
      <c r="N175" s="2">
        <v>0</v>
      </c>
      <c r="O175" s="2" t="s">
        <v>96</v>
      </c>
      <c r="P175" s="6">
        <v>215.95</v>
      </c>
      <c r="Q175" s="6"/>
      <c r="R175" s="7"/>
      <c r="S175" s="2">
        <v>11</v>
      </c>
      <c r="T175" s="2">
        <v>12.5</v>
      </c>
      <c r="U175" s="2">
        <v>5</v>
      </c>
      <c r="V175" s="2">
        <v>3</v>
      </c>
      <c r="W175" s="2">
        <v>3.11</v>
      </c>
      <c r="X175" s="2">
        <v>1</v>
      </c>
      <c r="Y175" s="2">
        <v>6.375</v>
      </c>
      <c r="Z175" s="2">
        <v>12.5</v>
      </c>
      <c r="AA175" s="2">
        <v>6.375</v>
      </c>
      <c r="AB175" s="2">
        <v>0.29399999999999998</v>
      </c>
      <c r="AC175" s="2">
        <v>3.7</v>
      </c>
      <c r="AE175" s="2">
        <v>1</v>
      </c>
      <c r="AF175" s="2" t="s">
        <v>347</v>
      </c>
      <c r="AG175" s="2">
        <v>12</v>
      </c>
      <c r="AK175" s="2" t="s">
        <v>96</v>
      </c>
      <c r="AM175" s="2" t="s">
        <v>95</v>
      </c>
      <c r="AN175" s="2" t="s">
        <v>96</v>
      </c>
      <c r="AO175" s="2" t="s">
        <v>95</v>
      </c>
      <c r="AP175" s="2" t="s">
        <v>97</v>
      </c>
      <c r="AQ175" s="2" t="s">
        <v>98</v>
      </c>
      <c r="AV175" s="2" t="s">
        <v>95</v>
      </c>
      <c r="AX175" s="2" t="s">
        <v>592</v>
      </c>
      <c r="AZ175" s="2" t="s">
        <v>483</v>
      </c>
      <c r="BB175" s="2" t="s">
        <v>329</v>
      </c>
      <c r="BC175" s="2" t="s">
        <v>976</v>
      </c>
      <c r="BF175" s="2" t="s">
        <v>977</v>
      </c>
      <c r="BG175" s="2" t="s">
        <v>95</v>
      </c>
      <c r="BH175" s="2" t="s">
        <v>96</v>
      </c>
      <c r="BI175" s="2" t="s">
        <v>95</v>
      </c>
      <c r="BJ175" s="2" t="s">
        <v>96</v>
      </c>
      <c r="BK175" s="2" t="s">
        <v>567</v>
      </c>
      <c r="BL175" s="2" t="s">
        <v>421</v>
      </c>
      <c r="BM175" s="2">
        <v>4.5</v>
      </c>
      <c r="BN175" s="2">
        <v>10.5</v>
      </c>
      <c r="BP175" s="2">
        <v>4.5</v>
      </c>
      <c r="CA175" s="2" t="s">
        <v>978</v>
      </c>
      <c r="CB175" s="2" t="s">
        <v>592</v>
      </c>
      <c r="CG175" s="2">
        <v>3000</v>
      </c>
      <c r="CH175" s="2">
        <v>93</v>
      </c>
      <c r="CI175" s="2">
        <v>1006</v>
      </c>
      <c r="CJ175" s="2">
        <v>506</v>
      </c>
      <c r="CK175" s="2">
        <v>30000</v>
      </c>
      <c r="CL175" s="2" t="s">
        <v>96</v>
      </c>
      <c r="CM175" s="2" t="s">
        <v>95</v>
      </c>
      <c r="CN175" s="2" t="s">
        <v>577</v>
      </c>
      <c r="CO175" s="3">
        <v>42382</v>
      </c>
      <c r="CP175" s="3">
        <v>43634</v>
      </c>
    </row>
    <row r="176" spans="1:94" x14ac:dyDescent="0.25">
      <c r="A176" s="2" t="s">
        <v>979</v>
      </c>
      <c r="B176" s="2" t="str">
        <f xml:space="preserve"> "" &amp; 844349020288</f>
        <v>844349020288</v>
      </c>
      <c r="C176" s="2" t="s">
        <v>973</v>
      </c>
      <c r="D176" s="2" t="s">
        <v>974</v>
      </c>
      <c r="E176" s="2" t="s">
        <v>975</v>
      </c>
      <c r="F176" s="2" t="s">
        <v>564</v>
      </c>
      <c r="G176" s="2">
        <v>1</v>
      </c>
      <c r="H176" s="2">
        <v>1</v>
      </c>
      <c r="I176" s="2" t="s">
        <v>94</v>
      </c>
      <c r="J176" s="6">
        <v>129</v>
      </c>
      <c r="K176" s="6">
        <v>387</v>
      </c>
      <c r="L176" s="2">
        <v>0</v>
      </c>
      <c r="N176" s="2">
        <v>0</v>
      </c>
      <c r="O176" s="2" t="s">
        <v>96</v>
      </c>
      <c r="P176" s="6">
        <v>269.95</v>
      </c>
      <c r="Q176" s="6"/>
      <c r="R176" s="7"/>
      <c r="S176" s="2">
        <v>15</v>
      </c>
      <c r="U176" s="2">
        <v>5</v>
      </c>
      <c r="V176" s="2">
        <v>3</v>
      </c>
      <c r="W176" s="2">
        <v>4.28</v>
      </c>
      <c r="X176" s="2">
        <v>1</v>
      </c>
      <c r="Y176" s="2">
        <v>6.38</v>
      </c>
      <c r="Z176" s="2">
        <v>16.38</v>
      </c>
      <c r="AA176" s="2">
        <v>6.38</v>
      </c>
      <c r="AB176" s="2">
        <v>0.38600000000000001</v>
      </c>
      <c r="AC176" s="2">
        <v>4.9800000000000004</v>
      </c>
      <c r="AE176" s="2">
        <v>1</v>
      </c>
      <c r="AF176" s="2" t="s">
        <v>347</v>
      </c>
      <c r="AG176" s="2">
        <v>16</v>
      </c>
      <c r="AK176" s="2" t="s">
        <v>96</v>
      </c>
      <c r="AM176" s="2" t="s">
        <v>95</v>
      </c>
      <c r="AN176" s="2" t="s">
        <v>96</v>
      </c>
      <c r="AO176" s="2" t="s">
        <v>95</v>
      </c>
      <c r="AP176" s="2" t="s">
        <v>97</v>
      </c>
      <c r="AQ176" s="2" t="s">
        <v>98</v>
      </c>
      <c r="AV176" s="2" t="s">
        <v>95</v>
      </c>
      <c r="AX176" s="2" t="s">
        <v>592</v>
      </c>
      <c r="AZ176" s="2" t="s">
        <v>483</v>
      </c>
      <c r="BB176" s="2" t="s">
        <v>329</v>
      </c>
      <c r="BC176" s="2" t="s">
        <v>976</v>
      </c>
      <c r="BF176" s="2" t="s">
        <v>980</v>
      </c>
      <c r="BG176" s="2" t="s">
        <v>95</v>
      </c>
      <c r="BH176" s="2" t="s">
        <v>96</v>
      </c>
      <c r="BI176" s="2" t="s">
        <v>95</v>
      </c>
      <c r="BJ176" s="2" t="s">
        <v>96</v>
      </c>
      <c r="BK176" s="2" t="s">
        <v>567</v>
      </c>
      <c r="BL176" s="2" t="s">
        <v>421</v>
      </c>
      <c r="BM176" s="2">
        <v>4.5</v>
      </c>
      <c r="BN176" s="2">
        <v>14.5</v>
      </c>
      <c r="CA176" s="2" t="s">
        <v>981</v>
      </c>
      <c r="CB176" s="2" t="s">
        <v>592</v>
      </c>
      <c r="CG176" s="2">
        <v>3000</v>
      </c>
      <c r="CH176" s="2">
        <v>92</v>
      </c>
      <c r="CI176" s="2">
        <v>1319.5</v>
      </c>
      <c r="CJ176" s="2">
        <v>701.8</v>
      </c>
      <c r="CK176" s="2">
        <v>30000</v>
      </c>
      <c r="CL176" s="2" t="s">
        <v>96</v>
      </c>
      <c r="CM176" s="2" t="s">
        <v>95</v>
      </c>
      <c r="CN176" s="2" t="s">
        <v>577</v>
      </c>
      <c r="CO176" s="3">
        <v>42382</v>
      </c>
      <c r="CP176" s="3">
        <v>43634</v>
      </c>
    </row>
    <row r="177" spans="1:94" x14ac:dyDescent="0.25">
      <c r="A177" s="2" t="s">
        <v>982</v>
      </c>
      <c r="B177" s="2" t="str">
        <f xml:space="preserve"> "" &amp; 844349020271</f>
        <v>844349020271</v>
      </c>
      <c r="C177" s="2" t="s">
        <v>973</v>
      </c>
      <c r="D177" s="2" t="s">
        <v>974</v>
      </c>
      <c r="E177" s="2" t="s">
        <v>975</v>
      </c>
      <c r="F177" s="2" t="s">
        <v>564</v>
      </c>
      <c r="G177" s="2">
        <v>1</v>
      </c>
      <c r="H177" s="2">
        <v>1</v>
      </c>
      <c r="I177" s="2" t="s">
        <v>94</v>
      </c>
      <c r="J177" s="6">
        <v>129</v>
      </c>
      <c r="K177" s="6">
        <v>387</v>
      </c>
      <c r="L177" s="2">
        <v>0</v>
      </c>
      <c r="N177" s="2">
        <v>0</v>
      </c>
      <c r="O177" s="2" t="s">
        <v>96</v>
      </c>
      <c r="P177" s="6">
        <v>269.95</v>
      </c>
      <c r="Q177" s="6"/>
      <c r="R177" s="7"/>
      <c r="S177" s="2">
        <v>15</v>
      </c>
      <c r="U177" s="2">
        <v>5</v>
      </c>
      <c r="V177" s="2">
        <v>3</v>
      </c>
      <c r="W177" s="2">
        <v>4.28</v>
      </c>
      <c r="X177" s="2">
        <v>1</v>
      </c>
      <c r="Y177" s="2">
        <v>6.38</v>
      </c>
      <c r="Z177" s="2">
        <v>16.38</v>
      </c>
      <c r="AA177" s="2">
        <v>6.38</v>
      </c>
      <c r="AB177" s="2">
        <v>0.38600000000000001</v>
      </c>
      <c r="AC177" s="2">
        <v>4.9800000000000004</v>
      </c>
      <c r="AE177" s="2">
        <v>1</v>
      </c>
      <c r="AF177" s="2" t="s">
        <v>347</v>
      </c>
      <c r="AG177" s="2">
        <v>16</v>
      </c>
      <c r="AK177" s="2" t="s">
        <v>96</v>
      </c>
      <c r="AM177" s="2" t="s">
        <v>95</v>
      </c>
      <c r="AN177" s="2" t="s">
        <v>96</v>
      </c>
      <c r="AO177" s="2" t="s">
        <v>95</v>
      </c>
      <c r="AP177" s="2" t="s">
        <v>97</v>
      </c>
      <c r="AQ177" s="2" t="s">
        <v>98</v>
      </c>
      <c r="AV177" s="2" t="s">
        <v>95</v>
      </c>
      <c r="AX177" s="2" t="s">
        <v>840</v>
      </c>
      <c r="AZ177" s="2" t="s">
        <v>483</v>
      </c>
      <c r="BB177" s="2" t="s">
        <v>329</v>
      </c>
      <c r="BC177" s="2" t="s">
        <v>976</v>
      </c>
      <c r="BF177" s="2" t="s">
        <v>983</v>
      </c>
      <c r="BG177" s="2" t="s">
        <v>95</v>
      </c>
      <c r="BH177" s="2" t="s">
        <v>96</v>
      </c>
      <c r="BI177" s="2" t="s">
        <v>95</v>
      </c>
      <c r="BJ177" s="2" t="s">
        <v>96</v>
      </c>
      <c r="BK177" s="2" t="s">
        <v>567</v>
      </c>
      <c r="BL177" s="2" t="s">
        <v>421</v>
      </c>
      <c r="BM177" s="2">
        <v>4.5</v>
      </c>
      <c r="BN177" s="2">
        <v>14.5</v>
      </c>
      <c r="CA177" s="2" t="s">
        <v>981</v>
      </c>
      <c r="CB177" s="2" t="s">
        <v>840</v>
      </c>
      <c r="CG177" s="2">
        <v>3000</v>
      </c>
      <c r="CH177" s="2">
        <v>92</v>
      </c>
      <c r="CI177" s="2">
        <v>1319.5</v>
      </c>
      <c r="CJ177" s="2">
        <v>701.8</v>
      </c>
      <c r="CK177" s="2">
        <v>30000</v>
      </c>
      <c r="CL177" s="2" t="s">
        <v>96</v>
      </c>
      <c r="CM177" s="2" t="s">
        <v>95</v>
      </c>
      <c r="CN177" s="2" t="s">
        <v>577</v>
      </c>
      <c r="CO177" s="3">
        <v>42382</v>
      </c>
      <c r="CP177" s="3">
        <v>43634</v>
      </c>
    </row>
    <row r="178" spans="1:94" x14ac:dyDescent="0.25">
      <c r="A178" s="2" t="s">
        <v>984</v>
      </c>
      <c r="B178" s="2" t="str">
        <f xml:space="preserve"> "" &amp; 844349020530</f>
        <v>844349020530</v>
      </c>
      <c r="C178" s="2" t="s">
        <v>391</v>
      </c>
      <c r="D178" s="2" t="s">
        <v>985</v>
      </c>
      <c r="E178" s="2" t="s">
        <v>986</v>
      </c>
      <c r="F178" s="2" t="s">
        <v>393</v>
      </c>
      <c r="G178" s="2">
        <v>1</v>
      </c>
      <c r="H178" s="2">
        <v>1</v>
      </c>
      <c r="I178" s="2" t="s">
        <v>94</v>
      </c>
      <c r="J178" s="6">
        <v>65</v>
      </c>
      <c r="K178" s="6">
        <v>195</v>
      </c>
      <c r="L178" s="2">
        <v>0</v>
      </c>
      <c r="N178" s="2">
        <v>0</v>
      </c>
      <c r="O178" s="2" t="s">
        <v>96</v>
      </c>
      <c r="P178" s="6">
        <v>136.94999999999999</v>
      </c>
      <c r="Q178" s="6"/>
      <c r="R178" s="7"/>
      <c r="S178" s="2">
        <v>6.25</v>
      </c>
      <c r="T178" s="2">
        <v>5</v>
      </c>
      <c r="U178" s="2">
        <v>5</v>
      </c>
      <c r="W178" s="2">
        <v>3.42</v>
      </c>
      <c r="X178" s="2">
        <v>1</v>
      </c>
      <c r="Y178" s="2">
        <v>7.75</v>
      </c>
      <c r="Z178" s="2">
        <v>13.5</v>
      </c>
      <c r="AA178" s="2">
        <v>7</v>
      </c>
      <c r="AB178" s="2">
        <v>0.42399999999999999</v>
      </c>
      <c r="AC178" s="2">
        <v>4.1900000000000004</v>
      </c>
      <c r="AE178" s="2">
        <v>1</v>
      </c>
      <c r="AF178" s="2" t="s">
        <v>440</v>
      </c>
      <c r="AG178" s="2">
        <v>100</v>
      </c>
      <c r="AK178" s="2" t="s">
        <v>95</v>
      </c>
      <c r="AM178" s="2" t="s">
        <v>95</v>
      </c>
      <c r="AN178" s="2" t="s">
        <v>96</v>
      </c>
      <c r="AO178" s="2" t="s">
        <v>95</v>
      </c>
      <c r="AP178" s="2" t="s">
        <v>97</v>
      </c>
      <c r="AQ178" s="2" t="s">
        <v>98</v>
      </c>
      <c r="AV178" s="2" t="s">
        <v>95</v>
      </c>
      <c r="AX178" s="2" t="s">
        <v>395</v>
      </c>
      <c r="AZ178" s="2" t="s">
        <v>483</v>
      </c>
      <c r="BB178" s="2" t="s">
        <v>329</v>
      </c>
      <c r="BC178" s="2" t="s">
        <v>451</v>
      </c>
      <c r="BF178" s="2" t="s">
        <v>987</v>
      </c>
      <c r="BG178" s="2" t="s">
        <v>95</v>
      </c>
      <c r="BH178" s="2" t="s">
        <v>95</v>
      </c>
      <c r="BI178" s="2" t="s">
        <v>95</v>
      </c>
      <c r="BK178" s="2" t="s">
        <v>100</v>
      </c>
      <c r="BQ178" s="2">
        <v>5</v>
      </c>
      <c r="BR178" s="2">
        <v>1</v>
      </c>
      <c r="BS178" s="2">
        <v>5</v>
      </c>
      <c r="BT178" s="2">
        <v>5</v>
      </c>
      <c r="CA178" s="2" t="s">
        <v>988</v>
      </c>
      <c r="CB178" s="2" t="s">
        <v>395</v>
      </c>
      <c r="CL178" s="2" t="s">
        <v>96</v>
      </c>
      <c r="CM178" s="2" t="s">
        <v>96</v>
      </c>
      <c r="CN178" s="2" t="s">
        <v>460</v>
      </c>
      <c r="CO178" s="3">
        <v>42324</v>
      </c>
      <c r="CP178" s="3">
        <v>43634</v>
      </c>
    </row>
    <row r="179" spans="1:94" x14ac:dyDescent="0.25">
      <c r="A179" s="2" t="s">
        <v>989</v>
      </c>
      <c r="B179" s="2" t="str">
        <f xml:space="preserve"> "" &amp; 844349020547</f>
        <v>844349020547</v>
      </c>
      <c r="C179" s="2" t="s">
        <v>990</v>
      </c>
      <c r="D179" s="2" t="s">
        <v>991</v>
      </c>
      <c r="E179" s="2" t="s">
        <v>986</v>
      </c>
      <c r="F179" s="2" t="s">
        <v>658</v>
      </c>
      <c r="G179" s="2">
        <v>1</v>
      </c>
      <c r="H179" s="2">
        <v>1</v>
      </c>
      <c r="I179" s="2" t="s">
        <v>94</v>
      </c>
      <c r="J179" s="6">
        <v>57</v>
      </c>
      <c r="K179" s="6">
        <v>171</v>
      </c>
      <c r="L179" s="2">
        <v>0</v>
      </c>
      <c r="N179" s="2">
        <v>0</v>
      </c>
      <c r="O179" s="2" t="s">
        <v>96</v>
      </c>
      <c r="P179" s="6">
        <v>119.95</v>
      </c>
      <c r="Q179" s="6"/>
      <c r="R179" s="7"/>
      <c r="S179" s="2">
        <v>6.75</v>
      </c>
      <c r="T179" s="2">
        <v>11.13</v>
      </c>
      <c r="U179" s="2">
        <v>5</v>
      </c>
      <c r="V179" s="2">
        <v>6</v>
      </c>
      <c r="W179" s="2">
        <v>9.8800000000000008</v>
      </c>
      <c r="X179" s="2">
        <v>1</v>
      </c>
      <c r="Y179" s="2">
        <v>7.25</v>
      </c>
      <c r="Z179" s="2">
        <v>11.13</v>
      </c>
      <c r="AA179" s="2">
        <v>8.3800000000000008</v>
      </c>
      <c r="AB179" s="2">
        <v>0.39100000000000001</v>
      </c>
      <c r="AC179" s="2">
        <v>13.89</v>
      </c>
      <c r="AE179" s="2">
        <v>1</v>
      </c>
      <c r="AF179" s="2" t="s">
        <v>440</v>
      </c>
      <c r="AG179" s="2">
        <v>100</v>
      </c>
      <c r="AK179" s="2" t="s">
        <v>95</v>
      </c>
      <c r="AM179" s="2" t="s">
        <v>95</v>
      </c>
      <c r="AN179" s="2" t="s">
        <v>96</v>
      </c>
      <c r="AO179" s="2" t="s">
        <v>95</v>
      </c>
      <c r="AP179" s="2" t="s">
        <v>97</v>
      </c>
      <c r="AQ179" s="2" t="s">
        <v>98</v>
      </c>
      <c r="AV179" s="2" t="s">
        <v>95</v>
      </c>
      <c r="AX179" s="2" t="s">
        <v>395</v>
      </c>
      <c r="AZ179" s="2" t="s">
        <v>483</v>
      </c>
      <c r="BB179" s="2" t="s">
        <v>329</v>
      </c>
      <c r="BC179" s="2" t="s">
        <v>451</v>
      </c>
      <c r="BF179" s="2" t="s">
        <v>992</v>
      </c>
      <c r="BG179" s="2" t="s">
        <v>95</v>
      </c>
      <c r="BH179" s="2" t="s">
        <v>95</v>
      </c>
      <c r="BI179" s="2" t="s">
        <v>95</v>
      </c>
      <c r="BK179" s="2" t="s">
        <v>414</v>
      </c>
      <c r="BL179" s="2" t="s">
        <v>993</v>
      </c>
      <c r="BR179" s="2">
        <v>6</v>
      </c>
      <c r="BT179" s="2">
        <v>4.5</v>
      </c>
      <c r="CA179" s="2" t="s">
        <v>994</v>
      </c>
      <c r="CB179" s="2" t="s">
        <v>395</v>
      </c>
      <c r="CL179" s="2" t="s">
        <v>96</v>
      </c>
      <c r="CM179" s="2" t="s">
        <v>95</v>
      </c>
      <c r="CN179" s="2" t="s">
        <v>460</v>
      </c>
      <c r="CO179" s="3">
        <v>42324</v>
      </c>
      <c r="CP179" s="3">
        <v>43634</v>
      </c>
    </row>
    <row r="180" spans="1:94" x14ac:dyDescent="0.25">
      <c r="A180" s="2" t="s">
        <v>995</v>
      </c>
      <c r="B180" s="2" t="str">
        <f xml:space="preserve"> "" &amp; 844349020554</f>
        <v>844349020554</v>
      </c>
      <c r="C180" s="2" t="s">
        <v>996</v>
      </c>
      <c r="D180" s="2" t="s">
        <v>997</v>
      </c>
      <c r="E180" s="2" t="s">
        <v>986</v>
      </c>
      <c r="F180" s="2" t="s">
        <v>658</v>
      </c>
      <c r="G180" s="2">
        <v>1</v>
      </c>
      <c r="H180" s="2">
        <v>1</v>
      </c>
      <c r="I180" s="2" t="s">
        <v>94</v>
      </c>
      <c r="J180" s="6">
        <v>69</v>
      </c>
      <c r="K180" s="6">
        <v>207</v>
      </c>
      <c r="L180" s="2">
        <v>0</v>
      </c>
      <c r="N180" s="2">
        <v>0</v>
      </c>
      <c r="O180" s="2" t="s">
        <v>96</v>
      </c>
      <c r="P180" s="6">
        <v>144.94999999999999</v>
      </c>
      <c r="Q180" s="6"/>
      <c r="R180" s="7"/>
      <c r="S180" s="2">
        <v>6.75</v>
      </c>
      <c r="U180" s="2">
        <v>14.5</v>
      </c>
      <c r="V180" s="2">
        <v>6</v>
      </c>
      <c r="W180" s="2">
        <v>5.45</v>
      </c>
      <c r="X180" s="2">
        <v>1</v>
      </c>
      <c r="Y180" s="2">
        <v>11.38</v>
      </c>
      <c r="Z180" s="2">
        <v>17</v>
      </c>
      <c r="AA180" s="2">
        <v>9.1300000000000008</v>
      </c>
      <c r="AB180" s="2">
        <v>1.022</v>
      </c>
      <c r="AC180" s="2">
        <v>7.52</v>
      </c>
      <c r="AE180" s="2">
        <v>2</v>
      </c>
      <c r="AF180" s="2" t="s">
        <v>440</v>
      </c>
      <c r="AG180" s="2">
        <v>100</v>
      </c>
      <c r="AK180" s="2" t="s">
        <v>95</v>
      </c>
      <c r="AM180" s="2" t="s">
        <v>95</v>
      </c>
      <c r="AN180" s="2" t="s">
        <v>96</v>
      </c>
      <c r="AO180" s="2" t="s">
        <v>95</v>
      </c>
      <c r="AP180" s="2" t="s">
        <v>97</v>
      </c>
      <c r="AQ180" s="2" t="s">
        <v>98</v>
      </c>
      <c r="AV180" s="2" t="s">
        <v>95</v>
      </c>
      <c r="AX180" s="2" t="s">
        <v>395</v>
      </c>
      <c r="AZ180" s="2" t="s">
        <v>483</v>
      </c>
      <c r="BB180" s="2" t="s">
        <v>329</v>
      </c>
      <c r="BC180" s="2" t="s">
        <v>451</v>
      </c>
      <c r="BF180" s="2" t="s">
        <v>998</v>
      </c>
      <c r="BG180" s="2" t="s">
        <v>95</v>
      </c>
      <c r="BH180" s="2" t="s">
        <v>95</v>
      </c>
      <c r="BI180" s="2" t="s">
        <v>95</v>
      </c>
      <c r="BK180" s="2" t="s">
        <v>414</v>
      </c>
      <c r="BL180" s="2" t="s">
        <v>993</v>
      </c>
      <c r="BR180" s="2">
        <v>4.5</v>
      </c>
      <c r="BT180" s="2">
        <v>14.5</v>
      </c>
      <c r="CA180" s="2" t="s">
        <v>999</v>
      </c>
      <c r="CB180" s="2" t="s">
        <v>395</v>
      </c>
      <c r="CL180" s="2" t="s">
        <v>96</v>
      </c>
      <c r="CM180" s="2" t="s">
        <v>95</v>
      </c>
      <c r="CN180" s="2" t="s">
        <v>460</v>
      </c>
      <c r="CO180" s="3">
        <v>42324</v>
      </c>
      <c r="CP180" s="3">
        <v>43634</v>
      </c>
    </row>
    <row r="181" spans="1:94" x14ac:dyDescent="0.25">
      <c r="A181" s="2" t="s">
        <v>1000</v>
      </c>
      <c r="B181" s="2" t="str">
        <f xml:space="preserve"> "" &amp; 844349020561</f>
        <v>844349020561</v>
      </c>
      <c r="C181" s="2" t="s">
        <v>1001</v>
      </c>
      <c r="D181" s="2" t="s">
        <v>1002</v>
      </c>
      <c r="E181" s="2" t="s">
        <v>986</v>
      </c>
      <c r="F181" s="2" t="s">
        <v>658</v>
      </c>
      <c r="G181" s="2">
        <v>1</v>
      </c>
      <c r="H181" s="2">
        <v>1</v>
      </c>
      <c r="I181" s="2" t="s">
        <v>94</v>
      </c>
      <c r="J181" s="6">
        <v>95</v>
      </c>
      <c r="K181" s="6">
        <v>285</v>
      </c>
      <c r="L181" s="2">
        <v>0</v>
      </c>
      <c r="N181" s="2">
        <v>0</v>
      </c>
      <c r="O181" s="2" t="s">
        <v>96</v>
      </c>
      <c r="P181" s="6">
        <v>199.95</v>
      </c>
      <c r="Q181" s="6"/>
      <c r="R181" s="7"/>
      <c r="S181" s="2">
        <v>6.75</v>
      </c>
      <c r="U181" s="2">
        <v>23</v>
      </c>
      <c r="V181" s="2">
        <v>6</v>
      </c>
      <c r="W181" s="2">
        <v>8.58</v>
      </c>
      <c r="X181" s="2">
        <v>1</v>
      </c>
      <c r="Y181" s="2">
        <v>11.38</v>
      </c>
      <c r="Z181" s="2">
        <v>25.5</v>
      </c>
      <c r="AA181" s="2">
        <v>9.1300000000000008</v>
      </c>
      <c r="AB181" s="2">
        <v>1.5329999999999999</v>
      </c>
      <c r="AC181" s="2">
        <v>11.51</v>
      </c>
      <c r="AE181" s="2">
        <v>3</v>
      </c>
      <c r="AF181" s="2" t="s">
        <v>440</v>
      </c>
      <c r="AG181" s="2">
        <v>100</v>
      </c>
      <c r="AK181" s="2" t="s">
        <v>95</v>
      </c>
      <c r="AM181" s="2" t="s">
        <v>95</v>
      </c>
      <c r="AN181" s="2" t="s">
        <v>96</v>
      </c>
      <c r="AO181" s="2" t="s">
        <v>95</v>
      </c>
      <c r="AP181" s="2" t="s">
        <v>97</v>
      </c>
      <c r="AQ181" s="2" t="s">
        <v>98</v>
      </c>
      <c r="AV181" s="2" t="s">
        <v>95</v>
      </c>
      <c r="AX181" s="2" t="s">
        <v>395</v>
      </c>
      <c r="AZ181" s="2" t="s">
        <v>483</v>
      </c>
      <c r="BB181" s="2" t="s">
        <v>329</v>
      </c>
      <c r="BC181" s="2" t="s">
        <v>451</v>
      </c>
      <c r="BF181" s="2" t="s">
        <v>1003</v>
      </c>
      <c r="BG181" s="2" t="s">
        <v>95</v>
      </c>
      <c r="BH181" s="2" t="s">
        <v>95</v>
      </c>
      <c r="BI181" s="2" t="s">
        <v>95</v>
      </c>
      <c r="BK181" s="2" t="s">
        <v>414</v>
      </c>
      <c r="BL181" s="2" t="s">
        <v>993</v>
      </c>
      <c r="BR181" s="2">
        <v>4.5</v>
      </c>
      <c r="BT181" s="2">
        <v>23</v>
      </c>
      <c r="CA181" s="2" t="s">
        <v>1004</v>
      </c>
      <c r="CB181" s="2" t="s">
        <v>395</v>
      </c>
      <c r="CL181" s="2" t="s">
        <v>96</v>
      </c>
      <c r="CM181" s="2" t="s">
        <v>95</v>
      </c>
      <c r="CN181" s="2" t="s">
        <v>460</v>
      </c>
      <c r="CO181" s="3">
        <v>42324</v>
      </c>
      <c r="CP181" s="3">
        <v>43634</v>
      </c>
    </row>
    <row r="182" spans="1:94" x14ac:dyDescent="0.25">
      <c r="A182" s="2" t="s">
        <v>1005</v>
      </c>
      <c r="B182" s="2" t="str">
        <f xml:space="preserve"> "" &amp; 844349020578</f>
        <v>844349020578</v>
      </c>
      <c r="C182" s="2" t="s">
        <v>1006</v>
      </c>
      <c r="D182" s="2" t="s">
        <v>1007</v>
      </c>
      <c r="E182" s="2" t="s">
        <v>986</v>
      </c>
      <c r="F182" s="2" t="s">
        <v>658</v>
      </c>
      <c r="G182" s="2">
        <v>1</v>
      </c>
      <c r="H182" s="2">
        <v>1</v>
      </c>
      <c r="I182" s="2" t="s">
        <v>94</v>
      </c>
      <c r="J182" s="6">
        <v>115</v>
      </c>
      <c r="K182" s="6">
        <v>345</v>
      </c>
      <c r="L182" s="2">
        <v>0</v>
      </c>
      <c r="N182" s="2">
        <v>0</v>
      </c>
      <c r="O182" s="2" t="s">
        <v>96</v>
      </c>
      <c r="P182" s="6">
        <v>239.95</v>
      </c>
      <c r="Q182" s="6"/>
      <c r="R182" s="7"/>
      <c r="S182" s="2">
        <v>6.75</v>
      </c>
      <c r="U182" s="2">
        <v>31.5</v>
      </c>
      <c r="V182" s="2">
        <v>6</v>
      </c>
      <c r="W182" s="2">
        <v>11.44</v>
      </c>
      <c r="X182" s="2">
        <v>1</v>
      </c>
      <c r="Y182" s="2">
        <v>11.38</v>
      </c>
      <c r="Z182" s="2">
        <v>34</v>
      </c>
      <c r="AA182" s="2">
        <v>9.1300000000000008</v>
      </c>
      <c r="AB182" s="2">
        <v>2.044</v>
      </c>
      <c r="AC182" s="2">
        <v>15.28</v>
      </c>
      <c r="AE182" s="2">
        <v>4</v>
      </c>
      <c r="AF182" s="2" t="s">
        <v>440</v>
      </c>
      <c r="AG182" s="2">
        <v>100</v>
      </c>
      <c r="AK182" s="2" t="s">
        <v>95</v>
      </c>
      <c r="AM182" s="2" t="s">
        <v>95</v>
      </c>
      <c r="AN182" s="2" t="s">
        <v>96</v>
      </c>
      <c r="AO182" s="2" t="s">
        <v>95</v>
      </c>
      <c r="AP182" s="2" t="s">
        <v>97</v>
      </c>
      <c r="AQ182" s="2" t="s">
        <v>98</v>
      </c>
      <c r="AV182" s="2" t="s">
        <v>95</v>
      </c>
      <c r="AX182" s="2" t="s">
        <v>395</v>
      </c>
      <c r="AZ182" s="2" t="s">
        <v>483</v>
      </c>
      <c r="BB182" s="2" t="s">
        <v>329</v>
      </c>
      <c r="BC182" s="2" t="s">
        <v>451</v>
      </c>
      <c r="BF182" s="2" t="s">
        <v>1008</v>
      </c>
      <c r="BG182" s="2" t="s">
        <v>95</v>
      </c>
      <c r="BH182" s="2" t="s">
        <v>95</v>
      </c>
      <c r="BI182" s="2" t="s">
        <v>95</v>
      </c>
      <c r="BK182" s="2" t="s">
        <v>414</v>
      </c>
      <c r="BL182" s="2" t="s">
        <v>993</v>
      </c>
      <c r="BR182" s="2">
        <v>4.5</v>
      </c>
      <c r="BT182" s="2">
        <v>31.5</v>
      </c>
      <c r="CA182" s="2" t="s">
        <v>1009</v>
      </c>
      <c r="CB182" s="2" t="s">
        <v>395</v>
      </c>
      <c r="CL182" s="2" t="s">
        <v>96</v>
      </c>
      <c r="CM182" s="2" t="s">
        <v>95</v>
      </c>
      <c r="CN182" s="2" t="s">
        <v>460</v>
      </c>
      <c r="CO182" s="3">
        <v>42324</v>
      </c>
      <c r="CP182" s="3">
        <v>43634</v>
      </c>
    </row>
    <row r="183" spans="1:94" x14ac:dyDescent="0.25">
      <c r="A183" s="2" t="s">
        <v>1010</v>
      </c>
      <c r="B183" s="2" t="str">
        <f xml:space="preserve"> "" &amp; 844349022558</f>
        <v>844349022558</v>
      </c>
      <c r="C183" s="2" t="s">
        <v>526</v>
      </c>
      <c r="D183" s="2" t="s">
        <v>1011</v>
      </c>
      <c r="E183" s="2" t="s">
        <v>1012</v>
      </c>
      <c r="F183" s="2" t="s">
        <v>340</v>
      </c>
      <c r="G183" s="2">
        <v>1</v>
      </c>
      <c r="H183" s="2">
        <v>1</v>
      </c>
      <c r="I183" s="2" t="s">
        <v>94</v>
      </c>
      <c r="J183" s="6">
        <v>86</v>
      </c>
      <c r="K183" s="6">
        <v>258</v>
      </c>
      <c r="L183" s="2">
        <v>0</v>
      </c>
      <c r="N183" s="2">
        <v>0</v>
      </c>
      <c r="O183" s="2" t="s">
        <v>96</v>
      </c>
      <c r="P183" s="6">
        <v>183.95</v>
      </c>
      <c r="Q183" s="6"/>
      <c r="R183" s="7"/>
      <c r="S183" s="2">
        <v>10</v>
      </c>
      <c r="U183" s="2">
        <v>6</v>
      </c>
      <c r="V183" s="2">
        <v>7.25</v>
      </c>
      <c r="W183" s="2">
        <v>2.87</v>
      </c>
      <c r="X183" s="2">
        <v>1</v>
      </c>
      <c r="Y183" s="2">
        <v>9</v>
      </c>
      <c r="Z183" s="2">
        <v>12.5</v>
      </c>
      <c r="AA183" s="2">
        <v>9.5</v>
      </c>
      <c r="AB183" s="2">
        <v>0.61799999999999999</v>
      </c>
      <c r="AC183" s="2">
        <v>3.75</v>
      </c>
      <c r="AE183" s="2">
        <v>1</v>
      </c>
      <c r="AF183" s="2" t="s">
        <v>347</v>
      </c>
      <c r="AG183" s="2">
        <v>10</v>
      </c>
      <c r="AK183" s="2" t="s">
        <v>96</v>
      </c>
      <c r="AM183" s="2" t="s">
        <v>95</v>
      </c>
      <c r="AN183" s="2" t="s">
        <v>96</v>
      </c>
      <c r="AO183" s="2" t="s">
        <v>95</v>
      </c>
      <c r="AP183" s="2" t="s">
        <v>97</v>
      </c>
      <c r="AQ183" s="2" t="s">
        <v>98</v>
      </c>
      <c r="AV183" s="2" t="s">
        <v>95</v>
      </c>
      <c r="AX183" s="2" t="s">
        <v>634</v>
      </c>
      <c r="AZ183" s="2" t="s">
        <v>483</v>
      </c>
      <c r="BB183" s="2" t="s">
        <v>490</v>
      </c>
      <c r="BC183" s="2" t="s">
        <v>498</v>
      </c>
      <c r="BF183" s="2" t="s">
        <v>1013</v>
      </c>
      <c r="BG183" s="2" t="s">
        <v>95</v>
      </c>
      <c r="BH183" s="2" t="s">
        <v>95</v>
      </c>
      <c r="BI183" s="2" t="s">
        <v>95</v>
      </c>
      <c r="BK183" s="2" t="s">
        <v>414</v>
      </c>
      <c r="BM183" s="2">
        <v>5</v>
      </c>
      <c r="BN183" s="2">
        <v>0.63</v>
      </c>
      <c r="BO183" s="2">
        <v>5</v>
      </c>
      <c r="CA183" s="2" t="s">
        <v>1014</v>
      </c>
      <c r="CB183" s="2" t="s">
        <v>634</v>
      </c>
      <c r="CG183" s="2">
        <v>3000</v>
      </c>
      <c r="CH183" s="2">
        <v>93</v>
      </c>
      <c r="CI183" s="2">
        <v>904</v>
      </c>
      <c r="CJ183" s="2">
        <v>274</v>
      </c>
      <c r="CK183" s="2">
        <v>30000</v>
      </c>
      <c r="CL183" s="2" t="s">
        <v>96</v>
      </c>
      <c r="CM183" s="2" t="s">
        <v>95</v>
      </c>
      <c r="CN183" s="2" t="s">
        <v>1015</v>
      </c>
      <c r="CO183" s="3">
        <v>42699</v>
      </c>
      <c r="CP183" s="3">
        <v>43634</v>
      </c>
    </row>
    <row r="184" spans="1:94" x14ac:dyDescent="0.25">
      <c r="A184" s="2" t="s">
        <v>1016</v>
      </c>
      <c r="B184" s="2" t="str">
        <f xml:space="preserve"> "" &amp; 844349022534</f>
        <v>844349022534</v>
      </c>
      <c r="C184" s="2" t="s">
        <v>488</v>
      </c>
      <c r="D184" s="2" t="s">
        <v>1017</v>
      </c>
      <c r="E184" s="2" t="s">
        <v>1012</v>
      </c>
      <c r="F184" s="2" t="s">
        <v>340</v>
      </c>
      <c r="G184" s="2">
        <v>1</v>
      </c>
      <c r="H184" s="2">
        <v>1</v>
      </c>
      <c r="I184" s="2" t="s">
        <v>94</v>
      </c>
      <c r="J184" s="6">
        <v>130</v>
      </c>
      <c r="K184" s="6">
        <v>390</v>
      </c>
      <c r="L184" s="2">
        <v>0</v>
      </c>
      <c r="N184" s="2">
        <v>0</v>
      </c>
      <c r="O184" s="2" t="s">
        <v>96</v>
      </c>
      <c r="P184" s="6">
        <v>274.95</v>
      </c>
      <c r="Q184" s="6"/>
      <c r="R184" s="7"/>
      <c r="S184" s="2">
        <v>13.5</v>
      </c>
      <c r="U184" s="2">
        <v>9</v>
      </c>
      <c r="W184" s="2">
        <v>6.88</v>
      </c>
      <c r="X184" s="2">
        <v>1</v>
      </c>
      <c r="Y184" s="2">
        <v>18.25</v>
      </c>
      <c r="Z184" s="2">
        <v>11.38</v>
      </c>
      <c r="AA184" s="2">
        <v>11.38</v>
      </c>
      <c r="AB184" s="2">
        <v>1.3680000000000001</v>
      </c>
      <c r="AC184" s="2">
        <v>8.73</v>
      </c>
      <c r="AE184" s="2">
        <v>1</v>
      </c>
      <c r="AF184" s="2" t="s">
        <v>347</v>
      </c>
      <c r="AG184" s="2">
        <v>16</v>
      </c>
      <c r="AK184" s="2" t="s">
        <v>96</v>
      </c>
      <c r="AM184" s="2" t="s">
        <v>95</v>
      </c>
      <c r="AN184" s="2" t="s">
        <v>96</v>
      </c>
      <c r="AO184" s="2" t="s">
        <v>95</v>
      </c>
      <c r="AP184" s="2" t="s">
        <v>97</v>
      </c>
      <c r="AQ184" s="2" t="s">
        <v>98</v>
      </c>
      <c r="AV184" s="2" t="s">
        <v>95</v>
      </c>
      <c r="AX184" s="2" t="s">
        <v>634</v>
      </c>
      <c r="AZ184" s="2" t="s">
        <v>483</v>
      </c>
      <c r="BB184" s="2" t="s">
        <v>490</v>
      </c>
      <c r="BC184" s="2" t="s">
        <v>379</v>
      </c>
      <c r="BF184" s="2" t="s">
        <v>1018</v>
      </c>
      <c r="BG184" s="2" t="s">
        <v>95</v>
      </c>
      <c r="BH184" s="2" t="s">
        <v>95</v>
      </c>
      <c r="BI184" s="2" t="s">
        <v>95</v>
      </c>
      <c r="BK184" s="2" t="s">
        <v>100</v>
      </c>
      <c r="BR184" s="2">
        <v>1</v>
      </c>
      <c r="BS184" s="2">
        <v>4.88</v>
      </c>
      <c r="BT184" s="2">
        <v>4.88</v>
      </c>
      <c r="CA184" s="2" t="s">
        <v>1019</v>
      </c>
      <c r="CB184" s="2" t="s">
        <v>634</v>
      </c>
      <c r="CG184" s="2">
        <v>3000</v>
      </c>
      <c r="CH184" s="2">
        <v>95</v>
      </c>
      <c r="CI184" s="2">
        <v>1494</v>
      </c>
      <c r="CJ184" s="2">
        <v>402</v>
      </c>
      <c r="CK184" s="2">
        <v>30000</v>
      </c>
      <c r="CL184" s="2" t="s">
        <v>96</v>
      </c>
      <c r="CM184" s="2" t="s">
        <v>96</v>
      </c>
      <c r="CN184" s="2" t="s">
        <v>494</v>
      </c>
      <c r="CO184" s="3">
        <v>42699</v>
      </c>
      <c r="CP184" s="3">
        <v>43634</v>
      </c>
    </row>
    <row r="185" spans="1:94" x14ac:dyDescent="0.25">
      <c r="A185" s="2" t="s">
        <v>1020</v>
      </c>
      <c r="B185" s="2" t="str">
        <f xml:space="preserve"> "" &amp; 844349022527</f>
        <v>844349022527</v>
      </c>
      <c r="C185" s="2" t="s">
        <v>1021</v>
      </c>
      <c r="D185" s="2" t="s">
        <v>1022</v>
      </c>
      <c r="E185" s="2" t="s">
        <v>1012</v>
      </c>
      <c r="F185" s="2" t="s">
        <v>340</v>
      </c>
      <c r="G185" s="2">
        <v>1</v>
      </c>
      <c r="H185" s="2">
        <v>1</v>
      </c>
      <c r="I185" s="2" t="s">
        <v>94</v>
      </c>
      <c r="J185" s="6">
        <v>219</v>
      </c>
      <c r="K185" s="6">
        <v>657</v>
      </c>
      <c r="L185" s="2">
        <v>0</v>
      </c>
      <c r="N185" s="2">
        <v>0</v>
      </c>
      <c r="O185" s="2" t="s">
        <v>96</v>
      </c>
      <c r="P185" s="6">
        <v>419.95</v>
      </c>
      <c r="Q185" s="6"/>
      <c r="R185" s="7"/>
      <c r="S185" s="2">
        <v>11</v>
      </c>
      <c r="U185" s="2">
        <v>18</v>
      </c>
      <c r="W185" s="2">
        <v>10.71</v>
      </c>
      <c r="X185" s="2">
        <v>1</v>
      </c>
      <c r="Y185" s="2">
        <v>11.5</v>
      </c>
      <c r="Z185" s="2">
        <v>22.5</v>
      </c>
      <c r="AA185" s="2">
        <v>22.5</v>
      </c>
      <c r="AB185" s="2">
        <v>3.3690000000000002</v>
      </c>
      <c r="AC185" s="2">
        <v>15.04</v>
      </c>
      <c r="AE185" s="2">
        <v>1</v>
      </c>
      <c r="AF185" s="2" t="s">
        <v>347</v>
      </c>
      <c r="AG185" s="2">
        <v>38</v>
      </c>
      <c r="AK185" s="2" t="s">
        <v>96</v>
      </c>
      <c r="AM185" s="2" t="s">
        <v>95</v>
      </c>
      <c r="AN185" s="2" t="s">
        <v>96</v>
      </c>
      <c r="AO185" s="2" t="s">
        <v>95</v>
      </c>
      <c r="AP185" s="2" t="s">
        <v>97</v>
      </c>
      <c r="AQ185" s="2" t="s">
        <v>98</v>
      </c>
      <c r="AV185" s="2" t="s">
        <v>95</v>
      </c>
      <c r="AX185" s="2" t="s">
        <v>634</v>
      </c>
      <c r="AZ185" s="2" t="s">
        <v>483</v>
      </c>
      <c r="BB185" s="2" t="s">
        <v>490</v>
      </c>
      <c r="BC185" s="2" t="s">
        <v>379</v>
      </c>
      <c r="BF185" s="2" t="s">
        <v>1023</v>
      </c>
      <c r="BG185" s="2" t="s">
        <v>95</v>
      </c>
      <c r="BH185" s="2" t="s">
        <v>95</v>
      </c>
      <c r="BI185" s="2" t="s">
        <v>95</v>
      </c>
      <c r="BK185" s="2" t="s">
        <v>414</v>
      </c>
      <c r="BR185" s="2">
        <v>1</v>
      </c>
      <c r="BS185" s="2">
        <v>4.88</v>
      </c>
      <c r="BT185" s="2">
        <v>4.88</v>
      </c>
      <c r="CA185" s="2" t="s">
        <v>1024</v>
      </c>
      <c r="CB185" s="2" t="s">
        <v>634</v>
      </c>
      <c r="CG185" s="2">
        <v>3000</v>
      </c>
      <c r="CH185" s="2">
        <v>93</v>
      </c>
      <c r="CI185" s="2">
        <v>3418</v>
      </c>
      <c r="CJ185" s="2">
        <v>2406</v>
      </c>
      <c r="CK185" s="2">
        <v>30000</v>
      </c>
      <c r="CL185" s="2" t="s">
        <v>96</v>
      </c>
      <c r="CM185" s="2" t="s">
        <v>95</v>
      </c>
      <c r="CN185" s="2" t="s">
        <v>494</v>
      </c>
      <c r="CO185" s="3">
        <v>42699</v>
      </c>
      <c r="CP185" s="3">
        <v>43634</v>
      </c>
    </row>
    <row r="186" spans="1:94" x14ac:dyDescent="0.25">
      <c r="A186" s="2" t="s">
        <v>1025</v>
      </c>
      <c r="B186" s="2" t="str">
        <f xml:space="preserve"> "" &amp; 844349022510</f>
        <v>844349022510</v>
      </c>
      <c r="C186" s="2" t="s">
        <v>467</v>
      </c>
      <c r="D186" s="2" t="s">
        <v>1026</v>
      </c>
      <c r="E186" s="2" t="s">
        <v>1012</v>
      </c>
      <c r="F186" s="2" t="s">
        <v>340</v>
      </c>
      <c r="G186" s="2">
        <v>1</v>
      </c>
      <c r="H186" s="2">
        <v>1</v>
      </c>
      <c r="I186" s="2" t="s">
        <v>94</v>
      </c>
      <c r="J186" s="6">
        <v>277</v>
      </c>
      <c r="K186" s="6">
        <v>831</v>
      </c>
      <c r="L186" s="2">
        <v>0</v>
      </c>
      <c r="N186" s="2">
        <v>0</v>
      </c>
      <c r="O186" s="2" t="s">
        <v>96</v>
      </c>
      <c r="P186" s="6">
        <v>539.95000000000005</v>
      </c>
      <c r="Q186" s="6"/>
      <c r="R186" s="7"/>
      <c r="S186" s="2">
        <v>7.25</v>
      </c>
      <c r="U186" s="2">
        <v>21</v>
      </c>
      <c r="W186" s="2">
        <v>14.99</v>
      </c>
      <c r="X186" s="2">
        <v>1</v>
      </c>
      <c r="Y186" s="2">
        <v>12</v>
      </c>
      <c r="Z186" s="2">
        <v>26</v>
      </c>
      <c r="AA186" s="2">
        <v>26</v>
      </c>
      <c r="AB186" s="2">
        <v>4.694</v>
      </c>
      <c r="AC186" s="2">
        <v>22.05</v>
      </c>
      <c r="AE186" s="2">
        <v>1</v>
      </c>
      <c r="AF186" s="2" t="s">
        <v>347</v>
      </c>
      <c r="AG186" s="2">
        <v>52</v>
      </c>
      <c r="AK186" s="2" t="s">
        <v>96</v>
      </c>
      <c r="AM186" s="2" t="s">
        <v>95</v>
      </c>
      <c r="AN186" s="2" t="s">
        <v>96</v>
      </c>
      <c r="AO186" s="2" t="s">
        <v>95</v>
      </c>
      <c r="AP186" s="2" t="s">
        <v>97</v>
      </c>
      <c r="AQ186" s="2" t="s">
        <v>98</v>
      </c>
      <c r="AV186" s="2" t="s">
        <v>95</v>
      </c>
      <c r="AX186" s="2" t="s">
        <v>634</v>
      </c>
      <c r="AZ186" s="2" t="s">
        <v>483</v>
      </c>
      <c r="BB186" s="2" t="s">
        <v>490</v>
      </c>
      <c r="BC186" s="2" t="s">
        <v>498</v>
      </c>
      <c r="BF186" s="2" t="s">
        <v>1027</v>
      </c>
      <c r="BG186" s="2" t="s">
        <v>95</v>
      </c>
      <c r="BH186" s="2" t="s">
        <v>95</v>
      </c>
      <c r="BI186" s="2" t="s">
        <v>96</v>
      </c>
      <c r="BK186" s="2" t="s">
        <v>100</v>
      </c>
      <c r="BR186" s="2">
        <v>1</v>
      </c>
      <c r="BS186" s="2">
        <v>4.88</v>
      </c>
      <c r="BT186" s="2">
        <v>4.88</v>
      </c>
      <c r="CA186" s="2" t="s">
        <v>1028</v>
      </c>
      <c r="CB186" s="2" t="s">
        <v>634</v>
      </c>
      <c r="CG186" s="2">
        <v>3000</v>
      </c>
      <c r="CH186" s="2">
        <v>93</v>
      </c>
      <c r="CI186" s="2">
        <v>4794</v>
      </c>
      <c r="CJ186" s="2">
        <v>3424</v>
      </c>
      <c r="CK186" s="2">
        <v>30000</v>
      </c>
      <c r="CL186" s="2" t="s">
        <v>96</v>
      </c>
      <c r="CM186" s="2" t="s">
        <v>96</v>
      </c>
      <c r="CN186" s="2" t="s">
        <v>494</v>
      </c>
      <c r="CO186" s="3">
        <v>42699</v>
      </c>
      <c r="CP186" s="3">
        <v>43634</v>
      </c>
    </row>
    <row r="187" spans="1:94" x14ac:dyDescent="0.25">
      <c r="A187" s="2" t="s">
        <v>1029</v>
      </c>
      <c r="B187" s="2" t="str">
        <f xml:space="preserve"> "" &amp; 844349023494</f>
        <v>844349023494</v>
      </c>
      <c r="C187" s="2" t="s">
        <v>467</v>
      </c>
      <c r="D187" s="2" t="s">
        <v>1026</v>
      </c>
      <c r="E187" s="2" t="s">
        <v>1012</v>
      </c>
      <c r="F187" s="2" t="s">
        <v>340</v>
      </c>
      <c r="G187" s="2">
        <v>1</v>
      </c>
      <c r="H187" s="2">
        <v>1</v>
      </c>
      <c r="I187" s="2" t="s">
        <v>94</v>
      </c>
      <c r="J187" s="6">
        <v>449</v>
      </c>
      <c r="K187" s="6">
        <v>1347</v>
      </c>
      <c r="L187" s="2">
        <v>0</v>
      </c>
      <c r="N187" s="2">
        <v>0</v>
      </c>
      <c r="O187" s="2" t="s">
        <v>96</v>
      </c>
      <c r="P187" s="6">
        <v>944.95</v>
      </c>
      <c r="Q187" s="6"/>
      <c r="R187" s="7"/>
      <c r="S187" s="2">
        <v>9</v>
      </c>
      <c r="T187" s="2">
        <v>26.5</v>
      </c>
      <c r="U187" s="2">
        <v>26.5</v>
      </c>
      <c r="W187" s="2">
        <v>28.66</v>
      </c>
      <c r="X187" s="2">
        <v>1</v>
      </c>
      <c r="Y187" s="2">
        <v>12.5</v>
      </c>
      <c r="Z187" s="2">
        <v>31.38</v>
      </c>
      <c r="AA187" s="2">
        <v>31.38</v>
      </c>
      <c r="AB187" s="2">
        <v>7.1230000000000002</v>
      </c>
      <c r="AC187" s="2">
        <v>35.78</v>
      </c>
      <c r="AE187" s="2">
        <v>1</v>
      </c>
      <c r="AF187" s="2" t="s">
        <v>347</v>
      </c>
      <c r="AG187" s="2">
        <v>76</v>
      </c>
      <c r="AK187" s="2" t="s">
        <v>96</v>
      </c>
      <c r="AM187" s="2" t="s">
        <v>95</v>
      </c>
      <c r="AN187" s="2" t="s">
        <v>96</v>
      </c>
      <c r="AO187" s="2" t="s">
        <v>95</v>
      </c>
      <c r="AP187" s="2" t="s">
        <v>97</v>
      </c>
      <c r="AQ187" s="2" t="s">
        <v>98</v>
      </c>
      <c r="AV187" s="2" t="s">
        <v>95</v>
      </c>
      <c r="AX187" s="2" t="s">
        <v>634</v>
      </c>
      <c r="AZ187" s="2" t="s">
        <v>483</v>
      </c>
      <c r="BB187" s="2" t="s">
        <v>490</v>
      </c>
      <c r="BC187" s="2" t="s">
        <v>498</v>
      </c>
      <c r="BF187" s="2" t="s">
        <v>1030</v>
      </c>
      <c r="BG187" s="2" t="s">
        <v>95</v>
      </c>
      <c r="BH187" s="2" t="s">
        <v>95</v>
      </c>
      <c r="BI187" s="2" t="s">
        <v>95</v>
      </c>
      <c r="BK187" s="2" t="s">
        <v>100</v>
      </c>
      <c r="BR187" s="2">
        <v>0.88</v>
      </c>
      <c r="BS187" s="2">
        <v>4.88</v>
      </c>
      <c r="BT187" s="2">
        <v>4.88</v>
      </c>
      <c r="CA187" s="2" t="s">
        <v>470</v>
      </c>
      <c r="CB187" s="2" t="s">
        <v>634</v>
      </c>
      <c r="CG187" s="2">
        <v>3000</v>
      </c>
      <c r="CH187" s="2">
        <v>92</v>
      </c>
      <c r="CI187" s="2">
        <v>6673</v>
      </c>
      <c r="CJ187" s="2">
        <v>4440</v>
      </c>
      <c r="CK187" s="2">
        <v>30000</v>
      </c>
      <c r="CL187" s="2" t="s">
        <v>96</v>
      </c>
      <c r="CM187" s="2" t="s">
        <v>96</v>
      </c>
      <c r="CN187" s="2" t="s">
        <v>471</v>
      </c>
      <c r="CO187" s="3">
        <v>42951</v>
      </c>
      <c r="CP187" s="3">
        <v>43634</v>
      </c>
    </row>
    <row r="188" spans="1:94" x14ac:dyDescent="0.25">
      <c r="A188" s="2" t="s">
        <v>1031</v>
      </c>
      <c r="B188" s="2" t="str">
        <f xml:space="preserve"> "" &amp; 844349022541</f>
        <v>844349022541</v>
      </c>
      <c r="C188" s="2" t="s">
        <v>510</v>
      </c>
      <c r="D188" s="2" t="s">
        <v>1032</v>
      </c>
      <c r="E188" s="2" t="s">
        <v>1012</v>
      </c>
      <c r="F188" s="2" t="s">
        <v>340</v>
      </c>
      <c r="G188" s="2">
        <v>1</v>
      </c>
      <c r="H188" s="2">
        <v>1</v>
      </c>
      <c r="I188" s="2" t="s">
        <v>94</v>
      </c>
      <c r="J188" s="6">
        <v>339</v>
      </c>
      <c r="K188" s="6">
        <v>1017</v>
      </c>
      <c r="L188" s="2">
        <v>0</v>
      </c>
      <c r="N188" s="2">
        <v>0</v>
      </c>
      <c r="O188" s="2" t="s">
        <v>96</v>
      </c>
      <c r="P188" s="6">
        <v>714.95</v>
      </c>
      <c r="Q188" s="6"/>
      <c r="R188" s="7"/>
      <c r="S188" s="2">
        <v>8</v>
      </c>
      <c r="T188" s="2">
        <v>38.75</v>
      </c>
      <c r="U188" s="2">
        <v>11</v>
      </c>
      <c r="W188" s="2">
        <v>22.27</v>
      </c>
      <c r="X188" s="2">
        <v>1</v>
      </c>
      <c r="Y188" s="2">
        <v>13</v>
      </c>
      <c r="Z188" s="2">
        <v>45.5</v>
      </c>
      <c r="AA188" s="2">
        <v>15</v>
      </c>
      <c r="AB188" s="2">
        <v>5.1349999999999998</v>
      </c>
      <c r="AC188" s="2">
        <v>27.87</v>
      </c>
      <c r="AE188" s="2">
        <v>1</v>
      </c>
      <c r="AF188" s="2" t="s">
        <v>347</v>
      </c>
      <c r="AG188" s="2">
        <v>56</v>
      </c>
      <c r="AK188" s="2" t="s">
        <v>96</v>
      </c>
      <c r="AM188" s="2" t="s">
        <v>95</v>
      </c>
      <c r="AN188" s="2" t="s">
        <v>96</v>
      </c>
      <c r="AO188" s="2" t="s">
        <v>95</v>
      </c>
      <c r="AP188" s="2" t="s">
        <v>97</v>
      </c>
      <c r="AQ188" s="2" t="s">
        <v>98</v>
      </c>
      <c r="AV188" s="2" t="s">
        <v>95</v>
      </c>
      <c r="AX188" s="2" t="s">
        <v>634</v>
      </c>
      <c r="AZ188" s="2" t="s">
        <v>483</v>
      </c>
      <c r="BB188" s="2" t="s">
        <v>490</v>
      </c>
      <c r="BC188" s="2" t="s">
        <v>498</v>
      </c>
      <c r="BF188" s="2" t="s">
        <v>1033</v>
      </c>
      <c r="BG188" s="2" t="s">
        <v>95</v>
      </c>
      <c r="BH188" s="2" t="s">
        <v>95</v>
      </c>
      <c r="BI188" s="2" t="s">
        <v>95</v>
      </c>
      <c r="BK188" s="2" t="s">
        <v>100</v>
      </c>
      <c r="BR188" s="2">
        <v>4.5</v>
      </c>
      <c r="BT188" s="2">
        <v>12.75</v>
      </c>
      <c r="CA188" s="2" t="s">
        <v>1034</v>
      </c>
      <c r="CB188" s="2" t="s">
        <v>634</v>
      </c>
      <c r="CG188" s="2">
        <v>3000</v>
      </c>
      <c r="CH188" s="2">
        <v>93</v>
      </c>
      <c r="CI188" s="2">
        <v>4819</v>
      </c>
      <c r="CJ188" s="2">
        <v>3281</v>
      </c>
      <c r="CK188" s="2">
        <v>30000</v>
      </c>
      <c r="CL188" s="2" t="s">
        <v>96</v>
      </c>
      <c r="CM188" s="2" t="s">
        <v>95</v>
      </c>
      <c r="CN188" s="2" t="s">
        <v>494</v>
      </c>
      <c r="CO188" s="3">
        <v>42725</v>
      </c>
      <c r="CP188" s="3">
        <v>43634</v>
      </c>
    </row>
    <row r="189" spans="1:94" x14ac:dyDescent="0.25">
      <c r="A189" s="2" t="s">
        <v>1035</v>
      </c>
      <c r="B189" s="2" t="str">
        <f xml:space="preserve"> "" &amp; 844349015093</f>
        <v>844349015093</v>
      </c>
      <c r="C189" s="2" t="s">
        <v>467</v>
      </c>
      <c r="D189" s="2" t="s">
        <v>1036</v>
      </c>
      <c r="E189" s="2" t="s">
        <v>1037</v>
      </c>
      <c r="F189" s="2" t="s">
        <v>518</v>
      </c>
      <c r="G189" s="2">
        <v>1</v>
      </c>
      <c r="H189" s="2">
        <v>1</v>
      </c>
      <c r="I189" s="2" t="s">
        <v>94</v>
      </c>
      <c r="J189" s="6">
        <v>99</v>
      </c>
      <c r="K189" s="6">
        <v>297</v>
      </c>
      <c r="L189" s="2">
        <v>0</v>
      </c>
      <c r="N189" s="2">
        <v>0</v>
      </c>
      <c r="Q189" s="6"/>
      <c r="R189" s="7"/>
      <c r="S189" s="2">
        <v>11</v>
      </c>
      <c r="T189" s="2">
        <v>19</v>
      </c>
      <c r="U189" s="2">
        <v>19</v>
      </c>
      <c r="W189" s="2">
        <v>10.47</v>
      </c>
      <c r="X189" s="2">
        <v>1</v>
      </c>
      <c r="Y189" s="2">
        <v>13.75</v>
      </c>
      <c r="Z189" s="2">
        <v>21.25</v>
      </c>
      <c r="AA189" s="2">
        <v>21.25</v>
      </c>
      <c r="AB189" s="2">
        <v>3.593</v>
      </c>
      <c r="AC189" s="2">
        <v>14.99</v>
      </c>
      <c r="AE189" s="2">
        <v>1</v>
      </c>
      <c r="AF189" s="2" t="s">
        <v>1038</v>
      </c>
      <c r="AG189" s="2">
        <v>40</v>
      </c>
      <c r="AK189" s="2" t="s">
        <v>96</v>
      </c>
      <c r="AM189" s="2" t="s">
        <v>95</v>
      </c>
      <c r="AN189" s="2" t="s">
        <v>96</v>
      </c>
      <c r="AO189" s="2" t="s">
        <v>95</v>
      </c>
      <c r="AP189" s="2" t="s">
        <v>97</v>
      </c>
      <c r="AQ189" s="2" t="s">
        <v>98</v>
      </c>
      <c r="AV189" s="2" t="s">
        <v>95</v>
      </c>
      <c r="AX189" s="2" t="s">
        <v>395</v>
      </c>
      <c r="AZ189" s="2" t="s">
        <v>342</v>
      </c>
      <c r="BB189" s="2" t="s">
        <v>219</v>
      </c>
      <c r="BC189" s="2" t="s">
        <v>397</v>
      </c>
      <c r="BF189" s="2" t="s">
        <v>1039</v>
      </c>
      <c r="BG189" s="2" t="s">
        <v>95</v>
      </c>
      <c r="BH189" s="2" t="s">
        <v>95</v>
      </c>
      <c r="BI189" s="2" t="s">
        <v>95</v>
      </c>
      <c r="BK189" s="2" t="s">
        <v>100</v>
      </c>
      <c r="BR189" s="2">
        <v>2</v>
      </c>
      <c r="BT189" s="2">
        <v>5.5</v>
      </c>
      <c r="CA189" s="2" t="s">
        <v>1040</v>
      </c>
      <c r="CB189" s="2" t="s">
        <v>395</v>
      </c>
      <c r="CG189" s="2">
        <v>3000</v>
      </c>
      <c r="CH189" s="2">
        <v>90</v>
      </c>
      <c r="CI189" s="2">
        <v>3000</v>
      </c>
      <c r="CJ189" s="2">
        <v>1439.03</v>
      </c>
      <c r="CK189" s="2">
        <v>30000</v>
      </c>
      <c r="CL189" s="2" t="s">
        <v>96</v>
      </c>
      <c r="CM189" s="2" t="s">
        <v>96</v>
      </c>
      <c r="CN189" s="2" t="s">
        <v>1041</v>
      </c>
      <c r="CO189" s="3">
        <v>41545</v>
      </c>
      <c r="CP189" s="3">
        <v>43634</v>
      </c>
    </row>
    <row r="190" spans="1:94" x14ac:dyDescent="0.25">
      <c r="A190" s="2" t="s">
        <v>1042</v>
      </c>
      <c r="B190" s="2" t="str">
        <f xml:space="preserve"> "" &amp; 844349020189</f>
        <v>844349020189</v>
      </c>
      <c r="C190" s="2" t="s">
        <v>1043</v>
      </c>
      <c r="D190" s="2" t="s">
        <v>1044</v>
      </c>
      <c r="E190" s="2" t="s">
        <v>1045</v>
      </c>
      <c r="F190" s="2" t="s">
        <v>393</v>
      </c>
      <c r="G190" s="2">
        <v>1</v>
      </c>
      <c r="H190" s="2">
        <v>1</v>
      </c>
      <c r="I190" s="2" t="s">
        <v>94</v>
      </c>
      <c r="J190" s="6">
        <v>95</v>
      </c>
      <c r="K190" s="6">
        <v>285</v>
      </c>
      <c r="L190" s="2">
        <v>0</v>
      </c>
      <c r="N190" s="2">
        <v>0</v>
      </c>
      <c r="O190" s="2" t="s">
        <v>96</v>
      </c>
      <c r="P190" s="6">
        <v>199.95</v>
      </c>
      <c r="Q190" s="6"/>
      <c r="R190" s="7"/>
      <c r="S190" s="2">
        <v>14.5</v>
      </c>
      <c r="T190" s="2">
        <v>5.5</v>
      </c>
      <c r="U190" s="2">
        <v>5.5</v>
      </c>
      <c r="W190" s="2">
        <v>5.4</v>
      </c>
      <c r="X190" s="2">
        <v>1</v>
      </c>
      <c r="Y190" s="2">
        <v>8.1300000000000008</v>
      </c>
      <c r="Z190" s="2">
        <v>15.38</v>
      </c>
      <c r="AA190" s="2">
        <v>6.75</v>
      </c>
      <c r="AB190" s="2">
        <v>0.48799999999999999</v>
      </c>
      <c r="AC190" s="2">
        <v>6.15</v>
      </c>
      <c r="AE190" s="2">
        <v>1</v>
      </c>
      <c r="AF190" s="2" t="s">
        <v>1046</v>
      </c>
      <c r="AG190" s="2">
        <v>14</v>
      </c>
      <c r="AK190" s="2" t="s">
        <v>96</v>
      </c>
      <c r="AM190" s="2" t="s">
        <v>95</v>
      </c>
      <c r="AN190" s="2" t="s">
        <v>96</v>
      </c>
      <c r="AO190" s="2" t="s">
        <v>95</v>
      </c>
      <c r="AP190" s="2" t="s">
        <v>97</v>
      </c>
      <c r="AQ190" s="2" t="s">
        <v>98</v>
      </c>
      <c r="AV190" s="2" t="s">
        <v>95</v>
      </c>
      <c r="AX190" s="2" t="s">
        <v>116</v>
      </c>
      <c r="AZ190" s="2" t="s">
        <v>483</v>
      </c>
      <c r="BB190" s="2" t="s">
        <v>329</v>
      </c>
      <c r="BC190" s="2" t="s">
        <v>1047</v>
      </c>
      <c r="BF190" s="2" t="s">
        <v>1048</v>
      </c>
      <c r="BG190" s="2" t="s">
        <v>95</v>
      </c>
      <c r="BH190" s="2" t="s">
        <v>95</v>
      </c>
      <c r="BI190" s="2" t="s">
        <v>95</v>
      </c>
      <c r="BK190" s="2" t="s">
        <v>100</v>
      </c>
      <c r="BR190" s="2">
        <v>0.88</v>
      </c>
      <c r="BS190" s="2">
        <v>4.88</v>
      </c>
      <c r="BT190" s="2">
        <v>4.88</v>
      </c>
      <c r="CA190" s="2" t="s">
        <v>1049</v>
      </c>
      <c r="CB190" s="2" t="s">
        <v>116</v>
      </c>
      <c r="CG190" s="2">
        <v>3000</v>
      </c>
      <c r="CH190" s="2">
        <v>90</v>
      </c>
      <c r="CI190" s="2">
        <v>1073</v>
      </c>
      <c r="CJ190" s="2">
        <v>840</v>
      </c>
      <c r="CK190" s="2">
        <v>30000</v>
      </c>
      <c r="CL190" s="2" t="s">
        <v>96</v>
      </c>
      <c r="CM190" s="2" t="s">
        <v>96</v>
      </c>
      <c r="CN190" s="2" t="s">
        <v>471</v>
      </c>
      <c r="CO190" s="3">
        <v>42381</v>
      </c>
      <c r="CP190" s="3">
        <v>43634</v>
      </c>
    </row>
    <row r="191" spans="1:94" x14ac:dyDescent="0.25">
      <c r="A191" s="2" t="s">
        <v>1050</v>
      </c>
      <c r="B191" s="2" t="str">
        <f xml:space="preserve"> "" &amp; 844349020219</f>
        <v>844349020219</v>
      </c>
      <c r="C191" s="2" t="s">
        <v>692</v>
      </c>
      <c r="D191" s="2" t="s">
        <v>1051</v>
      </c>
      <c r="E191" s="2" t="s">
        <v>1045</v>
      </c>
      <c r="F191" s="2" t="s">
        <v>658</v>
      </c>
      <c r="G191" s="2">
        <v>1</v>
      </c>
      <c r="H191" s="2">
        <v>1</v>
      </c>
      <c r="I191" s="2" t="s">
        <v>94</v>
      </c>
      <c r="J191" s="6">
        <v>112</v>
      </c>
      <c r="K191" s="6">
        <v>336</v>
      </c>
      <c r="L191" s="2">
        <v>0</v>
      </c>
      <c r="N191" s="2">
        <v>0</v>
      </c>
      <c r="O191" s="2" t="s">
        <v>96</v>
      </c>
      <c r="P191" s="6">
        <v>234.95</v>
      </c>
      <c r="Q191" s="6"/>
      <c r="R191" s="7"/>
      <c r="S191" s="2">
        <v>5.5</v>
      </c>
      <c r="T191" s="2">
        <v>20</v>
      </c>
      <c r="U191" s="2">
        <v>3.25</v>
      </c>
      <c r="W191" s="2">
        <v>5.89</v>
      </c>
      <c r="X191" s="2">
        <v>1</v>
      </c>
      <c r="Y191" s="2">
        <v>7.75</v>
      </c>
      <c r="Z191" s="2">
        <v>22.75</v>
      </c>
      <c r="AA191" s="2">
        <v>5.38</v>
      </c>
      <c r="AB191" s="2">
        <v>0.54900000000000004</v>
      </c>
      <c r="AC191" s="2">
        <v>6.66</v>
      </c>
      <c r="AE191" s="2">
        <v>1</v>
      </c>
      <c r="AF191" s="2" t="s">
        <v>1052</v>
      </c>
      <c r="AG191" s="2">
        <v>28</v>
      </c>
      <c r="AK191" s="2" t="s">
        <v>96</v>
      </c>
      <c r="AM191" s="2" t="s">
        <v>95</v>
      </c>
      <c r="AN191" s="2" t="s">
        <v>96</v>
      </c>
      <c r="AO191" s="2" t="s">
        <v>95</v>
      </c>
      <c r="AP191" s="2" t="s">
        <v>97</v>
      </c>
      <c r="AQ191" s="2" t="s">
        <v>98</v>
      </c>
      <c r="AV191" s="2" t="s">
        <v>95</v>
      </c>
      <c r="AX191" s="2" t="s">
        <v>116</v>
      </c>
      <c r="AZ191" s="2" t="s">
        <v>483</v>
      </c>
      <c r="BB191" s="2" t="s">
        <v>329</v>
      </c>
      <c r="BC191" s="2" t="s">
        <v>850</v>
      </c>
      <c r="BF191" s="2" t="s">
        <v>1053</v>
      </c>
      <c r="BG191" s="2" t="s">
        <v>95</v>
      </c>
      <c r="BH191" s="2" t="s">
        <v>95</v>
      </c>
      <c r="BI191" s="2" t="s">
        <v>95</v>
      </c>
      <c r="BK191" s="2" t="s">
        <v>414</v>
      </c>
      <c r="BL191" s="2" t="s">
        <v>350</v>
      </c>
      <c r="BM191" s="2">
        <v>19.63</v>
      </c>
      <c r="BN191" s="2">
        <v>5.25</v>
      </c>
      <c r="BP191" s="2">
        <v>19.63</v>
      </c>
      <c r="CA191" s="2" t="s">
        <v>1054</v>
      </c>
      <c r="CB191" s="2" t="s">
        <v>116</v>
      </c>
      <c r="CG191" s="2">
        <v>2353</v>
      </c>
      <c r="CH191" s="2">
        <v>91</v>
      </c>
      <c r="CI191" s="2">
        <v>2353</v>
      </c>
      <c r="CJ191" s="2">
        <v>1789</v>
      </c>
      <c r="CK191" s="2">
        <v>30000</v>
      </c>
      <c r="CL191" s="2" t="s">
        <v>96</v>
      </c>
      <c r="CM191" s="2" t="s">
        <v>95</v>
      </c>
      <c r="CN191" s="2" t="s">
        <v>471</v>
      </c>
      <c r="CO191" s="3">
        <v>42381</v>
      </c>
      <c r="CP191" s="3">
        <v>43634</v>
      </c>
    </row>
    <row r="192" spans="1:94" x14ac:dyDescent="0.25">
      <c r="A192" s="2" t="s">
        <v>1055</v>
      </c>
      <c r="B192" s="2" t="str">
        <f xml:space="preserve"> "" &amp; 844349020226</f>
        <v>844349020226</v>
      </c>
      <c r="C192" s="2" t="s">
        <v>932</v>
      </c>
      <c r="D192" s="2" t="s">
        <v>1051</v>
      </c>
      <c r="E192" s="2" t="s">
        <v>1045</v>
      </c>
      <c r="F192" s="2" t="s">
        <v>658</v>
      </c>
      <c r="G192" s="2">
        <v>1</v>
      </c>
      <c r="H192" s="2">
        <v>1</v>
      </c>
      <c r="I192" s="2" t="s">
        <v>94</v>
      </c>
      <c r="J192" s="6">
        <v>169</v>
      </c>
      <c r="K192" s="6">
        <v>507</v>
      </c>
      <c r="L192" s="2">
        <v>0</v>
      </c>
      <c r="N192" s="2">
        <v>0</v>
      </c>
      <c r="O192" s="2" t="s">
        <v>96</v>
      </c>
      <c r="P192" s="6">
        <v>354.95</v>
      </c>
      <c r="Q192" s="6"/>
      <c r="R192" s="7"/>
      <c r="S192" s="2">
        <v>5.5</v>
      </c>
      <c r="T192" s="2">
        <v>35</v>
      </c>
      <c r="U192" s="2">
        <v>3.25</v>
      </c>
      <c r="W192" s="2">
        <v>10.050000000000001</v>
      </c>
      <c r="X192" s="2">
        <v>1</v>
      </c>
      <c r="Y192" s="2">
        <v>8.1300000000000008</v>
      </c>
      <c r="Z192" s="2">
        <v>39.25</v>
      </c>
      <c r="AA192" s="2">
        <v>5.63</v>
      </c>
      <c r="AB192" s="2">
        <v>1.04</v>
      </c>
      <c r="AC192" s="2">
        <v>11.31</v>
      </c>
      <c r="AE192" s="2">
        <v>1</v>
      </c>
      <c r="AF192" s="2" t="s">
        <v>1056</v>
      </c>
      <c r="AG192" s="2">
        <v>38</v>
      </c>
      <c r="AK192" s="2" t="s">
        <v>96</v>
      </c>
      <c r="AM192" s="2" t="s">
        <v>95</v>
      </c>
      <c r="AN192" s="2" t="s">
        <v>96</v>
      </c>
      <c r="AO192" s="2" t="s">
        <v>95</v>
      </c>
      <c r="AP192" s="2" t="s">
        <v>97</v>
      </c>
      <c r="AQ192" s="2" t="s">
        <v>98</v>
      </c>
      <c r="AV192" s="2" t="s">
        <v>95</v>
      </c>
      <c r="AX192" s="2" t="s">
        <v>116</v>
      </c>
      <c r="AZ192" s="2" t="s">
        <v>483</v>
      </c>
      <c r="BB192" s="2" t="s">
        <v>329</v>
      </c>
      <c r="BC192" s="2" t="s">
        <v>1047</v>
      </c>
      <c r="BF192" s="2" t="s">
        <v>1057</v>
      </c>
      <c r="BG192" s="2" t="s">
        <v>95</v>
      </c>
      <c r="BH192" s="2" t="s">
        <v>95</v>
      </c>
      <c r="BI192" s="2" t="s">
        <v>95</v>
      </c>
      <c r="BK192" s="2" t="s">
        <v>414</v>
      </c>
      <c r="BL192" s="2" t="s">
        <v>350</v>
      </c>
      <c r="BR192" s="2">
        <v>5.25</v>
      </c>
      <c r="BS192" s="2">
        <v>34.630000000000003</v>
      </c>
      <c r="BT192" s="2">
        <v>34.630000000000003</v>
      </c>
      <c r="CA192" s="2" t="s">
        <v>1058</v>
      </c>
      <c r="CB192" s="2" t="s">
        <v>116</v>
      </c>
      <c r="CG192" s="2">
        <v>3000</v>
      </c>
      <c r="CH192" s="2">
        <v>91</v>
      </c>
      <c r="CI192" s="2">
        <v>3247</v>
      </c>
      <c r="CJ192" s="2">
        <v>2457</v>
      </c>
      <c r="CK192" s="2">
        <v>30000</v>
      </c>
      <c r="CL192" s="2" t="s">
        <v>96</v>
      </c>
      <c r="CM192" s="2" t="s">
        <v>95</v>
      </c>
      <c r="CN192" s="2" t="s">
        <v>471</v>
      </c>
      <c r="CO192" s="3">
        <v>42381</v>
      </c>
      <c r="CP192" s="3">
        <v>43634</v>
      </c>
    </row>
    <row r="193" spans="1:94" x14ac:dyDescent="0.25">
      <c r="A193" s="2" t="s">
        <v>1059</v>
      </c>
      <c r="B193" s="2" t="str">
        <f xml:space="preserve"> "" &amp; 844349020196</f>
        <v>844349020196</v>
      </c>
      <c r="C193" s="2" t="s">
        <v>611</v>
      </c>
      <c r="D193" s="2" t="s">
        <v>1060</v>
      </c>
      <c r="E193" s="2" t="s">
        <v>1045</v>
      </c>
      <c r="F193" s="2" t="s">
        <v>614</v>
      </c>
      <c r="G193" s="2">
        <v>1</v>
      </c>
      <c r="H193" s="2">
        <v>1</v>
      </c>
      <c r="I193" s="2" t="s">
        <v>94</v>
      </c>
      <c r="J193" s="6">
        <v>279</v>
      </c>
      <c r="K193" s="6">
        <v>837</v>
      </c>
      <c r="L193" s="2">
        <v>0</v>
      </c>
      <c r="N193" s="2">
        <v>0</v>
      </c>
      <c r="O193" s="2" t="s">
        <v>96</v>
      </c>
      <c r="P193" s="6">
        <v>584.95000000000005</v>
      </c>
      <c r="Q193" s="6"/>
      <c r="R193" s="7"/>
      <c r="S193" s="2">
        <v>8.75</v>
      </c>
      <c r="T193" s="2">
        <v>44</v>
      </c>
      <c r="U193" s="2">
        <v>6</v>
      </c>
      <c r="W193" s="2">
        <v>17.28</v>
      </c>
      <c r="X193" s="2">
        <v>1</v>
      </c>
      <c r="Y193" s="2">
        <v>11.88</v>
      </c>
      <c r="Z193" s="2">
        <v>49.13</v>
      </c>
      <c r="AA193" s="2">
        <v>12</v>
      </c>
      <c r="AB193" s="2">
        <v>4.0529999999999999</v>
      </c>
      <c r="AC193" s="2">
        <v>21.69</v>
      </c>
      <c r="AE193" s="2">
        <v>1</v>
      </c>
      <c r="AF193" s="2" t="s">
        <v>347</v>
      </c>
      <c r="AG193" s="2">
        <v>64</v>
      </c>
      <c r="AK193" s="2" t="s">
        <v>96</v>
      </c>
      <c r="AM193" s="2" t="s">
        <v>95</v>
      </c>
      <c r="AN193" s="2" t="s">
        <v>96</v>
      </c>
      <c r="AO193" s="2" t="s">
        <v>95</v>
      </c>
      <c r="AP193" s="2" t="s">
        <v>97</v>
      </c>
      <c r="AQ193" s="2" t="s">
        <v>98</v>
      </c>
      <c r="AV193" s="2" t="s">
        <v>95</v>
      </c>
      <c r="AX193" s="2" t="s">
        <v>116</v>
      </c>
      <c r="AZ193" s="2" t="s">
        <v>483</v>
      </c>
      <c r="BB193" s="2" t="s">
        <v>329</v>
      </c>
      <c r="BC193" s="2" t="s">
        <v>1047</v>
      </c>
      <c r="BF193" s="2" t="s">
        <v>1061</v>
      </c>
      <c r="BG193" s="2" t="s">
        <v>95</v>
      </c>
      <c r="BH193" s="2" t="s">
        <v>95</v>
      </c>
      <c r="BI193" s="2" t="s">
        <v>95</v>
      </c>
      <c r="BK193" s="2" t="s">
        <v>100</v>
      </c>
      <c r="BQ193" s="2">
        <v>11.38</v>
      </c>
      <c r="BR193" s="2">
        <v>0.75</v>
      </c>
      <c r="BS193" s="2">
        <v>11.38</v>
      </c>
      <c r="BT193" s="2">
        <v>11.38</v>
      </c>
      <c r="CA193" s="2" t="s">
        <v>1062</v>
      </c>
      <c r="CB193" s="2" t="s">
        <v>116</v>
      </c>
      <c r="CG193" s="2">
        <v>3000</v>
      </c>
      <c r="CH193" s="2">
        <v>90</v>
      </c>
      <c r="CI193" s="2">
        <v>4879</v>
      </c>
      <c r="CJ193" s="2">
        <v>4057</v>
      </c>
      <c r="CK193" s="2">
        <v>30000</v>
      </c>
      <c r="CL193" s="2" t="s">
        <v>96</v>
      </c>
      <c r="CM193" s="2" t="s">
        <v>95</v>
      </c>
      <c r="CN193" s="2" t="s">
        <v>471</v>
      </c>
      <c r="CO193" s="3">
        <v>42381</v>
      </c>
      <c r="CP193" s="3">
        <v>43634</v>
      </c>
    </row>
    <row r="194" spans="1:94" x14ac:dyDescent="0.25">
      <c r="A194" s="2" t="s">
        <v>1063</v>
      </c>
      <c r="B194" s="2" t="str">
        <f xml:space="preserve"> "" &amp; 844349023449</f>
        <v>844349023449</v>
      </c>
      <c r="C194" s="2" t="s">
        <v>467</v>
      </c>
      <c r="D194" s="2" t="s">
        <v>1064</v>
      </c>
      <c r="E194" s="2" t="s">
        <v>1065</v>
      </c>
      <c r="F194" s="2" t="s">
        <v>393</v>
      </c>
      <c r="G194" s="2">
        <v>1</v>
      </c>
      <c r="H194" s="2">
        <v>1</v>
      </c>
      <c r="I194" s="2" t="s">
        <v>94</v>
      </c>
      <c r="J194" s="6">
        <v>189</v>
      </c>
      <c r="K194" s="6">
        <v>567</v>
      </c>
      <c r="L194" s="2">
        <v>0</v>
      </c>
      <c r="N194" s="2">
        <v>0</v>
      </c>
      <c r="O194" s="2" t="s">
        <v>96</v>
      </c>
      <c r="P194" s="6">
        <v>399.95</v>
      </c>
      <c r="Q194" s="6"/>
      <c r="R194" s="7"/>
      <c r="S194" s="2">
        <v>24</v>
      </c>
      <c r="U194" s="2">
        <v>25</v>
      </c>
      <c r="W194" s="2">
        <v>8.44</v>
      </c>
      <c r="X194" s="2">
        <v>1</v>
      </c>
      <c r="Y194" s="2">
        <v>5</v>
      </c>
      <c r="Z194" s="2">
        <v>29.25</v>
      </c>
      <c r="AA194" s="2">
        <v>23.25</v>
      </c>
      <c r="AB194" s="2">
        <v>1.968</v>
      </c>
      <c r="AC194" s="2">
        <v>12.48</v>
      </c>
      <c r="AE194" s="2">
        <v>1</v>
      </c>
      <c r="AF194" s="2" t="s">
        <v>347</v>
      </c>
      <c r="AG194" s="2">
        <v>44</v>
      </c>
      <c r="AK194" s="2" t="s">
        <v>96</v>
      </c>
      <c r="AM194" s="2" t="s">
        <v>95</v>
      </c>
      <c r="AN194" s="2" t="s">
        <v>96</v>
      </c>
      <c r="AO194" s="2" t="s">
        <v>95</v>
      </c>
      <c r="AP194" s="2" t="s">
        <v>97</v>
      </c>
      <c r="AQ194" s="2" t="s">
        <v>98</v>
      </c>
      <c r="AV194" s="2" t="s">
        <v>95</v>
      </c>
      <c r="AX194" s="2" t="s">
        <v>1066</v>
      </c>
      <c r="AZ194" s="2" t="s">
        <v>483</v>
      </c>
      <c r="BF194" s="2" t="s">
        <v>1067</v>
      </c>
      <c r="BG194" s="2" t="s">
        <v>95</v>
      </c>
      <c r="BH194" s="2" t="s">
        <v>95</v>
      </c>
      <c r="BI194" s="2" t="s">
        <v>95</v>
      </c>
      <c r="BK194" s="2" t="s">
        <v>100</v>
      </c>
      <c r="BR194" s="2">
        <v>2</v>
      </c>
      <c r="BS194" s="2">
        <v>8</v>
      </c>
      <c r="BT194" s="2">
        <v>8</v>
      </c>
      <c r="CA194" s="2" t="s">
        <v>1068</v>
      </c>
      <c r="CB194" s="2" t="s">
        <v>1066</v>
      </c>
      <c r="CG194" s="2">
        <v>3000</v>
      </c>
      <c r="CH194" s="2">
        <v>94</v>
      </c>
      <c r="CI194" s="2">
        <v>2053</v>
      </c>
      <c r="CJ194" s="2">
        <v>1825</v>
      </c>
      <c r="CK194" s="2">
        <v>30000</v>
      </c>
      <c r="CL194" s="2" t="s">
        <v>96</v>
      </c>
      <c r="CM194" s="2" t="s">
        <v>95</v>
      </c>
      <c r="CN194" s="2" t="s">
        <v>1069</v>
      </c>
      <c r="CO194" s="3">
        <v>42880</v>
      </c>
      <c r="CP194" s="3">
        <v>43634</v>
      </c>
    </row>
    <row r="195" spans="1:94" x14ac:dyDescent="0.25">
      <c r="A195" s="2" t="s">
        <v>1070</v>
      </c>
      <c r="B195" s="2" t="str">
        <f xml:space="preserve"> "" &amp; 844349023456</f>
        <v>844349023456</v>
      </c>
      <c r="C195" s="2" t="s">
        <v>467</v>
      </c>
      <c r="D195" s="2" t="s">
        <v>1064</v>
      </c>
      <c r="E195" s="2" t="s">
        <v>1065</v>
      </c>
      <c r="F195" s="2" t="s">
        <v>393</v>
      </c>
      <c r="G195" s="2">
        <v>1</v>
      </c>
      <c r="H195" s="2">
        <v>1</v>
      </c>
      <c r="I195" s="2" t="s">
        <v>94</v>
      </c>
      <c r="J195" s="6">
        <v>225</v>
      </c>
      <c r="K195" s="6">
        <v>675</v>
      </c>
      <c r="L195" s="2">
        <v>0</v>
      </c>
      <c r="N195" s="2">
        <v>0</v>
      </c>
      <c r="O195" s="2" t="s">
        <v>96</v>
      </c>
      <c r="P195" s="6">
        <v>472.95</v>
      </c>
      <c r="Q195" s="6"/>
      <c r="R195" s="7"/>
      <c r="S195" s="2">
        <v>26</v>
      </c>
      <c r="U195" s="2">
        <v>30</v>
      </c>
      <c r="W195" s="2">
        <v>9.1300000000000008</v>
      </c>
      <c r="X195" s="2">
        <v>1</v>
      </c>
      <c r="Y195" s="2">
        <v>5</v>
      </c>
      <c r="Z195" s="2">
        <v>33.75</v>
      </c>
      <c r="AA195" s="2">
        <v>26.25</v>
      </c>
      <c r="AB195" s="2">
        <v>2.5630000000000002</v>
      </c>
      <c r="AC195" s="2">
        <v>13.73</v>
      </c>
      <c r="AE195" s="2">
        <v>1</v>
      </c>
      <c r="AF195" s="2" t="s">
        <v>347</v>
      </c>
      <c r="AG195" s="2">
        <v>56</v>
      </c>
      <c r="AK195" s="2" t="s">
        <v>96</v>
      </c>
      <c r="AM195" s="2" t="s">
        <v>95</v>
      </c>
      <c r="AN195" s="2" t="s">
        <v>96</v>
      </c>
      <c r="AO195" s="2" t="s">
        <v>95</v>
      </c>
      <c r="AP195" s="2" t="s">
        <v>97</v>
      </c>
      <c r="AQ195" s="2" t="s">
        <v>98</v>
      </c>
      <c r="AV195" s="2" t="s">
        <v>95</v>
      </c>
      <c r="AX195" s="2" t="s">
        <v>1066</v>
      </c>
      <c r="AZ195" s="2" t="s">
        <v>483</v>
      </c>
      <c r="BF195" s="2" t="s">
        <v>1071</v>
      </c>
      <c r="BG195" s="2" t="s">
        <v>95</v>
      </c>
      <c r="BH195" s="2" t="s">
        <v>95</v>
      </c>
      <c r="BI195" s="2" t="s">
        <v>95</v>
      </c>
      <c r="BK195" s="2" t="s">
        <v>100</v>
      </c>
      <c r="BR195" s="2">
        <v>2</v>
      </c>
      <c r="BS195" s="2">
        <v>8</v>
      </c>
      <c r="BT195" s="2">
        <v>8</v>
      </c>
      <c r="CA195" s="2" t="s">
        <v>1072</v>
      </c>
      <c r="CB195" s="2" t="s">
        <v>1066</v>
      </c>
      <c r="CG195" s="2">
        <v>3000</v>
      </c>
      <c r="CH195" s="2">
        <v>94</v>
      </c>
      <c r="CI195" s="2">
        <v>2598</v>
      </c>
      <c r="CJ195" s="2">
        <v>1825</v>
      </c>
      <c r="CK195" s="2">
        <v>30000</v>
      </c>
      <c r="CL195" s="2" t="s">
        <v>96</v>
      </c>
      <c r="CM195" s="2" t="s">
        <v>95</v>
      </c>
      <c r="CN195" s="2" t="s">
        <v>1073</v>
      </c>
      <c r="CO195" s="3">
        <v>42873</v>
      </c>
      <c r="CP195" s="3">
        <v>43634</v>
      </c>
    </row>
    <row r="196" spans="1:94" x14ac:dyDescent="0.25">
      <c r="A196" s="2" t="s">
        <v>1074</v>
      </c>
      <c r="B196" s="2" t="str">
        <f xml:space="preserve"> "" &amp; 844349024392</f>
        <v>844349024392</v>
      </c>
      <c r="C196" s="2" t="s">
        <v>526</v>
      </c>
      <c r="D196" s="2" t="s">
        <v>1075</v>
      </c>
      <c r="E196" s="2" t="s">
        <v>572</v>
      </c>
      <c r="F196" s="2" t="s">
        <v>418</v>
      </c>
      <c r="G196" s="2">
        <v>1</v>
      </c>
      <c r="H196" s="2">
        <v>1</v>
      </c>
      <c r="I196" s="2" t="s">
        <v>94</v>
      </c>
      <c r="J196" s="6">
        <v>152</v>
      </c>
      <c r="K196" s="6">
        <v>456</v>
      </c>
      <c r="L196" s="2">
        <v>0</v>
      </c>
      <c r="N196" s="2">
        <v>0</v>
      </c>
      <c r="O196" s="2" t="s">
        <v>96</v>
      </c>
      <c r="P196" s="6">
        <v>319.95</v>
      </c>
      <c r="Q196" s="6"/>
      <c r="R196" s="7"/>
      <c r="S196" s="2">
        <v>16.25</v>
      </c>
      <c r="U196" s="2">
        <v>8</v>
      </c>
      <c r="V196" s="2">
        <v>3.25</v>
      </c>
      <c r="W196" s="2">
        <v>6.83</v>
      </c>
      <c r="X196" s="2">
        <v>1</v>
      </c>
      <c r="Y196" s="2">
        <v>5.5</v>
      </c>
      <c r="Z196" s="2">
        <v>18.38</v>
      </c>
      <c r="AA196" s="2">
        <v>10.25</v>
      </c>
      <c r="AB196" s="2">
        <v>0.6</v>
      </c>
      <c r="AC196" s="2">
        <v>8.11</v>
      </c>
      <c r="AE196" s="2">
        <v>1</v>
      </c>
      <c r="AF196" s="2" t="s">
        <v>347</v>
      </c>
      <c r="AG196" s="2">
        <v>24</v>
      </c>
      <c r="AK196" s="2" t="s">
        <v>96</v>
      </c>
      <c r="AM196" s="2" t="s">
        <v>95</v>
      </c>
      <c r="AN196" s="2" t="s">
        <v>96</v>
      </c>
      <c r="AO196" s="2" t="s">
        <v>95</v>
      </c>
      <c r="AP196" s="2" t="s">
        <v>97</v>
      </c>
      <c r="AQ196" s="2" t="s">
        <v>98</v>
      </c>
      <c r="AV196" s="2" t="s">
        <v>95</v>
      </c>
      <c r="AX196" s="2" t="s">
        <v>573</v>
      </c>
      <c r="AZ196" s="2" t="s">
        <v>449</v>
      </c>
      <c r="BB196" s="2" t="s">
        <v>329</v>
      </c>
      <c r="BC196" s="2" t="s">
        <v>681</v>
      </c>
      <c r="BF196" s="2" t="s">
        <v>1076</v>
      </c>
      <c r="BG196" s="2" t="s">
        <v>95</v>
      </c>
      <c r="BH196" s="2" t="s">
        <v>95</v>
      </c>
      <c r="BI196" s="2" t="s">
        <v>95</v>
      </c>
      <c r="BJ196" s="2" t="s">
        <v>96</v>
      </c>
      <c r="BK196" s="2" t="s">
        <v>567</v>
      </c>
      <c r="BM196" s="2">
        <v>7.63</v>
      </c>
      <c r="BN196" s="2">
        <v>15.63</v>
      </c>
      <c r="CA196" s="2" t="s">
        <v>1074</v>
      </c>
      <c r="CB196" s="2" t="s">
        <v>573</v>
      </c>
      <c r="CG196" s="2">
        <v>3000</v>
      </c>
      <c r="CH196" s="2">
        <v>91</v>
      </c>
      <c r="CI196" s="2">
        <v>2228.3000000000002</v>
      </c>
      <c r="CJ196" s="2">
        <v>924</v>
      </c>
      <c r="CK196" s="2">
        <v>30000</v>
      </c>
      <c r="CL196" s="2" t="s">
        <v>96</v>
      </c>
      <c r="CM196" s="2" t="s">
        <v>95</v>
      </c>
      <c r="CN196" s="2" t="s">
        <v>577</v>
      </c>
      <c r="CO196" s="3">
        <v>43095</v>
      </c>
      <c r="CP196" s="3">
        <v>43634</v>
      </c>
    </row>
    <row r="197" spans="1:94" x14ac:dyDescent="0.25">
      <c r="A197" s="2" t="s">
        <v>1077</v>
      </c>
      <c r="B197" s="2" t="str">
        <f xml:space="preserve"> "" &amp; 844349024408</f>
        <v>844349024408</v>
      </c>
      <c r="C197" s="2" t="s">
        <v>526</v>
      </c>
      <c r="D197" s="2" t="s">
        <v>1078</v>
      </c>
      <c r="E197" s="2" t="s">
        <v>572</v>
      </c>
      <c r="F197" s="2" t="s">
        <v>658</v>
      </c>
      <c r="G197" s="2">
        <v>1</v>
      </c>
      <c r="H197" s="2">
        <v>1</v>
      </c>
      <c r="I197" s="2" t="s">
        <v>94</v>
      </c>
      <c r="J197" s="6">
        <v>115</v>
      </c>
      <c r="K197" s="6">
        <v>345</v>
      </c>
      <c r="L197" s="2">
        <v>0</v>
      </c>
      <c r="N197" s="2">
        <v>0</v>
      </c>
      <c r="O197" s="2" t="s">
        <v>96</v>
      </c>
      <c r="P197" s="6">
        <v>243.95</v>
      </c>
      <c r="Q197" s="6"/>
      <c r="R197" s="7"/>
      <c r="S197" s="2">
        <v>5.5</v>
      </c>
      <c r="T197" s="2">
        <v>14.25</v>
      </c>
      <c r="U197" s="2">
        <v>1</v>
      </c>
      <c r="V197" s="2">
        <v>3.5</v>
      </c>
      <c r="W197" s="2">
        <v>4.67</v>
      </c>
      <c r="X197" s="2">
        <v>1</v>
      </c>
      <c r="Y197" s="2">
        <v>5.5</v>
      </c>
      <c r="Z197" s="2">
        <v>16.38</v>
      </c>
      <c r="AA197" s="2">
        <v>7.75</v>
      </c>
      <c r="AB197" s="2">
        <v>0.40400000000000003</v>
      </c>
      <c r="AC197" s="2">
        <v>5.42</v>
      </c>
      <c r="AE197" s="2">
        <v>1</v>
      </c>
      <c r="AF197" s="2" t="s">
        <v>347</v>
      </c>
      <c r="AG197" s="2">
        <v>16</v>
      </c>
      <c r="AK197" s="2" t="s">
        <v>96</v>
      </c>
      <c r="AM197" s="2" t="s">
        <v>95</v>
      </c>
      <c r="AN197" s="2" t="s">
        <v>96</v>
      </c>
      <c r="AO197" s="2" t="s">
        <v>95</v>
      </c>
      <c r="AP197" s="2" t="s">
        <v>97</v>
      </c>
      <c r="AQ197" s="2" t="s">
        <v>98</v>
      </c>
      <c r="AV197" s="2" t="s">
        <v>95</v>
      </c>
      <c r="AX197" s="2" t="s">
        <v>573</v>
      </c>
      <c r="AZ197" s="2" t="s">
        <v>449</v>
      </c>
      <c r="BB197" s="2" t="s">
        <v>329</v>
      </c>
      <c r="BC197" s="2" t="s">
        <v>1079</v>
      </c>
      <c r="BF197" s="2" t="s">
        <v>1080</v>
      </c>
      <c r="BG197" s="2" t="s">
        <v>95</v>
      </c>
      <c r="BH197" s="2" t="s">
        <v>95</v>
      </c>
      <c r="BI197" s="2" t="s">
        <v>95</v>
      </c>
      <c r="BJ197" s="2" t="s">
        <v>96</v>
      </c>
      <c r="BK197" s="2" t="s">
        <v>567</v>
      </c>
      <c r="BL197" s="2" t="s">
        <v>350</v>
      </c>
      <c r="BM197" s="2">
        <v>5</v>
      </c>
      <c r="BN197" s="2">
        <v>13.75</v>
      </c>
      <c r="CA197" s="2" t="s">
        <v>1081</v>
      </c>
      <c r="CB197" s="2" t="s">
        <v>573</v>
      </c>
      <c r="CG197" s="2">
        <v>3000</v>
      </c>
      <c r="CH197" s="2">
        <v>91</v>
      </c>
      <c r="CI197" s="2">
        <v>1446</v>
      </c>
      <c r="CJ197" s="2">
        <v>655</v>
      </c>
      <c r="CK197" s="2">
        <v>30000</v>
      </c>
      <c r="CL197" s="2" t="s">
        <v>96</v>
      </c>
      <c r="CM197" s="2" t="s">
        <v>95</v>
      </c>
      <c r="CN197" s="2" t="s">
        <v>577</v>
      </c>
      <c r="CO197" s="3">
        <v>43095</v>
      </c>
      <c r="CP197" s="3">
        <v>43634</v>
      </c>
    </row>
    <row r="198" spans="1:94" x14ac:dyDescent="0.25">
      <c r="A198" s="2" t="s">
        <v>1082</v>
      </c>
      <c r="B198" s="2" t="str">
        <f xml:space="preserve"> "" &amp; 844349024415</f>
        <v>844349024415</v>
      </c>
      <c r="C198" s="2" t="s">
        <v>526</v>
      </c>
      <c r="D198" s="2" t="s">
        <v>1083</v>
      </c>
      <c r="E198" s="2" t="s">
        <v>572</v>
      </c>
      <c r="F198" s="2" t="s">
        <v>658</v>
      </c>
      <c r="G198" s="2">
        <v>1</v>
      </c>
      <c r="H198" s="2">
        <v>1</v>
      </c>
      <c r="I198" s="2" t="s">
        <v>94</v>
      </c>
      <c r="J198" s="6">
        <v>169</v>
      </c>
      <c r="K198" s="6">
        <v>507</v>
      </c>
      <c r="L198" s="2">
        <v>0</v>
      </c>
      <c r="N198" s="2">
        <v>0</v>
      </c>
      <c r="O198" s="2" t="s">
        <v>96</v>
      </c>
      <c r="P198" s="6">
        <v>354.95</v>
      </c>
      <c r="Q198" s="6"/>
      <c r="R198" s="7"/>
      <c r="S198" s="2">
        <v>5.5</v>
      </c>
      <c r="T198" s="2">
        <v>24.25</v>
      </c>
      <c r="U198" s="2">
        <v>1</v>
      </c>
      <c r="V198" s="2">
        <v>3.5</v>
      </c>
      <c r="W198" s="2">
        <v>7.85</v>
      </c>
      <c r="X198" s="2">
        <v>1</v>
      </c>
      <c r="Y198" s="2">
        <v>5.88</v>
      </c>
      <c r="Z198" s="2">
        <v>27.25</v>
      </c>
      <c r="AA198" s="2">
        <v>7.75</v>
      </c>
      <c r="AB198" s="2">
        <v>0.71899999999999997</v>
      </c>
      <c r="AC198" s="2">
        <v>9.0399999999999991</v>
      </c>
      <c r="AE198" s="2">
        <v>1</v>
      </c>
      <c r="AF198" s="2" t="s">
        <v>347</v>
      </c>
      <c r="AG198" s="2">
        <v>28</v>
      </c>
      <c r="AK198" s="2" t="s">
        <v>96</v>
      </c>
      <c r="AM198" s="2" t="s">
        <v>95</v>
      </c>
      <c r="AN198" s="2" t="s">
        <v>96</v>
      </c>
      <c r="AO198" s="2" t="s">
        <v>95</v>
      </c>
      <c r="AP198" s="2" t="s">
        <v>97</v>
      </c>
      <c r="AQ198" s="2" t="s">
        <v>98</v>
      </c>
      <c r="AV198" s="2" t="s">
        <v>95</v>
      </c>
      <c r="AX198" s="2" t="s">
        <v>573</v>
      </c>
      <c r="AZ198" s="2" t="s">
        <v>449</v>
      </c>
      <c r="BB198" s="2" t="s">
        <v>329</v>
      </c>
      <c r="BC198" s="2" t="s">
        <v>1079</v>
      </c>
      <c r="BF198" s="2" t="s">
        <v>1084</v>
      </c>
      <c r="BG198" s="2" t="s">
        <v>95</v>
      </c>
      <c r="BH198" s="2" t="s">
        <v>95</v>
      </c>
      <c r="BI198" s="2" t="s">
        <v>95</v>
      </c>
      <c r="BJ198" s="2" t="s">
        <v>96</v>
      </c>
      <c r="BK198" s="2" t="s">
        <v>567</v>
      </c>
      <c r="BL198" s="2" t="s">
        <v>350</v>
      </c>
      <c r="BM198" s="2">
        <v>5</v>
      </c>
      <c r="BN198" s="2">
        <v>23.75</v>
      </c>
      <c r="CA198" s="2" t="s">
        <v>1085</v>
      </c>
      <c r="CB198" s="2" t="s">
        <v>573</v>
      </c>
      <c r="CG198" s="2">
        <v>3000</v>
      </c>
      <c r="CH198" s="2">
        <v>91</v>
      </c>
      <c r="CI198" s="2">
        <v>2586</v>
      </c>
      <c r="CJ198" s="2">
        <v>1163</v>
      </c>
      <c r="CK198" s="2">
        <v>30000</v>
      </c>
      <c r="CL198" s="2" t="s">
        <v>96</v>
      </c>
      <c r="CM198" s="2" t="s">
        <v>95</v>
      </c>
      <c r="CN198" s="2" t="s">
        <v>577</v>
      </c>
      <c r="CO198" s="3">
        <v>43095</v>
      </c>
      <c r="CP198" s="3">
        <v>43634</v>
      </c>
    </row>
    <row r="199" spans="1:94" x14ac:dyDescent="0.25">
      <c r="A199" s="2" t="s">
        <v>1086</v>
      </c>
      <c r="B199" s="2" t="str">
        <f xml:space="preserve"> "" &amp; 844349024422</f>
        <v>844349024422</v>
      </c>
      <c r="C199" s="2" t="s">
        <v>526</v>
      </c>
      <c r="D199" s="2" t="s">
        <v>1083</v>
      </c>
      <c r="E199" s="2" t="s">
        <v>572</v>
      </c>
      <c r="F199" s="2" t="s">
        <v>658</v>
      </c>
      <c r="G199" s="2">
        <v>1</v>
      </c>
      <c r="H199" s="2">
        <v>1</v>
      </c>
      <c r="I199" s="2" t="s">
        <v>94</v>
      </c>
      <c r="J199" s="6">
        <v>225</v>
      </c>
      <c r="K199" s="6">
        <v>675</v>
      </c>
      <c r="L199" s="2">
        <v>0</v>
      </c>
      <c r="N199" s="2">
        <v>0</v>
      </c>
      <c r="O199" s="2" t="s">
        <v>96</v>
      </c>
      <c r="P199" s="6">
        <v>474.95</v>
      </c>
      <c r="Q199" s="6"/>
      <c r="R199" s="7"/>
      <c r="S199" s="2">
        <v>5.5</v>
      </c>
      <c r="U199" s="2">
        <v>32.25</v>
      </c>
      <c r="V199" s="2">
        <v>3.5</v>
      </c>
      <c r="W199" s="2">
        <v>10.32</v>
      </c>
      <c r="X199" s="2">
        <v>1</v>
      </c>
      <c r="Y199" s="2">
        <v>5.88</v>
      </c>
      <c r="Z199" s="2">
        <v>35.880000000000003</v>
      </c>
      <c r="AA199" s="2">
        <v>7.75</v>
      </c>
      <c r="AB199" s="2">
        <v>0.94599999999999995</v>
      </c>
      <c r="AC199" s="2">
        <v>11.73</v>
      </c>
      <c r="AE199" s="2">
        <v>1</v>
      </c>
      <c r="AF199" s="2" t="s">
        <v>347</v>
      </c>
      <c r="AG199" s="2">
        <v>38</v>
      </c>
      <c r="AK199" s="2" t="s">
        <v>96</v>
      </c>
      <c r="AM199" s="2" t="s">
        <v>95</v>
      </c>
      <c r="AN199" s="2" t="s">
        <v>96</v>
      </c>
      <c r="AO199" s="2" t="s">
        <v>95</v>
      </c>
      <c r="AP199" s="2" t="s">
        <v>97</v>
      </c>
      <c r="AQ199" s="2" t="s">
        <v>98</v>
      </c>
      <c r="AV199" s="2" t="s">
        <v>95</v>
      </c>
      <c r="AX199" s="2" t="s">
        <v>573</v>
      </c>
      <c r="AZ199" s="2" t="s">
        <v>449</v>
      </c>
      <c r="BB199" s="2" t="s">
        <v>329</v>
      </c>
      <c r="BC199" s="2" t="s">
        <v>681</v>
      </c>
      <c r="BF199" s="2" t="s">
        <v>1087</v>
      </c>
      <c r="BG199" s="2" t="s">
        <v>95</v>
      </c>
      <c r="BH199" s="2" t="s">
        <v>95</v>
      </c>
      <c r="BI199" s="2" t="s">
        <v>95</v>
      </c>
      <c r="BJ199" s="2" t="s">
        <v>96</v>
      </c>
      <c r="BK199" s="2" t="s">
        <v>567</v>
      </c>
      <c r="BM199" s="2">
        <v>5</v>
      </c>
      <c r="BN199" s="2">
        <v>31.63</v>
      </c>
      <c r="CA199" s="2" t="s">
        <v>1088</v>
      </c>
      <c r="CB199" s="2" t="s">
        <v>573</v>
      </c>
      <c r="CG199" s="2">
        <v>3000</v>
      </c>
      <c r="CH199" s="2">
        <v>91</v>
      </c>
      <c r="CI199" s="2">
        <v>3541</v>
      </c>
      <c r="CJ199" s="2">
        <v>1608</v>
      </c>
      <c r="CK199" s="2">
        <v>30000</v>
      </c>
      <c r="CL199" s="2" t="s">
        <v>96</v>
      </c>
      <c r="CM199" s="2" t="s">
        <v>95</v>
      </c>
      <c r="CN199" s="2" t="s">
        <v>577</v>
      </c>
      <c r="CO199" s="3">
        <v>43095</v>
      </c>
      <c r="CP199" s="3">
        <v>43634</v>
      </c>
    </row>
    <row r="200" spans="1:94" x14ac:dyDescent="0.25">
      <c r="A200" s="2" t="s">
        <v>1089</v>
      </c>
      <c r="B200" s="2" t="str">
        <f xml:space="preserve"> "" &amp; 844349024439</f>
        <v>844349024439</v>
      </c>
      <c r="C200" s="2" t="s">
        <v>526</v>
      </c>
      <c r="D200" s="2" t="s">
        <v>1090</v>
      </c>
      <c r="E200" s="2" t="s">
        <v>572</v>
      </c>
      <c r="F200" s="2" t="s">
        <v>102</v>
      </c>
      <c r="G200" s="2">
        <v>1</v>
      </c>
      <c r="H200" s="2">
        <v>1</v>
      </c>
      <c r="I200" s="2" t="s">
        <v>94</v>
      </c>
      <c r="J200" s="6">
        <v>189</v>
      </c>
      <c r="K200" s="6">
        <v>567</v>
      </c>
      <c r="L200" s="2">
        <v>0</v>
      </c>
      <c r="N200" s="2">
        <v>0</v>
      </c>
      <c r="O200" s="2" t="s">
        <v>96</v>
      </c>
      <c r="P200" s="6">
        <v>396.95</v>
      </c>
      <c r="Q200" s="6"/>
      <c r="R200" s="7"/>
      <c r="S200" s="2">
        <v>14.25</v>
      </c>
      <c r="U200" s="2">
        <v>14.25</v>
      </c>
      <c r="V200" s="2">
        <v>3.5</v>
      </c>
      <c r="W200" s="2">
        <v>10.98</v>
      </c>
      <c r="X200" s="2">
        <v>1</v>
      </c>
      <c r="Y200" s="2">
        <v>5.88</v>
      </c>
      <c r="Z200" s="2">
        <v>16.38</v>
      </c>
      <c r="AA200" s="2">
        <v>16.38</v>
      </c>
      <c r="AB200" s="2">
        <v>0.91300000000000003</v>
      </c>
      <c r="AC200" s="2">
        <v>12.52</v>
      </c>
      <c r="AE200" s="2">
        <v>1</v>
      </c>
      <c r="AF200" s="2" t="s">
        <v>347</v>
      </c>
      <c r="AG200" s="2">
        <v>38</v>
      </c>
      <c r="AK200" s="2" t="s">
        <v>96</v>
      </c>
      <c r="AM200" s="2" t="s">
        <v>95</v>
      </c>
      <c r="AN200" s="2" t="s">
        <v>96</v>
      </c>
      <c r="AO200" s="2" t="s">
        <v>95</v>
      </c>
      <c r="AP200" s="2" t="s">
        <v>97</v>
      </c>
      <c r="AQ200" s="2" t="s">
        <v>98</v>
      </c>
      <c r="AV200" s="2" t="s">
        <v>95</v>
      </c>
      <c r="AX200" s="2" t="s">
        <v>573</v>
      </c>
      <c r="AZ200" s="2" t="s">
        <v>449</v>
      </c>
      <c r="BB200" s="2" t="s">
        <v>329</v>
      </c>
      <c r="BC200" s="2" t="s">
        <v>681</v>
      </c>
      <c r="BF200" s="2" t="s">
        <v>1091</v>
      </c>
      <c r="BG200" s="2" t="s">
        <v>95</v>
      </c>
      <c r="BH200" s="2" t="s">
        <v>95</v>
      </c>
      <c r="BI200" s="2" t="s">
        <v>95</v>
      </c>
      <c r="BJ200" s="2" t="s">
        <v>96</v>
      </c>
      <c r="BK200" s="2" t="s">
        <v>567</v>
      </c>
      <c r="BM200" s="2">
        <v>13.5</v>
      </c>
      <c r="BN200" s="2">
        <v>13.5</v>
      </c>
      <c r="CA200" s="2" t="s">
        <v>1092</v>
      </c>
      <c r="CB200" s="2" t="s">
        <v>573</v>
      </c>
      <c r="CG200" s="2">
        <v>3000</v>
      </c>
      <c r="CH200" s="2">
        <v>91</v>
      </c>
      <c r="CI200" s="2">
        <v>3574</v>
      </c>
      <c r="CJ200" s="2">
        <v>1673</v>
      </c>
      <c r="CK200" s="2">
        <v>30000</v>
      </c>
      <c r="CL200" s="2" t="s">
        <v>96</v>
      </c>
      <c r="CM200" s="2" t="s">
        <v>95</v>
      </c>
      <c r="CN200" s="2" t="s">
        <v>577</v>
      </c>
      <c r="CO200" s="3">
        <v>43095</v>
      </c>
      <c r="CP200" s="3">
        <v>43634</v>
      </c>
    </row>
    <row r="201" spans="1:94" x14ac:dyDescent="0.25">
      <c r="A201" s="2" t="s">
        <v>1093</v>
      </c>
      <c r="B201" s="2" t="str">
        <f xml:space="preserve"> "" &amp; 844349024446</f>
        <v>844349024446</v>
      </c>
      <c r="C201" s="2" t="s">
        <v>1094</v>
      </c>
      <c r="D201" s="2" t="s">
        <v>1095</v>
      </c>
      <c r="E201" s="2" t="s">
        <v>1096</v>
      </c>
      <c r="F201" s="2" t="s">
        <v>658</v>
      </c>
      <c r="G201" s="2">
        <v>1</v>
      </c>
      <c r="H201" s="2">
        <v>1</v>
      </c>
      <c r="I201" s="2" t="s">
        <v>94</v>
      </c>
      <c r="J201" s="6">
        <v>49.5</v>
      </c>
      <c r="K201" s="6">
        <v>148.5</v>
      </c>
      <c r="L201" s="2">
        <v>0</v>
      </c>
      <c r="N201" s="2">
        <v>0</v>
      </c>
      <c r="O201" s="2" t="s">
        <v>96</v>
      </c>
      <c r="P201" s="6">
        <v>103.95</v>
      </c>
      <c r="Q201" s="6"/>
      <c r="R201" s="7"/>
      <c r="S201" s="2">
        <v>9.75</v>
      </c>
      <c r="T201" s="2">
        <v>14.25</v>
      </c>
      <c r="U201" s="2">
        <v>6</v>
      </c>
      <c r="V201" s="2">
        <v>7.75</v>
      </c>
      <c r="W201" s="2">
        <v>2.38</v>
      </c>
      <c r="X201" s="2">
        <v>1</v>
      </c>
      <c r="Y201" s="2">
        <v>8.5</v>
      </c>
      <c r="Z201" s="2">
        <v>14.25</v>
      </c>
      <c r="AA201" s="2">
        <v>9.25</v>
      </c>
      <c r="AB201" s="2">
        <v>0.64800000000000002</v>
      </c>
      <c r="AC201" s="2">
        <v>3.35</v>
      </c>
      <c r="AE201" s="2">
        <v>1</v>
      </c>
      <c r="AF201" s="2" t="s">
        <v>1097</v>
      </c>
      <c r="AG201" s="2">
        <v>75</v>
      </c>
      <c r="AH201" s="2">
        <v>1</v>
      </c>
      <c r="AI201" s="2" t="s">
        <v>1097</v>
      </c>
      <c r="AJ201" s="2">
        <v>75</v>
      </c>
      <c r="AK201" s="2" t="s">
        <v>96</v>
      </c>
      <c r="AL201" s="2">
        <v>1</v>
      </c>
      <c r="AM201" s="2" t="s">
        <v>95</v>
      </c>
      <c r="AN201" s="2" t="s">
        <v>96</v>
      </c>
      <c r="AO201" s="2" t="s">
        <v>95</v>
      </c>
      <c r="AP201" s="2" t="s">
        <v>97</v>
      </c>
      <c r="AQ201" s="2" t="s">
        <v>98</v>
      </c>
      <c r="AV201" s="2" t="s">
        <v>95</v>
      </c>
      <c r="AX201" s="2" t="s">
        <v>1098</v>
      </c>
      <c r="AZ201" s="2" t="s">
        <v>449</v>
      </c>
      <c r="BB201" s="2" t="s">
        <v>329</v>
      </c>
      <c r="BC201" s="2" t="s">
        <v>593</v>
      </c>
      <c r="BF201" s="2" t="s">
        <v>1099</v>
      </c>
      <c r="BG201" s="2" t="s">
        <v>95</v>
      </c>
      <c r="BH201" s="2" t="s">
        <v>95</v>
      </c>
      <c r="BI201" s="2" t="s">
        <v>95</v>
      </c>
      <c r="BK201" s="2" t="s">
        <v>414</v>
      </c>
      <c r="BL201" s="2" t="s">
        <v>617</v>
      </c>
      <c r="BM201" s="2">
        <v>5</v>
      </c>
      <c r="BN201" s="2">
        <v>6</v>
      </c>
      <c r="CA201" s="2" t="s">
        <v>1100</v>
      </c>
      <c r="CB201" s="2" t="s">
        <v>1098</v>
      </c>
      <c r="CL201" s="2" t="s">
        <v>96</v>
      </c>
      <c r="CM201" s="2" t="s">
        <v>95</v>
      </c>
      <c r="CN201" s="2" t="s">
        <v>460</v>
      </c>
      <c r="CO201" s="3">
        <v>43105</v>
      </c>
      <c r="CP201" s="3">
        <v>43634</v>
      </c>
    </row>
    <row r="202" spans="1:94" x14ac:dyDescent="0.25">
      <c r="A202" s="2" t="s">
        <v>1101</v>
      </c>
      <c r="B202" s="2" t="str">
        <f xml:space="preserve"> "" &amp; 844349024453</f>
        <v>844349024453</v>
      </c>
      <c r="C202" s="2" t="s">
        <v>1102</v>
      </c>
      <c r="D202" s="2" t="s">
        <v>1103</v>
      </c>
      <c r="E202" s="2" t="s">
        <v>1096</v>
      </c>
      <c r="F202" s="2" t="s">
        <v>658</v>
      </c>
      <c r="G202" s="2">
        <v>1</v>
      </c>
      <c r="H202" s="2">
        <v>1</v>
      </c>
      <c r="I202" s="2" t="s">
        <v>94</v>
      </c>
      <c r="J202" s="6">
        <v>95</v>
      </c>
      <c r="K202" s="6">
        <v>285</v>
      </c>
      <c r="L202" s="2">
        <v>0</v>
      </c>
      <c r="N202" s="2">
        <v>0</v>
      </c>
      <c r="O202" s="2" t="s">
        <v>96</v>
      </c>
      <c r="P202" s="6">
        <v>199.95</v>
      </c>
      <c r="Q202" s="6"/>
      <c r="R202" s="7"/>
      <c r="S202" s="2">
        <v>15.25</v>
      </c>
      <c r="U202" s="2">
        <v>16</v>
      </c>
      <c r="V202" s="2">
        <v>8</v>
      </c>
      <c r="W202" s="2">
        <v>4.83</v>
      </c>
      <c r="X202" s="2">
        <v>1</v>
      </c>
      <c r="Y202" s="2">
        <v>9.75</v>
      </c>
      <c r="Z202" s="2">
        <v>17.75</v>
      </c>
      <c r="AA202" s="2">
        <v>16</v>
      </c>
      <c r="AB202" s="2">
        <v>1.6020000000000001</v>
      </c>
      <c r="AC202" s="2">
        <v>7.01</v>
      </c>
      <c r="AE202" s="2">
        <v>2</v>
      </c>
      <c r="AF202" s="2" t="s">
        <v>1097</v>
      </c>
      <c r="AG202" s="2">
        <v>75</v>
      </c>
      <c r="AH202" s="2">
        <v>1</v>
      </c>
      <c r="AI202" s="2" t="s">
        <v>1097</v>
      </c>
      <c r="AJ202" s="2">
        <v>75</v>
      </c>
      <c r="AK202" s="2" t="s">
        <v>96</v>
      </c>
      <c r="AL202" s="2">
        <v>2</v>
      </c>
      <c r="AM202" s="2" t="s">
        <v>95</v>
      </c>
      <c r="AN202" s="2" t="s">
        <v>96</v>
      </c>
      <c r="AO202" s="2" t="s">
        <v>95</v>
      </c>
      <c r="AP202" s="2" t="s">
        <v>97</v>
      </c>
      <c r="AQ202" s="2" t="s">
        <v>98</v>
      </c>
      <c r="AV202" s="2" t="s">
        <v>95</v>
      </c>
      <c r="AX202" s="2" t="s">
        <v>1098</v>
      </c>
      <c r="AZ202" s="2" t="s">
        <v>449</v>
      </c>
      <c r="BB202" s="2" t="s">
        <v>329</v>
      </c>
      <c r="BC202" s="2" t="s">
        <v>593</v>
      </c>
      <c r="BF202" s="2" t="s">
        <v>1104</v>
      </c>
      <c r="BG202" s="2" t="s">
        <v>95</v>
      </c>
      <c r="BH202" s="2" t="s">
        <v>95</v>
      </c>
      <c r="BI202" s="2" t="s">
        <v>95</v>
      </c>
      <c r="BK202" s="2" t="s">
        <v>414</v>
      </c>
      <c r="BL202" s="2" t="s">
        <v>1105</v>
      </c>
      <c r="BM202" s="2">
        <v>5</v>
      </c>
      <c r="BN202" s="2">
        <v>10</v>
      </c>
      <c r="CA202" s="2" t="s">
        <v>1106</v>
      </c>
      <c r="CB202" s="2" t="s">
        <v>1098</v>
      </c>
      <c r="CL202" s="2" t="s">
        <v>96</v>
      </c>
      <c r="CM202" s="2" t="s">
        <v>95</v>
      </c>
      <c r="CN202" s="2" t="s">
        <v>460</v>
      </c>
      <c r="CO202" s="3">
        <v>43105</v>
      </c>
      <c r="CP202" s="3">
        <v>43634</v>
      </c>
    </row>
    <row r="203" spans="1:94" x14ac:dyDescent="0.25">
      <c r="A203" s="2" t="s">
        <v>1107</v>
      </c>
      <c r="B203" s="2" t="str">
        <f xml:space="preserve"> "" &amp; 844349024460</f>
        <v>844349024460</v>
      </c>
      <c r="C203" s="2" t="s">
        <v>996</v>
      </c>
      <c r="D203" s="2" t="s">
        <v>1108</v>
      </c>
      <c r="E203" s="2" t="s">
        <v>1096</v>
      </c>
      <c r="F203" s="2" t="s">
        <v>658</v>
      </c>
      <c r="G203" s="2">
        <v>1</v>
      </c>
      <c r="H203" s="2">
        <v>1</v>
      </c>
      <c r="I203" s="2" t="s">
        <v>94</v>
      </c>
      <c r="J203" s="6">
        <v>79</v>
      </c>
      <c r="K203" s="6">
        <v>237</v>
      </c>
      <c r="L203" s="2">
        <v>0</v>
      </c>
      <c r="N203" s="2">
        <v>0</v>
      </c>
      <c r="O203" s="2" t="s">
        <v>96</v>
      </c>
      <c r="P203" s="6">
        <v>165.95</v>
      </c>
      <c r="Q203" s="6"/>
      <c r="R203" s="7"/>
      <c r="S203" s="2">
        <v>8.5</v>
      </c>
      <c r="U203" s="2">
        <v>15</v>
      </c>
      <c r="V203" s="2">
        <v>7.75</v>
      </c>
      <c r="W203" s="2">
        <v>4.43</v>
      </c>
      <c r="X203" s="2">
        <v>1</v>
      </c>
      <c r="Y203" s="2">
        <v>12.75</v>
      </c>
      <c r="Z203" s="2">
        <v>17.5</v>
      </c>
      <c r="AA203" s="2">
        <v>9.8800000000000008</v>
      </c>
      <c r="AB203" s="2">
        <v>1.276</v>
      </c>
      <c r="AC203" s="2">
        <v>7.28</v>
      </c>
      <c r="AE203" s="2">
        <v>2</v>
      </c>
      <c r="AF203" s="2" t="s">
        <v>1097</v>
      </c>
      <c r="AG203" s="2">
        <v>75</v>
      </c>
      <c r="AH203" s="2">
        <v>1</v>
      </c>
      <c r="AI203" s="2" t="s">
        <v>1097</v>
      </c>
      <c r="AJ203" s="2">
        <v>75</v>
      </c>
      <c r="AK203" s="2" t="s">
        <v>96</v>
      </c>
      <c r="AL203" s="2">
        <v>2</v>
      </c>
      <c r="AM203" s="2" t="s">
        <v>95</v>
      </c>
      <c r="AN203" s="2" t="s">
        <v>96</v>
      </c>
      <c r="AO203" s="2" t="s">
        <v>95</v>
      </c>
      <c r="AP203" s="2" t="s">
        <v>97</v>
      </c>
      <c r="AQ203" s="2" t="s">
        <v>98</v>
      </c>
      <c r="AV203" s="2" t="s">
        <v>95</v>
      </c>
      <c r="AX203" s="2" t="s">
        <v>1098</v>
      </c>
      <c r="AZ203" s="2" t="s">
        <v>449</v>
      </c>
      <c r="BB203" s="2" t="s">
        <v>329</v>
      </c>
      <c r="BC203" s="2" t="s">
        <v>593</v>
      </c>
      <c r="BF203" s="2" t="s">
        <v>1109</v>
      </c>
      <c r="BG203" s="2" t="s">
        <v>95</v>
      </c>
      <c r="BH203" s="2" t="s">
        <v>95</v>
      </c>
      <c r="BI203" s="2" t="s">
        <v>95</v>
      </c>
      <c r="BK203" s="2" t="s">
        <v>414</v>
      </c>
      <c r="BL203" s="2" t="s">
        <v>617</v>
      </c>
      <c r="BM203" s="2">
        <v>10</v>
      </c>
      <c r="BN203" s="2">
        <v>5</v>
      </c>
      <c r="CA203" s="2" t="s">
        <v>1110</v>
      </c>
      <c r="CB203" s="2" t="s">
        <v>1098</v>
      </c>
      <c r="CL203" s="2" t="s">
        <v>96</v>
      </c>
      <c r="CM203" s="2" t="s">
        <v>95</v>
      </c>
      <c r="CN203" s="2" t="s">
        <v>460</v>
      </c>
      <c r="CO203" s="3">
        <v>43105</v>
      </c>
      <c r="CP203" s="3">
        <v>43634</v>
      </c>
    </row>
    <row r="204" spans="1:94" x14ac:dyDescent="0.25">
      <c r="A204" s="2" t="s">
        <v>1111</v>
      </c>
      <c r="B204" s="2" t="str">
        <f xml:space="preserve"> "" &amp; 844349024477</f>
        <v>844349024477</v>
      </c>
      <c r="C204" s="2" t="s">
        <v>1001</v>
      </c>
      <c r="D204" s="2" t="s">
        <v>1112</v>
      </c>
      <c r="E204" s="2" t="s">
        <v>1096</v>
      </c>
      <c r="F204" s="2" t="s">
        <v>658</v>
      </c>
      <c r="G204" s="2">
        <v>1</v>
      </c>
      <c r="H204" s="2">
        <v>1</v>
      </c>
      <c r="I204" s="2" t="s">
        <v>94</v>
      </c>
      <c r="J204" s="6">
        <v>105</v>
      </c>
      <c r="K204" s="6">
        <v>315</v>
      </c>
      <c r="L204" s="2">
        <v>0</v>
      </c>
      <c r="N204" s="2">
        <v>0</v>
      </c>
      <c r="O204" s="2" t="s">
        <v>96</v>
      </c>
      <c r="P204" s="6">
        <v>221.95</v>
      </c>
      <c r="Q204" s="6"/>
      <c r="R204" s="7"/>
      <c r="S204" s="2">
        <v>8.5</v>
      </c>
      <c r="U204" s="2">
        <v>24</v>
      </c>
      <c r="V204" s="2">
        <v>7.75</v>
      </c>
      <c r="W204" s="2">
        <v>6.48</v>
      </c>
      <c r="X204" s="2">
        <v>1</v>
      </c>
      <c r="Y204" s="2">
        <v>12.75</v>
      </c>
      <c r="Z204" s="2">
        <v>26.5</v>
      </c>
      <c r="AA204" s="2">
        <v>9.8800000000000008</v>
      </c>
      <c r="AB204" s="2">
        <v>1.9319999999999999</v>
      </c>
      <c r="AC204" s="2">
        <v>10.38</v>
      </c>
      <c r="AE204" s="2">
        <v>3</v>
      </c>
      <c r="AF204" s="2" t="s">
        <v>1097</v>
      </c>
      <c r="AG204" s="2">
        <v>75</v>
      </c>
      <c r="AH204" s="2">
        <v>1</v>
      </c>
      <c r="AI204" s="2" t="s">
        <v>1097</v>
      </c>
      <c r="AJ204" s="2">
        <v>75</v>
      </c>
      <c r="AK204" s="2" t="s">
        <v>96</v>
      </c>
      <c r="AL204" s="2">
        <v>3</v>
      </c>
      <c r="AM204" s="2" t="s">
        <v>95</v>
      </c>
      <c r="AN204" s="2" t="s">
        <v>96</v>
      </c>
      <c r="AO204" s="2" t="s">
        <v>95</v>
      </c>
      <c r="AP204" s="2" t="s">
        <v>97</v>
      </c>
      <c r="AQ204" s="2" t="s">
        <v>98</v>
      </c>
      <c r="AV204" s="2" t="s">
        <v>95</v>
      </c>
      <c r="AX204" s="2" t="s">
        <v>1098</v>
      </c>
      <c r="AZ204" s="2" t="s">
        <v>449</v>
      </c>
      <c r="BB204" s="2" t="s">
        <v>329</v>
      </c>
      <c r="BC204" s="2" t="s">
        <v>593</v>
      </c>
      <c r="BF204" s="2" t="s">
        <v>1113</v>
      </c>
      <c r="BG204" s="2" t="s">
        <v>95</v>
      </c>
      <c r="BH204" s="2" t="s">
        <v>95</v>
      </c>
      <c r="BI204" s="2" t="s">
        <v>95</v>
      </c>
      <c r="BK204" s="2" t="s">
        <v>414</v>
      </c>
      <c r="BL204" s="2" t="s">
        <v>617</v>
      </c>
      <c r="BM204" s="2">
        <v>10</v>
      </c>
      <c r="BN204" s="2">
        <v>5</v>
      </c>
      <c r="CA204" s="2" t="s">
        <v>1114</v>
      </c>
      <c r="CB204" s="2" t="s">
        <v>1098</v>
      </c>
      <c r="CL204" s="2" t="s">
        <v>96</v>
      </c>
      <c r="CM204" s="2" t="s">
        <v>95</v>
      </c>
      <c r="CN204" s="2" t="s">
        <v>460</v>
      </c>
      <c r="CO204" s="3">
        <v>43105</v>
      </c>
      <c r="CP204" s="3">
        <v>43634</v>
      </c>
    </row>
    <row r="205" spans="1:94" x14ac:dyDescent="0.25">
      <c r="A205" s="2" t="s">
        <v>1115</v>
      </c>
      <c r="B205" s="2" t="str">
        <f xml:space="preserve"> "" &amp; 844349024484</f>
        <v>844349024484</v>
      </c>
      <c r="C205" s="2" t="s">
        <v>1006</v>
      </c>
      <c r="D205" s="2" t="s">
        <v>1116</v>
      </c>
      <c r="E205" s="2" t="s">
        <v>1096</v>
      </c>
      <c r="F205" s="2" t="s">
        <v>658</v>
      </c>
      <c r="G205" s="2">
        <v>1</v>
      </c>
      <c r="H205" s="2">
        <v>1</v>
      </c>
      <c r="I205" s="2" t="s">
        <v>94</v>
      </c>
      <c r="J205" s="6">
        <v>135</v>
      </c>
      <c r="K205" s="6">
        <v>405</v>
      </c>
      <c r="L205" s="2">
        <v>0</v>
      </c>
      <c r="N205" s="2">
        <v>0</v>
      </c>
      <c r="O205" s="2" t="s">
        <v>96</v>
      </c>
      <c r="P205" s="6">
        <v>281.95</v>
      </c>
      <c r="Q205" s="6"/>
      <c r="R205" s="7"/>
      <c r="S205" s="2">
        <v>8.5</v>
      </c>
      <c r="U205" s="2">
        <v>33</v>
      </c>
      <c r="V205" s="2">
        <v>7.75</v>
      </c>
      <c r="W205" s="2">
        <v>7.98</v>
      </c>
      <c r="X205" s="2">
        <v>1</v>
      </c>
      <c r="Y205" s="2">
        <v>12.75</v>
      </c>
      <c r="Z205" s="2">
        <v>35.5</v>
      </c>
      <c r="AA205" s="2">
        <v>9.8800000000000008</v>
      </c>
      <c r="AB205" s="2">
        <v>2.5880000000000001</v>
      </c>
      <c r="AC205" s="2">
        <v>12.59</v>
      </c>
      <c r="AE205" s="2">
        <v>4</v>
      </c>
      <c r="AF205" s="2" t="s">
        <v>1097</v>
      </c>
      <c r="AG205" s="2">
        <v>75</v>
      </c>
      <c r="AH205" s="2">
        <v>1</v>
      </c>
      <c r="AI205" s="2" t="s">
        <v>1097</v>
      </c>
      <c r="AJ205" s="2">
        <v>75</v>
      </c>
      <c r="AK205" s="2" t="s">
        <v>96</v>
      </c>
      <c r="AL205" s="2">
        <v>4</v>
      </c>
      <c r="AM205" s="2" t="s">
        <v>95</v>
      </c>
      <c r="AN205" s="2" t="s">
        <v>96</v>
      </c>
      <c r="AO205" s="2" t="s">
        <v>95</v>
      </c>
      <c r="AP205" s="2" t="s">
        <v>97</v>
      </c>
      <c r="AQ205" s="2" t="s">
        <v>98</v>
      </c>
      <c r="AV205" s="2" t="s">
        <v>95</v>
      </c>
      <c r="AX205" s="2" t="s">
        <v>1098</v>
      </c>
      <c r="AZ205" s="2" t="s">
        <v>449</v>
      </c>
      <c r="BB205" s="2" t="s">
        <v>329</v>
      </c>
      <c r="BC205" s="2" t="s">
        <v>593</v>
      </c>
      <c r="BF205" s="2" t="s">
        <v>1117</v>
      </c>
      <c r="BG205" s="2" t="s">
        <v>95</v>
      </c>
      <c r="BH205" s="2" t="s">
        <v>95</v>
      </c>
      <c r="BI205" s="2" t="s">
        <v>95</v>
      </c>
      <c r="BK205" s="2" t="s">
        <v>414</v>
      </c>
      <c r="BL205" s="2" t="s">
        <v>617</v>
      </c>
      <c r="BM205" s="2">
        <v>10</v>
      </c>
      <c r="BN205" s="2">
        <v>5</v>
      </c>
      <c r="CA205" s="2" t="s">
        <v>1118</v>
      </c>
      <c r="CB205" s="2" t="s">
        <v>1098</v>
      </c>
      <c r="CL205" s="2" t="s">
        <v>96</v>
      </c>
      <c r="CM205" s="2" t="s">
        <v>95</v>
      </c>
      <c r="CN205" s="2" t="s">
        <v>460</v>
      </c>
      <c r="CO205" s="3">
        <v>43105</v>
      </c>
      <c r="CP205" s="3">
        <v>43634</v>
      </c>
    </row>
    <row r="206" spans="1:94" x14ac:dyDescent="0.25">
      <c r="A206" s="2" t="s">
        <v>1119</v>
      </c>
      <c r="B206" s="2" t="str">
        <f xml:space="preserve"> "" &amp; 844349024491</f>
        <v>844349024491</v>
      </c>
      <c r="C206" s="2" t="s">
        <v>1120</v>
      </c>
      <c r="D206" s="2" t="s">
        <v>1121</v>
      </c>
      <c r="E206" s="2" t="s">
        <v>1096</v>
      </c>
      <c r="F206" s="2" t="s">
        <v>614</v>
      </c>
      <c r="G206" s="2">
        <v>1</v>
      </c>
      <c r="H206" s="2">
        <v>1</v>
      </c>
      <c r="I206" s="2" t="s">
        <v>94</v>
      </c>
      <c r="J206" s="6">
        <v>169</v>
      </c>
      <c r="K206" s="6">
        <v>507</v>
      </c>
      <c r="L206" s="2">
        <v>0</v>
      </c>
      <c r="N206" s="2">
        <v>0</v>
      </c>
      <c r="O206" s="2" t="s">
        <v>96</v>
      </c>
      <c r="P206" s="6">
        <v>354.95</v>
      </c>
      <c r="Q206" s="6"/>
      <c r="R206" s="7"/>
      <c r="S206" s="2">
        <v>15.75</v>
      </c>
      <c r="T206" s="2">
        <v>36</v>
      </c>
      <c r="U206" s="2">
        <v>6</v>
      </c>
      <c r="W206" s="2">
        <v>11.13</v>
      </c>
      <c r="X206" s="2">
        <v>1</v>
      </c>
      <c r="Y206" s="2">
        <v>8.75</v>
      </c>
      <c r="Z206" s="2">
        <v>33.75</v>
      </c>
      <c r="AA206" s="2">
        <v>17.25</v>
      </c>
      <c r="AB206" s="2">
        <v>2.948</v>
      </c>
      <c r="AC206" s="2">
        <v>14.93</v>
      </c>
      <c r="AE206" s="2">
        <v>5</v>
      </c>
      <c r="AF206" s="2" t="s">
        <v>1097</v>
      </c>
      <c r="AG206" s="2">
        <v>75</v>
      </c>
      <c r="AH206" s="2">
        <v>1</v>
      </c>
      <c r="AI206" s="2" t="s">
        <v>1097</v>
      </c>
      <c r="AJ206" s="2">
        <v>75</v>
      </c>
      <c r="AK206" s="2" t="s">
        <v>96</v>
      </c>
      <c r="AM206" s="2" t="s">
        <v>95</v>
      </c>
      <c r="AN206" s="2" t="s">
        <v>96</v>
      </c>
      <c r="AO206" s="2" t="s">
        <v>95</v>
      </c>
      <c r="AP206" s="2" t="s">
        <v>97</v>
      </c>
      <c r="AQ206" s="2" t="s">
        <v>98</v>
      </c>
      <c r="AV206" s="2" t="s">
        <v>95</v>
      </c>
      <c r="AX206" s="2" t="s">
        <v>1098</v>
      </c>
      <c r="AZ206" s="2" t="s">
        <v>449</v>
      </c>
      <c r="BB206" s="2" t="s">
        <v>329</v>
      </c>
      <c r="BC206" s="2" t="s">
        <v>593</v>
      </c>
      <c r="BF206" s="2" t="s">
        <v>1122</v>
      </c>
      <c r="BG206" s="2" t="s">
        <v>95</v>
      </c>
      <c r="BH206" s="2" t="s">
        <v>95</v>
      </c>
      <c r="BI206" s="2" t="s">
        <v>95</v>
      </c>
      <c r="BK206" s="2" t="s">
        <v>100</v>
      </c>
      <c r="BR206" s="2">
        <v>0.75</v>
      </c>
      <c r="BT206" s="2">
        <v>13</v>
      </c>
      <c r="CA206" s="2" t="s">
        <v>1123</v>
      </c>
      <c r="CB206" s="2" t="s">
        <v>1098</v>
      </c>
      <c r="CL206" s="2" t="s">
        <v>96</v>
      </c>
      <c r="CM206" s="2" t="s">
        <v>96</v>
      </c>
      <c r="CN206" s="2" t="s">
        <v>460</v>
      </c>
      <c r="CO206" s="3">
        <v>43105</v>
      </c>
      <c r="CP206" s="3">
        <v>43634</v>
      </c>
    </row>
    <row r="207" spans="1:94" x14ac:dyDescent="0.25">
      <c r="A207" s="2" t="s">
        <v>1124</v>
      </c>
      <c r="B207" s="2" t="str">
        <f xml:space="preserve"> "" &amp; 844349024507</f>
        <v>844349024507</v>
      </c>
      <c r="C207" s="2" t="s">
        <v>462</v>
      </c>
      <c r="D207" s="2" t="s">
        <v>1125</v>
      </c>
      <c r="E207" s="2" t="s">
        <v>1096</v>
      </c>
      <c r="F207" s="2" t="s">
        <v>1126</v>
      </c>
      <c r="G207" s="2">
        <v>1</v>
      </c>
      <c r="H207" s="2">
        <v>1</v>
      </c>
      <c r="I207" s="2" t="s">
        <v>94</v>
      </c>
      <c r="J207" s="6">
        <v>225</v>
      </c>
      <c r="K207" s="6">
        <v>675</v>
      </c>
      <c r="L207" s="2">
        <v>0</v>
      </c>
      <c r="N207" s="2">
        <v>0</v>
      </c>
      <c r="O207" s="2" t="s">
        <v>96</v>
      </c>
      <c r="P207" s="6">
        <v>474.95</v>
      </c>
      <c r="Q207" s="6"/>
      <c r="R207" s="7"/>
      <c r="S207" s="2">
        <v>9.75</v>
      </c>
      <c r="T207" s="2">
        <v>27</v>
      </c>
      <c r="U207" s="2">
        <v>27</v>
      </c>
      <c r="W207" s="2">
        <v>12.5</v>
      </c>
      <c r="X207" s="2">
        <v>1</v>
      </c>
      <c r="Y207" s="2">
        <v>13.75</v>
      </c>
      <c r="Z207" s="2">
        <v>28.25</v>
      </c>
      <c r="AA207" s="2">
        <v>25.38</v>
      </c>
      <c r="AB207" s="2">
        <v>5.7050000000000001</v>
      </c>
      <c r="AC207" s="2">
        <v>21.54</v>
      </c>
      <c r="AE207" s="2">
        <v>6</v>
      </c>
      <c r="AF207" s="2" t="s">
        <v>1097</v>
      </c>
      <c r="AG207" s="2">
        <v>75</v>
      </c>
      <c r="AH207" s="2">
        <v>1</v>
      </c>
      <c r="AI207" s="2" t="s">
        <v>1097</v>
      </c>
      <c r="AJ207" s="2">
        <v>75</v>
      </c>
      <c r="AK207" s="2" t="s">
        <v>96</v>
      </c>
      <c r="AM207" s="2" t="s">
        <v>95</v>
      </c>
      <c r="AN207" s="2" t="s">
        <v>96</v>
      </c>
      <c r="AO207" s="2" t="s">
        <v>95</v>
      </c>
      <c r="AP207" s="2" t="s">
        <v>97</v>
      </c>
      <c r="AQ207" s="2" t="s">
        <v>98</v>
      </c>
      <c r="AV207" s="2" t="s">
        <v>95</v>
      </c>
      <c r="AX207" s="2" t="s">
        <v>1098</v>
      </c>
      <c r="AZ207" s="2" t="s">
        <v>449</v>
      </c>
      <c r="BB207" s="2" t="s">
        <v>329</v>
      </c>
      <c r="BC207" s="2" t="s">
        <v>1127</v>
      </c>
      <c r="BF207" s="2" t="s">
        <v>1128</v>
      </c>
      <c r="BG207" s="2" t="s">
        <v>95</v>
      </c>
      <c r="BH207" s="2" t="s">
        <v>95</v>
      </c>
      <c r="BI207" s="2" t="s">
        <v>95</v>
      </c>
      <c r="BK207" s="2" t="s">
        <v>100</v>
      </c>
      <c r="BR207" s="2">
        <v>1</v>
      </c>
      <c r="BS207" s="2">
        <v>5</v>
      </c>
      <c r="BT207" s="2">
        <v>5</v>
      </c>
      <c r="CA207" s="2" t="s">
        <v>1129</v>
      </c>
      <c r="CB207" s="2" t="s">
        <v>1098</v>
      </c>
      <c r="CL207" s="2" t="s">
        <v>96</v>
      </c>
      <c r="CM207" s="2" t="s">
        <v>96</v>
      </c>
      <c r="CN207" s="2" t="s">
        <v>460</v>
      </c>
      <c r="CO207" s="3">
        <v>43105</v>
      </c>
      <c r="CP207" s="3">
        <v>43634</v>
      </c>
    </row>
    <row r="208" spans="1:94" x14ac:dyDescent="0.25">
      <c r="A208" s="2" t="s">
        <v>1130</v>
      </c>
      <c r="B208" s="2" t="str">
        <f xml:space="preserve"> "" &amp; 844349024514</f>
        <v>844349024514</v>
      </c>
      <c r="C208" s="2" t="s">
        <v>1131</v>
      </c>
      <c r="D208" s="2" t="s">
        <v>1132</v>
      </c>
      <c r="E208" s="2" t="s">
        <v>1096</v>
      </c>
      <c r="F208" s="2" t="s">
        <v>412</v>
      </c>
      <c r="G208" s="2">
        <v>1</v>
      </c>
      <c r="H208" s="2">
        <v>1</v>
      </c>
      <c r="I208" s="2" t="s">
        <v>94</v>
      </c>
      <c r="J208" s="6">
        <v>140</v>
      </c>
      <c r="K208" s="6">
        <v>420</v>
      </c>
      <c r="L208" s="2">
        <v>0</v>
      </c>
      <c r="N208" s="2">
        <v>0</v>
      </c>
      <c r="O208" s="2" t="s">
        <v>96</v>
      </c>
      <c r="P208" s="6">
        <v>295.95</v>
      </c>
      <c r="Q208" s="6"/>
      <c r="R208" s="7"/>
      <c r="S208" s="2">
        <v>12.5</v>
      </c>
      <c r="T208" s="2">
        <v>18</v>
      </c>
      <c r="U208" s="2">
        <v>18</v>
      </c>
      <c r="W208" s="2">
        <v>6.81</v>
      </c>
      <c r="X208" s="2">
        <v>1</v>
      </c>
      <c r="Y208" s="2">
        <v>13.25</v>
      </c>
      <c r="Z208" s="2">
        <v>17.63</v>
      </c>
      <c r="AA208" s="2">
        <v>17.63</v>
      </c>
      <c r="AB208" s="2">
        <v>2.383</v>
      </c>
      <c r="AC208" s="2">
        <v>11.27</v>
      </c>
      <c r="AE208" s="2">
        <v>3</v>
      </c>
      <c r="AF208" s="2" t="s">
        <v>1097</v>
      </c>
      <c r="AG208" s="2">
        <v>75</v>
      </c>
      <c r="AH208" s="2">
        <v>1</v>
      </c>
      <c r="AI208" s="2" t="s">
        <v>1097</v>
      </c>
      <c r="AJ208" s="2">
        <v>75</v>
      </c>
      <c r="AK208" s="2" t="s">
        <v>96</v>
      </c>
      <c r="AM208" s="2" t="s">
        <v>95</v>
      </c>
      <c r="AN208" s="2" t="s">
        <v>96</v>
      </c>
      <c r="AO208" s="2" t="s">
        <v>95</v>
      </c>
      <c r="AP208" s="2" t="s">
        <v>97</v>
      </c>
      <c r="AQ208" s="2" t="s">
        <v>98</v>
      </c>
      <c r="AV208" s="2" t="s">
        <v>95</v>
      </c>
      <c r="AX208" s="2" t="s">
        <v>1098</v>
      </c>
      <c r="AZ208" s="2" t="s">
        <v>449</v>
      </c>
      <c r="BB208" s="2" t="s">
        <v>329</v>
      </c>
      <c r="BC208" s="2" t="s">
        <v>593</v>
      </c>
      <c r="BF208" s="2" t="s">
        <v>1133</v>
      </c>
      <c r="BG208" s="2" t="s">
        <v>95</v>
      </c>
      <c r="BH208" s="2" t="s">
        <v>95</v>
      </c>
      <c r="BI208" s="2" t="s">
        <v>95</v>
      </c>
      <c r="BK208" s="2" t="s">
        <v>414</v>
      </c>
      <c r="BR208" s="2">
        <v>1</v>
      </c>
      <c r="BS208" s="2">
        <v>5</v>
      </c>
      <c r="BT208" s="2">
        <v>5</v>
      </c>
      <c r="CA208" s="2" t="s">
        <v>1134</v>
      </c>
      <c r="CB208" s="2" t="s">
        <v>1098</v>
      </c>
      <c r="CL208" s="2" t="s">
        <v>96</v>
      </c>
      <c r="CM208" s="2" t="s">
        <v>95</v>
      </c>
      <c r="CN208" s="2" t="s">
        <v>460</v>
      </c>
      <c r="CO208" s="3">
        <v>43105</v>
      </c>
      <c r="CP208" s="3">
        <v>43634</v>
      </c>
    </row>
    <row r="209" spans="1:94" x14ac:dyDescent="0.25">
      <c r="A209" s="2" t="s">
        <v>1135</v>
      </c>
      <c r="B209" s="2" t="str">
        <f xml:space="preserve"> "" &amp; 844349024521</f>
        <v>844349024521</v>
      </c>
      <c r="C209" s="2" t="s">
        <v>1136</v>
      </c>
      <c r="D209" s="2" t="s">
        <v>1137</v>
      </c>
      <c r="E209" s="2" t="s">
        <v>1096</v>
      </c>
      <c r="F209" s="2" t="s">
        <v>1126</v>
      </c>
      <c r="G209" s="2">
        <v>1</v>
      </c>
      <c r="H209" s="2">
        <v>1</v>
      </c>
      <c r="I209" s="2" t="s">
        <v>94</v>
      </c>
      <c r="J209" s="6">
        <v>445</v>
      </c>
      <c r="K209" s="6">
        <v>1335</v>
      </c>
      <c r="L209" s="2">
        <v>0</v>
      </c>
      <c r="N209" s="2">
        <v>0</v>
      </c>
      <c r="O209" s="2" t="s">
        <v>96</v>
      </c>
      <c r="P209" s="6">
        <v>934.95</v>
      </c>
      <c r="Q209" s="6"/>
      <c r="R209" s="7"/>
      <c r="S209" s="2">
        <v>25.5</v>
      </c>
      <c r="T209" s="2">
        <v>30</v>
      </c>
      <c r="U209" s="2">
        <v>30</v>
      </c>
      <c r="W209" s="2">
        <v>22.88</v>
      </c>
      <c r="X209" s="2">
        <v>1</v>
      </c>
      <c r="Y209" s="2">
        <v>24.5</v>
      </c>
      <c r="Z209" s="2">
        <v>31.25</v>
      </c>
      <c r="AA209" s="2">
        <v>28</v>
      </c>
      <c r="AB209" s="2">
        <v>12.406000000000001</v>
      </c>
      <c r="AC209" s="2">
        <v>39.24</v>
      </c>
      <c r="AE209" s="2">
        <v>10</v>
      </c>
      <c r="AF209" s="2" t="s">
        <v>1097</v>
      </c>
      <c r="AG209" s="2">
        <v>75</v>
      </c>
      <c r="AH209" s="2">
        <v>1</v>
      </c>
      <c r="AI209" s="2" t="s">
        <v>1097</v>
      </c>
      <c r="AJ209" s="2">
        <v>75</v>
      </c>
      <c r="AK209" s="2" t="s">
        <v>96</v>
      </c>
      <c r="AM209" s="2" t="s">
        <v>95</v>
      </c>
      <c r="AN209" s="2" t="s">
        <v>96</v>
      </c>
      <c r="AO209" s="2" t="s">
        <v>95</v>
      </c>
      <c r="AP209" s="2" t="s">
        <v>428</v>
      </c>
      <c r="AQ209" s="2" t="s">
        <v>98</v>
      </c>
      <c r="AV209" s="2" t="s">
        <v>95</v>
      </c>
      <c r="AX209" s="2" t="s">
        <v>1098</v>
      </c>
      <c r="AZ209" s="2" t="s">
        <v>449</v>
      </c>
      <c r="BB209" s="2" t="s">
        <v>329</v>
      </c>
      <c r="BC209" s="2" t="s">
        <v>593</v>
      </c>
      <c r="BF209" s="2" t="s">
        <v>1138</v>
      </c>
      <c r="BG209" s="2" t="s">
        <v>95</v>
      </c>
      <c r="BH209" s="2" t="s">
        <v>95</v>
      </c>
      <c r="BI209" s="2" t="s">
        <v>95</v>
      </c>
      <c r="BK209" s="2" t="s">
        <v>100</v>
      </c>
      <c r="BR209" s="2">
        <v>1</v>
      </c>
      <c r="BS209" s="2">
        <v>5</v>
      </c>
      <c r="BT209" s="2">
        <v>5</v>
      </c>
      <c r="CA209" s="2" t="s">
        <v>1139</v>
      </c>
      <c r="CB209" s="2" t="s">
        <v>1098</v>
      </c>
      <c r="CL209" s="2" t="s">
        <v>96</v>
      </c>
      <c r="CM209" s="2" t="s">
        <v>95</v>
      </c>
      <c r="CN209" s="2" t="s">
        <v>460</v>
      </c>
      <c r="CO209" s="3">
        <v>43105</v>
      </c>
      <c r="CP209" s="3">
        <v>43634</v>
      </c>
    </row>
    <row r="210" spans="1:94" x14ac:dyDescent="0.25">
      <c r="A210" s="2" t="s">
        <v>1140</v>
      </c>
      <c r="B210" s="2" t="str">
        <f xml:space="preserve"> "" &amp; 844349024538</f>
        <v>844349024538</v>
      </c>
      <c r="C210" s="2" t="s">
        <v>1141</v>
      </c>
      <c r="D210" s="2" t="s">
        <v>1142</v>
      </c>
      <c r="E210" s="2" t="s">
        <v>1096</v>
      </c>
      <c r="F210" s="2" t="s">
        <v>1126</v>
      </c>
      <c r="G210" s="2">
        <v>1</v>
      </c>
      <c r="H210" s="2">
        <v>1</v>
      </c>
      <c r="I210" s="2" t="s">
        <v>94</v>
      </c>
      <c r="J210" s="6">
        <v>675</v>
      </c>
      <c r="K210" s="6">
        <v>2025</v>
      </c>
      <c r="L210" s="2">
        <v>0</v>
      </c>
      <c r="N210" s="2">
        <v>0</v>
      </c>
      <c r="O210" s="2" t="s">
        <v>96</v>
      </c>
      <c r="P210" s="6">
        <v>1419.95</v>
      </c>
      <c r="Q210" s="6"/>
      <c r="R210" s="7"/>
      <c r="S210" s="2">
        <v>32.5</v>
      </c>
      <c r="T210" s="2">
        <v>36</v>
      </c>
      <c r="U210" s="2">
        <v>36</v>
      </c>
      <c r="W210" s="2">
        <v>36.159999999999997</v>
      </c>
      <c r="X210" s="2">
        <v>1</v>
      </c>
      <c r="Y210" s="2">
        <v>31.38</v>
      </c>
      <c r="Z210" s="2">
        <v>37.75</v>
      </c>
      <c r="AA210" s="2">
        <v>33.25</v>
      </c>
      <c r="AB210" s="2">
        <v>22.794</v>
      </c>
      <c r="AC210" s="2">
        <v>60.19</v>
      </c>
      <c r="AE210" s="2">
        <v>16</v>
      </c>
      <c r="AF210" s="2" t="s">
        <v>1097</v>
      </c>
      <c r="AG210" s="2">
        <v>75</v>
      </c>
      <c r="AH210" s="2">
        <v>1</v>
      </c>
      <c r="AI210" s="2" t="s">
        <v>1097</v>
      </c>
      <c r="AJ210" s="2">
        <v>75</v>
      </c>
      <c r="AK210" s="2" t="s">
        <v>96</v>
      </c>
      <c r="AM210" s="2" t="s">
        <v>95</v>
      </c>
      <c r="AN210" s="2" t="s">
        <v>96</v>
      </c>
      <c r="AO210" s="2" t="s">
        <v>95</v>
      </c>
      <c r="AP210" s="2" t="s">
        <v>428</v>
      </c>
      <c r="AQ210" s="2" t="s">
        <v>98</v>
      </c>
      <c r="AV210" s="2" t="s">
        <v>95</v>
      </c>
      <c r="AX210" s="2" t="s">
        <v>1098</v>
      </c>
      <c r="AZ210" s="2" t="s">
        <v>449</v>
      </c>
      <c r="BB210" s="2" t="s">
        <v>329</v>
      </c>
      <c r="BC210" s="2" t="s">
        <v>593</v>
      </c>
      <c r="BF210" s="2" t="s">
        <v>1143</v>
      </c>
      <c r="BG210" s="2" t="s">
        <v>95</v>
      </c>
      <c r="BH210" s="2" t="s">
        <v>95</v>
      </c>
      <c r="BI210" s="2" t="s">
        <v>95</v>
      </c>
      <c r="BK210" s="2" t="s">
        <v>100</v>
      </c>
      <c r="BR210" s="2">
        <v>1</v>
      </c>
      <c r="BS210" s="2">
        <v>5</v>
      </c>
      <c r="BT210" s="2">
        <v>5</v>
      </c>
      <c r="CA210" s="2" t="s">
        <v>1144</v>
      </c>
      <c r="CB210" s="2" t="s">
        <v>1098</v>
      </c>
      <c r="CL210" s="2" t="s">
        <v>96</v>
      </c>
      <c r="CM210" s="2" t="s">
        <v>95</v>
      </c>
      <c r="CN210" s="2" t="s">
        <v>460</v>
      </c>
      <c r="CO210" s="3">
        <v>43105</v>
      </c>
      <c r="CP210" s="3">
        <v>43634</v>
      </c>
    </row>
    <row r="211" spans="1:94" x14ac:dyDescent="0.25">
      <c r="A211" s="2" t="s">
        <v>1145</v>
      </c>
      <c r="B211" s="2" t="str">
        <f xml:space="preserve"> "" &amp; 844349024545</f>
        <v>844349024545</v>
      </c>
      <c r="C211" s="2" t="s">
        <v>1131</v>
      </c>
      <c r="D211" s="2" t="s">
        <v>1146</v>
      </c>
      <c r="E211" s="2" t="s">
        <v>1147</v>
      </c>
      <c r="F211" s="2" t="s">
        <v>412</v>
      </c>
      <c r="G211" s="2">
        <v>1</v>
      </c>
      <c r="H211" s="2">
        <v>1</v>
      </c>
      <c r="I211" s="2" t="s">
        <v>94</v>
      </c>
      <c r="J211" s="6">
        <v>92</v>
      </c>
      <c r="K211" s="6">
        <v>276</v>
      </c>
      <c r="L211" s="2">
        <v>0</v>
      </c>
      <c r="N211" s="2">
        <v>0</v>
      </c>
      <c r="O211" s="2" t="s">
        <v>96</v>
      </c>
      <c r="P211" s="6">
        <v>194.95</v>
      </c>
      <c r="Q211" s="6"/>
      <c r="R211" s="7"/>
      <c r="S211" s="2">
        <v>10.75</v>
      </c>
      <c r="T211" s="2">
        <v>19</v>
      </c>
      <c r="U211" s="2">
        <v>19</v>
      </c>
      <c r="W211" s="2">
        <v>2.84</v>
      </c>
      <c r="X211" s="2">
        <v>1</v>
      </c>
      <c r="Y211" s="2">
        <v>8</v>
      </c>
      <c r="Z211" s="2">
        <v>17</v>
      </c>
      <c r="AA211" s="2">
        <v>17</v>
      </c>
      <c r="AB211" s="2">
        <v>1.3380000000000001</v>
      </c>
      <c r="AC211" s="2">
        <v>5.03</v>
      </c>
      <c r="AE211" s="2">
        <v>3</v>
      </c>
      <c r="AF211" s="2" t="s">
        <v>1148</v>
      </c>
      <c r="AG211" s="2">
        <v>60</v>
      </c>
      <c r="AK211" s="2" t="s">
        <v>95</v>
      </c>
      <c r="AM211" s="2" t="s">
        <v>95</v>
      </c>
      <c r="AN211" s="2" t="s">
        <v>96</v>
      </c>
      <c r="AO211" s="2" t="s">
        <v>95</v>
      </c>
      <c r="AP211" s="2" t="s">
        <v>97</v>
      </c>
      <c r="AQ211" s="2" t="s">
        <v>98</v>
      </c>
      <c r="AV211" s="2" t="s">
        <v>95</v>
      </c>
      <c r="AX211" s="2" t="s">
        <v>1149</v>
      </c>
      <c r="AZ211" s="2" t="s">
        <v>483</v>
      </c>
      <c r="BB211" s="2" t="s">
        <v>329</v>
      </c>
      <c r="BC211" s="2" t="s">
        <v>451</v>
      </c>
      <c r="BF211" s="2" t="s">
        <v>1150</v>
      </c>
      <c r="BG211" s="2" t="s">
        <v>95</v>
      </c>
      <c r="BH211" s="2" t="s">
        <v>95</v>
      </c>
      <c r="BI211" s="2" t="s">
        <v>95</v>
      </c>
      <c r="BK211" s="2" t="s">
        <v>414</v>
      </c>
      <c r="BR211" s="2">
        <v>0.75</v>
      </c>
      <c r="BT211" s="2">
        <v>5</v>
      </c>
      <c r="CA211" s="2" t="s">
        <v>1151</v>
      </c>
      <c r="CB211" s="2" t="s">
        <v>1149</v>
      </c>
      <c r="CL211" s="2" t="s">
        <v>96</v>
      </c>
      <c r="CM211" s="2" t="s">
        <v>95</v>
      </c>
      <c r="CN211" s="2" t="s">
        <v>460</v>
      </c>
      <c r="CO211" s="3">
        <v>43098</v>
      </c>
      <c r="CP211" s="3">
        <v>43634</v>
      </c>
    </row>
    <row r="212" spans="1:94" x14ac:dyDescent="0.25">
      <c r="A212" s="2" t="s">
        <v>1152</v>
      </c>
      <c r="B212" s="2" t="str">
        <f xml:space="preserve"> "" &amp; 844349024552</f>
        <v>844349024552</v>
      </c>
      <c r="C212" s="2" t="s">
        <v>1153</v>
      </c>
      <c r="D212" s="2" t="s">
        <v>1154</v>
      </c>
      <c r="E212" s="2" t="s">
        <v>1147</v>
      </c>
      <c r="F212" s="2" t="s">
        <v>1126</v>
      </c>
      <c r="G212" s="2">
        <v>1</v>
      </c>
      <c r="H212" s="2">
        <v>1</v>
      </c>
      <c r="I212" s="2" t="s">
        <v>94</v>
      </c>
      <c r="J212" s="6">
        <v>280</v>
      </c>
      <c r="K212" s="6">
        <v>840</v>
      </c>
      <c r="L212" s="2">
        <v>0</v>
      </c>
      <c r="N212" s="2">
        <v>0</v>
      </c>
      <c r="O212" s="2" t="s">
        <v>96</v>
      </c>
      <c r="P212" s="6">
        <v>587.95000000000005</v>
      </c>
      <c r="Q212" s="6"/>
      <c r="R212" s="7"/>
      <c r="S212" s="2">
        <v>33.75</v>
      </c>
      <c r="T212" s="2">
        <v>24.75</v>
      </c>
      <c r="U212" s="2">
        <v>24.75</v>
      </c>
      <c r="W212" s="2">
        <v>8.91</v>
      </c>
      <c r="X212" s="2">
        <v>1</v>
      </c>
      <c r="Y212" s="2">
        <v>10.75</v>
      </c>
      <c r="Z212" s="2">
        <v>27.5</v>
      </c>
      <c r="AA212" s="2">
        <v>19.5</v>
      </c>
      <c r="AB212" s="2">
        <v>3.3359999999999999</v>
      </c>
      <c r="AC212" s="2">
        <v>12.79</v>
      </c>
      <c r="AE212" s="2">
        <v>8</v>
      </c>
      <c r="AF212" s="2" t="s">
        <v>1148</v>
      </c>
      <c r="AG212" s="2">
        <v>60</v>
      </c>
      <c r="AK212" s="2" t="s">
        <v>95</v>
      </c>
      <c r="AM212" s="2" t="s">
        <v>95</v>
      </c>
      <c r="AN212" s="2" t="s">
        <v>96</v>
      </c>
      <c r="AO212" s="2" t="s">
        <v>95</v>
      </c>
      <c r="AP212" s="2" t="s">
        <v>97</v>
      </c>
      <c r="AQ212" s="2" t="s">
        <v>98</v>
      </c>
      <c r="AV212" s="2" t="s">
        <v>95</v>
      </c>
      <c r="AX212" s="2" t="s">
        <v>1149</v>
      </c>
      <c r="AZ212" s="2" t="s">
        <v>483</v>
      </c>
      <c r="BB212" s="2" t="s">
        <v>329</v>
      </c>
      <c r="BC212" s="2" t="s">
        <v>451</v>
      </c>
      <c r="BF212" s="2" t="s">
        <v>1155</v>
      </c>
      <c r="BG212" s="2" t="s">
        <v>95</v>
      </c>
      <c r="BH212" s="2" t="s">
        <v>95</v>
      </c>
      <c r="BI212" s="2" t="s">
        <v>95</v>
      </c>
      <c r="BK212" s="2" t="s">
        <v>100</v>
      </c>
      <c r="BR212" s="2">
        <v>1</v>
      </c>
      <c r="BT212" s="2">
        <v>5</v>
      </c>
      <c r="CA212" s="2" t="s">
        <v>1156</v>
      </c>
      <c r="CB212" s="2" t="s">
        <v>1149</v>
      </c>
      <c r="CL212" s="2" t="s">
        <v>96</v>
      </c>
      <c r="CM212" s="2" t="s">
        <v>96</v>
      </c>
      <c r="CN212" s="2" t="s">
        <v>460</v>
      </c>
      <c r="CO212" s="3">
        <v>43098</v>
      </c>
      <c r="CP212" s="3">
        <v>43634</v>
      </c>
    </row>
    <row r="213" spans="1:94" x14ac:dyDescent="0.25">
      <c r="A213" s="2" t="s">
        <v>1157</v>
      </c>
      <c r="B213" s="2" t="str">
        <f xml:space="preserve"> "" &amp; 844349024569</f>
        <v>844349024569</v>
      </c>
      <c r="C213" s="2" t="s">
        <v>1158</v>
      </c>
      <c r="D213" s="2" t="s">
        <v>1159</v>
      </c>
      <c r="E213" s="2" t="s">
        <v>1147</v>
      </c>
      <c r="F213" s="2" t="s">
        <v>1126</v>
      </c>
      <c r="G213" s="2">
        <v>1</v>
      </c>
      <c r="H213" s="2">
        <v>1</v>
      </c>
      <c r="I213" s="2" t="s">
        <v>94</v>
      </c>
      <c r="J213" s="6">
        <v>219</v>
      </c>
      <c r="K213" s="6">
        <v>657</v>
      </c>
      <c r="L213" s="2">
        <v>0</v>
      </c>
      <c r="N213" s="2">
        <v>0</v>
      </c>
      <c r="O213" s="2" t="s">
        <v>96</v>
      </c>
      <c r="P213" s="6">
        <v>459.95</v>
      </c>
      <c r="Q213" s="6"/>
      <c r="R213" s="7"/>
      <c r="S213" s="2">
        <v>13.25</v>
      </c>
      <c r="T213" s="2">
        <v>34.5</v>
      </c>
      <c r="U213" s="2">
        <v>21.5</v>
      </c>
      <c r="W213" s="2">
        <v>7.47</v>
      </c>
      <c r="X213" s="2">
        <v>1</v>
      </c>
      <c r="Y213" s="2">
        <v>10.75</v>
      </c>
      <c r="Z213" s="2">
        <v>28.5</v>
      </c>
      <c r="AA213" s="2">
        <v>16.75</v>
      </c>
      <c r="AB213" s="2">
        <v>2.97</v>
      </c>
      <c r="AC213" s="2">
        <v>10.89</v>
      </c>
      <c r="AE213" s="2">
        <v>6</v>
      </c>
      <c r="AF213" s="2" t="s">
        <v>1148</v>
      </c>
      <c r="AG213" s="2">
        <v>60</v>
      </c>
      <c r="AK213" s="2" t="s">
        <v>95</v>
      </c>
      <c r="AM213" s="2" t="s">
        <v>95</v>
      </c>
      <c r="AN213" s="2" t="s">
        <v>96</v>
      </c>
      <c r="AO213" s="2" t="s">
        <v>95</v>
      </c>
      <c r="AP213" s="2" t="s">
        <v>97</v>
      </c>
      <c r="AQ213" s="2" t="s">
        <v>98</v>
      </c>
      <c r="AV213" s="2" t="s">
        <v>95</v>
      </c>
      <c r="AX213" s="2" t="s">
        <v>1149</v>
      </c>
      <c r="AZ213" s="2" t="s">
        <v>483</v>
      </c>
      <c r="BB213" s="2" t="s">
        <v>329</v>
      </c>
      <c r="BC213" s="2" t="s">
        <v>451</v>
      </c>
      <c r="BF213" s="2" t="s">
        <v>1160</v>
      </c>
      <c r="BG213" s="2" t="s">
        <v>95</v>
      </c>
      <c r="BH213" s="2" t="s">
        <v>95</v>
      </c>
      <c r="BI213" s="2" t="s">
        <v>95</v>
      </c>
      <c r="BK213" s="2" t="s">
        <v>100</v>
      </c>
      <c r="BR213" s="2">
        <v>1</v>
      </c>
      <c r="BT213" s="2">
        <v>5</v>
      </c>
      <c r="CA213" s="2" t="s">
        <v>1161</v>
      </c>
      <c r="CB213" s="2" t="s">
        <v>1149</v>
      </c>
      <c r="CL213" s="2" t="s">
        <v>96</v>
      </c>
      <c r="CM213" s="2" t="s">
        <v>96</v>
      </c>
      <c r="CN213" s="2" t="s">
        <v>460</v>
      </c>
      <c r="CO213" s="3">
        <v>43103</v>
      </c>
      <c r="CP213" s="3">
        <v>43634</v>
      </c>
    </row>
    <row r="214" spans="1:94" x14ac:dyDescent="0.25">
      <c r="A214" s="2" t="s">
        <v>1162</v>
      </c>
      <c r="B214" s="2" t="str">
        <f xml:space="preserve"> "" &amp; 844349024576</f>
        <v>844349024576</v>
      </c>
      <c r="C214" s="2" t="s">
        <v>1163</v>
      </c>
      <c r="D214" s="2" t="s">
        <v>1164</v>
      </c>
      <c r="E214" s="2" t="s">
        <v>1147</v>
      </c>
      <c r="F214" s="2" t="s">
        <v>614</v>
      </c>
      <c r="G214" s="2">
        <v>1</v>
      </c>
      <c r="H214" s="2">
        <v>1</v>
      </c>
      <c r="I214" s="2" t="s">
        <v>94</v>
      </c>
      <c r="J214" s="6">
        <v>279</v>
      </c>
      <c r="K214" s="6">
        <v>837</v>
      </c>
      <c r="L214" s="2">
        <v>0</v>
      </c>
      <c r="N214" s="2">
        <v>0</v>
      </c>
      <c r="O214" s="2" t="s">
        <v>96</v>
      </c>
      <c r="P214" s="6">
        <v>584.95000000000005</v>
      </c>
      <c r="Q214" s="6"/>
      <c r="R214" s="7"/>
      <c r="S214" s="2">
        <v>16.75</v>
      </c>
      <c r="T214" s="2">
        <v>41</v>
      </c>
      <c r="U214" s="2">
        <v>25.5</v>
      </c>
      <c r="W214" s="2">
        <v>11.16</v>
      </c>
      <c r="X214" s="2">
        <v>1</v>
      </c>
      <c r="Y214" s="2">
        <v>8.5</v>
      </c>
      <c r="Z214" s="2">
        <v>37.75</v>
      </c>
      <c r="AA214" s="2">
        <v>19.5</v>
      </c>
      <c r="AB214" s="2">
        <v>3.621</v>
      </c>
      <c r="AC214" s="2">
        <v>15.28</v>
      </c>
      <c r="AE214" s="2">
        <v>8</v>
      </c>
      <c r="AF214" s="2" t="s">
        <v>1148</v>
      </c>
      <c r="AG214" s="2">
        <v>60</v>
      </c>
      <c r="AK214" s="2" t="s">
        <v>95</v>
      </c>
      <c r="AM214" s="2" t="s">
        <v>95</v>
      </c>
      <c r="AN214" s="2" t="s">
        <v>96</v>
      </c>
      <c r="AO214" s="2" t="s">
        <v>95</v>
      </c>
      <c r="AP214" s="2" t="s">
        <v>97</v>
      </c>
      <c r="AQ214" s="2" t="s">
        <v>98</v>
      </c>
      <c r="AV214" s="2" t="s">
        <v>95</v>
      </c>
      <c r="AX214" s="2" t="s">
        <v>1149</v>
      </c>
      <c r="AZ214" s="2" t="s">
        <v>483</v>
      </c>
      <c r="BB214" s="2" t="s">
        <v>329</v>
      </c>
      <c r="BC214" s="2" t="s">
        <v>451</v>
      </c>
      <c r="BF214" s="2" t="s">
        <v>1165</v>
      </c>
      <c r="BG214" s="2" t="s">
        <v>95</v>
      </c>
      <c r="BH214" s="2" t="s">
        <v>95</v>
      </c>
      <c r="BI214" s="2" t="s">
        <v>95</v>
      </c>
      <c r="BK214" s="2" t="s">
        <v>100</v>
      </c>
      <c r="BR214" s="2">
        <v>0.75</v>
      </c>
      <c r="BT214" s="2">
        <v>8</v>
      </c>
      <c r="CA214" s="2" t="s">
        <v>1166</v>
      </c>
      <c r="CB214" s="2" t="s">
        <v>1149</v>
      </c>
      <c r="CL214" s="2" t="s">
        <v>96</v>
      </c>
      <c r="CM214" s="2" t="s">
        <v>96</v>
      </c>
      <c r="CN214" s="2" t="s">
        <v>460</v>
      </c>
      <c r="CO214" s="3">
        <v>43103</v>
      </c>
      <c r="CP214" s="3">
        <v>43634</v>
      </c>
    </row>
    <row r="215" spans="1:94" x14ac:dyDescent="0.25">
      <c r="A215" s="2" t="s">
        <v>1167</v>
      </c>
      <c r="B215" s="2" t="str">
        <f xml:space="preserve"> "" &amp; 844349024583</f>
        <v>844349024583</v>
      </c>
      <c r="C215" s="2" t="s">
        <v>1168</v>
      </c>
      <c r="D215" s="2" t="s">
        <v>1169</v>
      </c>
      <c r="E215" s="2" t="s">
        <v>1147</v>
      </c>
      <c r="F215" s="2" t="s">
        <v>1126</v>
      </c>
      <c r="G215" s="2">
        <v>1</v>
      </c>
      <c r="H215" s="2">
        <v>1</v>
      </c>
      <c r="I215" s="2" t="s">
        <v>94</v>
      </c>
      <c r="J215" s="6">
        <v>305</v>
      </c>
      <c r="K215" s="6">
        <v>915</v>
      </c>
      <c r="L215" s="2">
        <v>0</v>
      </c>
      <c r="N215" s="2">
        <v>0</v>
      </c>
      <c r="O215" s="2" t="s">
        <v>96</v>
      </c>
      <c r="P215" s="6">
        <v>639.95000000000005</v>
      </c>
      <c r="Q215" s="6"/>
      <c r="R215" s="7"/>
      <c r="S215" s="2">
        <v>14.75</v>
      </c>
      <c r="T215" s="2">
        <v>30</v>
      </c>
      <c r="U215" s="2">
        <v>30</v>
      </c>
      <c r="W215" s="2">
        <v>9.59</v>
      </c>
      <c r="X215" s="2">
        <v>1</v>
      </c>
      <c r="Y215" s="2">
        <v>12.13</v>
      </c>
      <c r="Z215" s="2">
        <v>22.5</v>
      </c>
      <c r="AA215" s="2">
        <v>21.25</v>
      </c>
      <c r="AB215" s="2">
        <v>3.3559999999999999</v>
      </c>
      <c r="AC215" s="2">
        <v>13.62</v>
      </c>
      <c r="AE215" s="2">
        <v>9</v>
      </c>
      <c r="AF215" s="2" t="s">
        <v>1148</v>
      </c>
      <c r="AG215" s="2">
        <v>60</v>
      </c>
      <c r="AK215" s="2" t="s">
        <v>95</v>
      </c>
      <c r="AM215" s="2" t="s">
        <v>95</v>
      </c>
      <c r="AN215" s="2" t="s">
        <v>96</v>
      </c>
      <c r="AO215" s="2" t="s">
        <v>95</v>
      </c>
      <c r="AP215" s="2" t="s">
        <v>97</v>
      </c>
      <c r="AQ215" s="2" t="s">
        <v>98</v>
      </c>
      <c r="AV215" s="2" t="s">
        <v>95</v>
      </c>
      <c r="AX215" s="2" t="s">
        <v>1149</v>
      </c>
      <c r="AZ215" s="2" t="s">
        <v>483</v>
      </c>
      <c r="BB215" s="2" t="s">
        <v>329</v>
      </c>
      <c r="BC215" s="2" t="s">
        <v>451</v>
      </c>
      <c r="BF215" s="2" t="s">
        <v>1170</v>
      </c>
      <c r="BG215" s="2" t="s">
        <v>95</v>
      </c>
      <c r="BH215" s="2" t="s">
        <v>95</v>
      </c>
      <c r="BI215" s="2" t="s">
        <v>95</v>
      </c>
      <c r="BK215" s="2" t="s">
        <v>100</v>
      </c>
      <c r="BR215" s="2">
        <v>1</v>
      </c>
      <c r="BT215" s="2">
        <v>5</v>
      </c>
      <c r="CA215" s="2" t="s">
        <v>1171</v>
      </c>
      <c r="CB215" s="2" t="s">
        <v>1149</v>
      </c>
      <c r="CL215" s="2" t="s">
        <v>96</v>
      </c>
      <c r="CM215" s="2" t="s">
        <v>96</v>
      </c>
      <c r="CN215" s="2" t="s">
        <v>460</v>
      </c>
      <c r="CO215" s="3">
        <v>43103</v>
      </c>
      <c r="CP215" s="3">
        <v>43634</v>
      </c>
    </row>
    <row r="216" spans="1:94" x14ac:dyDescent="0.25">
      <c r="A216" s="2" t="s">
        <v>1172</v>
      </c>
      <c r="B216" s="2" t="str">
        <f xml:space="preserve"> "" &amp; 844349024590</f>
        <v>844349024590</v>
      </c>
      <c r="C216" s="2" t="s">
        <v>406</v>
      </c>
      <c r="D216" s="2" t="s">
        <v>1173</v>
      </c>
      <c r="E216" s="2" t="s">
        <v>1174</v>
      </c>
      <c r="F216" s="2" t="s">
        <v>393</v>
      </c>
      <c r="G216" s="2">
        <v>1</v>
      </c>
      <c r="H216" s="2">
        <v>1</v>
      </c>
      <c r="I216" s="2" t="s">
        <v>94</v>
      </c>
      <c r="J216" s="6">
        <v>192</v>
      </c>
      <c r="K216" s="6">
        <v>576</v>
      </c>
      <c r="L216" s="2">
        <v>0</v>
      </c>
      <c r="N216" s="2">
        <v>0</v>
      </c>
      <c r="O216" s="2" t="s">
        <v>96</v>
      </c>
      <c r="P216" s="6">
        <v>399.95</v>
      </c>
      <c r="Q216" s="6"/>
      <c r="R216" s="7"/>
      <c r="S216" s="2">
        <v>18</v>
      </c>
      <c r="T216" s="2">
        <v>20</v>
      </c>
      <c r="U216" s="2">
        <v>20</v>
      </c>
      <c r="W216" s="2">
        <v>9.33</v>
      </c>
      <c r="X216" s="2">
        <v>1</v>
      </c>
      <c r="Y216" s="2">
        <v>8.8800000000000008</v>
      </c>
      <c r="Z216" s="2">
        <v>22.63</v>
      </c>
      <c r="AA216" s="2">
        <v>20.88</v>
      </c>
      <c r="AB216" s="2">
        <v>2.4279999999999999</v>
      </c>
      <c r="AC216" s="2">
        <v>13.47</v>
      </c>
      <c r="AE216" s="2">
        <v>4</v>
      </c>
      <c r="AF216" s="2" t="s">
        <v>1175</v>
      </c>
      <c r="AG216" s="2">
        <v>60</v>
      </c>
      <c r="AK216" s="2" t="s">
        <v>95</v>
      </c>
      <c r="AM216" s="2" t="s">
        <v>95</v>
      </c>
      <c r="AN216" s="2" t="s">
        <v>95</v>
      </c>
      <c r="AO216" s="2" t="s">
        <v>96</v>
      </c>
      <c r="AP216" s="2" t="s">
        <v>97</v>
      </c>
      <c r="AQ216" s="2" t="s">
        <v>98</v>
      </c>
      <c r="AV216" s="2" t="s">
        <v>95</v>
      </c>
      <c r="AX216" s="2" t="s">
        <v>529</v>
      </c>
      <c r="AZ216" s="2" t="s">
        <v>449</v>
      </c>
      <c r="BF216" s="2" t="s">
        <v>1176</v>
      </c>
      <c r="BG216" s="2" t="s">
        <v>95</v>
      </c>
      <c r="BH216" s="2" t="s">
        <v>95</v>
      </c>
      <c r="BI216" s="2" t="s">
        <v>95</v>
      </c>
      <c r="BK216" s="2" t="s">
        <v>100</v>
      </c>
      <c r="BR216" s="2">
        <v>0.94</v>
      </c>
      <c r="BT216" s="2">
        <v>4.84</v>
      </c>
      <c r="CA216" s="2" t="s">
        <v>1177</v>
      </c>
      <c r="CB216" s="2" t="s">
        <v>529</v>
      </c>
      <c r="CL216" s="2" t="s">
        <v>95</v>
      </c>
      <c r="CM216" s="2" t="s">
        <v>96</v>
      </c>
      <c r="CN216" s="2" t="s">
        <v>1178</v>
      </c>
      <c r="CO216" s="3">
        <v>43097</v>
      </c>
      <c r="CP216" s="3">
        <v>43634</v>
      </c>
    </row>
    <row r="217" spans="1:94" x14ac:dyDescent="0.25">
      <c r="A217" s="2" t="s">
        <v>1179</v>
      </c>
      <c r="B217" s="2" t="str">
        <f xml:space="preserve"> "" &amp; 844349024606</f>
        <v>844349024606</v>
      </c>
      <c r="C217" s="2" t="s">
        <v>990</v>
      </c>
      <c r="D217" s="2" t="s">
        <v>1180</v>
      </c>
      <c r="E217" s="2" t="s">
        <v>1174</v>
      </c>
      <c r="F217" s="2" t="s">
        <v>658</v>
      </c>
      <c r="G217" s="2">
        <v>1</v>
      </c>
      <c r="H217" s="2">
        <v>1</v>
      </c>
      <c r="I217" s="2" t="s">
        <v>94</v>
      </c>
      <c r="J217" s="6">
        <v>53</v>
      </c>
      <c r="K217" s="6">
        <v>159</v>
      </c>
      <c r="L217" s="2">
        <v>0</v>
      </c>
      <c r="N217" s="2">
        <v>0</v>
      </c>
      <c r="O217" s="2" t="s">
        <v>96</v>
      </c>
      <c r="P217" s="6">
        <v>111.95</v>
      </c>
      <c r="Q217" s="6"/>
      <c r="R217" s="7"/>
      <c r="S217" s="2">
        <v>8.75</v>
      </c>
      <c r="U217" s="2">
        <v>8</v>
      </c>
      <c r="V217" s="2">
        <v>4</v>
      </c>
      <c r="W217" s="2">
        <v>1.43</v>
      </c>
      <c r="X217" s="2">
        <v>1</v>
      </c>
      <c r="Y217" s="2">
        <v>5.88</v>
      </c>
      <c r="Z217" s="2">
        <v>10.63</v>
      </c>
      <c r="AA217" s="2">
        <v>10.63</v>
      </c>
      <c r="AB217" s="2">
        <v>0.38500000000000001</v>
      </c>
      <c r="AC217" s="2">
        <v>2.4</v>
      </c>
      <c r="AE217" s="2">
        <v>1</v>
      </c>
      <c r="AF217" s="2" t="s">
        <v>1181</v>
      </c>
      <c r="AG217" s="2">
        <v>60</v>
      </c>
      <c r="AK217" s="2" t="s">
        <v>95</v>
      </c>
      <c r="AL217" s="2">
        <v>1</v>
      </c>
      <c r="AM217" s="2" t="s">
        <v>95</v>
      </c>
      <c r="AN217" s="2" t="s">
        <v>95</v>
      </c>
      <c r="AO217" s="2" t="s">
        <v>96</v>
      </c>
      <c r="AP217" s="2" t="s">
        <v>97</v>
      </c>
      <c r="AQ217" s="2" t="s">
        <v>98</v>
      </c>
      <c r="AV217" s="2" t="s">
        <v>95</v>
      </c>
      <c r="AX217" s="2" t="s">
        <v>529</v>
      </c>
      <c r="AZ217" s="2" t="s">
        <v>449</v>
      </c>
      <c r="BF217" s="2" t="s">
        <v>1182</v>
      </c>
      <c r="BG217" s="2" t="s">
        <v>95</v>
      </c>
      <c r="BH217" s="2" t="s">
        <v>95</v>
      </c>
      <c r="BI217" s="2" t="s">
        <v>95</v>
      </c>
      <c r="BK217" s="2" t="s">
        <v>414</v>
      </c>
      <c r="BL217" s="2" t="s">
        <v>476</v>
      </c>
      <c r="BM217" s="2">
        <v>4.96</v>
      </c>
      <c r="BN217" s="2">
        <v>5.5</v>
      </c>
      <c r="CA217" s="2" t="s">
        <v>1183</v>
      </c>
      <c r="CB217" s="2" t="s">
        <v>529</v>
      </c>
      <c r="CL217" s="2" t="s">
        <v>95</v>
      </c>
      <c r="CM217" s="2" t="s">
        <v>95</v>
      </c>
      <c r="CN217" s="2" t="s">
        <v>1178</v>
      </c>
      <c r="CO217" s="3">
        <v>43097</v>
      </c>
      <c r="CP217" s="3">
        <v>43634</v>
      </c>
    </row>
    <row r="218" spans="1:94" x14ac:dyDescent="0.25">
      <c r="A218" s="2" t="s">
        <v>1184</v>
      </c>
      <c r="B218" s="2" t="str">
        <f xml:space="preserve"> "" &amp; 844349024613</f>
        <v>844349024613</v>
      </c>
      <c r="C218" s="2" t="s">
        <v>996</v>
      </c>
      <c r="D218" s="2" t="s">
        <v>1185</v>
      </c>
      <c r="E218" s="2" t="s">
        <v>1174</v>
      </c>
      <c r="F218" s="2" t="s">
        <v>658</v>
      </c>
      <c r="G218" s="2">
        <v>1</v>
      </c>
      <c r="H218" s="2">
        <v>1</v>
      </c>
      <c r="I218" s="2" t="s">
        <v>94</v>
      </c>
      <c r="J218" s="6">
        <v>79</v>
      </c>
      <c r="K218" s="6">
        <v>237</v>
      </c>
      <c r="L218" s="2">
        <v>0</v>
      </c>
      <c r="N218" s="2">
        <v>0</v>
      </c>
      <c r="O218" s="2" t="s">
        <v>96</v>
      </c>
      <c r="P218" s="6">
        <v>165.95</v>
      </c>
      <c r="Q218" s="6"/>
      <c r="R218" s="7"/>
      <c r="S218" s="2">
        <v>8.75</v>
      </c>
      <c r="U218" s="2">
        <v>13.25</v>
      </c>
      <c r="V218" s="2">
        <v>4</v>
      </c>
      <c r="W218" s="2">
        <v>2.2000000000000002</v>
      </c>
      <c r="X218" s="2">
        <v>1</v>
      </c>
      <c r="Y218" s="2">
        <v>5.88</v>
      </c>
      <c r="Z218" s="2">
        <v>15.5</v>
      </c>
      <c r="AA218" s="2">
        <v>10.88</v>
      </c>
      <c r="AB218" s="2">
        <v>0.57399999999999995</v>
      </c>
      <c r="AC218" s="2">
        <v>3.26</v>
      </c>
      <c r="AE218" s="2">
        <v>2</v>
      </c>
      <c r="AF218" s="2" t="s">
        <v>1175</v>
      </c>
      <c r="AG218" s="2">
        <v>60</v>
      </c>
      <c r="AK218" s="2" t="s">
        <v>95</v>
      </c>
      <c r="AL218" s="2">
        <v>2</v>
      </c>
      <c r="AM218" s="2" t="s">
        <v>95</v>
      </c>
      <c r="AN218" s="2" t="s">
        <v>95</v>
      </c>
      <c r="AO218" s="2" t="s">
        <v>96</v>
      </c>
      <c r="AP218" s="2" t="s">
        <v>97</v>
      </c>
      <c r="AQ218" s="2" t="s">
        <v>98</v>
      </c>
      <c r="AV218" s="2" t="s">
        <v>95</v>
      </c>
      <c r="AX218" s="2" t="s">
        <v>529</v>
      </c>
      <c r="AZ218" s="2" t="s">
        <v>449</v>
      </c>
      <c r="BF218" s="2" t="s">
        <v>1186</v>
      </c>
      <c r="BG218" s="2" t="s">
        <v>95</v>
      </c>
      <c r="BH218" s="2" t="s">
        <v>95</v>
      </c>
      <c r="BI218" s="2" t="s">
        <v>95</v>
      </c>
      <c r="BK218" s="2" t="s">
        <v>414</v>
      </c>
      <c r="BL218" s="2" t="s">
        <v>476</v>
      </c>
      <c r="BM218" s="2">
        <v>9.9600000000000009</v>
      </c>
      <c r="BN218" s="2">
        <v>5.5</v>
      </c>
      <c r="CA218" s="2" t="s">
        <v>1187</v>
      </c>
      <c r="CB218" s="2" t="s">
        <v>529</v>
      </c>
      <c r="CL218" s="2" t="s">
        <v>95</v>
      </c>
      <c r="CM218" s="2" t="s">
        <v>95</v>
      </c>
      <c r="CN218" s="2" t="s">
        <v>1178</v>
      </c>
      <c r="CO218" s="3">
        <v>43097</v>
      </c>
      <c r="CP218" s="3">
        <v>43634</v>
      </c>
    </row>
    <row r="219" spans="1:94" x14ac:dyDescent="0.25">
      <c r="A219" s="2" t="s">
        <v>1188</v>
      </c>
      <c r="B219" s="2" t="str">
        <f xml:space="preserve"> "" &amp; 844349024620</f>
        <v>844349024620</v>
      </c>
      <c r="C219" s="2" t="s">
        <v>1001</v>
      </c>
      <c r="D219" s="2" t="s">
        <v>1189</v>
      </c>
      <c r="E219" s="2" t="s">
        <v>1174</v>
      </c>
      <c r="F219" s="2" t="s">
        <v>658</v>
      </c>
      <c r="G219" s="2">
        <v>1</v>
      </c>
      <c r="H219" s="2">
        <v>1</v>
      </c>
      <c r="I219" s="2" t="s">
        <v>94</v>
      </c>
      <c r="J219" s="6">
        <v>99</v>
      </c>
      <c r="K219" s="6">
        <v>297</v>
      </c>
      <c r="L219" s="2">
        <v>0</v>
      </c>
      <c r="N219" s="2">
        <v>0</v>
      </c>
      <c r="O219" s="2" t="s">
        <v>96</v>
      </c>
      <c r="P219" s="6">
        <v>207.95</v>
      </c>
      <c r="Q219" s="6"/>
      <c r="R219" s="7"/>
      <c r="S219" s="2">
        <v>8.75</v>
      </c>
      <c r="U219" s="2">
        <v>19</v>
      </c>
      <c r="V219" s="2">
        <v>4</v>
      </c>
      <c r="W219" s="2">
        <v>4.63</v>
      </c>
      <c r="X219" s="2">
        <v>1</v>
      </c>
      <c r="Y219" s="2">
        <v>5.88</v>
      </c>
      <c r="Z219" s="2">
        <v>21.25</v>
      </c>
      <c r="AA219" s="2">
        <v>10.88</v>
      </c>
      <c r="AB219" s="2">
        <v>0.78700000000000003</v>
      </c>
      <c r="AC219" s="2">
        <v>5.95</v>
      </c>
      <c r="AE219" s="2">
        <v>3</v>
      </c>
      <c r="AF219" s="2" t="s">
        <v>1175</v>
      </c>
      <c r="AG219" s="2">
        <v>60</v>
      </c>
      <c r="AK219" s="2" t="s">
        <v>95</v>
      </c>
      <c r="AL219" s="2">
        <v>3</v>
      </c>
      <c r="AM219" s="2" t="s">
        <v>95</v>
      </c>
      <c r="AN219" s="2" t="s">
        <v>95</v>
      </c>
      <c r="AO219" s="2" t="s">
        <v>96</v>
      </c>
      <c r="AP219" s="2" t="s">
        <v>97</v>
      </c>
      <c r="AQ219" s="2" t="s">
        <v>98</v>
      </c>
      <c r="AV219" s="2" t="s">
        <v>95</v>
      </c>
      <c r="AX219" s="2" t="s">
        <v>529</v>
      </c>
      <c r="AZ219" s="2" t="s">
        <v>449</v>
      </c>
      <c r="BF219" s="2" t="s">
        <v>1190</v>
      </c>
      <c r="BG219" s="2" t="s">
        <v>95</v>
      </c>
      <c r="BH219" s="2" t="s">
        <v>95</v>
      </c>
      <c r="BI219" s="2" t="s">
        <v>95</v>
      </c>
      <c r="BK219" s="2" t="s">
        <v>414</v>
      </c>
      <c r="BL219" s="2" t="s">
        <v>476</v>
      </c>
      <c r="BM219" s="2">
        <v>15.71</v>
      </c>
      <c r="BN219" s="2">
        <v>5.5</v>
      </c>
      <c r="CA219" s="2" t="s">
        <v>1191</v>
      </c>
      <c r="CB219" s="2" t="s">
        <v>529</v>
      </c>
      <c r="CL219" s="2" t="s">
        <v>95</v>
      </c>
      <c r="CM219" s="2" t="s">
        <v>95</v>
      </c>
      <c r="CN219" s="2" t="s">
        <v>1178</v>
      </c>
      <c r="CO219" s="3">
        <v>43097</v>
      </c>
      <c r="CP219" s="3">
        <v>43634</v>
      </c>
    </row>
    <row r="220" spans="1:94" x14ac:dyDescent="0.25">
      <c r="A220" s="2" t="s">
        <v>1192</v>
      </c>
      <c r="B220" s="2" t="str">
        <f xml:space="preserve"> "" &amp; 844349024637</f>
        <v>844349024637</v>
      </c>
      <c r="C220" s="2" t="s">
        <v>1006</v>
      </c>
      <c r="D220" s="2" t="s">
        <v>1193</v>
      </c>
      <c r="E220" s="2" t="s">
        <v>1174</v>
      </c>
      <c r="F220" s="2" t="s">
        <v>658</v>
      </c>
      <c r="G220" s="2">
        <v>1</v>
      </c>
      <c r="H220" s="2">
        <v>1</v>
      </c>
      <c r="I220" s="2" t="s">
        <v>94</v>
      </c>
      <c r="J220" s="6">
        <v>152</v>
      </c>
      <c r="K220" s="6">
        <v>456</v>
      </c>
      <c r="L220" s="2">
        <v>0</v>
      </c>
      <c r="N220" s="2">
        <v>0</v>
      </c>
      <c r="O220" s="2" t="s">
        <v>96</v>
      </c>
      <c r="P220" s="6">
        <v>319.95</v>
      </c>
      <c r="Q220" s="6"/>
      <c r="R220" s="7"/>
      <c r="S220" s="2">
        <v>8.75</v>
      </c>
      <c r="U220" s="2">
        <v>24.75</v>
      </c>
      <c r="V220" s="2">
        <v>4</v>
      </c>
      <c r="W220" s="2">
        <v>5.16</v>
      </c>
      <c r="X220" s="2">
        <v>1</v>
      </c>
      <c r="Y220" s="2">
        <v>5.88</v>
      </c>
      <c r="Z220" s="2">
        <v>27.13</v>
      </c>
      <c r="AA220" s="2">
        <v>10.88</v>
      </c>
      <c r="AB220" s="2">
        <v>1.004</v>
      </c>
      <c r="AC220" s="2">
        <v>6.94</v>
      </c>
      <c r="AE220" s="2">
        <v>4</v>
      </c>
      <c r="AF220" s="2" t="s">
        <v>1175</v>
      </c>
      <c r="AG220" s="2">
        <v>60</v>
      </c>
      <c r="AK220" s="2" t="s">
        <v>95</v>
      </c>
      <c r="AL220" s="2">
        <v>4</v>
      </c>
      <c r="AM220" s="2" t="s">
        <v>95</v>
      </c>
      <c r="AN220" s="2" t="s">
        <v>95</v>
      </c>
      <c r="AO220" s="2" t="s">
        <v>96</v>
      </c>
      <c r="AP220" s="2" t="s">
        <v>97</v>
      </c>
      <c r="AQ220" s="2" t="s">
        <v>98</v>
      </c>
      <c r="AV220" s="2" t="s">
        <v>95</v>
      </c>
      <c r="AX220" s="2" t="s">
        <v>529</v>
      </c>
      <c r="AZ220" s="2" t="s">
        <v>449</v>
      </c>
      <c r="BF220" s="2" t="s">
        <v>1194</v>
      </c>
      <c r="BG220" s="2" t="s">
        <v>95</v>
      </c>
      <c r="BH220" s="2" t="s">
        <v>95</v>
      </c>
      <c r="BI220" s="2" t="s">
        <v>95</v>
      </c>
      <c r="BK220" s="2" t="s">
        <v>414</v>
      </c>
      <c r="BL220" s="2" t="s">
        <v>476</v>
      </c>
      <c r="BM220" s="2">
        <v>21.5</v>
      </c>
      <c r="BN220" s="2">
        <v>5.5</v>
      </c>
      <c r="CA220" s="2" t="s">
        <v>1195</v>
      </c>
      <c r="CB220" s="2" t="s">
        <v>529</v>
      </c>
      <c r="CL220" s="2" t="s">
        <v>95</v>
      </c>
      <c r="CM220" s="2" t="s">
        <v>95</v>
      </c>
      <c r="CN220" s="2" t="s">
        <v>1178</v>
      </c>
      <c r="CO220" s="3">
        <v>43097</v>
      </c>
      <c r="CP220" s="3">
        <v>43634</v>
      </c>
    </row>
    <row r="221" spans="1:94" x14ac:dyDescent="0.25">
      <c r="A221" s="2" t="s">
        <v>1196</v>
      </c>
      <c r="B221" s="2" t="str">
        <f xml:space="preserve"> "" &amp; 844349024644</f>
        <v>844349024644</v>
      </c>
      <c r="C221" s="2" t="s">
        <v>406</v>
      </c>
      <c r="D221" s="2" t="s">
        <v>1197</v>
      </c>
      <c r="E221" s="2" t="s">
        <v>1174</v>
      </c>
      <c r="F221" s="2" t="s">
        <v>393</v>
      </c>
      <c r="G221" s="2">
        <v>1</v>
      </c>
      <c r="H221" s="2">
        <v>1</v>
      </c>
      <c r="I221" s="2" t="s">
        <v>94</v>
      </c>
      <c r="J221" s="6">
        <v>175</v>
      </c>
      <c r="K221" s="6">
        <v>525</v>
      </c>
      <c r="L221" s="2">
        <v>0</v>
      </c>
      <c r="N221" s="2">
        <v>0</v>
      </c>
      <c r="O221" s="2" t="s">
        <v>96</v>
      </c>
      <c r="P221" s="6">
        <v>367.95</v>
      </c>
      <c r="Q221" s="6"/>
      <c r="R221" s="7"/>
      <c r="S221" s="2">
        <v>19.75</v>
      </c>
      <c r="T221" s="2">
        <v>13</v>
      </c>
      <c r="U221" s="2">
        <v>13</v>
      </c>
      <c r="W221" s="2">
        <v>8.2200000000000006</v>
      </c>
      <c r="X221" s="2">
        <v>1</v>
      </c>
      <c r="Y221" s="2">
        <v>7.5</v>
      </c>
      <c r="Z221" s="2">
        <v>22.5</v>
      </c>
      <c r="AA221" s="2">
        <v>15.75</v>
      </c>
      <c r="AB221" s="2">
        <v>1.538</v>
      </c>
      <c r="AC221" s="2">
        <v>11</v>
      </c>
      <c r="AE221" s="2">
        <v>4</v>
      </c>
      <c r="AF221" s="2" t="s">
        <v>1181</v>
      </c>
      <c r="AG221" s="2">
        <v>60</v>
      </c>
      <c r="AK221" s="2" t="s">
        <v>95</v>
      </c>
      <c r="AM221" s="2" t="s">
        <v>95</v>
      </c>
      <c r="AN221" s="2" t="s">
        <v>95</v>
      </c>
      <c r="AO221" s="2" t="s">
        <v>96</v>
      </c>
      <c r="AP221" s="2" t="s">
        <v>97</v>
      </c>
      <c r="AQ221" s="2" t="s">
        <v>98</v>
      </c>
      <c r="AV221" s="2" t="s">
        <v>95</v>
      </c>
      <c r="AX221" s="2" t="s">
        <v>529</v>
      </c>
      <c r="AZ221" s="2" t="s">
        <v>449</v>
      </c>
      <c r="BF221" s="2" t="s">
        <v>1198</v>
      </c>
      <c r="BG221" s="2" t="s">
        <v>95</v>
      </c>
      <c r="BH221" s="2" t="s">
        <v>95</v>
      </c>
      <c r="BI221" s="2" t="s">
        <v>95</v>
      </c>
      <c r="BK221" s="2" t="s">
        <v>100</v>
      </c>
      <c r="BR221" s="2">
        <v>0.94</v>
      </c>
      <c r="BT221" s="2">
        <v>4.84</v>
      </c>
      <c r="CA221" s="2" t="s">
        <v>1199</v>
      </c>
      <c r="CB221" s="2" t="s">
        <v>529</v>
      </c>
      <c r="CL221" s="2" t="s">
        <v>95</v>
      </c>
      <c r="CM221" s="2" t="s">
        <v>96</v>
      </c>
      <c r="CN221" s="2" t="s">
        <v>1178</v>
      </c>
      <c r="CO221" s="3">
        <v>43097</v>
      </c>
      <c r="CP221" s="3">
        <v>43634</v>
      </c>
    </row>
    <row r="222" spans="1:94" x14ac:dyDescent="0.25">
      <c r="A222" s="2" t="s">
        <v>1200</v>
      </c>
      <c r="B222" s="2" t="str">
        <f xml:space="preserve"> "" &amp; 844349024651</f>
        <v>844349024651</v>
      </c>
      <c r="C222" s="2" t="s">
        <v>1201</v>
      </c>
      <c r="D222" s="2" t="s">
        <v>1202</v>
      </c>
      <c r="E222" s="2" t="s">
        <v>1174</v>
      </c>
      <c r="F222" s="2" t="s">
        <v>614</v>
      </c>
      <c r="G222" s="2">
        <v>1</v>
      </c>
      <c r="H222" s="2">
        <v>1</v>
      </c>
      <c r="I222" s="2" t="s">
        <v>94</v>
      </c>
      <c r="J222" s="6">
        <v>309</v>
      </c>
      <c r="K222" s="6">
        <v>927</v>
      </c>
      <c r="L222" s="2">
        <v>0</v>
      </c>
      <c r="N222" s="2">
        <v>0</v>
      </c>
      <c r="O222" s="2" t="s">
        <v>96</v>
      </c>
      <c r="P222" s="6">
        <v>649.95000000000005</v>
      </c>
      <c r="Q222" s="6"/>
      <c r="R222" s="7"/>
      <c r="S222" s="2">
        <v>15.75</v>
      </c>
      <c r="T222" s="2">
        <v>37</v>
      </c>
      <c r="U222" s="2">
        <v>16.5</v>
      </c>
      <c r="W222" s="2">
        <v>17.239999999999998</v>
      </c>
      <c r="X222" s="2">
        <v>1</v>
      </c>
      <c r="Y222" s="2">
        <v>12</v>
      </c>
      <c r="Z222" s="2">
        <v>39.380000000000003</v>
      </c>
      <c r="AA222" s="2">
        <v>18.13</v>
      </c>
      <c r="AB222" s="2">
        <v>4.9580000000000002</v>
      </c>
      <c r="AC222" s="2">
        <v>23.37</v>
      </c>
      <c r="AE222" s="2">
        <v>6</v>
      </c>
      <c r="AF222" s="2" t="s">
        <v>1181</v>
      </c>
      <c r="AG222" s="2">
        <v>60</v>
      </c>
      <c r="AK222" s="2" t="s">
        <v>95</v>
      </c>
      <c r="AM222" s="2" t="s">
        <v>95</v>
      </c>
      <c r="AN222" s="2" t="s">
        <v>95</v>
      </c>
      <c r="AO222" s="2" t="s">
        <v>96</v>
      </c>
      <c r="AP222" s="2" t="s">
        <v>97</v>
      </c>
      <c r="AQ222" s="2" t="s">
        <v>98</v>
      </c>
      <c r="AV222" s="2" t="s">
        <v>95</v>
      </c>
      <c r="AX222" s="2" t="s">
        <v>529</v>
      </c>
      <c r="AZ222" s="2" t="s">
        <v>449</v>
      </c>
      <c r="BF222" s="2" t="s">
        <v>1203</v>
      </c>
      <c r="BG222" s="2" t="s">
        <v>95</v>
      </c>
      <c r="BH222" s="2" t="s">
        <v>95</v>
      </c>
      <c r="BI222" s="2" t="s">
        <v>95</v>
      </c>
      <c r="BK222" s="2" t="s">
        <v>100</v>
      </c>
      <c r="BR222" s="2">
        <v>4.72</v>
      </c>
      <c r="BT222" s="2">
        <v>11.81</v>
      </c>
      <c r="CA222" s="2" t="s">
        <v>1204</v>
      </c>
      <c r="CB222" s="2" t="s">
        <v>529</v>
      </c>
      <c r="CL222" s="2" t="s">
        <v>95</v>
      </c>
      <c r="CM222" s="2" t="s">
        <v>95</v>
      </c>
      <c r="CN222" s="2" t="s">
        <v>1178</v>
      </c>
      <c r="CO222" s="3">
        <v>43097</v>
      </c>
      <c r="CP222" s="3">
        <v>43634</v>
      </c>
    </row>
    <row r="223" spans="1:94" x14ac:dyDescent="0.25">
      <c r="A223" s="2" t="s">
        <v>1205</v>
      </c>
      <c r="B223" s="2" t="str">
        <f xml:space="preserve"> "" &amp; 844349024668</f>
        <v>844349024668</v>
      </c>
      <c r="C223" s="2" t="s">
        <v>391</v>
      </c>
      <c r="D223" s="2" t="s">
        <v>1206</v>
      </c>
      <c r="E223" s="2" t="s">
        <v>1174</v>
      </c>
      <c r="F223" s="2" t="s">
        <v>393</v>
      </c>
      <c r="G223" s="2">
        <v>1</v>
      </c>
      <c r="H223" s="2">
        <v>1</v>
      </c>
      <c r="I223" s="2" t="s">
        <v>94</v>
      </c>
      <c r="J223" s="6">
        <v>89</v>
      </c>
      <c r="K223" s="6">
        <v>267</v>
      </c>
      <c r="L223" s="2">
        <v>0</v>
      </c>
      <c r="N223" s="2">
        <v>0</v>
      </c>
      <c r="O223" s="2" t="s">
        <v>96</v>
      </c>
      <c r="P223" s="6">
        <v>189.95</v>
      </c>
      <c r="Q223" s="6"/>
      <c r="R223" s="7"/>
      <c r="S223" s="2">
        <v>12.5</v>
      </c>
      <c r="T223" s="2">
        <v>8</v>
      </c>
      <c r="U223" s="2">
        <v>8</v>
      </c>
      <c r="W223" s="2">
        <v>3.9</v>
      </c>
      <c r="X223" s="2">
        <v>1</v>
      </c>
      <c r="Y223" s="2">
        <v>9.25</v>
      </c>
      <c r="Z223" s="2">
        <v>15</v>
      </c>
      <c r="AA223" s="2">
        <v>10.63</v>
      </c>
      <c r="AB223" s="2">
        <v>0.85399999999999998</v>
      </c>
      <c r="AC223" s="2">
        <v>5.4</v>
      </c>
      <c r="AE223" s="2">
        <v>1</v>
      </c>
      <c r="AF223" s="2" t="s">
        <v>1175</v>
      </c>
      <c r="AG223" s="2">
        <v>60</v>
      </c>
      <c r="AK223" s="2" t="s">
        <v>95</v>
      </c>
      <c r="AM223" s="2" t="s">
        <v>95</v>
      </c>
      <c r="AN223" s="2" t="s">
        <v>95</v>
      </c>
      <c r="AO223" s="2" t="s">
        <v>96</v>
      </c>
      <c r="AP223" s="2" t="s">
        <v>97</v>
      </c>
      <c r="AQ223" s="2" t="s">
        <v>98</v>
      </c>
      <c r="AV223" s="2" t="s">
        <v>95</v>
      </c>
      <c r="AX223" s="2" t="s">
        <v>529</v>
      </c>
      <c r="AZ223" s="2" t="s">
        <v>449</v>
      </c>
      <c r="BF223" s="2" t="s">
        <v>1207</v>
      </c>
      <c r="BG223" s="2" t="s">
        <v>95</v>
      </c>
      <c r="BH223" s="2" t="s">
        <v>95</v>
      </c>
      <c r="BI223" s="2" t="s">
        <v>95</v>
      </c>
      <c r="BK223" s="2" t="s">
        <v>100</v>
      </c>
      <c r="BR223" s="2">
        <v>0.94</v>
      </c>
      <c r="BS223" s="2">
        <v>4.84</v>
      </c>
      <c r="BT223" s="2">
        <v>4.84</v>
      </c>
      <c r="CA223" s="2" t="s">
        <v>1208</v>
      </c>
      <c r="CB223" s="2" t="s">
        <v>529</v>
      </c>
      <c r="CL223" s="2" t="s">
        <v>96</v>
      </c>
      <c r="CM223" s="2" t="s">
        <v>96</v>
      </c>
      <c r="CN223" s="2" t="s">
        <v>1178</v>
      </c>
      <c r="CO223" s="3">
        <v>43097</v>
      </c>
      <c r="CP223" s="3">
        <v>43634</v>
      </c>
    </row>
    <row r="224" spans="1:94" x14ac:dyDescent="0.25">
      <c r="A224" s="2" t="s">
        <v>1209</v>
      </c>
      <c r="B224" s="2" t="str">
        <f xml:space="preserve"> "" &amp; 844349025511</f>
        <v>844349025511</v>
      </c>
      <c r="C224" s="2" t="s">
        <v>1158</v>
      </c>
      <c r="D224" s="2" t="s">
        <v>1210</v>
      </c>
      <c r="E224" s="2" t="s">
        <v>1174</v>
      </c>
      <c r="F224" s="2" t="s">
        <v>393</v>
      </c>
      <c r="G224" s="2">
        <v>1</v>
      </c>
      <c r="H224" s="2">
        <v>1</v>
      </c>
      <c r="I224" s="2" t="s">
        <v>94</v>
      </c>
      <c r="J224" s="6">
        <v>315</v>
      </c>
      <c r="K224" s="6">
        <v>945</v>
      </c>
      <c r="L224" s="2">
        <v>0</v>
      </c>
      <c r="N224" s="2">
        <v>0</v>
      </c>
      <c r="O224" s="2" t="s">
        <v>96</v>
      </c>
      <c r="P224" s="6">
        <v>659.95</v>
      </c>
      <c r="Q224" s="6"/>
      <c r="R224" s="7"/>
      <c r="S224" s="2">
        <v>18</v>
      </c>
      <c r="T224" s="2">
        <v>26</v>
      </c>
      <c r="U224" s="2">
        <v>26</v>
      </c>
      <c r="W224" s="2">
        <v>14.62</v>
      </c>
      <c r="X224" s="2">
        <v>1</v>
      </c>
      <c r="Y224" s="2">
        <v>21.25</v>
      </c>
      <c r="Z224" s="2">
        <v>26.5</v>
      </c>
      <c r="AA224" s="2">
        <v>23.25</v>
      </c>
      <c r="AB224" s="2">
        <v>7.577</v>
      </c>
      <c r="AC224" s="2">
        <v>20.55</v>
      </c>
      <c r="AE224" s="2">
        <v>6</v>
      </c>
      <c r="AF224" s="2" t="s">
        <v>1175</v>
      </c>
      <c r="AG224" s="2">
        <v>60</v>
      </c>
      <c r="AK224" s="2" t="s">
        <v>95</v>
      </c>
      <c r="AM224" s="2" t="s">
        <v>95</v>
      </c>
      <c r="AN224" s="2" t="s">
        <v>95</v>
      </c>
      <c r="AO224" s="2" t="s">
        <v>96</v>
      </c>
      <c r="AP224" s="2" t="s">
        <v>97</v>
      </c>
      <c r="AQ224" s="2" t="s">
        <v>98</v>
      </c>
      <c r="AV224" s="2" t="s">
        <v>95</v>
      </c>
      <c r="AX224" s="2" t="s">
        <v>529</v>
      </c>
      <c r="AZ224" s="2" t="s">
        <v>449</v>
      </c>
      <c r="BF224" s="2" t="s">
        <v>1211</v>
      </c>
      <c r="BG224" s="2" t="s">
        <v>95</v>
      </c>
      <c r="BH224" s="2" t="s">
        <v>95</v>
      </c>
      <c r="BI224" s="2" t="s">
        <v>95</v>
      </c>
      <c r="BK224" s="2" t="s">
        <v>414</v>
      </c>
      <c r="BR224" s="2">
        <v>1</v>
      </c>
      <c r="BS224" s="2">
        <v>4.88</v>
      </c>
      <c r="BT224" s="2">
        <v>4.88</v>
      </c>
      <c r="CA224" s="2" t="s">
        <v>1212</v>
      </c>
      <c r="CB224" s="2" t="s">
        <v>529</v>
      </c>
      <c r="CL224" s="2" t="s">
        <v>96</v>
      </c>
      <c r="CM224" s="2" t="s">
        <v>96</v>
      </c>
      <c r="CN224" s="2" t="s">
        <v>1178</v>
      </c>
      <c r="CO224" s="3">
        <v>43277</v>
      </c>
      <c r="CP224" s="3">
        <v>43634</v>
      </c>
    </row>
    <row r="225" spans="1:94" x14ac:dyDescent="0.25">
      <c r="A225" s="2" t="s">
        <v>1213</v>
      </c>
      <c r="B225" s="2" t="str">
        <f xml:space="preserve"> "" &amp; 844349024675</f>
        <v>844349024675</v>
      </c>
      <c r="C225" s="2" t="s">
        <v>1214</v>
      </c>
      <c r="D225" s="2" t="s">
        <v>1215</v>
      </c>
      <c r="E225" s="2" t="s">
        <v>1174</v>
      </c>
      <c r="F225" s="2" t="s">
        <v>412</v>
      </c>
      <c r="G225" s="2">
        <v>1</v>
      </c>
      <c r="H225" s="2">
        <v>1</v>
      </c>
      <c r="I225" s="2" t="s">
        <v>94</v>
      </c>
      <c r="J225" s="6">
        <v>152</v>
      </c>
      <c r="K225" s="6">
        <v>456</v>
      </c>
      <c r="L225" s="2">
        <v>0</v>
      </c>
      <c r="N225" s="2">
        <v>0</v>
      </c>
      <c r="O225" s="2" t="s">
        <v>96</v>
      </c>
      <c r="P225" s="6">
        <v>319.95</v>
      </c>
      <c r="Q225" s="6"/>
      <c r="R225" s="7"/>
      <c r="S225" s="2">
        <v>14.75</v>
      </c>
      <c r="T225" s="2">
        <v>14</v>
      </c>
      <c r="U225" s="2">
        <v>14</v>
      </c>
      <c r="W225" s="2">
        <v>6.81</v>
      </c>
      <c r="X225" s="2">
        <v>1</v>
      </c>
      <c r="Y225" s="2">
        <v>8.1300000000000008</v>
      </c>
      <c r="Z225" s="2">
        <v>16.88</v>
      </c>
      <c r="AA225" s="2">
        <v>16.13</v>
      </c>
      <c r="AB225" s="2">
        <v>1.2809999999999999</v>
      </c>
      <c r="AC225" s="2">
        <v>9.19</v>
      </c>
      <c r="AE225" s="2">
        <v>4</v>
      </c>
      <c r="AF225" s="2" t="s">
        <v>1175</v>
      </c>
      <c r="AG225" s="2">
        <v>60</v>
      </c>
      <c r="AK225" s="2" t="s">
        <v>95</v>
      </c>
      <c r="AM225" s="2" t="s">
        <v>95</v>
      </c>
      <c r="AN225" s="2" t="s">
        <v>95</v>
      </c>
      <c r="AO225" s="2" t="s">
        <v>96</v>
      </c>
      <c r="AP225" s="2" t="s">
        <v>97</v>
      </c>
      <c r="AQ225" s="2" t="s">
        <v>98</v>
      </c>
      <c r="AV225" s="2" t="s">
        <v>95</v>
      </c>
      <c r="AX225" s="2" t="s">
        <v>529</v>
      </c>
      <c r="AZ225" s="2" t="s">
        <v>449</v>
      </c>
      <c r="BF225" s="2" t="s">
        <v>1216</v>
      </c>
      <c r="BG225" s="2" t="s">
        <v>95</v>
      </c>
      <c r="BH225" s="2" t="s">
        <v>95</v>
      </c>
      <c r="BI225" s="2" t="s">
        <v>95</v>
      </c>
      <c r="BK225" s="2" t="s">
        <v>414</v>
      </c>
      <c r="BR225" s="2">
        <v>0.6</v>
      </c>
      <c r="BS225" s="2">
        <v>5.31</v>
      </c>
      <c r="BT225" s="2">
        <v>5.31</v>
      </c>
      <c r="CA225" s="2" t="s">
        <v>1217</v>
      </c>
      <c r="CB225" s="2" t="s">
        <v>529</v>
      </c>
      <c r="CL225" s="2" t="s">
        <v>95</v>
      </c>
      <c r="CM225" s="2" t="s">
        <v>95</v>
      </c>
      <c r="CN225" s="2" t="s">
        <v>1178</v>
      </c>
      <c r="CO225" s="3">
        <v>43097</v>
      </c>
      <c r="CP225" s="3">
        <v>43634</v>
      </c>
    </row>
    <row r="226" spans="1:94" x14ac:dyDescent="0.25">
      <c r="A226" s="2" t="s">
        <v>1218</v>
      </c>
      <c r="B226" s="2" t="str">
        <f xml:space="preserve"> "" &amp; 844349024187</f>
        <v>844349024187</v>
      </c>
      <c r="C226" s="2" t="s">
        <v>488</v>
      </c>
      <c r="D226" s="2" t="s">
        <v>1219</v>
      </c>
      <c r="E226" s="2" t="s">
        <v>1220</v>
      </c>
      <c r="F226" s="2" t="s">
        <v>393</v>
      </c>
      <c r="G226" s="2">
        <v>1</v>
      </c>
      <c r="H226" s="2">
        <v>1</v>
      </c>
      <c r="I226" s="2" t="s">
        <v>94</v>
      </c>
      <c r="J226" s="6">
        <v>145</v>
      </c>
      <c r="K226" s="6">
        <v>435</v>
      </c>
      <c r="L226" s="2">
        <v>0</v>
      </c>
      <c r="N226" s="2">
        <v>0</v>
      </c>
      <c r="O226" s="2" t="s">
        <v>96</v>
      </c>
      <c r="P226" s="6">
        <v>299.95</v>
      </c>
      <c r="Q226" s="6"/>
      <c r="R226" s="7"/>
      <c r="S226" s="2">
        <v>11.25</v>
      </c>
      <c r="T226" s="2">
        <v>6</v>
      </c>
      <c r="U226" s="2">
        <v>6</v>
      </c>
      <c r="W226" s="2">
        <v>8.49</v>
      </c>
      <c r="X226" s="2">
        <v>1</v>
      </c>
      <c r="Y226" s="2">
        <v>9.5</v>
      </c>
      <c r="Z226" s="2">
        <v>20.88</v>
      </c>
      <c r="AA226" s="2">
        <v>11.63</v>
      </c>
      <c r="AB226" s="2">
        <v>1.335</v>
      </c>
      <c r="AC226" s="2">
        <v>9.74</v>
      </c>
      <c r="AE226" s="2">
        <v>1</v>
      </c>
      <c r="AF226" s="2" t="s">
        <v>347</v>
      </c>
      <c r="AG226" s="2">
        <v>12</v>
      </c>
      <c r="AK226" s="2" t="s">
        <v>96</v>
      </c>
      <c r="AM226" s="2" t="s">
        <v>95</v>
      </c>
      <c r="AN226" s="2" t="s">
        <v>96</v>
      </c>
      <c r="AO226" s="2" t="s">
        <v>95</v>
      </c>
      <c r="AP226" s="2" t="s">
        <v>97</v>
      </c>
      <c r="AQ226" s="2" t="s">
        <v>98</v>
      </c>
      <c r="AV226" s="2" t="s">
        <v>95</v>
      </c>
      <c r="AX226" s="2" t="s">
        <v>395</v>
      </c>
      <c r="AZ226" s="2" t="s">
        <v>449</v>
      </c>
      <c r="BB226" s="2" t="s">
        <v>329</v>
      </c>
      <c r="BC226" s="2" t="s">
        <v>1221</v>
      </c>
      <c r="BF226" s="2" t="s">
        <v>1222</v>
      </c>
      <c r="BG226" s="2" t="s">
        <v>95</v>
      </c>
      <c r="BH226" s="2" t="s">
        <v>95</v>
      </c>
      <c r="BI226" s="2" t="s">
        <v>95</v>
      </c>
      <c r="BK226" s="2" t="s">
        <v>100</v>
      </c>
      <c r="BR226" s="2">
        <v>1.75</v>
      </c>
      <c r="BS226" s="2">
        <v>5.5</v>
      </c>
      <c r="BT226" s="2">
        <v>5.5</v>
      </c>
      <c r="CA226" s="2" t="s">
        <v>1223</v>
      </c>
      <c r="CB226" s="2" t="s">
        <v>395</v>
      </c>
      <c r="CG226" s="2">
        <v>3000</v>
      </c>
      <c r="CH226" s="2">
        <v>91</v>
      </c>
      <c r="CI226" s="2">
        <v>1324</v>
      </c>
      <c r="CJ226" s="2">
        <v>1138</v>
      </c>
      <c r="CK226" s="2">
        <v>30000</v>
      </c>
      <c r="CL226" s="2" t="s">
        <v>96</v>
      </c>
      <c r="CM226" s="2" t="s">
        <v>96</v>
      </c>
      <c r="CN226" s="2" t="s">
        <v>1224</v>
      </c>
      <c r="CO226" s="3">
        <v>43087</v>
      </c>
      <c r="CP226" s="3">
        <v>43634</v>
      </c>
    </row>
    <row r="227" spans="1:94" x14ac:dyDescent="0.25">
      <c r="A227" s="2" t="s">
        <v>1225</v>
      </c>
      <c r="B227" s="2" t="str">
        <f xml:space="preserve"> "" &amp; 844349025719</f>
        <v>844349025719</v>
      </c>
      <c r="C227" s="2" t="s">
        <v>655</v>
      </c>
      <c r="D227" s="2" t="s">
        <v>1226</v>
      </c>
      <c r="E227" s="2" t="s">
        <v>1227</v>
      </c>
      <c r="F227" s="2" t="s">
        <v>340</v>
      </c>
      <c r="G227" s="2">
        <v>1</v>
      </c>
      <c r="H227" s="2">
        <v>1</v>
      </c>
      <c r="I227" s="2" t="s">
        <v>94</v>
      </c>
      <c r="J227" s="6">
        <v>68</v>
      </c>
      <c r="K227" s="6">
        <v>204</v>
      </c>
      <c r="L227" s="2">
        <v>0</v>
      </c>
      <c r="N227" s="2">
        <v>0</v>
      </c>
      <c r="O227" s="2" t="s">
        <v>96</v>
      </c>
      <c r="P227" s="6">
        <v>142.94999999999999</v>
      </c>
      <c r="Q227" s="6"/>
      <c r="R227" s="7"/>
      <c r="S227" s="2">
        <v>5.5</v>
      </c>
      <c r="T227" s="2">
        <v>11.13</v>
      </c>
      <c r="U227" s="2">
        <v>8</v>
      </c>
      <c r="V227" s="2">
        <v>3</v>
      </c>
      <c r="W227" s="2">
        <v>2.76</v>
      </c>
      <c r="X227" s="2">
        <v>1</v>
      </c>
      <c r="Y227" s="2">
        <v>5.88</v>
      </c>
      <c r="Z227" s="2">
        <v>11.13</v>
      </c>
      <c r="AA227" s="2">
        <v>7.13</v>
      </c>
      <c r="AB227" s="2">
        <v>0.27</v>
      </c>
      <c r="AC227" s="2">
        <v>3.53</v>
      </c>
      <c r="AE227" s="2">
        <v>1</v>
      </c>
      <c r="AF227" s="2" t="s">
        <v>347</v>
      </c>
      <c r="AG227" s="2">
        <v>7</v>
      </c>
      <c r="AK227" s="2" t="s">
        <v>96</v>
      </c>
      <c r="AM227" s="2" t="s">
        <v>95</v>
      </c>
      <c r="AN227" s="2" t="s">
        <v>96</v>
      </c>
      <c r="AO227" s="2" t="s">
        <v>95</v>
      </c>
      <c r="AP227" s="2" t="s">
        <v>97</v>
      </c>
      <c r="AQ227" s="2" t="s">
        <v>98</v>
      </c>
      <c r="AV227" s="2" t="s">
        <v>95</v>
      </c>
      <c r="AX227" s="2" t="s">
        <v>395</v>
      </c>
      <c r="AZ227" s="2" t="s">
        <v>177</v>
      </c>
      <c r="BB227" s="2" t="s">
        <v>329</v>
      </c>
      <c r="BC227" s="2" t="s">
        <v>1221</v>
      </c>
      <c r="BF227" s="2" t="s">
        <v>1228</v>
      </c>
      <c r="BG227" s="2" t="s">
        <v>95</v>
      </c>
      <c r="BH227" s="2" t="s">
        <v>95</v>
      </c>
      <c r="BI227" s="2" t="s">
        <v>95</v>
      </c>
      <c r="BK227" s="2" t="s">
        <v>414</v>
      </c>
      <c r="BM227" s="2">
        <v>8</v>
      </c>
      <c r="BN227" s="2">
        <v>4.75</v>
      </c>
      <c r="CA227" s="2" t="s">
        <v>1229</v>
      </c>
      <c r="CB227" s="2" t="s">
        <v>395</v>
      </c>
      <c r="CG227" s="2">
        <v>3000</v>
      </c>
      <c r="CH227" s="2">
        <v>93</v>
      </c>
      <c r="CI227" s="2">
        <v>498</v>
      </c>
      <c r="CJ227" s="2">
        <v>359</v>
      </c>
      <c r="CK227" s="2">
        <v>30000</v>
      </c>
      <c r="CL227" s="2" t="s">
        <v>96</v>
      </c>
      <c r="CM227" s="2" t="s">
        <v>95</v>
      </c>
      <c r="CN227" s="2" t="s">
        <v>1230</v>
      </c>
      <c r="CO227" s="3">
        <v>43166</v>
      </c>
      <c r="CP227" s="3">
        <v>43634</v>
      </c>
    </row>
    <row r="228" spans="1:94" x14ac:dyDescent="0.25">
      <c r="A228" s="2" t="s">
        <v>1231</v>
      </c>
      <c r="B228" s="2" t="str">
        <f xml:space="preserve"> "" &amp; 844349025726</f>
        <v>844349025726</v>
      </c>
      <c r="C228" s="2" t="s">
        <v>655</v>
      </c>
      <c r="D228" s="2" t="s">
        <v>1226</v>
      </c>
      <c r="E228" s="2" t="s">
        <v>1227</v>
      </c>
      <c r="F228" s="2" t="s">
        <v>340</v>
      </c>
      <c r="G228" s="2">
        <v>1</v>
      </c>
      <c r="H228" s="2">
        <v>1</v>
      </c>
      <c r="I228" s="2" t="s">
        <v>94</v>
      </c>
      <c r="J228" s="6">
        <v>95</v>
      </c>
      <c r="K228" s="6">
        <v>285</v>
      </c>
      <c r="L228" s="2">
        <v>0</v>
      </c>
      <c r="N228" s="2">
        <v>0</v>
      </c>
      <c r="O228" s="2" t="s">
        <v>96</v>
      </c>
      <c r="P228" s="6">
        <v>199.95</v>
      </c>
      <c r="Q228" s="6"/>
      <c r="R228" s="7"/>
      <c r="S228" s="2">
        <v>5.5</v>
      </c>
      <c r="U228" s="2">
        <v>15</v>
      </c>
      <c r="V228" s="2">
        <v>3</v>
      </c>
      <c r="W228" s="2">
        <v>5.2</v>
      </c>
      <c r="X228" s="2">
        <v>1</v>
      </c>
      <c r="Y228" s="2">
        <v>5.88</v>
      </c>
      <c r="Z228" s="2">
        <v>19.63</v>
      </c>
      <c r="AA228" s="2">
        <v>8.25</v>
      </c>
      <c r="AB228" s="2">
        <v>0.55100000000000005</v>
      </c>
      <c r="AC228" s="2">
        <v>6.39</v>
      </c>
      <c r="AE228" s="2">
        <v>1</v>
      </c>
      <c r="AF228" s="2" t="s">
        <v>347</v>
      </c>
      <c r="AG228" s="2">
        <v>13</v>
      </c>
      <c r="AK228" s="2" t="s">
        <v>96</v>
      </c>
      <c r="AM228" s="2" t="s">
        <v>95</v>
      </c>
      <c r="AN228" s="2" t="s">
        <v>96</v>
      </c>
      <c r="AO228" s="2" t="s">
        <v>95</v>
      </c>
      <c r="AP228" s="2" t="s">
        <v>97</v>
      </c>
      <c r="AQ228" s="2" t="s">
        <v>98</v>
      </c>
      <c r="AV228" s="2" t="s">
        <v>95</v>
      </c>
      <c r="AX228" s="2" t="s">
        <v>395</v>
      </c>
      <c r="AZ228" s="2" t="s">
        <v>449</v>
      </c>
      <c r="BB228" s="2" t="s">
        <v>329</v>
      </c>
      <c r="BC228" s="2" t="s">
        <v>1221</v>
      </c>
      <c r="BF228" s="2" t="s">
        <v>1232</v>
      </c>
      <c r="BG228" s="2" t="s">
        <v>95</v>
      </c>
      <c r="BH228" s="2" t="s">
        <v>95</v>
      </c>
      <c r="BI228" s="2" t="s">
        <v>95</v>
      </c>
      <c r="BK228" s="2" t="s">
        <v>414</v>
      </c>
      <c r="BM228" s="2">
        <v>14</v>
      </c>
      <c r="BN228" s="2">
        <v>4.75</v>
      </c>
      <c r="CA228" s="2" t="s">
        <v>1233</v>
      </c>
      <c r="CB228" s="2" t="s">
        <v>395</v>
      </c>
      <c r="CG228" s="2">
        <v>3000</v>
      </c>
      <c r="CH228" s="2">
        <v>93</v>
      </c>
      <c r="CI228" s="2">
        <v>999</v>
      </c>
      <c r="CJ228" s="2">
        <v>711</v>
      </c>
      <c r="CK228" s="2">
        <v>30000</v>
      </c>
      <c r="CL228" s="2" t="s">
        <v>96</v>
      </c>
      <c r="CM228" s="2" t="s">
        <v>95</v>
      </c>
      <c r="CN228" s="2" t="s">
        <v>1224</v>
      </c>
      <c r="CO228" s="3">
        <v>43166</v>
      </c>
      <c r="CP228" s="3">
        <v>43634</v>
      </c>
    </row>
    <row r="229" spans="1:94" x14ac:dyDescent="0.25">
      <c r="A229" s="2" t="s">
        <v>1234</v>
      </c>
      <c r="B229" s="2" t="str">
        <f xml:space="preserve"> "" &amp; 844349025733</f>
        <v>844349025733</v>
      </c>
      <c r="C229" s="2" t="s">
        <v>655</v>
      </c>
      <c r="D229" s="2" t="s">
        <v>1226</v>
      </c>
      <c r="E229" s="2" t="s">
        <v>1227</v>
      </c>
      <c r="F229" s="2" t="s">
        <v>340</v>
      </c>
      <c r="G229" s="2">
        <v>1</v>
      </c>
      <c r="H229" s="2">
        <v>1</v>
      </c>
      <c r="I229" s="2" t="s">
        <v>94</v>
      </c>
      <c r="J229" s="6">
        <v>140</v>
      </c>
      <c r="K229" s="6">
        <v>420</v>
      </c>
      <c r="L229" s="2">
        <v>0</v>
      </c>
      <c r="N229" s="2">
        <v>0</v>
      </c>
      <c r="O229" s="2" t="s">
        <v>96</v>
      </c>
      <c r="P229" s="6">
        <v>294.95</v>
      </c>
      <c r="Q229" s="6"/>
      <c r="R229" s="7"/>
      <c r="S229" s="2">
        <v>5.5</v>
      </c>
      <c r="U229" s="2">
        <v>24</v>
      </c>
      <c r="V229" s="2">
        <v>3</v>
      </c>
      <c r="W229" s="2">
        <v>8.8800000000000008</v>
      </c>
      <c r="X229" s="2">
        <v>1</v>
      </c>
      <c r="Y229" s="2">
        <v>6.25</v>
      </c>
      <c r="Z229" s="2">
        <v>29.13</v>
      </c>
      <c r="AA229" s="2">
        <v>8.25</v>
      </c>
      <c r="AB229" s="2">
        <v>0.86899999999999999</v>
      </c>
      <c r="AC229" s="2">
        <v>11.55</v>
      </c>
      <c r="AE229" s="2">
        <v>1</v>
      </c>
      <c r="AF229" s="2" t="s">
        <v>347</v>
      </c>
      <c r="AG229" s="2">
        <v>23</v>
      </c>
      <c r="AK229" s="2" t="s">
        <v>96</v>
      </c>
      <c r="AM229" s="2" t="s">
        <v>95</v>
      </c>
      <c r="AN229" s="2" t="s">
        <v>96</v>
      </c>
      <c r="AO229" s="2" t="s">
        <v>95</v>
      </c>
      <c r="AP229" s="2" t="s">
        <v>97</v>
      </c>
      <c r="AQ229" s="2" t="s">
        <v>98</v>
      </c>
      <c r="AV229" s="2" t="s">
        <v>95</v>
      </c>
      <c r="AX229" s="2" t="s">
        <v>395</v>
      </c>
      <c r="AZ229" s="2" t="s">
        <v>449</v>
      </c>
      <c r="BB229" s="2" t="s">
        <v>329</v>
      </c>
      <c r="BC229" s="2" t="s">
        <v>1221</v>
      </c>
      <c r="BF229" s="2" t="s">
        <v>1235</v>
      </c>
      <c r="BG229" s="2" t="s">
        <v>95</v>
      </c>
      <c r="BH229" s="2" t="s">
        <v>95</v>
      </c>
      <c r="BI229" s="2" t="s">
        <v>95</v>
      </c>
      <c r="BK229" s="2" t="s">
        <v>414</v>
      </c>
      <c r="BM229" s="2">
        <v>22.88</v>
      </c>
      <c r="BN229" s="2">
        <v>4.75</v>
      </c>
      <c r="CA229" s="2" t="s">
        <v>1236</v>
      </c>
      <c r="CB229" s="2" t="s">
        <v>395</v>
      </c>
      <c r="CG229" s="2">
        <v>3000</v>
      </c>
      <c r="CH229" s="2">
        <v>92</v>
      </c>
      <c r="CI229" s="2">
        <v>1699</v>
      </c>
      <c r="CJ229" s="2">
        <v>1243</v>
      </c>
      <c r="CK229" s="2">
        <v>30000</v>
      </c>
      <c r="CL229" s="2" t="s">
        <v>96</v>
      </c>
      <c r="CM229" s="2" t="s">
        <v>95</v>
      </c>
      <c r="CN229" s="2" t="s">
        <v>1224</v>
      </c>
      <c r="CO229" s="3">
        <v>43166</v>
      </c>
      <c r="CP229" s="3">
        <v>43634</v>
      </c>
    </row>
    <row r="230" spans="1:94" x14ac:dyDescent="0.25">
      <c r="A230" s="2" t="s">
        <v>1237</v>
      </c>
      <c r="B230" s="2" t="str">
        <f xml:space="preserve"> "" &amp; 844349025740</f>
        <v>844349025740</v>
      </c>
      <c r="C230" s="2" t="s">
        <v>655</v>
      </c>
      <c r="D230" s="2" t="s">
        <v>1226</v>
      </c>
      <c r="E230" s="2" t="s">
        <v>1227</v>
      </c>
      <c r="F230" s="2" t="s">
        <v>340</v>
      </c>
      <c r="G230" s="2">
        <v>1</v>
      </c>
      <c r="H230" s="2">
        <v>1</v>
      </c>
      <c r="I230" s="2" t="s">
        <v>94</v>
      </c>
      <c r="J230" s="6">
        <v>179</v>
      </c>
      <c r="K230" s="6">
        <v>537</v>
      </c>
      <c r="L230" s="2">
        <v>0</v>
      </c>
      <c r="N230" s="2">
        <v>0</v>
      </c>
      <c r="O230" s="2" t="s">
        <v>96</v>
      </c>
      <c r="P230" s="6">
        <v>374.96</v>
      </c>
      <c r="Q230" s="6"/>
      <c r="R230" s="7"/>
      <c r="S230" s="2">
        <v>5.5</v>
      </c>
      <c r="U230" s="2">
        <v>33</v>
      </c>
      <c r="V230" s="2">
        <v>3</v>
      </c>
      <c r="W230" s="2">
        <v>12.96</v>
      </c>
      <c r="X230" s="2">
        <v>1</v>
      </c>
      <c r="Y230" s="2">
        <v>6.75</v>
      </c>
      <c r="Z230" s="2">
        <v>38.25</v>
      </c>
      <c r="AA230" s="2">
        <v>8.6300000000000008</v>
      </c>
      <c r="AB230" s="2">
        <v>1.2889999999999999</v>
      </c>
      <c r="AC230" s="2">
        <v>17.04</v>
      </c>
      <c r="AE230" s="2">
        <v>1</v>
      </c>
      <c r="AF230" s="2" t="s">
        <v>347</v>
      </c>
      <c r="AG230" s="2">
        <v>34</v>
      </c>
      <c r="AK230" s="2" t="s">
        <v>96</v>
      </c>
      <c r="AM230" s="2" t="s">
        <v>95</v>
      </c>
      <c r="AN230" s="2" t="s">
        <v>96</v>
      </c>
      <c r="AO230" s="2" t="s">
        <v>95</v>
      </c>
      <c r="AP230" s="2" t="s">
        <v>97</v>
      </c>
      <c r="AQ230" s="2" t="s">
        <v>98</v>
      </c>
      <c r="AV230" s="2" t="s">
        <v>95</v>
      </c>
      <c r="AX230" s="2" t="s">
        <v>395</v>
      </c>
      <c r="AZ230" s="2" t="s">
        <v>449</v>
      </c>
      <c r="BB230" s="2" t="s">
        <v>329</v>
      </c>
      <c r="BC230" s="2" t="s">
        <v>1221</v>
      </c>
      <c r="BF230" s="2" t="s">
        <v>1238</v>
      </c>
      <c r="BG230" s="2" t="s">
        <v>95</v>
      </c>
      <c r="BH230" s="2" t="s">
        <v>95</v>
      </c>
      <c r="BI230" s="2" t="s">
        <v>95</v>
      </c>
      <c r="BK230" s="2" t="s">
        <v>414</v>
      </c>
      <c r="BM230" s="2">
        <v>32</v>
      </c>
      <c r="BN230" s="2">
        <v>4.75</v>
      </c>
      <c r="CA230" s="2" t="s">
        <v>1239</v>
      </c>
      <c r="CB230" s="2" t="s">
        <v>395</v>
      </c>
      <c r="CG230" s="2">
        <v>3000</v>
      </c>
      <c r="CH230" s="2">
        <v>93</v>
      </c>
      <c r="CI230" s="2">
        <v>2315</v>
      </c>
      <c r="CJ230" s="2">
        <v>1699</v>
      </c>
      <c r="CK230" s="2">
        <v>30000</v>
      </c>
      <c r="CL230" s="2" t="s">
        <v>96</v>
      </c>
      <c r="CM230" s="2" t="s">
        <v>95</v>
      </c>
      <c r="CN230" s="2" t="s">
        <v>1224</v>
      </c>
      <c r="CO230" s="3">
        <v>43166</v>
      </c>
      <c r="CP230" s="3">
        <v>43634</v>
      </c>
    </row>
    <row r="231" spans="1:94" x14ac:dyDescent="0.25">
      <c r="A231" s="2" t="s">
        <v>1240</v>
      </c>
      <c r="B231" s="2" t="str">
        <f xml:space="preserve"> "" &amp; 844349024170</f>
        <v>844349024170</v>
      </c>
      <c r="C231" s="2" t="s">
        <v>625</v>
      </c>
      <c r="D231" s="2" t="s">
        <v>1241</v>
      </c>
      <c r="E231" s="2" t="s">
        <v>1220</v>
      </c>
      <c r="F231" s="2" t="s">
        <v>614</v>
      </c>
      <c r="G231" s="2">
        <v>1</v>
      </c>
      <c r="H231" s="2">
        <v>1</v>
      </c>
      <c r="I231" s="2" t="s">
        <v>94</v>
      </c>
      <c r="J231" s="6">
        <v>305</v>
      </c>
      <c r="K231" s="6">
        <v>915</v>
      </c>
      <c r="L231" s="2">
        <v>0</v>
      </c>
      <c r="N231" s="2">
        <v>0</v>
      </c>
      <c r="O231" s="2" t="s">
        <v>96</v>
      </c>
      <c r="P231" s="6">
        <v>639.95000000000005</v>
      </c>
      <c r="Q231" s="6"/>
      <c r="R231" s="7"/>
      <c r="S231" s="2">
        <v>4.5</v>
      </c>
      <c r="T231" s="2">
        <v>40</v>
      </c>
      <c r="U231" s="2">
        <v>8</v>
      </c>
      <c r="W231" s="2">
        <v>25.13</v>
      </c>
      <c r="X231" s="2">
        <v>1</v>
      </c>
      <c r="Y231" s="2">
        <v>12</v>
      </c>
      <c r="Z231" s="2">
        <v>46.63</v>
      </c>
      <c r="AA231" s="2">
        <v>13.5</v>
      </c>
      <c r="AB231" s="2">
        <v>4.3719999999999999</v>
      </c>
      <c r="AC231" s="2">
        <v>29.76</v>
      </c>
      <c r="AE231" s="2">
        <v>1</v>
      </c>
      <c r="AF231" s="2" t="s">
        <v>347</v>
      </c>
      <c r="AG231" s="2">
        <v>40</v>
      </c>
      <c r="AK231" s="2" t="s">
        <v>96</v>
      </c>
      <c r="AM231" s="2" t="s">
        <v>95</v>
      </c>
      <c r="AN231" s="2" t="s">
        <v>96</v>
      </c>
      <c r="AO231" s="2" t="s">
        <v>95</v>
      </c>
      <c r="AP231" s="2" t="s">
        <v>97</v>
      </c>
      <c r="AQ231" s="2" t="s">
        <v>98</v>
      </c>
      <c r="AV231" s="2" t="s">
        <v>95</v>
      </c>
      <c r="AX231" s="2" t="s">
        <v>395</v>
      </c>
      <c r="AZ231" s="2" t="s">
        <v>449</v>
      </c>
      <c r="BB231" s="2" t="s">
        <v>329</v>
      </c>
      <c r="BC231" s="2" t="s">
        <v>1221</v>
      </c>
      <c r="BF231" s="2" t="s">
        <v>1242</v>
      </c>
      <c r="BG231" s="2" t="s">
        <v>95</v>
      </c>
      <c r="BH231" s="2" t="s">
        <v>95</v>
      </c>
      <c r="BI231" s="2" t="s">
        <v>95</v>
      </c>
      <c r="BK231" s="2" t="s">
        <v>100</v>
      </c>
      <c r="BR231" s="2">
        <v>1.5</v>
      </c>
      <c r="BS231" s="2">
        <v>10</v>
      </c>
      <c r="BT231" s="2">
        <v>4.75</v>
      </c>
      <c r="CA231" s="2" t="s">
        <v>1243</v>
      </c>
      <c r="CB231" s="2" t="s">
        <v>395</v>
      </c>
      <c r="CG231" s="2">
        <v>3000</v>
      </c>
      <c r="CH231" s="2">
        <v>92</v>
      </c>
      <c r="CI231" s="2">
        <v>3670</v>
      </c>
      <c r="CJ231" s="2">
        <v>3044</v>
      </c>
      <c r="CK231" s="2">
        <v>3000</v>
      </c>
      <c r="CL231" s="2" t="s">
        <v>96</v>
      </c>
      <c r="CM231" s="2" t="s">
        <v>96</v>
      </c>
      <c r="CN231" s="2" t="s">
        <v>1224</v>
      </c>
      <c r="CO231" s="3">
        <v>43087</v>
      </c>
      <c r="CP231" s="3">
        <v>43634</v>
      </c>
    </row>
    <row r="232" spans="1:94" x14ac:dyDescent="0.25">
      <c r="A232" s="2" t="s">
        <v>1244</v>
      </c>
      <c r="B232" s="2" t="str">
        <f xml:space="preserve"> "" &amp; 844349024194</f>
        <v>844349024194</v>
      </c>
      <c r="C232" s="2" t="s">
        <v>456</v>
      </c>
      <c r="D232" s="2" t="s">
        <v>1245</v>
      </c>
      <c r="E232" s="2" t="s">
        <v>1220</v>
      </c>
      <c r="F232" s="2" t="s">
        <v>393</v>
      </c>
      <c r="G232" s="2">
        <v>1</v>
      </c>
      <c r="H232" s="2">
        <v>1</v>
      </c>
      <c r="I232" s="2" t="s">
        <v>94</v>
      </c>
      <c r="J232" s="6">
        <v>185</v>
      </c>
      <c r="K232" s="6">
        <v>555</v>
      </c>
      <c r="L232" s="2">
        <v>0</v>
      </c>
      <c r="N232" s="2">
        <v>0</v>
      </c>
      <c r="O232" s="2" t="s">
        <v>96</v>
      </c>
      <c r="P232" s="6">
        <v>387.95</v>
      </c>
      <c r="Q232" s="6"/>
      <c r="R232" s="7"/>
      <c r="S232" s="2">
        <v>4.75</v>
      </c>
      <c r="T232" s="2">
        <v>16</v>
      </c>
      <c r="U232" s="2">
        <v>16</v>
      </c>
      <c r="W232" s="2">
        <v>12.59</v>
      </c>
      <c r="X232" s="2">
        <v>1</v>
      </c>
      <c r="Y232" s="2">
        <v>10</v>
      </c>
      <c r="Z232" s="2">
        <v>21.75</v>
      </c>
      <c r="AA232" s="2">
        <v>21.75</v>
      </c>
      <c r="AB232" s="2">
        <v>2.738</v>
      </c>
      <c r="AC232" s="2">
        <v>17.22</v>
      </c>
      <c r="AE232" s="2">
        <v>1</v>
      </c>
      <c r="AF232" s="2" t="s">
        <v>347</v>
      </c>
      <c r="AG232" s="2">
        <v>30</v>
      </c>
      <c r="AK232" s="2" t="s">
        <v>96</v>
      </c>
      <c r="AM232" s="2" t="s">
        <v>95</v>
      </c>
      <c r="AN232" s="2" t="s">
        <v>96</v>
      </c>
      <c r="AO232" s="2" t="s">
        <v>95</v>
      </c>
      <c r="AP232" s="2" t="s">
        <v>97</v>
      </c>
      <c r="AQ232" s="2" t="s">
        <v>98</v>
      </c>
      <c r="AV232" s="2" t="s">
        <v>95</v>
      </c>
      <c r="AX232" s="2" t="s">
        <v>395</v>
      </c>
      <c r="AZ232" s="2" t="s">
        <v>449</v>
      </c>
      <c r="BB232" s="2" t="s">
        <v>329</v>
      </c>
      <c r="BC232" s="2" t="s">
        <v>1221</v>
      </c>
      <c r="BF232" s="2" t="s">
        <v>1246</v>
      </c>
      <c r="BG232" s="2" t="s">
        <v>95</v>
      </c>
      <c r="BH232" s="2" t="s">
        <v>95</v>
      </c>
      <c r="BI232" s="2" t="s">
        <v>95</v>
      </c>
      <c r="BK232" s="2" t="s">
        <v>414</v>
      </c>
      <c r="BR232" s="2">
        <v>1.75</v>
      </c>
      <c r="BS232" s="2">
        <v>5.5</v>
      </c>
      <c r="BT232" s="2">
        <v>5.5</v>
      </c>
      <c r="CA232" s="2" t="s">
        <v>1247</v>
      </c>
      <c r="CB232" s="2" t="s">
        <v>395</v>
      </c>
      <c r="CG232" s="2">
        <v>3000</v>
      </c>
      <c r="CH232" s="2">
        <v>92</v>
      </c>
      <c r="CI232" s="2">
        <v>2821</v>
      </c>
      <c r="CJ232" s="2">
        <v>2468</v>
      </c>
      <c r="CK232" s="2">
        <v>30000</v>
      </c>
      <c r="CL232" s="2" t="s">
        <v>96</v>
      </c>
      <c r="CM232" s="2" t="s">
        <v>96</v>
      </c>
      <c r="CN232" s="2" t="s">
        <v>1224</v>
      </c>
      <c r="CO232" s="3">
        <v>43087</v>
      </c>
      <c r="CP232" s="3">
        <v>43634</v>
      </c>
    </row>
    <row r="233" spans="1:94" x14ac:dyDescent="0.25">
      <c r="A233" s="2" t="s">
        <v>1248</v>
      </c>
      <c r="B233" s="2" t="str">
        <f xml:space="preserve"> "" &amp; 844349024774</f>
        <v>844349024774</v>
      </c>
      <c r="C233" s="2" t="s">
        <v>1249</v>
      </c>
      <c r="D233" s="2" t="s">
        <v>1245</v>
      </c>
      <c r="E233" s="2" t="s">
        <v>1220</v>
      </c>
      <c r="F233" s="2" t="s">
        <v>340</v>
      </c>
      <c r="G233" s="2">
        <v>1</v>
      </c>
      <c r="H233" s="2">
        <v>1</v>
      </c>
      <c r="I233" s="2" t="s">
        <v>94</v>
      </c>
      <c r="J233" s="6">
        <v>279</v>
      </c>
      <c r="K233" s="6">
        <v>837</v>
      </c>
      <c r="L233" s="2">
        <v>0</v>
      </c>
      <c r="N233" s="2">
        <v>0</v>
      </c>
      <c r="O233" s="2" t="s">
        <v>96</v>
      </c>
      <c r="P233" s="6">
        <v>585.95000000000005</v>
      </c>
      <c r="Q233" s="6"/>
      <c r="R233" s="7"/>
      <c r="S233" s="2">
        <v>6.75</v>
      </c>
      <c r="T233" s="2">
        <v>20</v>
      </c>
      <c r="U233" s="2">
        <v>20</v>
      </c>
      <c r="W233" s="2">
        <v>20.059999999999999</v>
      </c>
      <c r="X233" s="2">
        <v>1</v>
      </c>
      <c r="Y233" s="2">
        <v>12</v>
      </c>
      <c r="Z233" s="2">
        <v>25.75</v>
      </c>
      <c r="AA233" s="2">
        <v>25.75</v>
      </c>
      <c r="AB233" s="2">
        <v>4.6050000000000004</v>
      </c>
      <c r="AC233" s="2">
        <v>26.24</v>
      </c>
      <c r="AE233" s="2">
        <v>1</v>
      </c>
      <c r="AF233" s="2" t="s">
        <v>347</v>
      </c>
      <c r="AG233" s="2">
        <v>39</v>
      </c>
      <c r="AK233" s="2" t="s">
        <v>96</v>
      </c>
      <c r="AM233" s="2" t="s">
        <v>95</v>
      </c>
      <c r="AN233" s="2" t="s">
        <v>96</v>
      </c>
      <c r="AO233" s="2" t="s">
        <v>95</v>
      </c>
      <c r="AP233" s="2" t="s">
        <v>97</v>
      </c>
      <c r="AQ233" s="2" t="s">
        <v>98</v>
      </c>
      <c r="AV233" s="2" t="s">
        <v>95</v>
      </c>
      <c r="AX233" s="2" t="s">
        <v>395</v>
      </c>
      <c r="AZ233" s="2" t="s">
        <v>449</v>
      </c>
      <c r="BB233" s="2" t="s">
        <v>329</v>
      </c>
      <c r="BF233" s="2" t="s">
        <v>1250</v>
      </c>
      <c r="BG233" s="2" t="s">
        <v>95</v>
      </c>
      <c r="BH233" s="2" t="s">
        <v>95</v>
      </c>
      <c r="BI233" s="2" t="s">
        <v>95</v>
      </c>
      <c r="BK233" s="2" t="s">
        <v>414</v>
      </c>
      <c r="BR233" s="2">
        <v>1.75</v>
      </c>
      <c r="BS233" s="2">
        <v>5.5</v>
      </c>
      <c r="BT233" s="2">
        <v>5.5</v>
      </c>
      <c r="CA233" s="2" t="s">
        <v>1251</v>
      </c>
      <c r="CB233" s="2" t="s">
        <v>395</v>
      </c>
      <c r="CG233" s="2">
        <v>3000</v>
      </c>
      <c r="CH233" s="2">
        <v>92</v>
      </c>
      <c r="CI233" s="2">
        <v>3784</v>
      </c>
      <c r="CJ233" s="2">
        <v>3119</v>
      </c>
      <c r="CK233" s="2">
        <v>30000</v>
      </c>
      <c r="CL233" s="2" t="s">
        <v>96</v>
      </c>
      <c r="CM233" s="2" t="s">
        <v>96</v>
      </c>
      <c r="CN233" s="2" t="s">
        <v>454</v>
      </c>
      <c r="CO233" s="3">
        <v>43087</v>
      </c>
      <c r="CP233" s="3">
        <v>43634</v>
      </c>
    </row>
    <row r="234" spans="1:94" x14ac:dyDescent="0.25">
      <c r="A234" s="2" t="s">
        <v>1252</v>
      </c>
      <c r="B234" s="2" t="str">
        <f xml:space="preserve"> "" &amp; 844349024200</f>
        <v>844349024200</v>
      </c>
      <c r="C234" s="2" t="s">
        <v>1253</v>
      </c>
      <c r="D234" s="2" t="s">
        <v>1245</v>
      </c>
      <c r="E234" s="2" t="s">
        <v>1220</v>
      </c>
      <c r="F234" s="2" t="s">
        <v>393</v>
      </c>
      <c r="G234" s="2">
        <v>1</v>
      </c>
      <c r="H234" s="2">
        <v>1</v>
      </c>
      <c r="I234" s="2" t="s">
        <v>94</v>
      </c>
      <c r="J234" s="6">
        <v>390</v>
      </c>
      <c r="K234" s="6">
        <v>1170</v>
      </c>
      <c r="L234" s="2">
        <v>0</v>
      </c>
      <c r="N234" s="2">
        <v>0</v>
      </c>
      <c r="O234" s="2" t="s">
        <v>96</v>
      </c>
      <c r="P234" s="6">
        <v>819.95</v>
      </c>
      <c r="Q234" s="6"/>
      <c r="R234" s="7"/>
      <c r="S234" s="2">
        <v>7.75</v>
      </c>
      <c r="T234" s="2">
        <v>24</v>
      </c>
      <c r="U234" s="2">
        <v>24</v>
      </c>
      <c r="W234" s="2">
        <v>30.62</v>
      </c>
      <c r="X234" s="2">
        <v>1</v>
      </c>
      <c r="Y234" s="2">
        <v>12.75</v>
      </c>
      <c r="Z234" s="2">
        <v>30.13</v>
      </c>
      <c r="AA234" s="2">
        <v>30.13</v>
      </c>
      <c r="AB234" s="2">
        <v>6.6980000000000004</v>
      </c>
      <c r="AC234" s="2">
        <v>39.04</v>
      </c>
      <c r="AE234" s="2">
        <v>1</v>
      </c>
      <c r="AF234" s="2" t="s">
        <v>347</v>
      </c>
      <c r="AG234" s="2">
        <v>54</v>
      </c>
      <c r="AK234" s="2" t="s">
        <v>96</v>
      </c>
      <c r="AM234" s="2" t="s">
        <v>95</v>
      </c>
      <c r="AN234" s="2" t="s">
        <v>96</v>
      </c>
      <c r="AO234" s="2" t="s">
        <v>95</v>
      </c>
      <c r="AP234" s="2" t="s">
        <v>97</v>
      </c>
      <c r="AQ234" s="2" t="s">
        <v>98</v>
      </c>
      <c r="AV234" s="2" t="s">
        <v>95</v>
      </c>
      <c r="AX234" s="2" t="s">
        <v>395</v>
      </c>
      <c r="AZ234" s="2" t="s">
        <v>449</v>
      </c>
      <c r="BB234" s="2" t="s">
        <v>329</v>
      </c>
      <c r="BF234" s="2" t="s">
        <v>1254</v>
      </c>
      <c r="BG234" s="2" t="s">
        <v>95</v>
      </c>
      <c r="BH234" s="2" t="s">
        <v>95</v>
      </c>
      <c r="BI234" s="2" t="s">
        <v>95</v>
      </c>
      <c r="BK234" s="2" t="s">
        <v>414</v>
      </c>
      <c r="BR234" s="2">
        <v>2</v>
      </c>
      <c r="BS234" s="2">
        <v>8</v>
      </c>
      <c r="BT234" s="2">
        <v>8</v>
      </c>
      <c r="CA234" s="2" t="s">
        <v>1255</v>
      </c>
      <c r="CB234" s="2" t="s">
        <v>395</v>
      </c>
      <c r="CG234" s="2">
        <v>3000</v>
      </c>
      <c r="CH234" s="2">
        <v>91</v>
      </c>
      <c r="CI234" s="2">
        <v>4912</v>
      </c>
      <c r="CJ234" s="2">
        <v>3920</v>
      </c>
      <c r="CK234" s="2">
        <v>30000</v>
      </c>
      <c r="CL234" s="2" t="s">
        <v>96</v>
      </c>
      <c r="CM234" s="2" t="s">
        <v>95</v>
      </c>
      <c r="CN234" s="2" t="s">
        <v>454</v>
      </c>
      <c r="CO234" s="3">
        <v>43087</v>
      </c>
      <c r="CP234" s="3">
        <v>43634</v>
      </c>
    </row>
    <row r="235" spans="1:94" x14ac:dyDescent="0.25">
      <c r="A235" s="2" t="s">
        <v>1256</v>
      </c>
      <c r="B235" s="2" t="str">
        <f xml:space="preserve"> "" &amp; 844349024255</f>
        <v>844349024255</v>
      </c>
      <c r="C235" s="2" t="s">
        <v>1257</v>
      </c>
      <c r="D235" s="2" t="s">
        <v>1258</v>
      </c>
      <c r="E235" s="2" t="s">
        <v>1259</v>
      </c>
      <c r="F235" s="2" t="s">
        <v>393</v>
      </c>
      <c r="G235" s="2">
        <v>1</v>
      </c>
      <c r="H235" s="2">
        <v>1</v>
      </c>
      <c r="I235" s="2" t="s">
        <v>94</v>
      </c>
      <c r="J235" s="6">
        <v>95</v>
      </c>
      <c r="K235" s="6">
        <v>285</v>
      </c>
      <c r="L235" s="2">
        <v>0</v>
      </c>
      <c r="N235" s="2">
        <v>0</v>
      </c>
      <c r="O235" s="2" t="s">
        <v>96</v>
      </c>
      <c r="P235" s="6">
        <v>199.95</v>
      </c>
      <c r="Q235" s="6"/>
      <c r="R235" s="7"/>
      <c r="S235" s="2">
        <v>6.25</v>
      </c>
      <c r="U235" s="2">
        <v>10.5</v>
      </c>
      <c r="W235" s="2">
        <v>3.42</v>
      </c>
      <c r="X235" s="2">
        <v>1</v>
      </c>
      <c r="Y235" s="2">
        <v>11.38</v>
      </c>
      <c r="Z235" s="2">
        <v>12.25</v>
      </c>
      <c r="AA235" s="2">
        <v>12.25</v>
      </c>
      <c r="AB235" s="2">
        <v>0.98799999999999999</v>
      </c>
      <c r="AC235" s="2">
        <v>4.9400000000000004</v>
      </c>
      <c r="AE235" s="2">
        <v>1</v>
      </c>
      <c r="AF235" s="2" t="s">
        <v>347</v>
      </c>
      <c r="AG235" s="2">
        <v>8</v>
      </c>
      <c r="AK235" s="2" t="s">
        <v>96</v>
      </c>
      <c r="AM235" s="2" t="s">
        <v>95</v>
      </c>
      <c r="AN235" s="2" t="s">
        <v>96</v>
      </c>
      <c r="AO235" s="2" t="s">
        <v>95</v>
      </c>
      <c r="AP235" s="2" t="s">
        <v>97</v>
      </c>
      <c r="AQ235" s="2" t="s">
        <v>98</v>
      </c>
      <c r="AV235" s="2" t="s">
        <v>95</v>
      </c>
      <c r="AX235" s="2" t="s">
        <v>1260</v>
      </c>
      <c r="AZ235" s="2" t="s">
        <v>483</v>
      </c>
      <c r="BB235" s="2" t="s">
        <v>329</v>
      </c>
      <c r="BC235" s="2" t="s">
        <v>593</v>
      </c>
      <c r="BF235" s="2" t="s">
        <v>1261</v>
      </c>
      <c r="BG235" s="2" t="s">
        <v>95</v>
      </c>
      <c r="BH235" s="2" t="s">
        <v>95</v>
      </c>
      <c r="BI235" s="2" t="s">
        <v>95</v>
      </c>
      <c r="BK235" s="2" t="s">
        <v>100</v>
      </c>
      <c r="BR235" s="2">
        <v>1</v>
      </c>
      <c r="BS235" s="2">
        <v>6</v>
      </c>
      <c r="BT235" s="2">
        <v>6</v>
      </c>
      <c r="CA235" s="2" t="s">
        <v>1262</v>
      </c>
      <c r="CB235" s="2" t="s">
        <v>1260</v>
      </c>
      <c r="CG235" s="2">
        <v>3000</v>
      </c>
      <c r="CH235" s="2">
        <v>92</v>
      </c>
      <c r="CI235" s="2">
        <v>596</v>
      </c>
      <c r="CJ235" s="2">
        <v>297</v>
      </c>
      <c r="CK235" s="2">
        <v>30000</v>
      </c>
      <c r="CL235" s="2" t="s">
        <v>96</v>
      </c>
      <c r="CM235" s="2" t="s">
        <v>96</v>
      </c>
      <c r="CN235" s="2" t="s">
        <v>454</v>
      </c>
      <c r="CO235" s="3">
        <v>43103</v>
      </c>
      <c r="CP235" s="3">
        <v>43634</v>
      </c>
    </row>
    <row r="236" spans="1:94" x14ac:dyDescent="0.25">
      <c r="A236" s="2" t="s">
        <v>1263</v>
      </c>
      <c r="B236" s="2" t="str">
        <f xml:space="preserve"> "" &amp; 844349024279</f>
        <v>844349024279</v>
      </c>
      <c r="C236" s="2" t="s">
        <v>655</v>
      </c>
      <c r="D236" s="2" t="s">
        <v>1264</v>
      </c>
      <c r="E236" s="2" t="s">
        <v>1259</v>
      </c>
      <c r="F236" s="2" t="s">
        <v>658</v>
      </c>
      <c r="G236" s="2">
        <v>1</v>
      </c>
      <c r="H236" s="2">
        <v>1</v>
      </c>
      <c r="I236" s="2" t="s">
        <v>94</v>
      </c>
      <c r="J236" s="6">
        <v>95</v>
      </c>
      <c r="K236" s="6">
        <v>285</v>
      </c>
      <c r="L236" s="2">
        <v>0</v>
      </c>
      <c r="N236" s="2">
        <v>0</v>
      </c>
      <c r="O236" s="2" t="s">
        <v>96</v>
      </c>
      <c r="P236" s="6">
        <v>199.95</v>
      </c>
      <c r="Q236" s="6"/>
      <c r="R236" s="7"/>
      <c r="S236" s="2">
        <v>9.5</v>
      </c>
      <c r="U236" s="2">
        <v>10.5</v>
      </c>
      <c r="V236" s="2">
        <v>5.75</v>
      </c>
      <c r="W236" s="2">
        <v>2.71</v>
      </c>
      <c r="X236" s="2">
        <v>1</v>
      </c>
      <c r="Y236" s="2">
        <v>9.5</v>
      </c>
      <c r="Z236" s="2">
        <v>12.25</v>
      </c>
      <c r="AA236" s="2">
        <v>12.25</v>
      </c>
      <c r="AB236" s="2">
        <v>0.82499999999999996</v>
      </c>
      <c r="AC236" s="2">
        <v>4.1399999999999997</v>
      </c>
      <c r="AE236" s="2">
        <v>1</v>
      </c>
      <c r="AF236" s="2" t="s">
        <v>347</v>
      </c>
      <c r="AG236" s="2">
        <v>8</v>
      </c>
      <c r="AK236" s="2" t="s">
        <v>96</v>
      </c>
      <c r="AM236" s="2" t="s">
        <v>95</v>
      </c>
      <c r="AN236" s="2" t="s">
        <v>96</v>
      </c>
      <c r="AO236" s="2" t="s">
        <v>95</v>
      </c>
      <c r="AP236" s="2" t="s">
        <v>97</v>
      </c>
      <c r="AQ236" s="2" t="s">
        <v>98</v>
      </c>
      <c r="AV236" s="2" t="s">
        <v>95</v>
      </c>
      <c r="AX236" s="2" t="s">
        <v>1260</v>
      </c>
      <c r="AZ236" s="2" t="s">
        <v>483</v>
      </c>
      <c r="BB236" s="2" t="s">
        <v>329</v>
      </c>
      <c r="BC236" s="2" t="s">
        <v>593</v>
      </c>
      <c r="BF236" s="2" t="s">
        <v>1265</v>
      </c>
      <c r="BG236" s="2" t="s">
        <v>95</v>
      </c>
      <c r="BH236" s="2" t="s">
        <v>95</v>
      </c>
      <c r="BI236" s="2" t="s">
        <v>95</v>
      </c>
      <c r="BK236" s="2" t="s">
        <v>414</v>
      </c>
      <c r="BR236" s="2">
        <v>0.63</v>
      </c>
      <c r="BS236" s="2">
        <v>4.75</v>
      </c>
      <c r="BT236" s="2">
        <v>4.75</v>
      </c>
      <c r="CA236" s="2" t="s">
        <v>1266</v>
      </c>
      <c r="CB236" s="2" t="s">
        <v>1260</v>
      </c>
      <c r="CG236" s="2">
        <v>3000</v>
      </c>
      <c r="CH236" s="2">
        <v>93</v>
      </c>
      <c r="CI236" s="2">
        <v>598</v>
      </c>
      <c r="CJ236" s="2">
        <v>268</v>
      </c>
      <c r="CK236" s="2">
        <v>30000</v>
      </c>
      <c r="CL236" s="2" t="s">
        <v>96</v>
      </c>
      <c r="CM236" s="2" t="s">
        <v>95</v>
      </c>
      <c r="CN236" s="2" t="s">
        <v>454</v>
      </c>
      <c r="CO236" s="3">
        <v>43103</v>
      </c>
      <c r="CP236" s="3">
        <v>43634</v>
      </c>
    </row>
    <row r="237" spans="1:94" x14ac:dyDescent="0.25">
      <c r="A237" s="2" t="s">
        <v>1267</v>
      </c>
      <c r="B237" s="2" t="str">
        <f xml:space="preserve"> "" &amp; 844349024286</f>
        <v>844349024286</v>
      </c>
      <c r="C237" s="2" t="s">
        <v>655</v>
      </c>
      <c r="D237" s="2" t="s">
        <v>1268</v>
      </c>
      <c r="E237" s="2" t="s">
        <v>1259</v>
      </c>
      <c r="F237" s="2" t="s">
        <v>658</v>
      </c>
      <c r="G237" s="2">
        <v>1</v>
      </c>
      <c r="H237" s="2">
        <v>1</v>
      </c>
      <c r="I237" s="2" t="s">
        <v>94</v>
      </c>
      <c r="J237" s="6">
        <v>162</v>
      </c>
      <c r="K237" s="6">
        <v>486</v>
      </c>
      <c r="L237" s="2">
        <v>0</v>
      </c>
      <c r="N237" s="2">
        <v>0</v>
      </c>
      <c r="O237" s="2" t="s">
        <v>96</v>
      </c>
      <c r="P237" s="6">
        <v>339.95</v>
      </c>
      <c r="Q237" s="6"/>
      <c r="R237" s="7"/>
      <c r="S237" s="2">
        <v>10</v>
      </c>
      <c r="U237" s="2">
        <v>19</v>
      </c>
      <c r="V237" s="2">
        <v>5.75</v>
      </c>
      <c r="W237" s="2">
        <v>5.58</v>
      </c>
      <c r="X237" s="2">
        <v>1</v>
      </c>
      <c r="Y237" s="2">
        <v>9.6300000000000008</v>
      </c>
      <c r="Z237" s="2">
        <v>22</v>
      </c>
      <c r="AA237" s="2">
        <v>12.25</v>
      </c>
      <c r="AB237" s="2">
        <v>1.502</v>
      </c>
      <c r="AC237" s="2">
        <v>7.8</v>
      </c>
      <c r="AE237" s="2">
        <v>2</v>
      </c>
      <c r="AF237" s="2" t="s">
        <v>347</v>
      </c>
      <c r="AG237" s="2">
        <v>8</v>
      </c>
      <c r="AK237" s="2" t="s">
        <v>96</v>
      </c>
      <c r="AM237" s="2" t="s">
        <v>95</v>
      </c>
      <c r="AN237" s="2" t="s">
        <v>96</v>
      </c>
      <c r="AO237" s="2" t="s">
        <v>95</v>
      </c>
      <c r="AP237" s="2" t="s">
        <v>97</v>
      </c>
      <c r="AQ237" s="2" t="s">
        <v>98</v>
      </c>
      <c r="AV237" s="2" t="s">
        <v>95</v>
      </c>
      <c r="AX237" s="2" t="s">
        <v>1260</v>
      </c>
      <c r="AZ237" s="2" t="s">
        <v>483</v>
      </c>
      <c r="BB237" s="2" t="s">
        <v>329</v>
      </c>
      <c r="BC237" s="2" t="s">
        <v>593</v>
      </c>
      <c r="BF237" s="2" t="s">
        <v>1269</v>
      </c>
      <c r="BG237" s="2" t="s">
        <v>95</v>
      </c>
      <c r="BH237" s="2" t="s">
        <v>95</v>
      </c>
      <c r="BI237" s="2" t="s">
        <v>95</v>
      </c>
      <c r="BK237" s="2" t="s">
        <v>414</v>
      </c>
      <c r="BM237" s="2">
        <v>4.75</v>
      </c>
      <c r="BN237" s="2">
        <v>0.63</v>
      </c>
      <c r="CA237" s="2" t="s">
        <v>1270</v>
      </c>
      <c r="CB237" s="2" t="s">
        <v>1260</v>
      </c>
      <c r="CG237" s="2">
        <v>3000</v>
      </c>
      <c r="CH237" s="2">
        <v>92</v>
      </c>
      <c r="CI237" s="2">
        <v>1157</v>
      </c>
      <c r="CJ237" s="2">
        <v>589</v>
      </c>
      <c r="CK237" s="2">
        <v>30000</v>
      </c>
      <c r="CL237" s="2" t="s">
        <v>96</v>
      </c>
      <c r="CM237" s="2" t="s">
        <v>95</v>
      </c>
      <c r="CN237" s="2" t="s">
        <v>454</v>
      </c>
      <c r="CO237" s="3">
        <v>43103</v>
      </c>
      <c r="CP237" s="3">
        <v>43634</v>
      </c>
    </row>
    <row r="238" spans="1:94" x14ac:dyDescent="0.25">
      <c r="A238" s="2" t="s">
        <v>1271</v>
      </c>
      <c r="B238" s="2" t="str">
        <f xml:space="preserve"> "" &amp; 844349024293</f>
        <v>844349024293</v>
      </c>
      <c r="C238" s="2" t="s">
        <v>655</v>
      </c>
      <c r="D238" s="2" t="s">
        <v>1272</v>
      </c>
      <c r="E238" s="2" t="s">
        <v>1259</v>
      </c>
      <c r="F238" s="2" t="s">
        <v>658</v>
      </c>
      <c r="G238" s="2">
        <v>1</v>
      </c>
      <c r="H238" s="2">
        <v>1</v>
      </c>
      <c r="I238" s="2" t="s">
        <v>94</v>
      </c>
      <c r="J238" s="6">
        <v>249</v>
      </c>
      <c r="K238" s="6">
        <v>747</v>
      </c>
      <c r="L238" s="2">
        <v>0</v>
      </c>
      <c r="N238" s="2">
        <v>0</v>
      </c>
      <c r="O238" s="2" t="s">
        <v>96</v>
      </c>
      <c r="P238" s="6">
        <v>524.95000000000005</v>
      </c>
      <c r="Q238" s="6"/>
      <c r="R238" s="7"/>
      <c r="S238" s="2">
        <v>13.25</v>
      </c>
      <c r="U238" s="2">
        <v>26.25</v>
      </c>
      <c r="V238" s="2">
        <v>5.75</v>
      </c>
      <c r="W238" s="2">
        <v>8.11</v>
      </c>
      <c r="X238" s="2">
        <v>1</v>
      </c>
      <c r="Y238" s="2">
        <v>7.5</v>
      </c>
      <c r="Z238" s="2">
        <v>29.63</v>
      </c>
      <c r="AA238" s="2">
        <v>24.25</v>
      </c>
      <c r="AB238" s="2">
        <v>3.1190000000000002</v>
      </c>
      <c r="AC238" s="2">
        <v>12.68</v>
      </c>
      <c r="AE238" s="2">
        <v>3</v>
      </c>
      <c r="AF238" s="2" t="s">
        <v>347</v>
      </c>
      <c r="AG238" s="2">
        <v>8</v>
      </c>
      <c r="AK238" s="2" t="s">
        <v>96</v>
      </c>
      <c r="AM238" s="2" t="s">
        <v>95</v>
      </c>
      <c r="AN238" s="2" t="s">
        <v>96</v>
      </c>
      <c r="AO238" s="2" t="s">
        <v>95</v>
      </c>
      <c r="AP238" s="2" t="s">
        <v>97</v>
      </c>
      <c r="AQ238" s="2" t="s">
        <v>98</v>
      </c>
      <c r="AV238" s="2" t="s">
        <v>95</v>
      </c>
      <c r="AX238" s="2" t="s">
        <v>1260</v>
      </c>
      <c r="AZ238" s="2" t="s">
        <v>483</v>
      </c>
      <c r="BB238" s="2" t="s">
        <v>329</v>
      </c>
      <c r="BC238" s="2" t="s">
        <v>593</v>
      </c>
      <c r="BF238" s="2" t="s">
        <v>1273</v>
      </c>
      <c r="BG238" s="2" t="s">
        <v>95</v>
      </c>
      <c r="BH238" s="2" t="s">
        <v>95</v>
      </c>
      <c r="BI238" s="2" t="s">
        <v>95</v>
      </c>
      <c r="BK238" s="2" t="s">
        <v>414</v>
      </c>
      <c r="BM238" s="2">
        <v>4.75</v>
      </c>
      <c r="BN238" s="2">
        <v>0.63</v>
      </c>
      <c r="CA238" s="2" t="s">
        <v>1274</v>
      </c>
      <c r="CB238" s="2" t="s">
        <v>1260</v>
      </c>
      <c r="CG238" s="2">
        <v>3000</v>
      </c>
      <c r="CH238" s="2">
        <v>92</v>
      </c>
      <c r="CI238" s="2">
        <v>1712</v>
      </c>
      <c r="CJ238" s="2">
        <v>856</v>
      </c>
      <c r="CK238" s="2">
        <v>30000</v>
      </c>
      <c r="CL238" s="2" t="s">
        <v>96</v>
      </c>
      <c r="CM238" s="2" t="s">
        <v>95</v>
      </c>
      <c r="CN238" s="2" t="s">
        <v>454</v>
      </c>
      <c r="CO238" s="3">
        <v>43103</v>
      </c>
      <c r="CP238" s="3">
        <v>43634</v>
      </c>
    </row>
    <row r="239" spans="1:94" x14ac:dyDescent="0.25">
      <c r="A239" s="2" t="s">
        <v>1275</v>
      </c>
      <c r="B239" s="2" t="str">
        <f xml:space="preserve"> "" &amp; 844349024231</f>
        <v>844349024231</v>
      </c>
      <c r="C239" s="2" t="s">
        <v>467</v>
      </c>
      <c r="D239" s="2" t="s">
        <v>1276</v>
      </c>
      <c r="E239" s="2" t="s">
        <v>1259</v>
      </c>
      <c r="F239" s="2" t="s">
        <v>1126</v>
      </c>
      <c r="G239" s="2">
        <v>1</v>
      </c>
      <c r="H239" s="2">
        <v>1</v>
      </c>
      <c r="I239" s="2" t="s">
        <v>94</v>
      </c>
      <c r="J239" s="6">
        <v>475</v>
      </c>
      <c r="K239" s="6">
        <v>1425</v>
      </c>
      <c r="L239" s="2">
        <v>0</v>
      </c>
      <c r="N239" s="2">
        <v>0</v>
      </c>
      <c r="O239" s="2" t="s">
        <v>96</v>
      </c>
      <c r="P239" s="6">
        <v>997.95</v>
      </c>
      <c r="Q239" s="6"/>
      <c r="R239" s="7"/>
      <c r="S239" s="2">
        <v>25</v>
      </c>
      <c r="T239" s="2">
        <v>27.25</v>
      </c>
      <c r="U239" s="2">
        <v>27.25</v>
      </c>
      <c r="W239" s="2">
        <v>17.2</v>
      </c>
      <c r="X239" s="2">
        <v>1</v>
      </c>
      <c r="Y239" s="2">
        <v>14</v>
      </c>
      <c r="Z239" s="2">
        <v>29.75</v>
      </c>
      <c r="AA239" s="2">
        <v>28.38</v>
      </c>
      <c r="AB239" s="2">
        <v>6.84</v>
      </c>
      <c r="AC239" s="2">
        <v>24.47</v>
      </c>
      <c r="AE239" s="2">
        <v>6</v>
      </c>
      <c r="AF239" s="2" t="s">
        <v>347</v>
      </c>
      <c r="AG239" s="2">
        <v>8</v>
      </c>
      <c r="AK239" s="2" t="s">
        <v>96</v>
      </c>
      <c r="AM239" s="2" t="s">
        <v>95</v>
      </c>
      <c r="AN239" s="2" t="s">
        <v>96</v>
      </c>
      <c r="AO239" s="2" t="s">
        <v>95</v>
      </c>
      <c r="AP239" s="2" t="s">
        <v>97</v>
      </c>
      <c r="AQ239" s="2" t="s">
        <v>98</v>
      </c>
      <c r="AV239" s="2" t="s">
        <v>95</v>
      </c>
      <c r="AX239" s="2" t="s">
        <v>1260</v>
      </c>
      <c r="AZ239" s="2" t="s">
        <v>483</v>
      </c>
      <c r="BB239" s="2" t="s">
        <v>329</v>
      </c>
      <c r="BC239" s="2" t="s">
        <v>593</v>
      </c>
      <c r="BF239" s="2" t="s">
        <v>1277</v>
      </c>
      <c r="BG239" s="2" t="s">
        <v>95</v>
      </c>
      <c r="BH239" s="2" t="s">
        <v>95</v>
      </c>
      <c r="BI239" s="2" t="s">
        <v>95</v>
      </c>
      <c r="BK239" s="2" t="s">
        <v>100</v>
      </c>
      <c r="BR239" s="2">
        <v>1</v>
      </c>
      <c r="BS239" s="2">
        <v>4.75</v>
      </c>
      <c r="BT239" s="2">
        <v>4.75</v>
      </c>
      <c r="CA239" s="2" t="s">
        <v>1278</v>
      </c>
      <c r="CB239" s="2" t="s">
        <v>1260</v>
      </c>
      <c r="CG239" s="2">
        <v>3000</v>
      </c>
      <c r="CH239" s="2">
        <v>92</v>
      </c>
      <c r="CI239" s="2">
        <v>2823</v>
      </c>
      <c r="CJ239" s="2">
        <v>1399</v>
      </c>
      <c r="CK239" s="2">
        <v>30000</v>
      </c>
      <c r="CL239" s="2" t="s">
        <v>96</v>
      </c>
      <c r="CM239" s="2" t="s">
        <v>96</v>
      </c>
      <c r="CN239" s="2" t="s">
        <v>454</v>
      </c>
      <c r="CO239" s="3">
        <v>43103</v>
      </c>
      <c r="CP239" s="3">
        <v>43634</v>
      </c>
    </row>
    <row r="240" spans="1:94" x14ac:dyDescent="0.25">
      <c r="A240" s="2" t="s">
        <v>1279</v>
      </c>
      <c r="B240" s="2" t="str">
        <f xml:space="preserve"> "" &amp; 844349024248</f>
        <v>844349024248</v>
      </c>
      <c r="C240" s="2" t="s">
        <v>510</v>
      </c>
      <c r="D240" s="2" t="s">
        <v>1280</v>
      </c>
      <c r="E240" s="2" t="s">
        <v>1259</v>
      </c>
      <c r="F240" s="2" t="s">
        <v>614</v>
      </c>
      <c r="G240" s="2">
        <v>1</v>
      </c>
      <c r="H240" s="2">
        <v>1</v>
      </c>
      <c r="I240" s="2" t="s">
        <v>94</v>
      </c>
      <c r="J240" s="6">
        <v>441</v>
      </c>
      <c r="K240" s="6">
        <v>1323</v>
      </c>
      <c r="L240" s="2">
        <v>0</v>
      </c>
      <c r="N240" s="2">
        <v>0</v>
      </c>
      <c r="O240" s="2" t="s">
        <v>96</v>
      </c>
      <c r="P240" s="6">
        <v>926.95</v>
      </c>
      <c r="Q240" s="6"/>
      <c r="R240" s="7"/>
      <c r="S240" s="2">
        <v>20</v>
      </c>
      <c r="T240" s="2">
        <v>41</v>
      </c>
      <c r="U240" s="2">
        <v>13.25</v>
      </c>
      <c r="W240" s="2">
        <v>18.079999999999998</v>
      </c>
      <c r="X240" s="2">
        <v>1</v>
      </c>
      <c r="Y240" s="2">
        <v>16</v>
      </c>
      <c r="Z240" s="2">
        <v>45.38</v>
      </c>
      <c r="AA240" s="2">
        <v>17.5</v>
      </c>
      <c r="AB240" s="2">
        <v>7.3529999999999998</v>
      </c>
      <c r="AC240" s="2">
        <v>24.91</v>
      </c>
      <c r="AE240" s="2">
        <v>5</v>
      </c>
      <c r="AF240" s="2" t="s">
        <v>347</v>
      </c>
      <c r="AG240" s="2">
        <v>8</v>
      </c>
      <c r="AK240" s="2" t="s">
        <v>96</v>
      </c>
      <c r="AM240" s="2" t="s">
        <v>95</v>
      </c>
      <c r="AN240" s="2" t="s">
        <v>96</v>
      </c>
      <c r="AO240" s="2" t="s">
        <v>95</v>
      </c>
      <c r="AP240" s="2" t="s">
        <v>97</v>
      </c>
      <c r="AQ240" s="2" t="s">
        <v>98</v>
      </c>
      <c r="AV240" s="2" t="s">
        <v>95</v>
      </c>
      <c r="AX240" s="2" t="s">
        <v>1260</v>
      </c>
      <c r="AZ240" s="2" t="s">
        <v>483</v>
      </c>
      <c r="BB240" s="2" t="s">
        <v>329</v>
      </c>
      <c r="BF240" s="2" t="s">
        <v>1281</v>
      </c>
      <c r="BG240" s="2" t="s">
        <v>95</v>
      </c>
      <c r="BH240" s="2" t="s">
        <v>95</v>
      </c>
      <c r="BI240" s="2" t="s">
        <v>95</v>
      </c>
      <c r="BK240" s="2" t="s">
        <v>100</v>
      </c>
      <c r="BR240" s="2">
        <v>0.75</v>
      </c>
      <c r="BS240" s="2">
        <v>10</v>
      </c>
      <c r="BT240" s="2">
        <v>4.75</v>
      </c>
      <c r="CA240" s="2" t="s">
        <v>1282</v>
      </c>
      <c r="CB240" s="2" t="s">
        <v>1260</v>
      </c>
      <c r="CG240" s="2">
        <v>3000</v>
      </c>
      <c r="CH240" s="2">
        <v>92</v>
      </c>
      <c r="CI240" s="2">
        <v>2440</v>
      </c>
      <c r="CJ240" s="2">
        <v>1236</v>
      </c>
      <c r="CK240" s="2">
        <v>30000</v>
      </c>
      <c r="CL240" s="2" t="s">
        <v>96</v>
      </c>
      <c r="CM240" s="2" t="s">
        <v>96</v>
      </c>
      <c r="CN240" s="2" t="s">
        <v>454</v>
      </c>
      <c r="CP240" s="3">
        <v>43634</v>
      </c>
    </row>
    <row r="241" spans="1:94" x14ac:dyDescent="0.25">
      <c r="A241" s="2" t="s">
        <v>1283</v>
      </c>
      <c r="B241" s="2" t="str">
        <f xml:space="preserve"> "" &amp; 844349024262</f>
        <v>844349024262</v>
      </c>
      <c r="C241" s="2" t="s">
        <v>1249</v>
      </c>
      <c r="D241" s="2" t="s">
        <v>1284</v>
      </c>
      <c r="E241" s="2" t="s">
        <v>1259</v>
      </c>
      <c r="F241" s="2" t="s">
        <v>393</v>
      </c>
      <c r="G241" s="2">
        <v>1</v>
      </c>
      <c r="H241" s="2">
        <v>1</v>
      </c>
      <c r="I241" s="2" t="s">
        <v>94</v>
      </c>
      <c r="J241" s="6">
        <v>266</v>
      </c>
      <c r="K241" s="6">
        <v>798</v>
      </c>
      <c r="L241" s="2">
        <v>0</v>
      </c>
      <c r="N241" s="2">
        <v>0</v>
      </c>
      <c r="O241" s="2" t="s">
        <v>96</v>
      </c>
      <c r="P241" s="6">
        <v>559.95000000000005</v>
      </c>
      <c r="Q241" s="6"/>
      <c r="R241" s="7"/>
      <c r="S241" s="2">
        <v>12</v>
      </c>
      <c r="T241" s="2">
        <v>22.5</v>
      </c>
      <c r="U241" s="2">
        <v>22.5</v>
      </c>
      <c r="W241" s="2">
        <v>10.58</v>
      </c>
      <c r="X241" s="2">
        <v>1</v>
      </c>
      <c r="Y241" s="2">
        <v>7.63</v>
      </c>
      <c r="Z241" s="2">
        <v>28.63</v>
      </c>
      <c r="AA241" s="2">
        <v>28.63</v>
      </c>
      <c r="AB241" s="2">
        <v>3.6190000000000002</v>
      </c>
      <c r="AC241" s="2">
        <v>16.309999999999999</v>
      </c>
      <c r="AE241" s="2">
        <v>3</v>
      </c>
      <c r="AF241" s="2" t="s">
        <v>347</v>
      </c>
      <c r="AG241" s="2">
        <v>8</v>
      </c>
      <c r="AK241" s="2" t="s">
        <v>96</v>
      </c>
      <c r="AM241" s="2" t="s">
        <v>95</v>
      </c>
      <c r="AN241" s="2" t="s">
        <v>96</v>
      </c>
      <c r="AO241" s="2" t="s">
        <v>95</v>
      </c>
      <c r="AP241" s="2" t="s">
        <v>97</v>
      </c>
      <c r="AQ241" s="2" t="s">
        <v>98</v>
      </c>
      <c r="AV241" s="2" t="s">
        <v>95</v>
      </c>
      <c r="AX241" s="2" t="s">
        <v>1260</v>
      </c>
      <c r="AZ241" s="2" t="s">
        <v>483</v>
      </c>
      <c r="BB241" s="2" t="s">
        <v>329</v>
      </c>
      <c r="BF241" s="2" t="s">
        <v>1285</v>
      </c>
      <c r="BG241" s="2" t="s">
        <v>95</v>
      </c>
      <c r="BH241" s="2" t="s">
        <v>95</v>
      </c>
      <c r="BI241" s="2" t="s">
        <v>95</v>
      </c>
      <c r="BK241" s="2" t="s">
        <v>414</v>
      </c>
      <c r="BR241" s="2">
        <v>1</v>
      </c>
      <c r="BS241" s="2">
        <v>4.75</v>
      </c>
      <c r="BT241" s="2">
        <v>4.75</v>
      </c>
      <c r="CA241" s="2" t="s">
        <v>1286</v>
      </c>
      <c r="CB241" s="2" t="s">
        <v>1260</v>
      </c>
      <c r="CG241" s="2">
        <v>3000</v>
      </c>
      <c r="CH241" s="2">
        <v>92</v>
      </c>
      <c r="CI241" s="2">
        <v>1639</v>
      </c>
      <c r="CJ241" s="2">
        <v>846</v>
      </c>
      <c r="CK241" s="2">
        <v>30000</v>
      </c>
      <c r="CL241" s="2" t="s">
        <v>96</v>
      </c>
      <c r="CM241" s="2" t="s">
        <v>96</v>
      </c>
      <c r="CN241" s="2" t="s">
        <v>454</v>
      </c>
      <c r="CO241" s="3">
        <v>43103</v>
      </c>
      <c r="CP241" s="3">
        <v>43634</v>
      </c>
    </row>
    <row r="242" spans="1:94" x14ac:dyDescent="0.25">
      <c r="A242" s="2" t="s">
        <v>1287</v>
      </c>
      <c r="B242" s="2" t="str">
        <f xml:space="preserve"> "" &amp; 844349017653</f>
        <v>844349017653</v>
      </c>
      <c r="C242" s="2" t="s">
        <v>391</v>
      </c>
      <c r="D242" s="2" t="s">
        <v>1288</v>
      </c>
      <c r="E242" s="2" t="s">
        <v>680</v>
      </c>
      <c r="F242" s="2" t="s">
        <v>393</v>
      </c>
      <c r="G242" s="2">
        <v>1</v>
      </c>
      <c r="H242" s="2">
        <v>1</v>
      </c>
      <c r="I242" s="2" t="s">
        <v>94</v>
      </c>
      <c r="J242" s="6">
        <v>115</v>
      </c>
      <c r="K242" s="6">
        <v>345</v>
      </c>
      <c r="L242" s="2">
        <v>0</v>
      </c>
      <c r="N242" s="2">
        <v>0</v>
      </c>
      <c r="O242" s="2" t="s">
        <v>96</v>
      </c>
      <c r="P242" s="6">
        <v>239.95</v>
      </c>
      <c r="Q242" s="6"/>
      <c r="R242" s="7"/>
      <c r="S242" s="2">
        <v>11.75</v>
      </c>
      <c r="T242" s="2">
        <v>5.5</v>
      </c>
      <c r="U242" s="2">
        <v>5.5</v>
      </c>
      <c r="W242" s="2">
        <v>6.64</v>
      </c>
      <c r="X242" s="2">
        <v>1</v>
      </c>
      <c r="Y242" s="2">
        <v>16.5</v>
      </c>
      <c r="Z242" s="2">
        <v>15.75</v>
      </c>
      <c r="AA242" s="2">
        <v>15.75</v>
      </c>
      <c r="AB242" s="2">
        <v>2.3690000000000002</v>
      </c>
      <c r="AC242" s="2">
        <v>7.58</v>
      </c>
      <c r="AE242" s="2">
        <v>1</v>
      </c>
      <c r="AF242" s="2" t="s">
        <v>1289</v>
      </c>
      <c r="AG242" s="2">
        <v>60</v>
      </c>
      <c r="AK242" s="2" t="s">
        <v>95</v>
      </c>
      <c r="AM242" s="2" t="s">
        <v>95</v>
      </c>
      <c r="AN242" s="2" t="s">
        <v>96</v>
      </c>
      <c r="AO242" s="2" t="s">
        <v>95</v>
      </c>
      <c r="AP242" s="2" t="s">
        <v>97</v>
      </c>
      <c r="AQ242" s="2" t="s">
        <v>98</v>
      </c>
      <c r="AV242" s="2" t="s">
        <v>95</v>
      </c>
      <c r="AX242" s="2" t="s">
        <v>529</v>
      </c>
      <c r="AZ242" s="2" t="s">
        <v>342</v>
      </c>
      <c r="BC242" s="2" t="s">
        <v>1290</v>
      </c>
      <c r="BF242" s="2" t="s">
        <v>1291</v>
      </c>
      <c r="BG242" s="2" t="s">
        <v>95</v>
      </c>
      <c r="BH242" s="2" t="s">
        <v>95</v>
      </c>
      <c r="BI242" s="2" t="s">
        <v>95</v>
      </c>
      <c r="BK242" s="2" t="s">
        <v>100</v>
      </c>
      <c r="BR242" s="2">
        <v>1</v>
      </c>
      <c r="BT242" s="2">
        <v>4.88</v>
      </c>
      <c r="CA242" s="2" t="s">
        <v>1292</v>
      </c>
      <c r="CB242" s="2" t="s">
        <v>529</v>
      </c>
      <c r="CL242" s="2" t="s">
        <v>95</v>
      </c>
      <c r="CM242" s="2" t="s">
        <v>95</v>
      </c>
      <c r="CN242" s="2" t="s">
        <v>1293</v>
      </c>
      <c r="CO242" s="3">
        <v>42076</v>
      </c>
      <c r="CP242" s="3">
        <v>43634</v>
      </c>
    </row>
    <row r="243" spans="1:94" x14ac:dyDescent="0.25">
      <c r="A243" s="2" t="s">
        <v>1294</v>
      </c>
      <c r="B243" s="2" t="str">
        <f xml:space="preserve"> "" &amp; 844349017660</f>
        <v>844349017660</v>
      </c>
      <c r="C243" s="2" t="s">
        <v>1295</v>
      </c>
      <c r="D243" s="2" t="s">
        <v>1296</v>
      </c>
      <c r="E243" s="2" t="s">
        <v>680</v>
      </c>
      <c r="F243" s="2" t="s">
        <v>412</v>
      </c>
      <c r="G243" s="2">
        <v>1</v>
      </c>
      <c r="H243" s="2">
        <v>1</v>
      </c>
      <c r="I243" s="2" t="s">
        <v>94</v>
      </c>
      <c r="J243" s="6">
        <v>209</v>
      </c>
      <c r="K243" s="6">
        <v>627</v>
      </c>
      <c r="L243" s="2">
        <v>0</v>
      </c>
      <c r="N243" s="2">
        <v>0</v>
      </c>
      <c r="O243" s="2" t="s">
        <v>96</v>
      </c>
      <c r="P243" s="6">
        <v>438.95</v>
      </c>
      <c r="Q243" s="6"/>
      <c r="R243" s="7"/>
      <c r="S243" s="2">
        <v>9.25</v>
      </c>
      <c r="T243" s="2">
        <v>19.75</v>
      </c>
      <c r="U243" s="2">
        <v>19.75</v>
      </c>
      <c r="W243" s="2">
        <v>12.39</v>
      </c>
      <c r="X243" s="2">
        <v>1</v>
      </c>
      <c r="Y243" s="2">
        <v>12.25</v>
      </c>
      <c r="Z243" s="2">
        <v>22.13</v>
      </c>
      <c r="AA243" s="2">
        <v>22.13</v>
      </c>
      <c r="AB243" s="2">
        <v>3.472</v>
      </c>
      <c r="AC243" s="2">
        <v>17.57</v>
      </c>
      <c r="AE243" s="2">
        <v>4</v>
      </c>
      <c r="AF243" s="2" t="s">
        <v>1297</v>
      </c>
      <c r="AG243" s="2">
        <v>100</v>
      </c>
      <c r="AK243" s="2" t="s">
        <v>95</v>
      </c>
      <c r="AM243" s="2" t="s">
        <v>95</v>
      </c>
      <c r="AN243" s="2" t="s">
        <v>96</v>
      </c>
      <c r="AO243" s="2" t="s">
        <v>95</v>
      </c>
      <c r="AP243" s="2" t="s">
        <v>97</v>
      </c>
      <c r="AQ243" s="2" t="s">
        <v>98</v>
      </c>
      <c r="AV243" s="2" t="s">
        <v>95</v>
      </c>
      <c r="AX243" s="2" t="s">
        <v>529</v>
      </c>
      <c r="AZ243" s="2" t="s">
        <v>342</v>
      </c>
      <c r="BC243" s="2" t="s">
        <v>1290</v>
      </c>
      <c r="BF243" s="2" t="s">
        <v>1298</v>
      </c>
      <c r="BG243" s="2" t="s">
        <v>95</v>
      </c>
      <c r="BH243" s="2" t="s">
        <v>95</v>
      </c>
      <c r="BI243" s="2" t="s">
        <v>95</v>
      </c>
      <c r="BK243" s="2" t="s">
        <v>100</v>
      </c>
      <c r="BR243" s="2">
        <v>1</v>
      </c>
      <c r="BT243" s="2">
        <v>4.88</v>
      </c>
      <c r="CA243" s="2" t="s">
        <v>1299</v>
      </c>
      <c r="CB243" s="2" t="s">
        <v>529</v>
      </c>
      <c r="CL243" s="2" t="s">
        <v>95</v>
      </c>
      <c r="CM243" s="2" t="s">
        <v>95</v>
      </c>
      <c r="CN243" s="2" t="s">
        <v>1293</v>
      </c>
      <c r="CO243" s="3">
        <v>42076</v>
      </c>
      <c r="CP243" s="3">
        <v>43634</v>
      </c>
    </row>
    <row r="244" spans="1:94" x14ac:dyDescent="0.25">
      <c r="A244" s="2" t="s">
        <v>1300</v>
      </c>
      <c r="B244" s="2" t="str">
        <f xml:space="preserve"> "" &amp; 844349017677</f>
        <v>844349017677</v>
      </c>
      <c r="C244" s="2" t="s">
        <v>406</v>
      </c>
      <c r="D244" s="2" t="s">
        <v>1301</v>
      </c>
      <c r="E244" s="2" t="s">
        <v>680</v>
      </c>
      <c r="F244" s="2" t="s">
        <v>393</v>
      </c>
      <c r="G244" s="2">
        <v>1</v>
      </c>
      <c r="H244" s="2">
        <v>1</v>
      </c>
      <c r="I244" s="2" t="s">
        <v>94</v>
      </c>
      <c r="J244" s="6">
        <v>249</v>
      </c>
      <c r="K244" s="6">
        <v>747</v>
      </c>
      <c r="L244" s="2">
        <v>0</v>
      </c>
      <c r="N244" s="2">
        <v>0</v>
      </c>
      <c r="O244" s="2" t="s">
        <v>96</v>
      </c>
      <c r="P244" s="6">
        <v>521.95000000000005</v>
      </c>
      <c r="Q244" s="6"/>
      <c r="R244" s="7"/>
      <c r="S244" s="2">
        <v>15.5</v>
      </c>
      <c r="T244" s="2">
        <v>14.75</v>
      </c>
      <c r="U244" s="2">
        <v>14.75</v>
      </c>
      <c r="W244" s="2">
        <v>13.87</v>
      </c>
      <c r="X244" s="2">
        <v>1</v>
      </c>
      <c r="Y244" s="2">
        <v>18.75</v>
      </c>
      <c r="Z244" s="2">
        <v>17.13</v>
      </c>
      <c r="AA244" s="2">
        <v>17.13</v>
      </c>
      <c r="AB244" s="2">
        <v>3.1840000000000002</v>
      </c>
      <c r="AC244" s="2">
        <v>18.63</v>
      </c>
      <c r="AE244" s="2">
        <v>4</v>
      </c>
      <c r="AF244" s="2" t="s">
        <v>1302</v>
      </c>
      <c r="AG244" s="2">
        <v>60</v>
      </c>
      <c r="AK244" s="2" t="s">
        <v>95</v>
      </c>
      <c r="AM244" s="2" t="s">
        <v>95</v>
      </c>
      <c r="AN244" s="2" t="s">
        <v>96</v>
      </c>
      <c r="AO244" s="2" t="s">
        <v>95</v>
      </c>
      <c r="AP244" s="2" t="s">
        <v>97</v>
      </c>
      <c r="AQ244" s="2" t="s">
        <v>98</v>
      </c>
      <c r="AV244" s="2" t="s">
        <v>95</v>
      </c>
      <c r="AX244" s="2" t="s">
        <v>529</v>
      </c>
      <c r="AZ244" s="2" t="s">
        <v>342</v>
      </c>
      <c r="BC244" s="2" t="s">
        <v>1290</v>
      </c>
      <c r="BF244" s="2" t="s">
        <v>1303</v>
      </c>
      <c r="BG244" s="2" t="s">
        <v>95</v>
      </c>
      <c r="BH244" s="2" t="s">
        <v>95</v>
      </c>
      <c r="BI244" s="2" t="s">
        <v>95</v>
      </c>
      <c r="BK244" s="2" t="s">
        <v>100</v>
      </c>
      <c r="BR244" s="2">
        <v>1</v>
      </c>
      <c r="BT244" s="2">
        <v>4.88</v>
      </c>
      <c r="CA244" s="2" t="s">
        <v>1304</v>
      </c>
      <c r="CB244" s="2" t="s">
        <v>529</v>
      </c>
      <c r="CL244" s="2" t="s">
        <v>95</v>
      </c>
      <c r="CM244" s="2" t="s">
        <v>95</v>
      </c>
      <c r="CN244" s="2" t="s">
        <v>1293</v>
      </c>
      <c r="CO244" s="3">
        <v>42076</v>
      </c>
      <c r="CP244" s="3">
        <v>43634</v>
      </c>
    </row>
    <row r="245" spans="1:94" x14ac:dyDescent="0.25">
      <c r="A245" s="2" t="s">
        <v>1305</v>
      </c>
      <c r="B245" s="2" t="str">
        <f xml:space="preserve"> "" &amp; 844349017684</f>
        <v>844349017684</v>
      </c>
      <c r="C245" s="2" t="s">
        <v>1120</v>
      </c>
      <c r="D245" s="2" t="s">
        <v>1306</v>
      </c>
      <c r="E245" s="2" t="s">
        <v>680</v>
      </c>
      <c r="F245" s="2" t="s">
        <v>614</v>
      </c>
      <c r="G245" s="2">
        <v>1</v>
      </c>
      <c r="H245" s="2">
        <v>1</v>
      </c>
      <c r="I245" s="2" t="s">
        <v>94</v>
      </c>
      <c r="J245" s="6">
        <v>333</v>
      </c>
      <c r="K245" s="6">
        <v>999</v>
      </c>
      <c r="L245" s="2">
        <v>0</v>
      </c>
      <c r="N245" s="2">
        <v>0</v>
      </c>
      <c r="O245" s="2" t="s">
        <v>96</v>
      </c>
      <c r="P245" s="6">
        <v>699.95</v>
      </c>
      <c r="Q245" s="6"/>
      <c r="R245" s="7"/>
      <c r="S245" s="2">
        <v>10</v>
      </c>
      <c r="T245" s="2">
        <v>43.25</v>
      </c>
      <c r="U245" s="2">
        <v>9.5</v>
      </c>
      <c r="W245" s="2">
        <v>20.239999999999998</v>
      </c>
      <c r="X245" s="2">
        <v>1</v>
      </c>
      <c r="Y245" s="2">
        <v>13.25</v>
      </c>
      <c r="Z245" s="2">
        <v>46.25</v>
      </c>
      <c r="AA245" s="2">
        <v>12</v>
      </c>
      <c r="AB245" s="2">
        <v>4.2560000000000002</v>
      </c>
      <c r="AC245" s="2">
        <v>25.88</v>
      </c>
      <c r="AE245" s="2">
        <v>5</v>
      </c>
      <c r="AF245" s="2" t="s">
        <v>1307</v>
      </c>
      <c r="AG245" s="2">
        <v>60</v>
      </c>
      <c r="AK245" s="2" t="s">
        <v>95</v>
      </c>
      <c r="AM245" s="2" t="s">
        <v>95</v>
      </c>
      <c r="AN245" s="2" t="s">
        <v>96</v>
      </c>
      <c r="AO245" s="2" t="s">
        <v>95</v>
      </c>
      <c r="AP245" s="2" t="s">
        <v>97</v>
      </c>
      <c r="AQ245" s="2" t="s">
        <v>98</v>
      </c>
      <c r="AV245" s="2" t="s">
        <v>95</v>
      </c>
      <c r="AX245" s="2" t="s">
        <v>529</v>
      </c>
      <c r="AZ245" s="2" t="s">
        <v>342</v>
      </c>
      <c r="BC245" s="2" t="s">
        <v>1290</v>
      </c>
      <c r="BF245" s="2" t="s">
        <v>1308</v>
      </c>
      <c r="BG245" s="2" t="s">
        <v>95</v>
      </c>
      <c r="BH245" s="2" t="s">
        <v>95</v>
      </c>
      <c r="BI245" s="2" t="s">
        <v>95</v>
      </c>
      <c r="BK245" s="2" t="s">
        <v>100</v>
      </c>
      <c r="BR245" s="2">
        <v>0.57999999999999996</v>
      </c>
      <c r="BT245" s="2">
        <v>10.5</v>
      </c>
      <c r="CA245" s="2" t="s">
        <v>1309</v>
      </c>
      <c r="CB245" s="2" t="s">
        <v>529</v>
      </c>
      <c r="CL245" s="2" t="s">
        <v>96</v>
      </c>
      <c r="CM245" s="2" t="s">
        <v>96</v>
      </c>
      <c r="CN245" s="2" t="s">
        <v>1293</v>
      </c>
      <c r="CO245" s="3">
        <v>42076</v>
      </c>
      <c r="CP245" s="3">
        <v>43634</v>
      </c>
    </row>
    <row r="246" spans="1:94" x14ac:dyDescent="0.25">
      <c r="A246" s="2" t="s">
        <v>1310</v>
      </c>
      <c r="B246" s="2" t="str">
        <f xml:space="preserve"> "" &amp; 844349025801</f>
        <v>844349025801</v>
      </c>
      <c r="C246" s="2" t="s">
        <v>467</v>
      </c>
      <c r="D246" s="2" t="s">
        <v>1311</v>
      </c>
      <c r="E246" s="2" t="s">
        <v>1312</v>
      </c>
      <c r="F246" s="2" t="s">
        <v>340</v>
      </c>
      <c r="G246" s="2">
        <v>1</v>
      </c>
      <c r="H246" s="2">
        <v>1</v>
      </c>
      <c r="I246" s="2" t="s">
        <v>94</v>
      </c>
      <c r="J246" s="6">
        <v>449</v>
      </c>
      <c r="K246" s="6">
        <v>1347</v>
      </c>
      <c r="L246" s="2">
        <v>0</v>
      </c>
      <c r="N246" s="2">
        <v>0</v>
      </c>
      <c r="O246" s="2" t="s">
        <v>96</v>
      </c>
      <c r="P246" s="6">
        <v>944.95</v>
      </c>
      <c r="Q246" s="6"/>
      <c r="R246" s="7"/>
      <c r="S246" s="2">
        <v>17.75</v>
      </c>
      <c r="U246" s="2">
        <v>13.75</v>
      </c>
      <c r="W246" s="2">
        <v>10.54</v>
      </c>
      <c r="X246" s="2">
        <v>1</v>
      </c>
      <c r="Y246" s="2">
        <v>8.3800000000000008</v>
      </c>
      <c r="Z246" s="2">
        <v>19</v>
      </c>
      <c r="AA246" s="2">
        <v>17.88</v>
      </c>
      <c r="AB246" s="2">
        <v>1.647</v>
      </c>
      <c r="AC246" s="2">
        <v>14.29</v>
      </c>
      <c r="AE246" s="2">
        <v>6</v>
      </c>
      <c r="AF246" s="2" t="s">
        <v>347</v>
      </c>
      <c r="AG246" s="2">
        <v>13</v>
      </c>
      <c r="AK246" s="2" t="s">
        <v>96</v>
      </c>
      <c r="AM246" s="2" t="s">
        <v>95</v>
      </c>
      <c r="AN246" s="2" t="s">
        <v>96</v>
      </c>
      <c r="AO246" s="2" t="s">
        <v>95</v>
      </c>
      <c r="AP246" s="2" t="s">
        <v>97</v>
      </c>
      <c r="AQ246" s="2" t="s">
        <v>98</v>
      </c>
      <c r="AV246" s="2" t="s">
        <v>95</v>
      </c>
      <c r="AX246" s="2" t="s">
        <v>585</v>
      </c>
      <c r="AZ246" s="2" t="s">
        <v>483</v>
      </c>
      <c r="BB246" s="2" t="s">
        <v>329</v>
      </c>
      <c r="BC246" s="2" t="s">
        <v>1313</v>
      </c>
      <c r="BF246" s="2" t="s">
        <v>1314</v>
      </c>
      <c r="BG246" s="2" t="s">
        <v>95</v>
      </c>
      <c r="BH246" s="2" t="s">
        <v>95</v>
      </c>
      <c r="BI246" s="2" t="s">
        <v>95</v>
      </c>
      <c r="BK246" s="2" t="s">
        <v>100</v>
      </c>
      <c r="BR246" s="2">
        <v>1.34</v>
      </c>
      <c r="BS246" s="2">
        <v>11.75</v>
      </c>
      <c r="BT246" s="2">
        <v>11.75</v>
      </c>
      <c r="CA246" s="2" t="s">
        <v>1315</v>
      </c>
      <c r="CB246" s="2" t="s">
        <v>585</v>
      </c>
      <c r="CG246" s="2">
        <v>3000</v>
      </c>
      <c r="CH246" s="2">
        <v>94</v>
      </c>
      <c r="CI246" s="2">
        <v>2778</v>
      </c>
      <c r="CJ246" s="2">
        <v>1969</v>
      </c>
      <c r="CK246" s="2">
        <v>30000</v>
      </c>
      <c r="CL246" s="2" t="s">
        <v>96</v>
      </c>
      <c r="CM246" s="2" t="s">
        <v>95</v>
      </c>
      <c r="CN246" s="2" t="s">
        <v>348</v>
      </c>
      <c r="CO246" s="3">
        <v>43146</v>
      </c>
      <c r="CP246" s="3">
        <v>43634</v>
      </c>
    </row>
    <row r="247" spans="1:94" x14ac:dyDescent="0.25">
      <c r="A247" s="2" t="s">
        <v>1316</v>
      </c>
      <c r="B247" s="2" t="str">
        <f xml:space="preserve"> "" &amp; 844349025139</f>
        <v>844349025139</v>
      </c>
      <c r="C247" s="2" t="s">
        <v>467</v>
      </c>
      <c r="D247" s="2" t="s">
        <v>1317</v>
      </c>
      <c r="E247" s="2" t="s">
        <v>1318</v>
      </c>
      <c r="F247" s="2" t="s">
        <v>340</v>
      </c>
      <c r="G247" s="2">
        <v>1</v>
      </c>
      <c r="H247" s="2">
        <v>1</v>
      </c>
      <c r="I247" s="2" t="s">
        <v>94</v>
      </c>
      <c r="J247" s="6">
        <v>559</v>
      </c>
      <c r="K247" s="6">
        <v>1677</v>
      </c>
      <c r="L247" s="2">
        <v>0</v>
      </c>
      <c r="N247" s="2">
        <v>0</v>
      </c>
      <c r="O247" s="2" t="s">
        <v>96</v>
      </c>
      <c r="P247" s="6">
        <v>1174.95</v>
      </c>
      <c r="Q247" s="6"/>
      <c r="R247" s="7"/>
      <c r="S247" s="2">
        <v>59.5</v>
      </c>
      <c r="U247" s="2">
        <v>29.5</v>
      </c>
      <c r="W247" s="2">
        <v>12.54</v>
      </c>
      <c r="X247" s="2">
        <v>1</v>
      </c>
      <c r="Y247" s="2">
        <v>7.13</v>
      </c>
      <c r="Z247" s="2">
        <v>32.130000000000003</v>
      </c>
      <c r="AA247" s="2">
        <v>14.63</v>
      </c>
      <c r="AB247" s="2">
        <v>1.94</v>
      </c>
      <c r="AC247" s="2">
        <v>16.72</v>
      </c>
      <c r="AE247" s="2">
        <v>1</v>
      </c>
      <c r="AF247" s="2" t="s">
        <v>347</v>
      </c>
      <c r="AG247" s="2">
        <v>32</v>
      </c>
      <c r="AK247" s="2" t="s">
        <v>96</v>
      </c>
      <c r="AM247" s="2" t="s">
        <v>95</v>
      </c>
      <c r="AN247" s="2" t="s">
        <v>95</v>
      </c>
      <c r="AO247" s="2" t="s">
        <v>95</v>
      </c>
      <c r="AP247" s="2" t="s">
        <v>97</v>
      </c>
      <c r="AQ247" s="2" t="s">
        <v>98</v>
      </c>
      <c r="AV247" s="2" t="s">
        <v>95</v>
      </c>
      <c r="AX247" s="2" t="s">
        <v>205</v>
      </c>
      <c r="AZ247" s="2" t="s">
        <v>483</v>
      </c>
      <c r="BF247" s="2" t="s">
        <v>1319</v>
      </c>
      <c r="BG247" s="2" t="s">
        <v>95</v>
      </c>
      <c r="BH247" s="2" t="s">
        <v>95</v>
      </c>
      <c r="BI247" s="2" t="s">
        <v>95</v>
      </c>
      <c r="BK247" s="2" t="s">
        <v>100</v>
      </c>
      <c r="CA247" s="2" t="s">
        <v>1316</v>
      </c>
      <c r="CB247" s="2" t="s">
        <v>205</v>
      </c>
      <c r="CG247" s="2">
        <v>3000</v>
      </c>
      <c r="CJ247" s="2">
        <v>960</v>
      </c>
      <c r="CK247" s="2">
        <v>30000</v>
      </c>
      <c r="CL247" s="2" t="s">
        <v>95</v>
      </c>
      <c r="CM247" s="2" t="s">
        <v>95</v>
      </c>
      <c r="CO247" s="3">
        <v>43088</v>
      </c>
      <c r="CP247" s="3">
        <v>43634</v>
      </c>
    </row>
    <row r="248" spans="1:94" x14ac:dyDescent="0.25">
      <c r="A248" s="2" t="s">
        <v>1320</v>
      </c>
      <c r="B248" s="2" t="str">
        <f xml:space="preserve"> "" &amp; 844349026167</f>
        <v>844349026167</v>
      </c>
      <c r="C248" s="2" t="s">
        <v>467</v>
      </c>
      <c r="D248" s="2" t="s">
        <v>1321</v>
      </c>
      <c r="E248" s="2" t="s">
        <v>1322</v>
      </c>
      <c r="F248" s="2" t="s">
        <v>393</v>
      </c>
      <c r="G248" s="2">
        <v>1</v>
      </c>
      <c r="H248" s="2">
        <v>1</v>
      </c>
      <c r="I248" s="2" t="s">
        <v>94</v>
      </c>
      <c r="J248" s="6">
        <v>279</v>
      </c>
      <c r="K248" s="6">
        <v>837</v>
      </c>
      <c r="L248" s="2">
        <v>0</v>
      </c>
      <c r="N248" s="2">
        <v>0</v>
      </c>
      <c r="O248" s="2" t="s">
        <v>96</v>
      </c>
      <c r="P248" s="6">
        <v>585.95000000000005</v>
      </c>
      <c r="Q248" s="6"/>
      <c r="R248" s="7"/>
      <c r="S248" s="2">
        <v>15.75</v>
      </c>
      <c r="T248" s="2">
        <v>10</v>
      </c>
      <c r="U248" s="2">
        <v>10</v>
      </c>
      <c r="W248" s="2">
        <v>8.31</v>
      </c>
      <c r="X248" s="2">
        <v>1</v>
      </c>
      <c r="Y248" s="2">
        <v>20</v>
      </c>
      <c r="Z248" s="2">
        <v>12.5</v>
      </c>
      <c r="AA248" s="2">
        <v>12.5</v>
      </c>
      <c r="AB248" s="2">
        <v>1.8080000000000001</v>
      </c>
      <c r="AC248" s="2">
        <v>10.54</v>
      </c>
      <c r="AE248" s="2">
        <v>1</v>
      </c>
      <c r="AF248" s="2" t="s">
        <v>347</v>
      </c>
      <c r="AG248" s="2">
        <v>32</v>
      </c>
      <c r="AK248" s="2" t="s">
        <v>96</v>
      </c>
      <c r="AM248" s="2" t="s">
        <v>95</v>
      </c>
      <c r="AN248" s="2" t="s">
        <v>96</v>
      </c>
      <c r="AO248" s="2" t="s">
        <v>95</v>
      </c>
      <c r="AP248" s="2" t="s">
        <v>97</v>
      </c>
      <c r="AQ248" s="2" t="s">
        <v>98</v>
      </c>
      <c r="AV248" s="2" t="s">
        <v>95</v>
      </c>
      <c r="AX248" s="2" t="s">
        <v>1323</v>
      </c>
      <c r="AZ248" s="2" t="s">
        <v>449</v>
      </c>
      <c r="BB248" s="2" t="s">
        <v>490</v>
      </c>
      <c r="BC248" s="2" t="s">
        <v>379</v>
      </c>
      <c r="BF248" s="2" t="s">
        <v>1324</v>
      </c>
      <c r="BG248" s="2" t="s">
        <v>95</v>
      </c>
      <c r="BH248" s="2" t="s">
        <v>95</v>
      </c>
      <c r="BI248" s="2" t="s">
        <v>95</v>
      </c>
      <c r="BK248" s="2" t="s">
        <v>414</v>
      </c>
      <c r="BR248" s="2">
        <v>0.88</v>
      </c>
      <c r="BS248" s="2">
        <v>4.88</v>
      </c>
      <c r="BT248" s="2">
        <v>4.88</v>
      </c>
      <c r="CA248" s="2" t="s">
        <v>1325</v>
      </c>
      <c r="CB248" s="2" t="s">
        <v>1323</v>
      </c>
      <c r="CG248" s="2">
        <v>3000</v>
      </c>
      <c r="CH248" s="2">
        <v>94</v>
      </c>
      <c r="CI248" s="2">
        <v>3090</v>
      </c>
      <c r="CJ248" s="2">
        <v>1319</v>
      </c>
      <c r="CK248" s="2">
        <v>30000</v>
      </c>
      <c r="CL248" s="2" t="s">
        <v>96</v>
      </c>
      <c r="CM248" s="2" t="s">
        <v>96</v>
      </c>
      <c r="CN248" s="2" t="s">
        <v>230</v>
      </c>
      <c r="CO248" s="3">
        <v>43104</v>
      </c>
      <c r="CP248" s="3">
        <v>43634</v>
      </c>
    </row>
    <row r="249" spans="1:94" x14ac:dyDescent="0.25">
      <c r="A249" s="2" t="s">
        <v>1326</v>
      </c>
      <c r="B249" s="2" t="str">
        <f xml:space="preserve"> "" &amp; 844349026174</f>
        <v>844349026174</v>
      </c>
      <c r="C249" s="2" t="s">
        <v>655</v>
      </c>
      <c r="D249" s="2" t="s">
        <v>1327</v>
      </c>
      <c r="E249" s="2" t="s">
        <v>1322</v>
      </c>
      <c r="F249" s="2" t="s">
        <v>658</v>
      </c>
      <c r="G249" s="2">
        <v>1</v>
      </c>
      <c r="H249" s="2">
        <v>1</v>
      </c>
      <c r="I249" s="2" t="s">
        <v>94</v>
      </c>
      <c r="J249" s="6">
        <v>89</v>
      </c>
      <c r="K249" s="6">
        <v>267</v>
      </c>
      <c r="L249" s="2">
        <v>0</v>
      </c>
      <c r="N249" s="2">
        <v>0</v>
      </c>
      <c r="O249" s="2" t="s">
        <v>96</v>
      </c>
      <c r="P249" s="6">
        <v>187.95</v>
      </c>
      <c r="Q249" s="6"/>
      <c r="R249" s="7"/>
      <c r="S249" s="2">
        <v>5.5</v>
      </c>
      <c r="U249" s="2">
        <v>12</v>
      </c>
      <c r="V249" s="2">
        <v>3.5</v>
      </c>
      <c r="W249" s="2">
        <v>4.1399999999999997</v>
      </c>
      <c r="X249" s="2">
        <v>1</v>
      </c>
      <c r="Y249" s="2">
        <v>17</v>
      </c>
      <c r="Z249" s="2">
        <v>16.25</v>
      </c>
      <c r="AA249" s="2">
        <v>14.75</v>
      </c>
      <c r="AB249" s="2">
        <v>2.3580000000000001</v>
      </c>
      <c r="AC249" s="2">
        <v>4.9400000000000004</v>
      </c>
      <c r="AE249" s="2">
        <v>1</v>
      </c>
      <c r="AF249" s="2" t="s">
        <v>347</v>
      </c>
      <c r="AG249" s="2">
        <v>18</v>
      </c>
      <c r="AK249" s="2" t="s">
        <v>96</v>
      </c>
      <c r="AM249" s="2" t="s">
        <v>95</v>
      </c>
      <c r="AN249" s="2" t="s">
        <v>96</v>
      </c>
      <c r="AO249" s="2" t="s">
        <v>95</v>
      </c>
      <c r="AP249" s="2" t="s">
        <v>97</v>
      </c>
      <c r="AQ249" s="2" t="s">
        <v>98</v>
      </c>
      <c r="AV249" s="2" t="s">
        <v>95</v>
      </c>
      <c r="AX249" s="2" t="s">
        <v>1323</v>
      </c>
      <c r="AZ249" s="2" t="s">
        <v>449</v>
      </c>
      <c r="BB249" s="2" t="s">
        <v>329</v>
      </c>
      <c r="BC249" s="2" t="s">
        <v>1328</v>
      </c>
      <c r="BF249" s="2" t="s">
        <v>1329</v>
      </c>
      <c r="BG249" s="2" t="s">
        <v>95</v>
      </c>
      <c r="BH249" s="2" t="s">
        <v>96</v>
      </c>
      <c r="BI249" s="2" t="s">
        <v>95</v>
      </c>
      <c r="BK249" s="2" t="s">
        <v>414</v>
      </c>
      <c r="BM249" s="2">
        <v>11.63</v>
      </c>
      <c r="BN249" s="2">
        <v>5.5</v>
      </c>
      <c r="CA249" s="2" t="s">
        <v>1326</v>
      </c>
      <c r="CB249" s="2" t="s">
        <v>1323</v>
      </c>
      <c r="CG249" s="2">
        <v>3000</v>
      </c>
      <c r="CH249" s="2">
        <v>91</v>
      </c>
      <c r="CI249" s="2">
        <v>1813</v>
      </c>
      <c r="CJ249" s="2">
        <v>806</v>
      </c>
      <c r="CK249" s="2">
        <v>30000</v>
      </c>
      <c r="CL249" s="2" t="s">
        <v>96</v>
      </c>
      <c r="CM249" s="2" t="s">
        <v>95</v>
      </c>
      <c r="CN249" s="2" t="s">
        <v>230</v>
      </c>
      <c r="CO249" s="3">
        <v>43104</v>
      </c>
      <c r="CP249" s="3">
        <v>43634</v>
      </c>
    </row>
    <row r="250" spans="1:94" x14ac:dyDescent="0.25">
      <c r="A250" s="2" t="s">
        <v>1330</v>
      </c>
      <c r="B250" s="2" t="str">
        <f xml:space="preserve"> "" &amp; 844349026181</f>
        <v>844349026181</v>
      </c>
      <c r="C250" s="2" t="s">
        <v>655</v>
      </c>
      <c r="D250" s="2" t="s">
        <v>1327</v>
      </c>
      <c r="E250" s="2" t="s">
        <v>1322</v>
      </c>
      <c r="F250" s="2" t="s">
        <v>658</v>
      </c>
      <c r="G250" s="2">
        <v>1</v>
      </c>
      <c r="H250" s="2">
        <v>1</v>
      </c>
      <c r="I250" s="2" t="s">
        <v>94</v>
      </c>
      <c r="J250" s="6">
        <v>115</v>
      </c>
      <c r="K250" s="6">
        <v>345</v>
      </c>
      <c r="L250" s="2">
        <v>0</v>
      </c>
      <c r="N250" s="2">
        <v>0</v>
      </c>
      <c r="O250" s="2" t="s">
        <v>96</v>
      </c>
      <c r="P250" s="6">
        <v>239.95</v>
      </c>
      <c r="Q250" s="6"/>
      <c r="R250" s="7"/>
      <c r="S250" s="2">
        <v>5.5</v>
      </c>
      <c r="U250" s="2">
        <v>16</v>
      </c>
      <c r="V250" s="2">
        <v>3.5</v>
      </c>
      <c r="W250" s="2">
        <v>5.29</v>
      </c>
      <c r="X250" s="2">
        <v>1</v>
      </c>
      <c r="Y250" s="2">
        <v>8</v>
      </c>
      <c r="Z250" s="2">
        <v>18.5</v>
      </c>
      <c r="AA250" s="2">
        <v>8</v>
      </c>
      <c r="AB250" s="2">
        <v>0.68500000000000005</v>
      </c>
      <c r="AC250" s="2">
        <v>6.35</v>
      </c>
      <c r="AE250" s="2">
        <v>1</v>
      </c>
      <c r="AF250" s="2" t="s">
        <v>347</v>
      </c>
      <c r="AG250" s="2">
        <v>28</v>
      </c>
      <c r="AK250" s="2" t="s">
        <v>96</v>
      </c>
      <c r="AM250" s="2" t="s">
        <v>95</v>
      </c>
      <c r="AN250" s="2" t="s">
        <v>96</v>
      </c>
      <c r="AO250" s="2" t="s">
        <v>95</v>
      </c>
      <c r="AP250" s="2" t="s">
        <v>97</v>
      </c>
      <c r="AQ250" s="2" t="s">
        <v>98</v>
      </c>
      <c r="AV250" s="2" t="s">
        <v>95</v>
      </c>
      <c r="AX250" s="2" t="s">
        <v>1323</v>
      </c>
      <c r="AZ250" s="2" t="s">
        <v>449</v>
      </c>
      <c r="BB250" s="2" t="s">
        <v>329</v>
      </c>
      <c r="BC250" s="2" t="s">
        <v>1328</v>
      </c>
      <c r="BF250" s="2" t="s">
        <v>1331</v>
      </c>
      <c r="BG250" s="2" t="s">
        <v>95</v>
      </c>
      <c r="BH250" s="2" t="s">
        <v>96</v>
      </c>
      <c r="BI250" s="2" t="s">
        <v>95</v>
      </c>
      <c r="BK250" s="2" t="s">
        <v>414</v>
      </c>
      <c r="BM250" s="2">
        <v>15.67</v>
      </c>
      <c r="BN250" s="2">
        <v>5.5</v>
      </c>
      <c r="CA250" s="2" t="s">
        <v>1332</v>
      </c>
      <c r="CB250" s="2" t="s">
        <v>1323</v>
      </c>
      <c r="CG250" s="2">
        <v>3000</v>
      </c>
      <c r="CH250" s="2">
        <v>91</v>
      </c>
      <c r="CI250" s="2">
        <v>2721</v>
      </c>
      <c r="CJ250" s="2">
        <v>1303</v>
      </c>
      <c r="CK250" s="2">
        <v>30000</v>
      </c>
      <c r="CL250" s="2" t="s">
        <v>96</v>
      </c>
      <c r="CM250" s="2" t="s">
        <v>95</v>
      </c>
      <c r="CN250" s="2" t="s">
        <v>230</v>
      </c>
      <c r="CO250" s="3">
        <v>43104</v>
      </c>
      <c r="CP250" s="3">
        <v>43634</v>
      </c>
    </row>
    <row r="251" spans="1:94" x14ac:dyDescent="0.25">
      <c r="A251" s="2" t="s">
        <v>1333</v>
      </c>
      <c r="B251" s="2" t="str">
        <f xml:space="preserve"> "" &amp; 844349026198</f>
        <v>844349026198</v>
      </c>
      <c r="C251" s="2" t="s">
        <v>655</v>
      </c>
      <c r="D251" s="2" t="s">
        <v>1327</v>
      </c>
      <c r="E251" s="2" t="s">
        <v>1322</v>
      </c>
      <c r="F251" s="2" t="s">
        <v>658</v>
      </c>
      <c r="G251" s="2">
        <v>1</v>
      </c>
      <c r="H251" s="2">
        <v>1</v>
      </c>
      <c r="I251" s="2" t="s">
        <v>94</v>
      </c>
      <c r="J251" s="6">
        <v>185</v>
      </c>
      <c r="K251" s="6">
        <v>555</v>
      </c>
      <c r="L251" s="2">
        <v>0</v>
      </c>
      <c r="N251" s="2">
        <v>0</v>
      </c>
      <c r="O251" s="2" t="s">
        <v>96</v>
      </c>
      <c r="P251" s="6">
        <v>389.95</v>
      </c>
      <c r="Q251" s="6"/>
      <c r="R251" s="7"/>
      <c r="S251" s="2">
        <v>5.5</v>
      </c>
      <c r="U251" s="2">
        <v>25</v>
      </c>
      <c r="V251" s="2">
        <v>3.5</v>
      </c>
      <c r="W251" s="2">
        <v>8.07</v>
      </c>
      <c r="X251" s="2">
        <v>1</v>
      </c>
      <c r="Y251" s="2">
        <v>8</v>
      </c>
      <c r="Z251" s="2">
        <v>27.5</v>
      </c>
      <c r="AA251" s="2">
        <v>8</v>
      </c>
      <c r="AB251" s="2">
        <v>1.0189999999999999</v>
      </c>
      <c r="AC251" s="2">
        <v>9.5500000000000007</v>
      </c>
      <c r="AE251" s="2">
        <v>1</v>
      </c>
      <c r="AF251" s="2" t="s">
        <v>347</v>
      </c>
      <c r="AG251" s="2">
        <v>37</v>
      </c>
      <c r="AK251" s="2" t="s">
        <v>96</v>
      </c>
      <c r="AM251" s="2" t="s">
        <v>95</v>
      </c>
      <c r="AN251" s="2" t="s">
        <v>96</v>
      </c>
      <c r="AO251" s="2" t="s">
        <v>95</v>
      </c>
      <c r="AP251" s="2" t="s">
        <v>97</v>
      </c>
      <c r="AQ251" s="2" t="s">
        <v>98</v>
      </c>
      <c r="AV251" s="2" t="s">
        <v>95</v>
      </c>
      <c r="AX251" s="2" t="s">
        <v>1323</v>
      </c>
      <c r="AZ251" s="2" t="s">
        <v>449</v>
      </c>
      <c r="BB251" s="2" t="s">
        <v>329</v>
      </c>
      <c r="BC251" s="2" t="s">
        <v>1328</v>
      </c>
      <c r="BF251" s="2" t="s">
        <v>1334</v>
      </c>
      <c r="BG251" s="2" t="s">
        <v>95</v>
      </c>
      <c r="BH251" s="2" t="s">
        <v>96</v>
      </c>
      <c r="BI251" s="2" t="s">
        <v>95</v>
      </c>
      <c r="BK251" s="2" t="s">
        <v>414</v>
      </c>
      <c r="BM251" s="2">
        <v>24.65</v>
      </c>
      <c r="BN251" s="2">
        <v>5.5</v>
      </c>
      <c r="CA251" s="2" t="s">
        <v>1335</v>
      </c>
      <c r="CB251" s="2" t="s">
        <v>1323</v>
      </c>
      <c r="CG251" s="2">
        <v>3000</v>
      </c>
      <c r="CH251" s="2">
        <v>90</v>
      </c>
      <c r="CI251" s="2">
        <v>3780</v>
      </c>
      <c r="CJ251" s="2">
        <v>1788</v>
      </c>
      <c r="CK251" s="2">
        <v>30000</v>
      </c>
      <c r="CL251" s="2" t="s">
        <v>96</v>
      </c>
      <c r="CM251" s="2" t="s">
        <v>95</v>
      </c>
      <c r="CN251" s="2" t="s">
        <v>230</v>
      </c>
      <c r="CO251" s="3">
        <v>43104</v>
      </c>
      <c r="CP251" s="3">
        <v>43634</v>
      </c>
    </row>
    <row r="252" spans="1:94" x14ac:dyDescent="0.25">
      <c r="A252" s="2" t="s">
        <v>1336</v>
      </c>
      <c r="B252" s="2" t="str">
        <f xml:space="preserve"> "" &amp; 844349026204</f>
        <v>844349026204</v>
      </c>
      <c r="C252" s="2" t="s">
        <v>655</v>
      </c>
      <c r="D252" s="2" t="s">
        <v>1327</v>
      </c>
      <c r="E252" s="2" t="s">
        <v>1322</v>
      </c>
      <c r="F252" s="2" t="s">
        <v>658</v>
      </c>
      <c r="G252" s="2">
        <v>1</v>
      </c>
      <c r="H252" s="2">
        <v>1</v>
      </c>
      <c r="I252" s="2" t="s">
        <v>94</v>
      </c>
      <c r="J252" s="6">
        <v>212</v>
      </c>
      <c r="K252" s="6">
        <v>636</v>
      </c>
      <c r="L252" s="2">
        <v>0</v>
      </c>
      <c r="N252" s="2">
        <v>0</v>
      </c>
      <c r="O252" s="2" t="s">
        <v>96</v>
      </c>
      <c r="P252" s="6">
        <v>444.95</v>
      </c>
      <c r="Q252" s="6"/>
      <c r="R252" s="7"/>
      <c r="S252" s="2">
        <v>5.5</v>
      </c>
      <c r="U252" s="2">
        <v>32</v>
      </c>
      <c r="V252" s="2">
        <v>3.5</v>
      </c>
      <c r="W252" s="2">
        <v>10.6</v>
      </c>
      <c r="X252" s="2">
        <v>1</v>
      </c>
      <c r="Y252" s="2">
        <v>8</v>
      </c>
      <c r="Z252" s="2">
        <v>34.75</v>
      </c>
      <c r="AA252" s="2">
        <v>8</v>
      </c>
      <c r="AB252" s="2">
        <v>1.2869999999999999</v>
      </c>
      <c r="AC252" s="2">
        <v>13.23</v>
      </c>
      <c r="AE252" s="2">
        <v>1</v>
      </c>
      <c r="AF252" s="2" t="s">
        <v>347</v>
      </c>
      <c r="AG252" s="2">
        <v>48</v>
      </c>
      <c r="AK252" s="2" t="s">
        <v>96</v>
      </c>
      <c r="AM252" s="2" t="s">
        <v>95</v>
      </c>
      <c r="AN252" s="2" t="s">
        <v>96</v>
      </c>
      <c r="AO252" s="2" t="s">
        <v>95</v>
      </c>
      <c r="AP252" s="2" t="s">
        <v>97</v>
      </c>
      <c r="AQ252" s="2" t="s">
        <v>98</v>
      </c>
      <c r="AV252" s="2" t="s">
        <v>95</v>
      </c>
      <c r="AX252" s="2" t="s">
        <v>1323</v>
      </c>
      <c r="AZ252" s="2" t="s">
        <v>449</v>
      </c>
      <c r="BB252" s="2" t="s">
        <v>329</v>
      </c>
      <c r="BC252" s="2" t="s">
        <v>1328</v>
      </c>
      <c r="BF252" s="2" t="s">
        <v>1337</v>
      </c>
      <c r="BG252" s="2" t="s">
        <v>95</v>
      </c>
      <c r="BH252" s="2" t="s">
        <v>95</v>
      </c>
      <c r="BI252" s="2" t="s">
        <v>95</v>
      </c>
      <c r="BK252" s="2" t="s">
        <v>414</v>
      </c>
      <c r="BM252" s="2">
        <v>31.63</v>
      </c>
      <c r="BN252" s="2">
        <v>5.5</v>
      </c>
      <c r="CA252" s="2" t="s">
        <v>1338</v>
      </c>
      <c r="CB252" s="2" t="s">
        <v>1323</v>
      </c>
      <c r="CG252" s="2">
        <v>3000</v>
      </c>
      <c r="CH252" s="2">
        <v>92</v>
      </c>
      <c r="CI252" s="2">
        <v>4877</v>
      </c>
      <c r="CJ252" s="2">
        <v>2362</v>
      </c>
      <c r="CK252" s="2">
        <v>30000</v>
      </c>
      <c r="CL252" s="2" t="s">
        <v>96</v>
      </c>
      <c r="CM252" s="2" t="s">
        <v>95</v>
      </c>
      <c r="CN252" s="2" t="s">
        <v>230</v>
      </c>
      <c r="CO252" s="3">
        <v>43104</v>
      </c>
      <c r="CP252" s="3">
        <v>43634</v>
      </c>
    </row>
    <row r="253" spans="1:94" x14ac:dyDescent="0.25">
      <c r="A253" s="2" t="s">
        <v>1339</v>
      </c>
      <c r="B253" s="2" t="str">
        <f xml:space="preserve"> "" &amp; 844349026211</f>
        <v>844349026211</v>
      </c>
      <c r="C253" s="2" t="s">
        <v>467</v>
      </c>
      <c r="D253" s="2" t="s">
        <v>1321</v>
      </c>
      <c r="E253" s="2" t="s">
        <v>1322</v>
      </c>
      <c r="F253" s="2" t="s">
        <v>393</v>
      </c>
      <c r="G253" s="2">
        <v>1</v>
      </c>
      <c r="H253" s="2">
        <v>1</v>
      </c>
      <c r="I253" s="2" t="s">
        <v>94</v>
      </c>
      <c r="J253" s="6">
        <v>235</v>
      </c>
      <c r="K253" s="6">
        <v>705</v>
      </c>
      <c r="L253" s="2">
        <v>0</v>
      </c>
      <c r="N253" s="2">
        <v>0</v>
      </c>
      <c r="O253" s="2" t="s">
        <v>96</v>
      </c>
      <c r="P253" s="6">
        <v>491.95</v>
      </c>
      <c r="Q253" s="6"/>
      <c r="R253" s="7"/>
      <c r="S253" s="2">
        <v>8.25</v>
      </c>
      <c r="T253" s="2">
        <v>15</v>
      </c>
      <c r="U253" s="2">
        <v>15</v>
      </c>
      <c r="W253" s="2">
        <v>11.02</v>
      </c>
      <c r="X253" s="2">
        <v>1</v>
      </c>
      <c r="Y253" s="2">
        <v>12.13</v>
      </c>
      <c r="Z253" s="2">
        <v>17.5</v>
      </c>
      <c r="AA253" s="2">
        <v>17.5</v>
      </c>
      <c r="AB253" s="2">
        <v>2.15</v>
      </c>
      <c r="AC253" s="2">
        <v>14.26</v>
      </c>
      <c r="AE253" s="2">
        <v>1</v>
      </c>
      <c r="AF253" s="2" t="s">
        <v>347</v>
      </c>
      <c r="AG253" s="2">
        <v>32</v>
      </c>
      <c r="AK253" s="2" t="s">
        <v>96</v>
      </c>
      <c r="AM253" s="2" t="s">
        <v>95</v>
      </c>
      <c r="AN253" s="2" t="s">
        <v>96</v>
      </c>
      <c r="AO253" s="2" t="s">
        <v>95</v>
      </c>
      <c r="AP253" s="2" t="s">
        <v>97</v>
      </c>
      <c r="AQ253" s="2" t="s">
        <v>98</v>
      </c>
      <c r="AV253" s="2" t="s">
        <v>95</v>
      </c>
      <c r="AX253" s="2" t="s">
        <v>1323</v>
      </c>
      <c r="AZ253" s="2" t="s">
        <v>449</v>
      </c>
      <c r="BB253" s="2" t="s">
        <v>490</v>
      </c>
      <c r="BC253" s="2" t="s">
        <v>379</v>
      </c>
      <c r="BF253" s="2" t="s">
        <v>1340</v>
      </c>
      <c r="BG253" s="2" t="s">
        <v>95</v>
      </c>
      <c r="BH253" s="2" t="s">
        <v>95</v>
      </c>
      <c r="BI253" s="2" t="s">
        <v>95</v>
      </c>
      <c r="BK253" s="2" t="s">
        <v>414</v>
      </c>
      <c r="BR253" s="2">
        <v>0.88</v>
      </c>
      <c r="BS253" s="2">
        <v>4.88</v>
      </c>
      <c r="BT253" s="2">
        <v>4.88</v>
      </c>
      <c r="CA253" s="2" t="s">
        <v>1339</v>
      </c>
      <c r="CB253" s="2" t="s">
        <v>1323</v>
      </c>
      <c r="CG253" s="2">
        <v>3000</v>
      </c>
      <c r="CH253" s="2">
        <v>93</v>
      </c>
      <c r="CI253" s="2">
        <v>3201</v>
      </c>
      <c r="CJ253" s="2">
        <v>1717</v>
      </c>
      <c r="CK253" s="2">
        <v>30000</v>
      </c>
      <c r="CL253" s="2" t="s">
        <v>96</v>
      </c>
      <c r="CM253" s="2" t="s">
        <v>96</v>
      </c>
      <c r="CN253" s="2" t="s">
        <v>230</v>
      </c>
      <c r="CO253" s="3">
        <v>43104</v>
      </c>
      <c r="CP253" s="3">
        <v>43634</v>
      </c>
    </row>
    <row r="254" spans="1:94" x14ac:dyDescent="0.25">
      <c r="A254" s="2" t="s">
        <v>1341</v>
      </c>
      <c r="B254" s="2" t="str">
        <f xml:space="preserve"> "" &amp; 844349026228</f>
        <v>844349026228</v>
      </c>
      <c r="C254" s="2" t="s">
        <v>467</v>
      </c>
      <c r="D254" s="2" t="s">
        <v>1321</v>
      </c>
      <c r="E254" s="2" t="s">
        <v>1322</v>
      </c>
      <c r="F254" s="2" t="s">
        <v>393</v>
      </c>
      <c r="G254" s="2">
        <v>1</v>
      </c>
      <c r="H254" s="2">
        <v>1</v>
      </c>
      <c r="I254" s="2" t="s">
        <v>94</v>
      </c>
      <c r="J254" s="6">
        <v>305</v>
      </c>
      <c r="K254" s="6">
        <v>915</v>
      </c>
      <c r="L254" s="2">
        <v>0</v>
      </c>
      <c r="N254" s="2">
        <v>0</v>
      </c>
      <c r="O254" s="2" t="s">
        <v>96</v>
      </c>
      <c r="P254" s="6">
        <v>644.95000000000005</v>
      </c>
      <c r="Q254" s="6"/>
      <c r="R254" s="7"/>
      <c r="S254" s="2">
        <v>9.25</v>
      </c>
      <c r="T254" s="2">
        <v>20</v>
      </c>
      <c r="U254" s="2">
        <v>20</v>
      </c>
      <c r="W254" s="2">
        <v>15.48</v>
      </c>
      <c r="X254" s="2">
        <v>1</v>
      </c>
      <c r="Y254" s="2">
        <v>13.13</v>
      </c>
      <c r="Z254" s="2">
        <v>22.5</v>
      </c>
      <c r="AA254" s="2">
        <v>22.5</v>
      </c>
      <c r="AB254" s="2">
        <v>3.847</v>
      </c>
      <c r="AC254" s="2">
        <v>20.48</v>
      </c>
      <c r="AE254" s="2">
        <v>1</v>
      </c>
      <c r="AF254" s="2" t="s">
        <v>347</v>
      </c>
      <c r="AG254" s="2">
        <v>48</v>
      </c>
      <c r="AK254" s="2" t="s">
        <v>96</v>
      </c>
      <c r="AM254" s="2" t="s">
        <v>95</v>
      </c>
      <c r="AN254" s="2" t="s">
        <v>96</v>
      </c>
      <c r="AO254" s="2" t="s">
        <v>95</v>
      </c>
      <c r="AP254" s="2" t="s">
        <v>97</v>
      </c>
      <c r="AQ254" s="2" t="s">
        <v>98</v>
      </c>
      <c r="AV254" s="2" t="s">
        <v>95</v>
      </c>
      <c r="AX254" s="2" t="s">
        <v>1323</v>
      </c>
      <c r="AZ254" s="2" t="s">
        <v>449</v>
      </c>
      <c r="BB254" s="2" t="s">
        <v>490</v>
      </c>
      <c r="BC254" s="2" t="s">
        <v>379</v>
      </c>
      <c r="BF254" s="2" t="s">
        <v>1342</v>
      </c>
      <c r="BG254" s="2" t="s">
        <v>95</v>
      </c>
      <c r="BH254" s="2" t="s">
        <v>95</v>
      </c>
      <c r="BI254" s="2" t="s">
        <v>95</v>
      </c>
      <c r="BK254" s="2" t="s">
        <v>100</v>
      </c>
      <c r="BR254" s="2">
        <v>0.88</v>
      </c>
      <c r="BS254" s="2">
        <v>4.88</v>
      </c>
      <c r="BT254" s="2">
        <v>4.88</v>
      </c>
      <c r="CA254" s="2" t="s">
        <v>1343</v>
      </c>
      <c r="CB254" s="2" t="s">
        <v>1323</v>
      </c>
      <c r="CG254" s="2">
        <v>3000</v>
      </c>
      <c r="CH254" s="2">
        <v>92</v>
      </c>
      <c r="CI254" s="2">
        <v>4747</v>
      </c>
      <c r="CJ254" s="2">
        <v>2425</v>
      </c>
      <c r="CK254" s="2">
        <v>30000</v>
      </c>
      <c r="CL254" s="2" t="s">
        <v>96</v>
      </c>
      <c r="CM254" s="2" t="s">
        <v>96</v>
      </c>
      <c r="CN254" s="2" t="s">
        <v>230</v>
      </c>
      <c r="CP254" s="3">
        <v>43634</v>
      </c>
    </row>
    <row r="255" spans="1:94" x14ac:dyDescent="0.25">
      <c r="A255" s="2" t="s">
        <v>1344</v>
      </c>
      <c r="B255" s="2" t="str">
        <f xml:space="preserve"> "" &amp; 844349026235</f>
        <v>844349026235</v>
      </c>
      <c r="C255" s="2" t="s">
        <v>467</v>
      </c>
      <c r="D255" s="2" t="s">
        <v>1321</v>
      </c>
      <c r="E255" s="2" t="s">
        <v>1322</v>
      </c>
      <c r="F255" s="2" t="s">
        <v>393</v>
      </c>
      <c r="G255" s="2">
        <v>1</v>
      </c>
      <c r="H255" s="2">
        <v>1</v>
      </c>
      <c r="I255" s="2" t="s">
        <v>94</v>
      </c>
      <c r="J255" s="6">
        <v>449</v>
      </c>
      <c r="K255" s="6">
        <v>1347</v>
      </c>
      <c r="L255" s="2">
        <v>0</v>
      </c>
      <c r="N255" s="2">
        <v>0</v>
      </c>
      <c r="O255" s="2" t="s">
        <v>96</v>
      </c>
      <c r="P255" s="6">
        <v>942.95</v>
      </c>
      <c r="Q255" s="6"/>
      <c r="R255" s="7"/>
      <c r="S255" s="2">
        <v>10.25</v>
      </c>
      <c r="T255" s="2">
        <v>25</v>
      </c>
      <c r="U255" s="2">
        <v>25</v>
      </c>
      <c r="W255" s="2">
        <v>22.02</v>
      </c>
      <c r="X255" s="2">
        <v>1</v>
      </c>
      <c r="Y255" s="2">
        <v>14.25</v>
      </c>
      <c r="Z255" s="2">
        <v>27.5</v>
      </c>
      <c r="AA255" s="2">
        <v>27.5</v>
      </c>
      <c r="AB255" s="2">
        <v>6.2359999999999998</v>
      </c>
      <c r="AC255" s="2">
        <v>29.41</v>
      </c>
      <c r="AE255" s="2">
        <v>3</v>
      </c>
      <c r="AF255" s="2" t="s">
        <v>347</v>
      </c>
      <c r="AG255" s="2">
        <v>25</v>
      </c>
      <c r="AK255" s="2" t="s">
        <v>96</v>
      </c>
      <c r="AM255" s="2" t="s">
        <v>95</v>
      </c>
      <c r="AN255" s="2" t="s">
        <v>96</v>
      </c>
      <c r="AO255" s="2" t="s">
        <v>95</v>
      </c>
      <c r="AP255" s="2" t="s">
        <v>97</v>
      </c>
      <c r="AQ255" s="2" t="s">
        <v>98</v>
      </c>
      <c r="AV255" s="2" t="s">
        <v>95</v>
      </c>
      <c r="AX255" s="2" t="s">
        <v>1323</v>
      </c>
      <c r="AZ255" s="2" t="s">
        <v>449</v>
      </c>
      <c r="BB255" s="2" t="s">
        <v>490</v>
      </c>
      <c r="BC255" s="2" t="s">
        <v>379</v>
      </c>
      <c r="BF255" s="2" t="s">
        <v>1345</v>
      </c>
      <c r="BG255" s="2" t="s">
        <v>95</v>
      </c>
      <c r="BH255" s="2" t="s">
        <v>95</v>
      </c>
      <c r="BI255" s="2" t="s">
        <v>95</v>
      </c>
      <c r="BK255" s="2" t="s">
        <v>414</v>
      </c>
      <c r="BR255" s="2">
        <v>0.88</v>
      </c>
      <c r="BS255" s="2">
        <v>4.88</v>
      </c>
      <c r="BT255" s="2">
        <v>4.88</v>
      </c>
      <c r="CA255" s="2" t="s">
        <v>1346</v>
      </c>
      <c r="CB255" s="2" t="s">
        <v>1323</v>
      </c>
      <c r="CG255" s="2">
        <v>3000</v>
      </c>
      <c r="CH255" s="2">
        <v>93</v>
      </c>
      <c r="CI255" s="2">
        <v>7552</v>
      </c>
      <c r="CJ255" s="2">
        <v>3831</v>
      </c>
      <c r="CK255" s="2">
        <v>30000</v>
      </c>
      <c r="CL255" s="2" t="s">
        <v>96</v>
      </c>
      <c r="CM255" s="2" t="s">
        <v>96</v>
      </c>
      <c r="CN255" s="2" t="s">
        <v>230</v>
      </c>
      <c r="CO255" s="3">
        <v>43104</v>
      </c>
      <c r="CP255" s="3">
        <v>43634</v>
      </c>
    </row>
    <row r="256" spans="1:94" x14ac:dyDescent="0.25">
      <c r="A256" s="2" t="s">
        <v>1347</v>
      </c>
      <c r="B256" s="2" t="str">
        <f xml:space="preserve"> "" &amp; 844349026488</f>
        <v>844349026488</v>
      </c>
      <c r="C256" s="2" t="s">
        <v>406</v>
      </c>
      <c r="D256" s="2" t="s">
        <v>1348</v>
      </c>
      <c r="E256" s="2" t="s">
        <v>1174</v>
      </c>
      <c r="F256" s="2" t="s">
        <v>393</v>
      </c>
      <c r="G256" s="2">
        <v>1</v>
      </c>
      <c r="H256" s="2">
        <v>1</v>
      </c>
      <c r="I256" s="2" t="s">
        <v>94</v>
      </c>
      <c r="J256" s="6">
        <v>205</v>
      </c>
      <c r="K256" s="6">
        <v>615</v>
      </c>
      <c r="L256" s="2">
        <v>0</v>
      </c>
      <c r="N256" s="2">
        <v>0</v>
      </c>
      <c r="O256" s="2" t="s">
        <v>96</v>
      </c>
      <c r="P256" s="6">
        <v>431.95</v>
      </c>
      <c r="Q256" s="6"/>
      <c r="R256" s="7"/>
      <c r="S256" s="2">
        <v>25</v>
      </c>
      <c r="T256" s="2">
        <v>16.75</v>
      </c>
      <c r="U256" s="2">
        <v>16.75</v>
      </c>
      <c r="W256" s="2">
        <v>10.08</v>
      </c>
      <c r="X256" s="2">
        <v>1</v>
      </c>
      <c r="Y256" s="2">
        <v>10.25</v>
      </c>
      <c r="Z256" s="2">
        <v>27.5</v>
      </c>
      <c r="AA256" s="2">
        <v>19.38</v>
      </c>
      <c r="AB256" s="2">
        <v>3.161</v>
      </c>
      <c r="AC256" s="2">
        <v>14.44</v>
      </c>
      <c r="AE256" s="2">
        <v>4</v>
      </c>
      <c r="AF256" s="2" t="s">
        <v>1175</v>
      </c>
      <c r="AG256" s="2">
        <v>60</v>
      </c>
      <c r="AK256" s="2" t="s">
        <v>95</v>
      </c>
      <c r="AM256" s="2" t="s">
        <v>95</v>
      </c>
      <c r="AN256" s="2" t="s">
        <v>95</v>
      </c>
      <c r="AO256" s="2" t="s">
        <v>96</v>
      </c>
      <c r="AP256" s="2" t="s">
        <v>97</v>
      </c>
      <c r="AQ256" s="2" t="s">
        <v>98</v>
      </c>
      <c r="AV256" s="2" t="s">
        <v>95</v>
      </c>
      <c r="AX256" s="2" t="s">
        <v>529</v>
      </c>
      <c r="AZ256" s="2" t="s">
        <v>449</v>
      </c>
      <c r="BF256" s="2" t="s">
        <v>1349</v>
      </c>
      <c r="BG256" s="2" t="s">
        <v>95</v>
      </c>
      <c r="BH256" s="2" t="s">
        <v>95</v>
      </c>
      <c r="BI256" s="2" t="s">
        <v>95</v>
      </c>
      <c r="BK256" s="2" t="s">
        <v>414</v>
      </c>
      <c r="BR256" s="2">
        <v>1</v>
      </c>
      <c r="BS256" s="2">
        <v>4.88</v>
      </c>
      <c r="BT256" s="2">
        <v>4.88</v>
      </c>
      <c r="CA256" s="2" t="s">
        <v>1350</v>
      </c>
      <c r="CB256" s="2" t="s">
        <v>529</v>
      </c>
      <c r="CL256" s="2" t="s">
        <v>96</v>
      </c>
      <c r="CM256" s="2" t="s">
        <v>96</v>
      </c>
      <c r="CN256" s="2" t="s">
        <v>1178</v>
      </c>
      <c r="CO256" s="3">
        <v>43277</v>
      </c>
      <c r="CP256" s="3">
        <v>43634</v>
      </c>
    </row>
    <row r="257" spans="1:94" x14ac:dyDescent="0.25">
      <c r="A257" s="2" t="s">
        <v>1351</v>
      </c>
      <c r="B257" s="2" t="str">
        <f xml:space="preserve"> "" &amp; 844349028192</f>
        <v>844349028192</v>
      </c>
      <c r="C257" s="2" t="s">
        <v>1352</v>
      </c>
      <c r="D257" s="2" t="s">
        <v>1353</v>
      </c>
      <c r="E257" s="2" t="s">
        <v>1354</v>
      </c>
      <c r="F257" s="2" t="s">
        <v>340</v>
      </c>
      <c r="G257" s="2">
        <v>1</v>
      </c>
      <c r="H257" s="2">
        <v>1</v>
      </c>
      <c r="I257" s="2" t="s">
        <v>94</v>
      </c>
      <c r="J257" s="6">
        <v>85</v>
      </c>
      <c r="K257" s="6">
        <v>255</v>
      </c>
      <c r="L257" s="2">
        <v>0</v>
      </c>
      <c r="N257" s="2">
        <v>0</v>
      </c>
      <c r="O257" s="2" t="s">
        <v>96</v>
      </c>
      <c r="P257" s="6">
        <v>179.95</v>
      </c>
      <c r="Q257" s="6"/>
      <c r="R257" s="7"/>
      <c r="S257" s="2">
        <v>7.25</v>
      </c>
      <c r="T257" s="2">
        <v>6</v>
      </c>
      <c r="U257" s="2">
        <v>6.5</v>
      </c>
      <c r="W257" s="2">
        <v>1.76</v>
      </c>
      <c r="X257" s="2">
        <v>1</v>
      </c>
      <c r="Y257" s="2">
        <v>9</v>
      </c>
      <c r="Z257" s="2">
        <v>10.25</v>
      </c>
      <c r="AA257" s="2">
        <v>8.75</v>
      </c>
      <c r="AB257" s="2">
        <v>0.46700000000000003</v>
      </c>
      <c r="AC257" s="2">
        <v>2.78</v>
      </c>
      <c r="AE257" s="2">
        <v>1</v>
      </c>
      <c r="AF257" s="2" t="s">
        <v>1355</v>
      </c>
      <c r="AG257" s="2">
        <v>9</v>
      </c>
      <c r="AK257" s="2" t="s">
        <v>96</v>
      </c>
      <c r="AL257" s="2">
        <v>1</v>
      </c>
      <c r="AM257" s="2" t="s">
        <v>95</v>
      </c>
      <c r="AN257" s="2" t="s">
        <v>96</v>
      </c>
      <c r="AO257" s="2" t="s">
        <v>95</v>
      </c>
      <c r="AP257" s="2" t="s">
        <v>97</v>
      </c>
      <c r="AQ257" s="2" t="s">
        <v>98</v>
      </c>
      <c r="AV257" s="2" t="s">
        <v>95</v>
      </c>
      <c r="AX257" s="2" t="s">
        <v>395</v>
      </c>
      <c r="AZ257" s="2" t="s">
        <v>483</v>
      </c>
      <c r="BB257" s="2" t="s">
        <v>1356</v>
      </c>
      <c r="BC257" s="2" t="s">
        <v>395</v>
      </c>
      <c r="BF257" s="2" t="s">
        <v>1357</v>
      </c>
      <c r="BG257" s="2" t="s">
        <v>95</v>
      </c>
      <c r="BH257" s="2" t="s">
        <v>95</v>
      </c>
      <c r="BI257" s="2" t="s">
        <v>95</v>
      </c>
      <c r="BK257" s="2" t="s">
        <v>414</v>
      </c>
      <c r="BL257" s="2" t="s">
        <v>617</v>
      </c>
      <c r="BM257" s="2">
        <v>5.12</v>
      </c>
      <c r="BN257" s="2">
        <v>5.12</v>
      </c>
      <c r="BO257" s="2">
        <v>5.12</v>
      </c>
      <c r="BP257" s="2">
        <v>5.12</v>
      </c>
      <c r="CA257" s="2" t="s">
        <v>1358</v>
      </c>
      <c r="CB257" s="2" t="s">
        <v>395</v>
      </c>
      <c r="CG257" s="2">
        <v>3000</v>
      </c>
      <c r="CH257" s="2">
        <v>92</v>
      </c>
      <c r="CI257" s="2">
        <v>819.6</v>
      </c>
      <c r="CJ257" s="2">
        <v>696.1</v>
      </c>
      <c r="CK257" s="2">
        <v>25000</v>
      </c>
      <c r="CL257" s="2" t="s">
        <v>96</v>
      </c>
      <c r="CM257" s="2" t="s">
        <v>95</v>
      </c>
      <c r="CN257" s="2" t="s">
        <v>1356</v>
      </c>
      <c r="CO257" s="3">
        <v>43495</v>
      </c>
      <c r="CP257" s="3">
        <v>43634</v>
      </c>
    </row>
    <row r="258" spans="1:94" x14ac:dyDescent="0.25">
      <c r="A258" s="2" t="s">
        <v>1359</v>
      </c>
      <c r="B258" s="2" t="str">
        <f xml:space="preserve"> "" &amp; 844349028208</f>
        <v>844349028208</v>
      </c>
      <c r="C258" s="2" t="s">
        <v>915</v>
      </c>
      <c r="D258" s="2" t="s">
        <v>1360</v>
      </c>
      <c r="E258" s="2" t="s">
        <v>1354</v>
      </c>
      <c r="F258" s="2" t="s">
        <v>340</v>
      </c>
      <c r="G258" s="2">
        <v>1</v>
      </c>
      <c r="H258" s="2">
        <v>1</v>
      </c>
      <c r="I258" s="2" t="s">
        <v>94</v>
      </c>
      <c r="J258" s="6">
        <v>139</v>
      </c>
      <c r="K258" s="6">
        <v>417</v>
      </c>
      <c r="L258" s="2">
        <v>0</v>
      </c>
      <c r="N258" s="2">
        <v>0</v>
      </c>
      <c r="O258" s="2" t="s">
        <v>96</v>
      </c>
      <c r="P258" s="6">
        <v>293.95</v>
      </c>
      <c r="Q258" s="6"/>
      <c r="R258" s="7"/>
      <c r="S258" s="2">
        <v>6.5</v>
      </c>
      <c r="T258" s="2">
        <v>12.5</v>
      </c>
      <c r="U258" s="2">
        <v>6.5</v>
      </c>
      <c r="W258" s="2">
        <v>3.97</v>
      </c>
      <c r="X258" s="2">
        <v>1</v>
      </c>
      <c r="Y258" s="2">
        <v>8.75</v>
      </c>
      <c r="Z258" s="2">
        <v>15.5</v>
      </c>
      <c r="AA258" s="2">
        <v>9.25</v>
      </c>
      <c r="AB258" s="2">
        <v>0.72599999999999998</v>
      </c>
      <c r="AC258" s="2">
        <v>5.42</v>
      </c>
      <c r="AE258" s="2">
        <v>2</v>
      </c>
      <c r="AF258" s="2" t="s">
        <v>347</v>
      </c>
      <c r="AG258" s="2">
        <v>17</v>
      </c>
      <c r="AK258" s="2" t="s">
        <v>96</v>
      </c>
      <c r="AL258" s="2">
        <v>2</v>
      </c>
      <c r="AM258" s="2" t="s">
        <v>95</v>
      </c>
      <c r="AN258" s="2" t="s">
        <v>96</v>
      </c>
      <c r="AO258" s="2" t="s">
        <v>95</v>
      </c>
      <c r="AP258" s="2" t="s">
        <v>97</v>
      </c>
      <c r="AQ258" s="2" t="s">
        <v>98</v>
      </c>
      <c r="AV258" s="2" t="s">
        <v>95</v>
      </c>
      <c r="AX258" s="2" t="s">
        <v>395</v>
      </c>
      <c r="AZ258" s="2" t="s">
        <v>483</v>
      </c>
      <c r="BB258" s="2" t="s">
        <v>1356</v>
      </c>
      <c r="BC258" s="2" t="s">
        <v>395</v>
      </c>
      <c r="BF258" s="2" t="s">
        <v>1361</v>
      </c>
      <c r="BG258" s="2" t="s">
        <v>95</v>
      </c>
      <c r="BH258" s="2" t="s">
        <v>95</v>
      </c>
      <c r="BI258" s="2" t="s">
        <v>95</v>
      </c>
      <c r="BK258" s="2" t="s">
        <v>414</v>
      </c>
      <c r="BL258" s="2" t="s">
        <v>617</v>
      </c>
      <c r="BM258" s="2">
        <v>11.02</v>
      </c>
      <c r="BN258" s="2">
        <v>4.33</v>
      </c>
      <c r="CA258" s="2" t="s">
        <v>1362</v>
      </c>
      <c r="CB258" s="2" t="s">
        <v>395</v>
      </c>
      <c r="CG258" s="2">
        <v>3000</v>
      </c>
      <c r="CH258" s="2">
        <v>93</v>
      </c>
      <c r="CI258" s="2">
        <v>1559.6</v>
      </c>
      <c r="CJ258" s="2">
        <v>1326.8</v>
      </c>
      <c r="CK258" s="2">
        <v>25000</v>
      </c>
      <c r="CL258" s="2" t="s">
        <v>96</v>
      </c>
      <c r="CM258" s="2" t="s">
        <v>95</v>
      </c>
      <c r="CN258" s="2" t="s">
        <v>1356</v>
      </c>
      <c r="CO258" s="3">
        <v>43495</v>
      </c>
      <c r="CP258" s="3">
        <v>43634</v>
      </c>
    </row>
    <row r="259" spans="1:94" x14ac:dyDescent="0.25">
      <c r="A259" s="2" t="s">
        <v>1363</v>
      </c>
      <c r="B259" s="2" t="str">
        <f xml:space="preserve"> "" &amp; 844349028215</f>
        <v>844349028215</v>
      </c>
      <c r="C259" s="2" t="s">
        <v>1364</v>
      </c>
      <c r="D259" s="2" t="s">
        <v>1365</v>
      </c>
      <c r="E259" s="2" t="s">
        <v>1354</v>
      </c>
      <c r="F259" s="2" t="s">
        <v>340</v>
      </c>
      <c r="G259" s="2">
        <v>1</v>
      </c>
      <c r="H259" s="2">
        <v>1</v>
      </c>
      <c r="I259" s="2" t="s">
        <v>94</v>
      </c>
      <c r="J259" s="6">
        <v>185</v>
      </c>
      <c r="K259" s="6">
        <v>555</v>
      </c>
      <c r="L259" s="2">
        <v>0</v>
      </c>
      <c r="N259" s="2">
        <v>0</v>
      </c>
      <c r="O259" s="2" t="s">
        <v>96</v>
      </c>
      <c r="P259" s="6">
        <v>389.95</v>
      </c>
      <c r="Q259" s="6"/>
      <c r="R259" s="7"/>
      <c r="S259" s="2">
        <v>6.5</v>
      </c>
      <c r="T259" s="2">
        <v>20.5</v>
      </c>
      <c r="U259" s="2">
        <v>6.5</v>
      </c>
      <c r="W259" s="2">
        <v>5.95</v>
      </c>
      <c r="X259" s="2">
        <v>1</v>
      </c>
      <c r="Y259" s="2">
        <v>8.75</v>
      </c>
      <c r="Z259" s="2">
        <v>23.25</v>
      </c>
      <c r="AA259" s="2">
        <v>9.25</v>
      </c>
      <c r="AB259" s="2">
        <v>1.089</v>
      </c>
      <c r="AC259" s="2">
        <v>7.85</v>
      </c>
      <c r="AE259" s="2">
        <v>3</v>
      </c>
      <c r="AF259" s="2" t="s">
        <v>1355</v>
      </c>
      <c r="AG259" s="2">
        <v>24</v>
      </c>
      <c r="AK259" s="2" t="s">
        <v>96</v>
      </c>
      <c r="AL259" s="2">
        <v>4</v>
      </c>
      <c r="AM259" s="2" t="s">
        <v>95</v>
      </c>
      <c r="AN259" s="2" t="s">
        <v>96</v>
      </c>
      <c r="AO259" s="2" t="s">
        <v>95</v>
      </c>
      <c r="AP259" s="2" t="s">
        <v>97</v>
      </c>
      <c r="AQ259" s="2" t="s">
        <v>98</v>
      </c>
      <c r="AV259" s="2" t="s">
        <v>95</v>
      </c>
      <c r="AX259" s="2" t="s">
        <v>395</v>
      </c>
      <c r="AZ259" s="2" t="s">
        <v>483</v>
      </c>
      <c r="BB259" s="2" t="s">
        <v>1356</v>
      </c>
      <c r="BC259" s="2" t="s">
        <v>395</v>
      </c>
      <c r="BF259" s="2" t="s">
        <v>1366</v>
      </c>
      <c r="BG259" s="2" t="s">
        <v>95</v>
      </c>
      <c r="BH259" s="2" t="s">
        <v>95</v>
      </c>
      <c r="BI259" s="2" t="s">
        <v>95</v>
      </c>
      <c r="BK259" s="2" t="s">
        <v>414</v>
      </c>
      <c r="BL259" s="2" t="s">
        <v>617</v>
      </c>
      <c r="BM259" s="2">
        <v>18.899999999999999</v>
      </c>
      <c r="BN259" s="2">
        <v>4.33</v>
      </c>
      <c r="CA259" s="2" t="s">
        <v>1367</v>
      </c>
      <c r="CB259" s="2" t="s">
        <v>395</v>
      </c>
      <c r="CG259" s="2">
        <v>3000</v>
      </c>
      <c r="CH259" s="2">
        <v>92</v>
      </c>
      <c r="CI259" s="2">
        <v>2350.1</v>
      </c>
      <c r="CJ259" s="2">
        <v>1939.9</v>
      </c>
      <c r="CK259" s="2">
        <v>25000</v>
      </c>
      <c r="CL259" s="2" t="s">
        <v>96</v>
      </c>
      <c r="CM259" s="2" t="s">
        <v>95</v>
      </c>
      <c r="CN259" s="2" t="s">
        <v>1356</v>
      </c>
      <c r="CO259" s="3">
        <v>43495</v>
      </c>
      <c r="CP259" s="3">
        <v>43634</v>
      </c>
    </row>
    <row r="260" spans="1:94" x14ac:dyDescent="0.25">
      <c r="A260" s="2" t="s">
        <v>1368</v>
      </c>
      <c r="B260" s="2" t="str">
        <f xml:space="preserve"> "" &amp; 844349028222</f>
        <v>844349028222</v>
      </c>
      <c r="C260" s="2" t="s">
        <v>1369</v>
      </c>
      <c r="D260" s="2" t="s">
        <v>1370</v>
      </c>
      <c r="E260" s="2" t="s">
        <v>1354</v>
      </c>
      <c r="F260" s="2" t="s">
        <v>340</v>
      </c>
      <c r="G260" s="2">
        <v>1</v>
      </c>
      <c r="H260" s="2">
        <v>1</v>
      </c>
      <c r="I260" s="2" t="s">
        <v>94</v>
      </c>
      <c r="J260" s="6">
        <v>249</v>
      </c>
      <c r="K260" s="6">
        <v>747</v>
      </c>
      <c r="L260" s="2">
        <v>0</v>
      </c>
      <c r="N260" s="2">
        <v>0</v>
      </c>
      <c r="O260" s="2" t="s">
        <v>96</v>
      </c>
      <c r="P260" s="6">
        <v>523.95000000000005</v>
      </c>
      <c r="Q260" s="6"/>
      <c r="R260" s="7"/>
      <c r="S260" s="2">
        <v>6.5</v>
      </c>
      <c r="T260" s="2">
        <v>28.25</v>
      </c>
      <c r="U260" s="2">
        <v>6.5</v>
      </c>
      <c r="W260" s="2">
        <v>7.72</v>
      </c>
      <c r="X260" s="2">
        <v>1</v>
      </c>
      <c r="Y260" s="2">
        <v>8.75</v>
      </c>
      <c r="Z260" s="2">
        <v>32.75</v>
      </c>
      <c r="AA260" s="2">
        <v>9.25</v>
      </c>
      <c r="AB260" s="2">
        <v>1.534</v>
      </c>
      <c r="AC260" s="2">
        <v>10.45</v>
      </c>
      <c r="AE260" s="2">
        <v>4</v>
      </c>
      <c r="AF260" s="2" t="s">
        <v>1355</v>
      </c>
      <c r="AG260" s="2">
        <v>30</v>
      </c>
      <c r="AK260" s="2" t="s">
        <v>96</v>
      </c>
      <c r="AL260" s="2">
        <v>4</v>
      </c>
      <c r="AM260" s="2" t="s">
        <v>95</v>
      </c>
      <c r="AN260" s="2" t="s">
        <v>96</v>
      </c>
      <c r="AO260" s="2" t="s">
        <v>95</v>
      </c>
      <c r="AP260" s="2" t="s">
        <v>97</v>
      </c>
      <c r="AQ260" s="2" t="s">
        <v>98</v>
      </c>
      <c r="AV260" s="2" t="s">
        <v>95</v>
      </c>
      <c r="AX260" s="2" t="s">
        <v>395</v>
      </c>
      <c r="AZ260" s="2" t="s">
        <v>483</v>
      </c>
      <c r="BB260" s="2" t="s">
        <v>1356</v>
      </c>
      <c r="BC260" s="2" t="s">
        <v>395</v>
      </c>
      <c r="BF260" s="2" t="s">
        <v>1371</v>
      </c>
      <c r="BG260" s="2" t="s">
        <v>95</v>
      </c>
      <c r="BH260" s="2" t="s">
        <v>95</v>
      </c>
      <c r="BI260" s="2" t="s">
        <v>95</v>
      </c>
      <c r="BK260" s="2" t="s">
        <v>414</v>
      </c>
      <c r="BL260" s="2" t="s">
        <v>617</v>
      </c>
      <c r="BM260" s="2">
        <v>26.77</v>
      </c>
      <c r="BN260" s="2">
        <v>4.33</v>
      </c>
      <c r="CA260" s="2" t="s">
        <v>1372</v>
      </c>
      <c r="CB260" s="2" t="s">
        <v>395</v>
      </c>
      <c r="CG260" s="2">
        <v>3000</v>
      </c>
      <c r="CH260" s="2">
        <v>93</v>
      </c>
      <c r="CI260" s="2">
        <v>2995</v>
      </c>
      <c r="CJ260" s="2">
        <v>2474.5</v>
      </c>
      <c r="CK260" s="2">
        <v>25000</v>
      </c>
      <c r="CL260" s="2" t="s">
        <v>96</v>
      </c>
      <c r="CM260" s="2" t="s">
        <v>95</v>
      </c>
      <c r="CN260" s="2" t="s">
        <v>1356</v>
      </c>
      <c r="CO260" s="3">
        <v>43495</v>
      </c>
      <c r="CP260" s="3">
        <v>43634</v>
      </c>
    </row>
    <row r="261" spans="1:94" x14ac:dyDescent="0.25">
      <c r="A261" s="2" t="s">
        <v>1373</v>
      </c>
      <c r="B261" s="2" t="str">
        <f xml:space="preserve"> "" &amp; 844349028147</f>
        <v>844349028147</v>
      </c>
      <c r="C261" s="2" t="s">
        <v>1374</v>
      </c>
      <c r="D261" s="2" t="s">
        <v>1375</v>
      </c>
      <c r="E261" s="2" t="s">
        <v>1354</v>
      </c>
      <c r="F261" s="2" t="s">
        <v>340</v>
      </c>
      <c r="G261" s="2">
        <v>1</v>
      </c>
      <c r="H261" s="2">
        <v>1</v>
      </c>
      <c r="I261" s="2" t="s">
        <v>94</v>
      </c>
      <c r="J261" s="6">
        <v>79</v>
      </c>
      <c r="K261" s="6">
        <v>237</v>
      </c>
      <c r="L261" s="2">
        <v>0</v>
      </c>
      <c r="N261" s="2">
        <v>0</v>
      </c>
      <c r="O261" s="2" t="s">
        <v>96</v>
      </c>
      <c r="P261" s="6">
        <v>165.95</v>
      </c>
      <c r="Q261" s="6"/>
      <c r="R261" s="7"/>
      <c r="S261" s="2">
        <v>4.75</v>
      </c>
      <c r="T261" s="2">
        <v>4</v>
      </c>
      <c r="U261" s="2">
        <v>4</v>
      </c>
      <c r="W261" s="2">
        <v>1.59</v>
      </c>
      <c r="X261" s="2">
        <v>1</v>
      </c>
      <c r="Y261" s="2">
        <v>8.75</v>
      </c>
      <c r="Z261" s="2">
        <v>8</v>
      </c>
      <c r="AA261" s="2">
        <v>8</v>
      </c>
      <c r="AB261" s="2">
        <v>0.32400000000000001</v>
      </c>
      <c r="AC261" s="2">
        <v>2.56</v>
      </c>
      <c r="AE261" s="2">
        <v>1</v>
      </c>
      <c r="AF261" s="2" t="s">
        <v>347</v>
      </c>
      <c r="AG261" s="2">
        <v>9</v>
      </c>
      <c r="AK261" s="2" t="s">
        <v>96</v>
      </c>
      <c r="AM261" s="2" t="s">
        <v>95</v>
      </c>
      <c r="AN261" s="2" t="s">
        <v>96</v>
      </c>
      <c r="AO261" s="2" t="s">
        <v>95</v>
      </c>
      <c r="AP261" s="2" t="s">
        <v>97</v>
      </c>
      <c r="AQ261" s="2" t="s">
        <v>98</v>
      </c>
      <c r="AV261" s="2" t="s">
        <v>95</v>
      </c>
      <c r="AX261" s="2" t="s">
        <v>395</v>
      </c>
      <c r="AZ261" s="2" t="s">
        <v>483</v>
      </c>
      <c r="BB261" s="2" t="s">
        <v>1356</v>
      </c>
      <c r="BC261" s="2" t="s">
        <v>395</v>
      </c>
      <c r="BF261" s="2" t="s">
        <v>1376</v>
      </c>
      <c r="BG261" s="2" t="s">
        <v>95</v>
      </c>
      <c r="BH261" s="2" t="s">
        <v>95</v>
      </c>
      <c r="BI261" s="2" t="s">
        <v>95</v>
      </c>
      <c r="BK261" s="2" t="s">
        <v>414</v>
      </c>
      <c r="BQ261" s="2">
        <v>5.0999999999999996</v>
      </c>
      <c r="BR261" s="2">
        <v>1.6</v>
      </c>
      <c r="BS261" s="2">
        <v>5.0999999999999996</v>
      </c>
      <c r="BT261" s="2">
        <v>5.0999999999999996</v>
      </c>
      <c r="CA261" s="2" t="s">
        <v>1377</v>
      </c>
      <c r="CB261" s="2" t="s">
        <v>395</v>
      </c>
      <c r="CG261" s="2">
        <v>3000</v>
      </c>
      <c r="CH261" s="2">
        <v>92</v>
      </c>
      <c r="CI261" s="2">
        <v>822.7</v>
      </c>
      <c r="CJ261" s="2">
        <v>702.7</v>
      </c>
      <c r="CK261" s="2">
        <v>25000</v>
      </c>
      <c r="CL261" s="2" t="s">
        <v>96</v>
      </c>
      <c r="CM261" s="2" t="s">
        <v>96</v>
      </c>
      <c r="CN261" s="2" t="s">
        <v>1356</v>
      </c>
      <c r="CO261" s="3">
        <v>43437</v>
      </c>
      <c r="CP261" s="3">
        <v>43634</v>
      </c>
    </row>
    <row r="262" spans="1:94" x14ac:dyDescent="0.25">
      <c r="A262" s="2" t="s">
        <v>1378</v>
      </c>
      <c r="B262" s="2" t="str">
        <f xml:space="preserve"> "" &amp; 844349028161</f>
        <v>844349028161</v>
      </c>
      <c r="C262" s="2" t="s">
        <v>1379</v>
      </c>
      <c r="D262" s="2" t="s">
        <v>1380</v>
      </c>
      <c r="E262" s="2" t="s">
        <v>1354</v>
      </c>
      <c r="F262" s="2" t="s">
        <v>340</v>
      </c>
      <c r="G262" s="2">
        <v>1</v>
      </c>
      <c r="H262" s="2">
        <v>1</v>
      </c>
      <c r="I262" s="2" t="s">
        <v>94</v>
      </c>
      <c r="J262" s="6">
        <v>220</v>
      </c>
      <c r="K262" s="6">
        <v>660</v>
      </c>
      <c r="L262" s="2">
        <v>0</v>
      </c>
      <c r="N262" s="2">
        <v>0</v>
      </c>
      <c r="O262" s="2" t="s">
        <v>96</v>
      </c>
      <c r="P262" s="6">
        <v>461.95</v>
      </c>
      <c r="Q262" s="6"/>
      <c r="R262" s="7"/>
      <c r="S262" s="2">
        <v>4.75</v>
      </c>
      <c r="T262" s="2">
        <v>39</v>
      </c>
      <c r="U262" s="2">
        <v>4</v>
      </c>
      <c r="W262" s="2">
        <v>7.14</v>
      </c>
      <c r="X262" s="2">
        <v>1</v>
      </c>
      <c r="AB262" s="2">
        <v>1.429</v>
      </c>
      <c r="AC262" s="2">
        <v>9.52</v>
      </c>
      <c r="AE262" s="2">
        <v>4</v>
      </c>
      <c r="AF262" s="2" t="s">
        <v>347</v>
      </c>
      <c r="AG262" s="2">
        <v>30</v>
      </c>
      <c r="AK262" s="2" t="s">
        <v>96</v>
      </c>
      <c r="AM262" s="2" t="s">
        <v>95</v>
      </c>
      <c r="AN262" s="2" t="s">
        <v>96</v>
      </c>
      <c r="AO262" s="2" t="s">
        <v>95</v>
      </c>
      <c r="AP262" s="2" t="s">
        <v>97</v>
      </c>
      <c r="AQ262" s="2" t="s">
        <v>98</v>
      </c>
      <c r="AV262" s="2" t="s">
        <v>95</v>
      </c>
      <c r="AX262" s="2" t="s">
        <v>395</v>
      </c>
      <c r="AZ262" s="2" t="s">
        <v>483</v>
      </c>
      <c r="BB262" s="2" t="s">
        <v>1356</v>
      </c>
      <c r="BC262" s="2" t="s">
        <v>395</v>
      </c>
      <c r="BF262" s="2" t="s">
        <v>1381</v>
      </c>
      <c r="BG262" s="2" t="s">
        <v>95</v>
      </c>
      <c r="BH262" s="2" t="s">
        <v>95</v>
      </c>
      <c r="BI262" s="2" t="s">
        <v>95</v>
      </c>
      <c r="BK262" s="2" t="s">
        <v>414</v>
      </c>
      <c r="BR262" s="2">
        <v>1.6</v>
      </c>
      <c r="BS262" s="2">
        <v>35.4</v>
      </c>
      <c r="BT262" s="2">
        <v>3.35</v>
      </c>
      <c r="CA262" s="2" t="s">
        <v>1382</v>
      </c>
      <c r="CB262" s="2" t="s">
        <v>395</v>
      </c>
      <c r="CG262" s="2">
        <v>3000</v>
      </c>
      <c r="CH262" s="2">
        <v>93</v>
      </c>
      <c r="CI262" s="2">
        <v>3165.6</v>
      </c>
      <c r="CJ262" s="2">
        <v>2682.9</v>
      </c>
      <c r="CK262" s="2">
        <v>25000</v>
      </c>
      <c r="CL262" s="2" t="s">
        <v>96</v>
      </c>
      <c r="CM262" s="2" t="s">
        <v>96</v>
      </c>
      <c r="CN262" s="2" t="s">
        <v>1356</v>
      </c>
      <c r="CO262" s="3">
        <v>43437</v>
      </c>
      <c r="CP262" s="3">
        <v>43634</v>
      </c>
    </row>
    <row r="263" spans="1:94" x14ac:dyDescent="0.25">
      <c r="A263" s="2" t="s">
        <v>1383</v>
      </c>
      <c r="B263" s="2" t="str">
        <f xml:space="preserve"> "" &amp; 844349028154</f>
        <v>844349028154</v>
      </c>
      <c r="C263" s="2" t="s">
        <v>1384</v>
      </c>
      <c r="D263" s="2" t="s">
        <v>1385</v>
      </c>
      <c r="E263" s="2" t="s">
        <v>1354</v>
      </c>
      <c r="F263" s="2" t="s">
        <v>340</v>
      </c>
      <c r="G263" s="2">
        <v>1</v>
      </c>
      <c r="H263" s="2">
        <v>1</v>
      </c>
      <c r="I263" s="2" t="s">
        <v>94</v>
      </c>
      <c r="J263" s="6">
        <v>295</v>
      </c>
      <c r="K263" s="6">
        <v>885</v>
      </c>
      <c r="L263" s="2">
        <v>0</v>
      </c>
      <c r="N263" s="2">
        <v>0</v>
      </c>
      <c r="O263" s="2" t="s">
        <v>96</v>
      </c>
      <c r="P263" s="6">
        <v>619.95000000000005</v>
      </c>
      <c r="Q263" s="6"/>
      <c r="R263" s="7"/>
      <c r="S263" s="2">
        <v>4.5999999999999996</v>
      </c>
      <c r="T263" s="2">
        <v>16.5</v>
      </c>
      <c r="U263" s="2">
        <v>16.5</v>
      </c>
      <c r="W263" s="2">
        <v>8.82</v>
      </c>
      <c r="X263" s="2">
        <v>1</v>
      </c>
      <c r="Y263" s="2">
        <v>9.5</v>
      </c>
      <c r="Z263" s="2">
        <v>18.75</v>
      </c>
      <c r="AA263" s="2">
        <v>18.75</v>
      </c>
      <c r="AB263" s="2">
        <v>1.9330000000000001</v>
      </c>
      <c r="AC263" s="2">
        <v>12.08</v>
      </c>
      <c r="AE263" s="2">
        <v>5</v>
      </c>
      <c r="AF263" s="2" t="s">
        <v>347</v>
      </c>
      <c r="AG263" s="2">
        <v>40</v>
      </c>
      <c r="AK263" s="2" t="s">
        <v>96</v>
      </c>
      <c r="AM263" s="2" t="s">
        <v>95</v>
      </c>
      <c r="AN263" s="2" t="s">
        <v>96</v>
      </c>
      <c r="AO263" s="2" t="s">
        <v>95</v>
      </c>
      <c r="AP263" s="2" t="s">
        <v>97</v>
      </c>
      <c r="AQ263" s="2" t="s">
        <v>98</v>
      </c>
      <c r="AV263" s="2" t="s">
        <v>95</v>
      </c>
      <c r="AX263" s="2" t="s">
        <v>395</v>
      </c>
      <c r="AZ263" s="2" t="s">
        <v>483</v>
      </c>
      <c r="BB263" s="2" t="s">
        <v>1356</v>
      </c>
      <c r="BC263" s="2" t="s">
        <v>395</v>
      </c>
      <c r="BF263" s="2" t="s">
        <v>1386</v>
      </c>
      <c r="BG263" s="2" t="s">
        <v>95</v>
      </c>
      <c r="BH263" s="2" t="s">
        <v>95</v>
      </c>
      <c r="BI263" s="2" t="s">
        <v>95</v>
      </c>
      <c r="BK263" s="2" t="s">
        <v>414</v>
      </c>
      <c r="BQ263" s="2">
        <v>13.78</v>
      </c>
      <c r="BR263" s="2">
        <v>1.57</v>
      </c>
      <c r="BS263" s="2">
        <v>13.78</v>
      </c>
      <c r="BT263" s="2">
        <v>13.78</v>
      </c>
      <c r="CA263" s="2" t="s">
        <v>1387</v>
      </c>
      <c r="CB263" s="2" t="s">
        <v>395</v>
      </c>
      <c r="CG263" s="2">
        <v>3000</v>
      </c>
      <c r="CH263" s="2">
        <v>93</v>
      </c>
      <c r="CI263" s="2">
        <v>3996.6</v>
      </c>
      <c r="CJ263" s="2">
        <v>3420.8</v>
      </c>
      <c r="CK263" s="2">
        <v>25000</v>
      </c>
      <c r="CL263" s="2" t="s">
        <v>96</v>
      </c>
      <c r="CM263" s="2" t="s">
        <v>96</v>
      </c>
      <c r="CN263" s="2" t="s">
        <v>1356</v>
      </c>
      <c r="CO263" s="3">
        <v>43437</v>
      </c>
      <c r="CP263" s="3">
        <v>43634</v>
      </c>
    </row>
    <row r="264" spans="1:94" x14ac:dyDescent="0.25">
      <c r="A264" s="2" t="s">
        <v>1388</v>
      </c>
      <c r="B264" s="2" t="str">
        <f xml:space="preserve"> "" &amp; 844349028178</f>
        <v>844349028178</v>
      </c>
      <c r="C264" s="2" t="s">
        <v>1389</v>
      </c>
      <c r="D264" s="2" t="s">
        <v>1390</v>
      </c>
      <c r="E264" s="2" t="s">
        <v>1354</v>
      </c>
      <c r="F264" s="2" t="s">
        <v>340</v>
      </c>
      <c r="G264" s="2">
        <v>1</v>
      </c>
      <c r="H264" s="2">
        <v>1</v>
      </c>
      <c r="I264" s="2" t="s">
        <v>94</v>
      </c>
      <c r="J264" s="6">
        <v>329</v>
      </c>
      <c r="K264" s="6">
        <v>987</v>
      </c>
      <c r="L264" s="2">
        <v>0</v>
      </c>
      <c r="N264" s="2">
        <v>0</v>
      </c>
      <c r="O264" s="2" t="s">
        <v>96</v>
      </c>
      <c r="P264" s="6">
        <v>689.95</v>
      </c>
      <c r="Q264" s="6"/>
      <c r="R264" s="7"/>
      <c r="S264" s="2">
        <v>18.5</v>
      </c>
      <c r="T264" s="2">
        <v>29.5</v>
      </c>
      <c r="U264" s="2">
        <v>29.5</v>
      </c>
      <c r="W264" s="2">
        <v>11.02</v>
      </c>
      <c r="X264" s="2">
        <v>1</v>
      </c>
      <c r="Y264" s="2">
        <v>8.5</v>
      </c>
      <c r="Z264" s="2">
        <v>36</v>
      </c>
      <c r="AA264" s="2">
        <v>13.5</v>
      </c>
      <c r="AB264" s="2">
        <v>2.391</v>
      </c>
      <c r="AC264" s="2">
        <v>14.82</v>
      </c>
      <c r="AE264" s="2">
        <v>6</v>
      </c>
      <c r="AF264" s="2" t="s">
        <v>347</v>
      </c>
      <c r="AG264" s="2">
        <v>48</v>
      </c>
      <c r="AK264" s="2" t="s">
        <v>96</v>
      </c>
      <c r="AM264" s="2" t="s">
        <v>95</v>
      </c>
      <c r="AN264" s="2" t="s">
        <v>96</v>
      </c>
      <c r="AO264" s="2" t="s">
        <v>95</v>
      </c>
      <c r="AP264" s="2" t="s">
        <v>97</v>
      </c>
      <c r="AQ264" s="2" t="s">
        <v>98</v>
      </c>
      <c r="AV264" s="2" t="s">
        <v>95</v>
      </c>
      <c r="AX264" s="2" t="s">
        <v>395</v>
      </c>
      <c r="AZ264" s="2" t="s">
        <v>483</v>
      </c>
      <c r="BB264" s="2" t="s">
        <v>1356</v>
      </c>
      <c r="BC264" s="2" t="s">
        <v>395</v>
      </c>
      <c r="BF264" s="2" t="s">
        <v>1391</v>
      </c>
      <c r="BG264" s="2" t="s">
        <v>95</v>
      </c>
      <c r="BH264" s="2" t="s">
        <v>95</v>
      </c>
      <c r="BI264" s="2" t="s">
        <v>95</v>
      </c>
      <c r="BK264" s="2" t="s">
        <v>414</v>
      </c>
      <c r="BQ264" s="2">
        <v>8.66</v>
      </c>
      <c r="BR264" s="2">
        <v>1.57</v>
      </c>
      <c r="BS264" s="2">
        <v>8.66</v>
      </c>
      <c r="BT264" s="2">
        <v>8.66</v>
      </c>
      <c r="CA264" s="2" t="s">
        <v>1392</v>
      </c>
      <c r="CB264" s="2" t="s">
        <v>395</v>
      </c>
      <c r="CG264" s="2">
        <v>3000</v>
      </c>
      <c r="CH264" s="2">
        <v>93</v>
      </c>
      <c r="CI264" s="2">
        <v>4810.3999999999996</v>
      </c>
      <c r="CJ264" s="2">
        <v>4147.1000000000004</v>
      </c>
      <c r="CK264" s="2">
        <v>25000</v>
      </c>
      <c r="CL264" s="2" t="s">
        <v>96</v>
      </c>
      <c r="CM264" s="2" t="s">
        <v>96</v>
      </c>
      <c r="CN264" s="2" t="s">
        <v>1356</v>
      </c>
      <c r="CO264" s="3">
        <v>43494</v>
      </c>
      <c r="CP264" s="3">
        <v>43634</v>
      </c>
    </row>
    <row r="265" spans="1:94" x14ac:dyDescent="0.25">
      <c r="A265" s="2" t="s">
        <v>1393</v>
      </c>
      <c r="B265" s="2" t="str">
        <f xml:space="preserve"> "" &amp; 844349028185</f>
        <v>844349028185</v>
      </c>
      <c r="C265" s="2" t="s">
        <v>1394</v>
      </c>
      <c r="D265" s="2" t="s">
        <v>1395</v>
      </c>
      <c r="E265" s="2" t="s">
        <v>1354</v>
      </c>
      <c r="F265" s="2" t="s">
        <v>340</v>
      </c>
      <c r="G265" s="2">
        <v>1</v>
      </c>
      <c r="H265" s="2">
        <v>1</v>
      </c>
      <c r="I265" s="2" t="s">
        <v>94</v>
      </c>
      <c r="J265" s="6">
        <v>439</v>
      </c>
      <c r="K265" s="6">
        <v>1317</v>
      </c>
      <c r="L265" s="2">
        <v>0</v>
      </c>
      <c r="N265" s="2">
        <v>0</v>
      </c>
      <c r="O265" s="2" t="s">
        <v>96</v>
      </c>
      <c r="P265" s="6">
        <v>924.95</v>
      </c>
      <c r="Q265" s="6"/>
      <c r="R265" s="7"/>
      <c r="S265" s="2">
        <v>11.5</v>
      </c>
      <c r="T265" s="2">
        <v>49.75</v>
      </c>
      <c r="U265" s="2">
        <v>13</v>
      </c>
      <c r="W265" s="2">
        <v>13.01</v>
      </c>
      <c r="X265" s="2">
        <v>1</v>
      </c>
      <c r="Y265" s="2">
        <v>11.25</v>
      </c>
      <c r="Z265" s="2">
        <v>48.75</v>
      </c>
      <c r="AA265" s="2">
        <v>14.5</v>
      </c>
      <c r="AB265" s="2">
        <v>4.6020000000000003</v>
      </c>
      <c r="AC265" s="2">
        <v>18.649999999999999</v>
      </c>
      <c r="AE265" s="2">
        <v>8</v>
      </c>
      <c r="AF265" s="2" t="s">
        <v>347</v>
      </c>
      <c r="AG265" s="2">
        <v>60</v>
      </c>
      <c r="AK265" s="2" t="s">
        <v>96</v>
      </c>
      <c r="AM265" s="2" t="s">
        <v>95</v>
      </c>
      <c r="AN265" s="2" t="s">
        <v>96</v>
      </c>
      <c r="AO265" s="2" t="s">
        <v>95</v>
      </c>
      <c r="AP265" s="2" t="s">
        <v>97</v>
      </c>
      <c r="AQ265" s="2" t="s">
        <v>98</v>
      </c>
      <c r="AV265" s="2" t="s">
        <v>95</v>
      </c>
      <c r="AX265" s="2" t="s">
        <v>395</v>
      </c>
      <c r="AZ265" s="2" t="s">
        <v>483</v>
      </c>
      <c r="BB265" s="2" t="s">
        <v>1356</v>
      </c>
      <c r="BC265" s="2" t="s">
        <v>395</v>
      </c>
      <c r="BF265" s="2" t="s">
        <v>1396</v>
      </c>
      <c r="BG265" s="2" t="s">
        <v>95</v>
      </c>
      <c r="BH265" s="2" t="s">
        <v>95</v>
      </c>
      <c r="BI265" s="2" t="s">
        <v>95</v>
      </c>
      <c r="BK265" s="2" t="s">
        <v>414</v>
      </c>
      <c r="BR265" s="2">
        <v>1.97</v>
      </c>
      <c r="BS265" s="2">
        <v>11.02</v>
      </c>
      <c r="BT265" s="2">
        <v>3.35</v>
      </c>
      <c r="CA265" s="2" t="s">
        <v>1397</v>
      </c>
      <c r="CB265" s="2" t="s">
        <v>395</v>
      </c>
      <c r="CG265" s="2">
        <v>3000</v>
      </c>
      <c r="CH265" s="2">
        <v>93</v>
      </c>
      <c r="CI265" s="2">
        <v>6290.2</v>
      </c>
      <c r="CJ265" s="2">
        <v>5409.1</v>
      </c>
      <c r="CK265" s="2">
        <v>25000</v>
      </c>
      <c r="CL265" s="2" t="s">
        <v>96</v>
      </c>
      <c r="CM265" s="2" t="s">
        <v>96</v>
      </c>
      <c r="CN265" s="2" t="s">
        <v>1356</v>
      </c>
      <c r="CO265" s="3">
        <v>43437</v>
      </c>
      <c r="CP265" s="3">
        <v>43634</v>
      </c>
    </row>
    <row r="266" spans="1:94" x14ac:dyDescent="0.25">
      <c r="A266" s="2" t="s">
        <v>1398</v>
      </c>
      <c r="B266" s="2" t="str">
        <f xml:space="preserve"> "" &amp; 844349007920</f>
        <v>844349007920</v>
      </c>
      <c r="C266" s="2" t="s">
        <v>391</v>
      </c>
      <c r="D266" s="2" t="s">
        <v>1399</v>
      </c>
      <c r="E266" s="2" t="s">
        <v>1400</v>
      </c>
      <c r="F266" s="2" t="s">
        <v>393</v>
      </c>
      <c r="G266" s="2">
        <v>1</v>
      </c>
      <c r="H266" s="2">
        <v>1</v>
      </c>
      <c r="I266" s="2" t="s">
        <v>94</v>
      </c>
      <c r="J266" s="6">
        <v>49</v>
      </c>
      <c r="K266" s="6">
        <v>147</v>
      </c>
      <c r="L266" s="2">
        <v>0</v>
      </c>
      <c r="N266" s="2">
        <v>0</v>
      </c>
      <c r="O266" s="2" t="s">
        <v>96</v>
      </c>
      <c r="P266" s="6">
        <v>102.95</v>
      </c>
      <c r="Q266" s="6"/>
      <c r="R266" s="7"/>
      <c r="S266" s="2">
        <v>8</v>
      </c>
      <c r="T266" s="2">
        <v>4</v>
      </c>
      <c r="U266" s="2">
        <v>4</v>
      </c>
      <c r="W266" s="2">
        <v>2.4700000000000002</v>
      </c>
      <c r="X266" s="2">
        <v>1</v>
      </c>
      <c r="Y266" s="2">
        <v>6.75</v>
      </c>
      <c r="Z266" s="2">
        <v>8</v>
      </c>
      <c r="AA266" s="2">
        <v>6.5</v>
      </c>
      <c r="AB266" s="2">
        <v>0.20300000000000001</v>
      </c>
      <c r="AC266" s="2">
        <v>3.26</v>
      </c>
      <c r="AE266" s="2">
        <v>1</v>
      </c>
      <c r="AF266" s="2" t="s">
        <v>968</v>
      </c>
      <c r="AG266" s="2">
        <v>40</v>
      </c>
      <c r="AK266" s="2" t="s">
        <v>96</v>
      </c>
      <c r="AM266" s="2" t="s">
        <v>95</v>
      </c>
      <c r="AN266" s="2" t="s">
        <v>96</v>
      </c>
      <c r="AO266" s="2" t="s">
        <v>95</v>
      </c>
      <c r="AP266" s="2" t="s">
        <v>97</v>
      </c>
      <c r="AQ266" s="2" t="s">
        <v>98</v>
      </c>
      <c r="AV266" s="2" t="s">
        <v>95</v>
      </c>
      <c r="AX266" s="2" t="s">
        <v>529</v>
      </c>
      <c r="AZ266" s="2" t="s">
        <v>342</v>
      </c>
      <c r="BB266" s="2" t="s">
        <v>54</v>
      </c>
      <c r="BC266" s="2" t="s">
        <v>1401</v>
      </c>
      <c r="BF266" s="2" t="s">
        <v>1402</v>
      </c>
      <c r="BG266" s="2" t="s">
        <v>95</v>
      </c>
      <c r="BH266" s="2" t="s">
        <v>95</v>
      </c>
      <c r="BI266" s="2" t="s">
        <v>95</v>
      </c>
      <c r="BK266" s="2" t="s">
        <v>100</v>
      </c>
      <c r="BQ266" s="2">
        <v>5</v>
      </c>
      <c r="BR266" s="2">
        <v>1.75</v>
      </c>
      <c r="CA266" s="2" t="s">
        <v>1403</v>
      </c>
      <c r="CB266" s="2" t="s">
        <v>529</v>
      </c>
      <c r="CL266" s="2" t="s">
        <v>96</v>
      </c>
      <c r="CM266" s="2" t="s">
        <v>96</v>
      </c>
      <c r="CN266" s="2" t="s">
        <v>1404</v>
      </c>
      <c r="CO266" s="3">
        <v>40165</v>
      </c>
      <c r="CP266" s="3">
        <v>43634</v>
      </c>
    </row>
    <row r="267" spans="1:94" x14ac:dyDescent="0.25">
      <c r="A267" s="2" t="s">
        <v>1405</v>
      </c>
      <c r="B267" s="2" t="str">
        <f xml:space="preserve"> "" &amp; 844349028239</f>
        <v>844349028239</v>
      </c>
      <c r="C267" s="2" t="s">
        <v>1374</v>
      </c>
      <c r="D267" s="2" t="s">
        <v>1406</v>
      </c>
      <c r="E267" s="2" t="s">
        <v>1354</v>
      </c>
      <c r="F267" s="2" t="s">
        <v>340</v>
      </c>
      <c r="G267" s="2">
        <v>1</v>
      </c>
      <c r="H267" s="2">
        <v>1</v>
      </c>
      <c r="I267" s="2" t="s">
        <v>94</v>
      </c>
      <c r="J267" s="6">
        <v>80</v>
      </c>
      <c r="K267" s="6">
        <v>240</v>
      </c>
      <c r="L267" s="2">
        <v>0</v>
      </c>
      <c r="N267" s="2">
        <v>0</v>
      </c>
      <c r="O267" s="2" t="s">
        <v>96</v>
      </c>
      <c r="P267" s="6">
        <v>169.95</v>
      </c>
      <c r="Q267" s="6"/>
      <c r="R267" s="7"/>
      <c r="S267" s="2">
        <v>8.25</v>
      </c>
      <c r="T267" s="2">
        <v>4.75</v>
      </c>
      <c r="U267" s="2">
        <v>4.75</v>
      </c>
      <c r="W267" s="2">
        <v>7.41</v>
      </c>
      <c r="X267" s="2">
        <v>1</v>
      </c>
      <c r="Y267" s="2">
        <v>13.25</v>
      </c>
      <c r="Z267" s="2">
        <v>7</v>
      </c>
      <c r="AA267" s="2">
        <v>6.75</v>
      </c>
      <c r="AB267" s="2">
        <v>0.36199999999999999</v>
      </c>
      <c r="AC267" s="2">
        <v>11.82</v>
      </c>
      <c r="AE267" s="2">
        <v>1</v>
      </c>
      <c r="AF267" s="2" t="s">
        <v>347</v>
      </c>
      <c r="AG267" s="2">
        <v>9</v>
      </c>
      <c r="AK267" s="2" t="s">
        <v>96</v>
      </c>
      <c r="AM267" s="2" t="s">
        <v>95</v>
      </c>
      <c r="AN267" s="2" t="s">
        <v>96</v>
      </c>
      <c r="AO267" s="2" t="s">
        <v>95</v>
      </c>
      <c r="AP267" s="2" t="s">
        <v>97</v>
      </c>
      <c r="AQ267" s="2" t="s">
        <v>98</v>
      </c>
      <c r="AV267" s="2" t="s">
        <v>95</v>
      </c>
      <c r="AX267" s="2" t="s">
        <v>395</v>
      </c>
      <c r="AZ267" s="2" t="s">
        <v>483</v>
      </c>
      <c r="BB267" s="2" t="s">
        <v>1356</v>
      </c>
      <c r="BC267" s="2" t="s">
        <v>395</v>
      </c>
      <c r="BF267" s="2" t="s">
        <v>1407</v>
      </c>
      <c r="BG267" s="2" t="s">
        <v>95</v>
      </c>
      <c r="BH267" s="2" t="s">
        <v>95</v>
      </c>
      <c r="BI267" s="2" t="s">
        <v>95</v>
      </c>
      <c r="BK267" s="2" t="s">
        <v>414</v>
      </c>
      <c r="BQ267" s="2">
        <v>5.12</v>
      </c>
      <c r="BR267" s="2">
        <v>1.57</v>
      </c>
      <c r="BS267" s="2">
        <v>5.12</v>
      </c>
      <c r="BT267" s="2">
        <v>5.12</v>
      </c>
      <c r="CA267" s="2" t="s">
        <v>1408</v>
      </c>
      <c r="CB267" s="2" t="s">
        <v>395</v>
      </c>
      <c r="CG267" s="2">
        <v>3000</v>
      </c>
      <c r="CH267" s="2">
        <v>92</v>
      </c>
      <c r="CI267" s="2">
        <v>756.6</v>
      </c>
      <c r="CJ267" s="2">
        <v>667.1</v>
      </c>
      <c r="CK267" s="2">
        <v>25000</v>
      </c>
      <c r="CL267" s="2" t="s">
        <v>96</v>
      </c>
      <c r="CM267" s="2" t="s">
        <v>96</v>
      </c>
      <c r="CN267" s="2" t="s">
        <v>1356</v>
      </c>
      <c r="CO267" s="3">
        <v>43437</v>
      </c>
      <c r="CP267" s="3">
        <v>43634</v>
      </c>
    </row>
    <row r="268" spans="1:94" x14ac:dyDescent="0.25">
      <c r="A268" s="2" t="s">
        <v>1409</v>
      </c>
      <c r="B268" s="2" t="str">
        <f xml:space="preserve"> "" &amp; 844349028277</f>
        <v>844349028277</v>
      </c>
      <c r="C268" s="2" t="s">
        <v>1374</v>
      </c>
      <c r="D268" s="2" t="s">
        <v>1410</v>
      </c>
      <c r="E268" s="2" t="s">
        <v>1411</v>
      </c>
      <c r="F268" s="2" t="s">
        <v>340</v>
      </c>
      <c r="G268" s="2">
        <v>1</v>
      </c>
      <c r="H268" s="2">
        <v>1</v>
      </c>
      <c r="I268" s="2" t="s">
        <v>94</v>
      </c>
      <c r="J268" s="6">
        <v>89</v>
      </c>
      <c r="K268" s="6">
        <v>267</v>
      </c>
      <c r="L268" s="2">
        <v>0</v>
      </c>
      <c r="N268" s="2">
        <v>0</v>
      </c>
      <c r="O268" s="2" t="s">
        <v>96</v>
      </c>
      <c r="P268" s="6">
        <v>189.95</v>
      </c>
      <c r="Q268" s="6"/>
      <c r="R268" s="7"/>
      <c r="S268" s="2">
        <v>8</v>
      </c>
      <c r="T268" s="2">
        <v>4.75</v>
      </c>
      <c r="U268" s="2">
        <v>4.75</v>
      </c>
      <c r="W268" s="2">
        <v>2.12</v>
      </c>
      <c r="X268" s="2">
        <v>1</v>
      </c>
      <c r="Y268" s="2">
        <v>11</v>
      </c>
      <c r="Z268" s="2">
        <v>7.5</v>
      </c>
      <c r="AA268" s="2">
        <v>7.5</v>
      </c>
      <c r="AB268" s="2">
        <v>0.35799999999999998</v>
      </c>
      <c r="AC268" s="2">
        <v>2.87</v>
      </c>
      <c r="AE268" s="2">
        <v>1</v>
      </c>
      <c r="AF268" s="2" t="s">
        <v>347</v>
      </c>
      <c r="AG268" s="2">
        <v>7</v>
      </c>
      <c r="AK268" s="2" t="s">
        <v>96</v>
      </c>
      <c r="AM268" s="2" t="s">
        <v>95</v>
      </c>
      <c r="AN268" s="2" t="s">
        <v>96</v>
      </c>
      <c r="AO268" s="2" t="s">
        <v>95</v>
      </c>
      <c r="AP268" s="2" t="s">
        <v>97</v>
      </c>
      <c r="AQ268" s="2" t="s">
        <v>98</v>
      </c>
      <c r="AV268" s="2" t="s">
        <v>95</v>
      </c>
      <c r="AX268" s="2" t="s">
        <v>395</v>
      </c>
      <c r="AZ268" s="2" t="s">
        <v>483</v>
      </c>
      <c r="BC268" s="2" t="s">
        <v>451</v>
      </c>
      <c r="BF268" s="2" t="s">
        <v>1412</v>
      </c>
      <c r="BG268" s="2" t="s">
        <v>95</v>
      </c>
      <c r="BH268" s="2" t="s">
        <v>95</v>
      </c>
      <c r="BI268" s="2" t="s">
        <v>95</v>
      </c>
      <c r="BK268" s="2" t="s">
        <v>414</v>
      </c>
      <c r="BQ268" s="2">
        <v>5.0999999999999996</v>
      </c>
      <c r="BR268" s="2">
        <v>1.6</v>
      </c>
      <c r="BS268" s="2">
        <v>5.0999999999999996</v>
      </c>
      <c r="BT268" s="2">
        <v>5.0999999999999996</v>
      </c>
      <c r="CA268" s="2" t="s">
        <v>1413</v>
      </c>
      <c r="CB268" s="2" t="s">
        <v>395</v>
      </c>
      <c r="CG268" s="2">
        <v>3000</v>
      </c>
      <c r="CH268" s="2">
        <v>92</v>
      </c>
      <c r="CI268" s="2">
        <v>457</v>
      </c>
      <c r="CJ268" s="2">
        <v>256</v>
      </c>
      <c r="CK268" s="2">
        <v>25000</v>
      </c>
      <c r="CL268" s="2" t="s">
        <v>96</v>
      </c>
      <c r="CM268" s="2" t="s">
        <v>96</v>
      </c>
      <c r="CN268" s="2" t="s">
        <v>1414</v>
      </c>
      <c r="CO268" s="3">
        <v>43537</v>
      </c>
      <c r="CP268" s="3">
        <v>43634</v>
      </c>
    </row>
    <row r="269" spans="1:94" x14ac:dyDescent="0.25">
      <c r="A269" s="2" t="s">
        <v>1415</v>
      </c>
      <c r="B269" s="2" t="str">
        <f xml:space="preserve"> "" &amp; 844349028246</f>
        <v>844349028246</v>
      </c>
      <c r="C269" s="2" t="s">
        <v>1352</v>
      </c>
      <c r="D269" s="2" t="s">
        <v>1416</v>
      </c>
      <c r="E269" s="2" t="s">
        <v>1411</v>
      </c>
      <c r="F269" s="2" t="s">
        <v>340</v>
      </c>
      <c r="G269" s="2">
        <v>1</v>
      </c>
      <c r="H269" s="2">
        <v>1</v>
      </c>
      <c r="I269" s="2" t="s">
        <v>94</v>
      </c>
      <c r="J269" s="6">
        <v>95</v>
      </c>
      <c r="K269" s="6">
        <v>285</v>
      </c>
      <c r="L269" s="2">
        <v>0</v>
      </c>
      <c r="N269" s="2">
        <v>0</v>
      </c>
      <c r="O269" s="2" t="s">
        <v>96</v>
      </c>
      <c r="P269" s="6">
        <v>199.95</v>
      </c>
      <c r="Q269" s="6"/>
      <c r="R269" s="7"/>
      <c r="S269" s="2">
        <v>5.5</v>
      </c>
      <c r="T269" s="2">
        <v>5.25</v>
      </c>
      <c r="U269" s="2">
        <v>5.25</v>
      </c>
      <c r="V269" s="2">
        <v>7.5</v>
      </c>
      <c r="W269" s="2">
        <v>2.0699999999999998</v>
      </c>
      <c r="X269" s="2">
        <v>1</v>
      </c>
      <c r="Y269" s="2">
        <v>9.25</v>
      </c>
      <c r="Z269" s="2">
        <v>11.25</v>
      </c>
      <c r="AA269" s="2">
        <v>7.88</v>
      </c>
      <c r="AB269" s="2">
        <v>0.47499999999999998</v>
      </c>
      <c r="AC269" s="2">
        <v>3</v>
      </c>
      <c r="AE269" s="2">
        <v>1</v>
      </c>
      <c r="AF269" s="2" t="s">
        <v>347</v>
      </c>
      <c r="AG269" s="2">
        <v>7</v>
      </c>
      <c r="AK269" s="2" t="s">
        <v>96</v>
      </c>
      <c r="AM269" s="2" t="s">
        <v>95</v>
      </c>
      <c r="AN269" s="2" t="s">
        <v>96</v>
      </c>
      <c r="AO269" s="2" t="s">
        <v>95</v>
      </c>
      <c r="AP269" s="2" t="s">
        <v>97</v>
      </c>
      <c r="AQ269" s="2" t="s">
        <v>98</v>
      </c>
      <c r="AV269" s="2" t="s">
        <v>95</v>
      </c>
      <c r="AX269" s="2" t="s">
        <v>395</v>
      </c>
      <c r="AZ269" s="2" t="s">
        <v>483</v>
      </c>
      <c r="BC269" s="2" t="s">
        <v>451</v>
      </c>
      <c r="BF269" s="2" t="s">
        <v>1417</v>
      </c>
      <c r="BG269" s="2" t="s">
        <v>95</v>
      </c>
      <c r="BH269" s="2" t="s">
        <v>95</v>
      </c>
      <c r="BI269" s="2" t="s">
        <v>95</v>
      </c>
      <c r="BK269" s="2" t="s">
        <v>414</v>
      </c>
      <c r="BL269" s="2" t="s">
        <v>617</v>
      </c>
      <c r="BM269" s="2">
        <v>4.5</v>
      </c>
      <c r="BN269" s="2">
        <v>4.5</v>
      </c>
      <c r="CA269" s="2" t="s">
        <v>1418</v>
      </c>
      <c r="CB269" s="2" t="s">
        <v>395</v>
      </c>
      <c r="CG269" s="2">
        <v>3000</v>
      </c>
      <c r="CH269" s="2">
        <v>92</v>
      </c>
      <c r="CI269" s="2">
        <v>497</v>
      </c>
      <c r="CJ269" s="2">
        <v>273</v>
      </c>
      <c r="CK269" s="2">
        <v>25000</v>
      </c>
      <c r="CL269" s="2" t="s">
        <v>96</v>
      </c>
      <c r="CM269" s="2" t="s">
        <v>95</v>
      </c>
      <c r="CN269" s="2" t="s">
        <v>1414</v>
      </c>
      <c r="CO269" s="3">
        <v>43537</v>
      </c>
      <c r="CP269" s="3">
        <v>43634</v>
      </c>
    </row>
    <row r="270" spans="1:94" x14ac:dyDescent="0.25">
      <c r="A270" s="2" t="s">
        <v>1419</v>
      </c>
      <c r="B270" s="2" t="str">
        <f xml:space="preserve"> "" &amp; 844349028253</f>
        <v>844349028253</v>
      </c>
      <c r="C270" s="2" t="s">
        <v>915</v>
      </c>
      <c r="D270" s="2" t="s">
        <v>1420</v>
      </c>
      <c r="E270" s="2" t="s">
        <v>1411</v>
      </c>
      <c r="F270" s="2" t="s">
        <v>340</v>
      </c>
      <c r="G270" s="2">
        <v>1</v>
      </c>
      <c r="H270" s="2">
        <v>1</v>
      </c>
      <c r="I270" s="2" t="s">
        <v>94</v>
      </c>
      <c r="J270" s="6">
        <v>135</v>
      </c>
      <c r="K270" s="6">
        <v>405</v>
      </c>
      <c r="L270" s="2">
        <v>0</v>
      </c>
      <c r="N270" s="2">
        <v>0</v>
      </c>
      <c r="O270" s="2" t="s">
        <v>96</v>
      </c>
      <c r="P270" s="6">
        <v>284.95</v>
      </c>
      <c r="Q270" s="6"/>
      <c r="R270" s="7"/>
      <c r="S270" s="2">
        <v>5.5</v>
      </c>
      <c r="T270" s="2">
        <v>12.75</v>
      </c>
      <c r="U270" s="2">
        <v>10.5</v>
      </c>
      <c r="V270" s="2">
        <v>7.5</v>
      </c>
      <c r="W270" s="2">
        <v>4.32</v>
      </c>
      <c r="X270" s="2">
        <v>1</v>
      </c>
      <c r="Y270" s="2">
        <v>9.25</v>
      </c>
      <c r="Z270" s="2">
        <v>14.63</v>
      </c>
      <c r="AA270" s="2">
        <v>10.5</v>
      </c>
      <c r="AB270" s="2">
        <v>0.82199999999999995</v>
      </c>
      <c r="AC270" s="2">
        <v>5.38</v>
      </c>
      <c r="AE270" s="2">
        <v>2</v>
      </c>
      <c r="AF270" s="2" t="s">
        <v>347</v>
      </c>
      <c r="AG270" s="2">
        <v>12</v>
      </c>
      <c r="AK270" s="2" t="s">
        <v>96</v>
      </c>
      <c r="AM270" s="2" t="s">
        <v>95</v>
      </c>
      <c r="AN270" s="2" t="s">
        <v>96</v>
      </c>
      <c r="AO270" s="2" t="s">
        <v>95</v>
      </c>
      <c r="AP270" s="2" t="s">
        <v>97</v>
      </c>
      <c r="AQ270" s="2" t="s">
        <v>98</v>
      </c>
      <c r="AV270" s="2" t="s">
        <v>95</v>
      </c>
      <c r="AX270" s="2" t="s">
        <v>395</v>
      </c>
      <c r="AZ270" s="2" t="s">
        <v>483</v>
      </c>
      <c r="BC270" s="2" t="s">
        <v>451</v>
      </c>
      <c r="BF270" s="2" t="s">
        <v>1421</v>
      </c>
      <c r="BG270" s="2" t="s">
        <v>95</v>
      </c>
      <c r="BH270" s="2" t="s">
        <v>95</v>
      </c>
      <c r="BI270" s="2" t="s">
        <v>95</v>
      </c>
      <c r="BK270" s="2" t="s">
        <v>414</v>
      </c>
      <c r="BM270" s="2">
        <v>9.5</v>
      </c>
      <c r="BN270" s="2">
        <v>4.5</v>
      </c>
      <c r="CA270" s="2" t="s">
        <v>1422</v>
      </c>
      <c r="CB270" s="2" t="s">
        <v>395</v>
      </c>
      <c r="CG270" s="2">
        <v>3000</v>
      </c>
      <c r="CH270" s="2">
        <v>93</v>
      </c>
      <c r="CI270" s="2">
        <v>860</v>
      </c>
      <c r="CJ270" s="2">
        <v>475</v>
      </c>
      <c r="CK270" s="2">
        <v>25000</v>
      </c>
      <c r="CL270" s="2" t="s">
        <v>96</v>
      </c>
      <c r="CM270" s="2" t="s">
        <v>95</v>
      </c>
      <c r="CN270" s="2" t="s">
        <v>1414</v>
      </c>
      <c r="CO270" s="3">
        <v>43537</v>
      </c>
      <c r="CP270" s="3">
        <v>43634</v>
      </c>
    </row>
    <row r="271" spans="1:94" x14ac:dyDescent="0.25">
      <c r="A271" s="2" t="s">
        <v>1423</v>
      </c>
      <c r="B271" s="2" t="str">
        <f xml:space="preserve"> "" &amp; 844349028260</f>
        <v>844349028260</v>
      </c>
      <c r="C271" s="2" t="s">
        <v>1364</v>
      </c>
      <c r="D271" s="2" t="s">
        <v>1424</v>
      </c>
      <c r="E271" s="2" t="s">
        <v>1411</v>
      </c>
      <c r="F271" s="2" t="s">
        <v>340</v>
      </c>
      <c r="G271" s="2">
        <v>1</v>
      </c>
      <c r="H271" s="2">
        <v>1</v>
      </c>
      <c r="I271" s="2" t="s">
        <v>94</v>
      </c>
      <c r="J271" s="6">
        <v>169</v>
      </c>
      <c r="K271" s="6">
        <v>507</v>
      </c>
      <c r="L271" s="2">
        <v>0</v>
      </c>
      <c r="N271" s="2">
        <v>0</v>
      </c>
      <c r="O271" s="2" t="s">
        <v>96</v>
      </c>
      <c r="P271" s="6">
        <v>354.95</v>
      </c>
      <c r="Q271" s="6"/>
      <c r="R271" s="7"/>
      <c r="S271" s="2">
        <v>5.5</v>
      </c>
      <c r="T271" s="2">
        <v>20.5</v>
      </c>
      <c r="U271" s="2">
        <v>1</v>
      </c>
      <c r="V271" s="2">
        <v>7.5</v>
      </c>
      <c r="W271" s="2">
        <v>6.48</v>
      </c>
      <c r="X271" s="2">
        <v>1</v>
      </c>
      <c r="Y271" s="2">
        <v>9.25</v>
      </c>
      <c r="Z271" s="2">
        <v>22.5</v>
      </c>
      <c r="AA271" s="2">
        <v>10.5</v>
      </c>
      <c r="AB271" s="2">
        <v>1.2649999999999999</v>
      </c>
      <c r="AC271" s="2">
        <v>7.67</v>
      </c>
      <c r="AE271" s="2">
        <v>3</v>
      </c>
      <c r="AF271" s="2" t="s">
        <v>347</v>
      </c>
      <c r="AG271" s="2">
        <v>7</v>
      </c>
      <c r="AK271" s="2" t="s">
        <v>96</v>
      </c>
      <c r="AM271" s="2" t="s">
        <v>95</v>
      </c>
      <c r="AN271" s="2" t="s">
        <v>96</v>
      </c>
      <c r="AO271" s="2" t="s">
        <v>95</v>
      </c>
      <c r="AP271" s="2" t="s">
        <v>97</v>
      </c>
      <c r="AQ271" s="2" t="s">
        <v>98</v>
      </c>
      <c r="AV271" s="2" t="s">
        <v>95</v>
      </c>
      <c r="AX271" s="2" t="s">
        <v>395</v>
      </c>
      <c r="AZ271" s="2" t="s">
        <v>483</v>
      </c>
      <c r="BC271" s="2" t="s">
        <v>451</v>
      </c>
      <c r="BF271" s="2" t="s">
        <v>1425</v>
      </c>
      <c r="BG271" s="2" t="s">
        <v>95</v>
      </c>
      <c r="BH271" s="2" t="s">
        <v>95</v>
      </c>
      <c r="BI271" s="2" t="s">
        <v>95</v>
      </c>
      <c r="BK271" s="2" t="s">
        <v>414</v>
      </c>
      <c r="BM271" s="2">
        <v>17.5</v>
      </c>
      <c r="BN271" s="2">
        <v>4.5</v>
      </c>
      <c r="CA271" s="2" t="s">
        <v>1426</v>
      </c>
      <c r="CB271" s="2" t="s">
        <v>395</v>
      </c>
      <c r="CG271" s="2">
        <v>3000</v>
      </c>
      <c r="CH271" s="2">
        <v>93</v>
      </c>
      <c r="CI271" s="2">
        <v>1262</v>
      </c>
      <c r="CJ271" s="2">
        <v>705</v>
      </c>
      <c r="CK271" s="2">
        <v>25000</v>
      </c>
      <c r="CL271" s="2" t="s">
        <v>96</v>
      </c>
      <c r="CM271" s="2" t="s">
        <v>95</v>
      </c>
      <c r="CN271" s="2" t="s">
        <v>1414</v>
      </c>
      <c r="CO271" s="3">
        <v>43537</v>
      </c>
      <c r="CP271" s="3">
        <v>43634</v>
      </c>
    </row>
    <row r="272" spans="1:94" x14ac:dyDescent="0.25">
      <c r="A272" s="2" t="s">
        <v>1427</v>
      </c>
      <c r="B272" s="2" t="str">
        <f xml:space="preserve"> "" &amp; 844349015918</f>
        <v>844349015918</v>
      </c>
      <c r="C272" s="2" t="s">
        <v>515</v>
      </c>
      <c r="D272" s="2" t="s">
        <v>1428</v>
      </c>
      <c r="F272" s="2" t="s">
        <v>1429</v>
      </c>
      <c r="G272" s="2">
        <v>1</v>
      </c>
      <c r="H272" s="2">
        <v>1</v>
      </c>
      <c r="I272" s="2" t="s">
        <v>94</v>
      </c>
      <c r="J272" s="6">
        <v>190</v>
      </c>
      <c r="K272" s="6">
        <v>570</v>
      </c>
      <c r="L272" s="2">
        <v>0</v>
      </c>
      <c r="N272" s="2">
        <v>0</v>
      </c>
      <c r="O272" s="2" t="s">
        <v>96</v>
      </c>
      <c r="P272" s="6">
        <v>399.95</v>
      </c>
      <c r="Q272" s="6"/>
      <c r="R272" s="7"/>
      <c r="S272" s="2">
        <v>30.75</v>
      </c>
      <c r="U272" s="2">
        <v>17</v>
      </c>
      <c r="W272" s="2">
        <v>15.65</v>
      </c>
      <c r="X272" s="2">
        <v>1</v>
      </c>
      <c r="Y272" s="2">
        <v>22.25</v>
      </c>
      <c r="Z272" s="2">
        <v>29.25</v>
      </c>
      <c r="AA272" s="2">
        <v>19</v>
      </c>
      <c r="AB272" s="2">
        <v>7.1559999999999997</v>
      </c>
      <c r="AC272" s="2">
        <v>22.05</v>
      </c>
      <c r="AE272" s="2">
        <v>1</v>
      </c>
      <c r="AF272" s="2" t="s">
        <v>1430</v>
      </c>
      <c r="AG272" s="2">
        <v>10</v>
      </c>
      <c r="AK272" s="2" t="s">
        <v>96</v>
      </c>
      <c r="AM272" s="2" t="s">
        <v>95</v>
      </c>
      <c r="AN272" s="2" t="s">
        <v>96</v>
      </c>
      <c r="AO272" s="2" t="s">
        <v>95</v>
      </c>
      <c r="AP272" s="2" t="s">
        <v>97</v>
      </c>
      <c r="AQ272" s="2" t="s">
        <v>98</v>
      </c>
      <c r="AV272" s="2" t="s">
        <v>95</v>
      </c>
      <c r="AX272" s="2" t="s">
        <v>395</v>
      </c>
      <c r="AZ272" s="2" t="s">
        <v>342</v>
      </c>
      <c r="BB272" s="2" t="s">
        <v>490</v>
      </c>
      <c r="BC272" s="2" t="s">
        <v>1431</v>
      </c>
      <c r="BF272" s="2" t="s">
        <v>1432</v>
      </c>
      <c r="BG272" s="2" t="s">
        <v>95</v>
      </c>
      <c r="BH272" s="2" t="s">
        <v>95</v>
      </c>
      <c r="BI272" s="2" t="s">
        <v>95</v>
      </c>
      <c r="BK272" s="2" t="s">
        <v>100</v>
      </c>
      <c r="CA272" s="2" t="s">
        <v>1433</v>
      </c>
      <c r="CB272" s="2" t="s">
        <v>395</v>
      </c>
      <c r="CL272" s="2" t="s">
        <v>95</v>
      </c>
      <c r="CM272" s="2" t="s">
        <v>95</v>
      </c>
      <c r="CN272" s="2" t="s">
        <v>1434</v>
      </c>
      <c r="CO272" s="3">
        <v>41599</v>
      </c>
      <c r="CP272" s="3">
        <v>43634</v>
      </c>
    </row>
    <row r="273" spans="1:94" x14ac:dyDescent="0.25">
      <c r="A273" s="2" t="s">
        <v>1435</v>
      </c>
      <c r="B273" s="2" t="str">
        <f xml:space="preserve"> "" &amp; 844349015932</f>
        <v>844349015932</v>
      </c>
      <c r="C273" s="2" t="s">
        <v>515</v>
      </c>
      <c r="D273" s="2" t="s">
        <v>1428</v>
      </c>
      <c r="F273" s="2" t="s">
        <v>1429</v>
      </c>
      <c r="G273" s="2">
        <v>1</v>
      </c>
      <c r="H273" s="2">
        <v>1</v>
      </c>
      <c r="I273" s="2" t="s">
        <v>94</v>
      </c>
      <c r="J273" s="6">
        <v>93</v>
      </c>
      <c r="K273" s="6">
        <v>279</v>
      </c>
      <c r="L273" s="2">
        <v>0</v>
      </c>
      <c r="N273" s="2">
        <v>0</v>
      </c>
      <c r="O273" s="2" t="s">
        <v>96</v>
      </c>
      <c r="P273" s="6">
        <v>194.95</v>
      </c>
      <c r="Q273" s="6"/>
      <c r="R273" s="7"/>
      <c r="S273" s="2">
        <v>31.5</v>
      </c>
      <c r="T273" s="2">
        <v>17</v>
      </c>
      <c r="U273" s="2">
        <v>10</v>
      </c>
      <c r="W273" s="2">
        <v>10.14</v>
      </c>
      <c r="X273" s="2">
        <v>1</v>
      </c>
      <c r="Y273" s="2">
        <v>18</v>
      </c>
      <c r="Z273" s="2">
        <v>26.5</v>
      </c>
      <c r="AA273" s="2">
        <v>12</v>
      </c>
      <c r="AB273" s="2">
        <v>3.3130000000000002</v>
      </c>
      <c r="AC273" s="2">
        <v>14.33</v>
      </c>
      <c r="AE273" s="2">
        <v>1</v>
      </c>
      <c r="AF273" s="2" t="s">
        <v>1430</v>
      </c>
      <c r="AG273" s="2">
        <v>10</v>
      </c>
      <c r="AK273" s="2" t="s">
        <v>96</v>
      </c>
      <c r="AM273" s="2" t="s">
        <v>95</v>
      </c>
      <c r="AN273" s="2" t="s">
        <v>95</v>
      </c>
      <c r="AO273" s="2" t="s">
        <v>96</v>
      </c>
      <c r="AP273" s="2" t="s">
        <v>97</v>
      </c>
      <c r="AQ273" s="2" t="s">
        <v>98</v>
      </c>
      <c r="AV273" s="2" t="s">
        <v>95</v>
      </c>
      <c r="AX273" s="2" t="s">
        <v>395</v>
      </c>
      <c r="AZ273" s="2" t="s">
        <v>1436</v>
      </c>
      <c r="BB273" s="2" t="s">
        <v>490</v>
      </c>
      <c r="BC273" s="2" t="s">
        <v>1437</v>
      </c>
      <c r="BF273" s="2" t="s">
        <v>1438</v>
      </c>
      <c r="BG273" s="2" t="s">
        <v>95</v>
      </c>
      <c r="BH273" s="2" t="s">
        <v>95</v>
      </c>
      <c r="BI273" s="2" t="s">
        <v>95</v>
      </c>
      <c r="BK273" s="2" t="s">
        <v>100</v>
      </c>
      <c r="CA273" s="2" t="s">
        <v>1439</v>
      </c>
      <c r="CB273" s="2" t="s">
        <v>395</v>
      </c>
      <c r="CL273" s="2" t="s">
        <v>95</v>
      </c>
      <c r="CM273" s="2" t="s">
        <v>95</v>
      </c>
      <c r="CN273" s="2" t="s">
        <v>460</v>
      </c>
      <c r="CO273" s="3">
        <v>41603</v>
      </c>
      <c r="CP273" s="3">
        <v>43634</v>
      </c>
    </row>
    <row r="274" spans="1:94" x14ac:dyDescent="0.25">
      <c r="A274" s="2" t="s">
        <v>1440</v>
      </c>
      <c r="B274" s="2" t="str">
        <f xml:space="preserve"> "" &amp; 844349015949</f>
        <v>844349015949</v>
      </c>
      <c r="C274" s="2" t="s">
        <v>515</v>
      </c>
      <c r="D274" s="2" t="s">
        <v>1428</v>
      </c>
      <c r="F274" s="2" t="s">
        <v>1429</v>
      </c>
      <c r="G274" s="2">
        <v>1</v>
      </c>
      <c r="H274" s="2">
        <v>1</v>
      </c>
      <c r="I274" s="2" t="s">
        <v>94</v>
      </c>
      <c r="J274" s="6">
        <v>93</v>
      </c>
      <c r="K274" s="6">
        <v>279</v>
      </c>
      <c r="L274" s="2">
        <v>0</v>
      </c>
      <c r="N274" s="2">
        <v>0</v>
      </c>
      <c r="O274" s="2" t="s">
        <v>96</v>
      </c>
      <c r="P274" s="6">
        <v>194.95</v>
      </c>
      <c r="Q274" s="6"/>
      <c r="R274" s="7"/>
      <c r="S274" s="2">
        <v>31.5</v>
      </c>
      <c r="T274" s="2">
        <v>17</v>
      </c>
      <c r="U274" s="2">
        <v>10</v>
      </c>
      <c r="W274" s="2">
        <v>10.14</v>
      </c>
      <c r="X274" s="2">
        <v>1</v>
      </c>
      <c r="Y274" s="2">
        <v>18</v>
      </c>
      <c r="Z274" s="2">
        <v>26.5</v>
      </c>
      <c r="AA274" s="2">
        <v>12</v>
      </c>
      <c r="AB274" s="2">
        <v>3.3130000000000002</v>
      </c>
      <c r="AC274" s="2">
        <v>14.33</v>
      </c>
      <c r="AE274" s="2">
        <v>1</v>
      </c>
      <c r="AF274" s="2" t="s">
        <v>1430</v>
      </c>
      <c r="AG274" s="2">
        <v>10</v>
      </c>
      <c r="AK274" s="2" t="s">
        <v>96</v>
      </c>
      <c r="AM274" s="2" t="s">
        <v>95</v>
      </c>
      <c r="AN274" s="2" t="s">
        <v>95</v>
      </c>
      <c r="AO274" s="2" t="s">
        <v>96</v>
      </c>
      <c r="AP274" s="2" t="s">
        <v>428</v>
      </c>
      <c r="AQ274" s="2" t="s">
        <v>98</v>
      </c>
      <c r="AV274" s="2" t="s">
        <v>95</v>
      </c>
      <c r="AX274" s="2" t="s">
        <v>1441</v>
      </c>
      <c r="AZ274" s="2" t="s">
        <v>1436</v>
      </c>
      <c r="BB274" s="2" t="s">
        <v>490</v>
      </c>
      <c r="BC274" s="2" t="s">
        <v>1442</v>
      </c>
      <c r="BF274" s="2" t="s">
        <v>1443</v>
      </c>
      <c r="BG274" s="2" t="s">
        <v>95</v>
      </c>
      <c r="BH274" s="2" t="s">
        <v>95</v>
      </c>
      <c r="BI274" s="2" t="s">
        <v>95</v>
      </c>
      <c r="BK274" s="2" t="s">
        <v>100</v>
      </c>
      <c r="CA274" s="2" t="s">
        <v>1439</v>
      </c>
      <c r="CB274" s="2" t="s">
        <v>1441</v>
      </c>
      <c r="CL274" s="2" t="s">
        <v>95</v>
      </c>
      <c r="CM274" s="2" t="s">
        <v>95</v>
      </c>
      <c r="CN274" s="2" t="s">
        <v>460</v>
      </c>
      <c r="CO274" s="3">
        <v>41603</v>
      </c>
      <c r="CP274" s="3">
        <v>43634</v>
      </c>
    </row>
    <row r="275" spans="1:94" x14ac:dyDescent="0.25">
      <c r="A275" s="2" t="s">
        <v>1444</v>
      </c>
      <c r="B275" s="2" t="str">
        <f xml:space="preserve"> "" &amp; 844349015970</f>
        <v>844349015970</v>
      </c>
      <c r="C275" s="2" t="s">
        <v>515</v>
      </c>
      <c r="D275" s="2" t="s">
        <v>1428</v>
      </c>
      <c r="F275" s="2" t="s">
        <v>518</v>
      </c>
      <c r="G275" s="2">
        <v>1</v>
      </c>
      <c r="H275" s="2">
        <v>1</v>
      </c>
      <c r="I275" s="2" t="s">
        <v>94</v>
      </c>
      <c r="J275" s="6">
        <v>49</v>
      </c>
      <c r="K275" s="6">
        <v>147</v>
      </c>
      <c r="L275" s="2">
        <v>0</v>
      </c>
      <c r="N275" s="2">
        <v>0</v>
      </c>
      <c r="Q275" s="6"/>
      <c r="R275" s="7"/>
      <c r="S275" s="2">
        <v>30</v>
      </c>
      <c r="T275" s="2">
        <v>11</v>
      </c>
      <c r="U275" s="2">
        <v>16</v>
      </c>
      <c r="W275" s="2">
        <v>5.56</v>
      </c>
      <c r="X275" s="2">
        <v>1</v>
      </c>
      <c r="Y275" s="2">
        <v>19.260000000000002</v>
      </c>
      <c r="Z275" s="2">
        <v>26.5</v>
      </c>
      <c r="AA275" s="2">
        <v>12.5</v>
      </c>
      <c r="AB275" s="2">
        <v>3.6920000000000002</v>
      </c>
      <c r="AC275" s="2">
        <v>9.68</v>
      </c>
      <c r="AE275" s="2">
        <v>1</v>
      </c>
      <c r="AF275" s="2" t="s">
        <v>1445</v>
      </c>
      <c r="AG275" s="2">
        <v>100</v>
      </c>
      <c r="AK275" s="2" t="s">
        <v>95</v>
      </c>
      <c r="AM275" s="2" t="s">
        <v>95</v>
      </c>
      <c r="AN275" s="2" t="s">
        <v>95</v>
      </c>
      <c r="AO275" s="2" t="s">
        <v>96</v>
      </c>
      <c r="AP275" s="2" t="s">
        <v>97</v>
      </c>
      <c r="AQ275" s="2" t="s">
        <v>98</v>
      </c>
      <c r="AV275" s="2" t="s">
        <v>95</v>
      </c>
      <c r="AX275" s="2" t="s">
        <v>1446</v>
      </c>
      <c r="AZ275" s="2" t="s">
        <v>342</v>
      </c>
      <c r="BB275" s="2" t="s">
        <v>1447</v>
      </c>
      <c r="BC275" s="2" t="s">
        <v>1448</v>
      </c>
      <c r="BF275" s="2" t="s">
        <v>1449</v>
      </c>
      <c r="BG275" s="2" t="s">
        <v>95</v>
      </c>
      <c r="BH275" s="2" t="s">
        <v>95</v>
      </c>
      <c r="BI275" s="2" t="s">
        <v>95</v>
      </c>
      <c r="BK275" s="2" t="s">
        <v>100</v>
      </c>
      <c r="BR275" s="2">
        <v>1</v>
      </c>
      <c r="BS275" s="2">
        <v>6.25</v>
      </c>
      <c r="BT275" s="2">
        <v>5.25</v>
      </c>
      <c r="CA275" s="2" t="s">
        <v>1450</v>
      </c>
      <c r="CL275" s="2" t="s">
        <v>95</v>
      </c>
      <c r="CM275" s="2" t="s">
        <v>95</v>
      </c>
      <c r="CN275" s="2" t="s">
        <v>101</v>
      </c>
      <c r="CO275" s="3">
        <v>41601</v>
      </c>
      <c r="CP275" s="3">
        <v>43634</v>
      </c>
    </row>
    <row r="276" spans="1:94" x14ac:dyDescent="0.25">
      <c r="A276" s="2" t="s">
        <v>1451</v>
      </c>
      <c r="B276" s="2" t="str">
        <f xml:space="preserve"> "" &amp; 844349017295</f>
        <v>844349017295</v>
      </c>
      <c r="C276" s="2" t="s">
        <v>515</v>
      </c>
      <c r="D276" s="2" t="s">
        <v>1428</v>
      </c>
      <c r="F276" s="2" t="s">
        <v>1429</v>
      </c>
      <c r="G276" s="2">
        <v>1</v>
      </c>
      <c r="H276" s="2">
        <v>1</v>
      </c>
      <c r="I276" s="2" t="s">
        <v>94</v>
      </c>
      <c r="J276" s="6">
        <v>89</v>
      </c>
      <c r="K276" s="6">
        <v>267</v>
      </c>
      <c r="L276" s="2">
        <v>0</v>
      </c>
      <c r="N276" s="2">
        <v>0</v>
      </c>
      <c r="O276" s="2" t="s">
        <v>96</v>
      </c>
      <c r="P276" s="6">
        <v>186.95</v>
      </c>
      <c r="Q276" s="6"/>
      <c r="R276" s="7"/>
      <c r="S276" s="2">
        <v>28.25</v>
      </c>
      <c r="T276" s="2">
        <v>18</v>
      </c>
      <c r="U276" s="2">
        <v>10</v>
      </c>
      <c r="W276" s="2">
        <v>8.6</v>
      </c>
      <c r="X276" s="2">
        <v>1</v>
      </c>
      <c r="Y276" s="2">
        <v>15.63</v>
      </c>
      <c r="Z276" s="2">
        <v>24.5</v>
      </c>
      <c r="AA276" s="2">
        <v>12.5</v>
      </c>
      <c r="AB276" s="2">
        <v>2.77</v>
      </c>
      <c r="AC276" s="2">
        <v>13.62</v>
      </c>
      <c r="AE276" s="2">
        <v>1</v>
      </c>
      <c r="AF276" s="2" t="s">
        <v>1430</v>
      </c>
      <c r="AG276" s="2">
        <v>10</v>
      </c>
      <c r="AK276" s="2" t="s">
        <v>96</v>
      </c>
      <c r="AM276" s="2" t="s">
        <v>95</v>
      </c>
      <c r="AN276" s="2" t="s">
        <v>96</v>
      </c>
      <c r="AO276" s="2" t="s">
        <v>95</v>
      </c>
      <c r="AP276" s="2" t="s">
        <v>97</v>
      </c>
      <c r="AQ276" s="2" t="s">
        <v>98</v>
      </c>
      <c r="AV276" s="2" t="s">
        <v>95</v>
      </c>
      <c r="AX276" s="2" t="s">
        <v>1452</v>
      </c>
      <c r="AZ276" s="2" t="s">
        <v>342</v>
      </c>
      <c r="BB276" s="2" t="s">
        <v>490</v>
      </c>
      <c r="BC276" s="2" t="s">
        <v>498</v>
      </c>
      <c r="BF276" s="2" t="s">
        <v>1453</v>
      </c>
      <c r="BG276" s="2" t="s">
        <v>95</v>
      </c>
      <c r="BH276" s="2" t="s">
        <v>95</v>
      </c>
      <c r="BI276" s="2" t="s">
        <v>95</v>
      </c>
      <c r="BK276" s="2" t="s">
        <v>100</v>
      </c>
      <c r="CA276" s="2" t="s">
        <v>1454</v>
      </c>
      <c r="CB276" s="2" t="s">
        <v>1452</v>
      </c>
      <c r="CL276" s="2" t="s">
        <v>95</v>
      </c>
      <c r="CM276" s="2" t="s">
        <v>95</v>
      </c>
      <c r="CN276" s="2" t="s">
        <v>230</v>
      </c>
      <c r="CO276" s="3">
        <v>42089</v>
      </c>
      <c r="CP276" s="3">
        <v>43634</v>
      </c>
    </row>
    <row r="277" spans="1:94" x14ac:dyDescent="0.25">
      <c r="A277" s="2" t="s">
        <v>1455</v>
      </c>
      <c r="B277" s="2" t="str">
        <f xml:space="preserve"> "" &amp; 844349017301</f>
        <v>844349017301</v>
      </c>
      <c r="C277" s="2" t="s">
        <v>515</v>
      </c>
      <c r="D277" s="2" t="s">
        <v>1428</v>
      </c>
      <c r="F277" s="2" t="s">
        <v>1429</v>
      </c>
      <c r="G277" s="2">
        <v>1</v>
      </c>
      <c r="H277" s="2">
        <v>1</v>
      </c>
      <c r="I277" s="2" t="s">
        <v>94</v>
      </c>
      <c r="J277" s="6">
        <v>115</v>
      </c>
      <c r="K277" s="6">
        <v>345</v>
      </c>
      <c r="L277" s="2">
        <v>0</v>
      </c>
      <c r="N277" s="2">
        <v>0</v>
      </c>
      <c r="O277" s="2" t="s">
        <v>96</v>
      </c>
      <c r="P277" s="6">
        <v>239.95</v>
      </c>
      <c r="Q277" s="6"/>
      <c r="R277" s="7"/>
      <c r="S277" s="2">
        <v>27.5</v>
      </c>
      <c r="T277" s="2">
        <v>18</v>
      </c>
      <c r="U277" s="2">
        <v>18</v>
      </c>
      <c r="W277" s="2">
        <v>9.02</v>
      </c>
      <c r="X277" s="2">
        <v>1</v>
      </c>
      <c r="Y277" s="2">
        <v>18.75</v>
      </c>
      <c r="Z277" s="2">
        <v>20.5</v>
      </c>
      <c r="AA277" s="2">
        <v>20.5</v>
      </c>
      <c r="AB277" s="2">
        <v>4.5599999999999996</v>
      </c>
      <c r="AC277" s="2">
        <v>14.51</v>
      </c>
      <c r="AE277" s="2">
        <v>1</v>
      </c>
      <c r="AF277" s="2" t="s">
        <v>1430</v>
      </c>
      <c r="AG277" s="2">
        <v>10</v>
      </c>
      <c r="AK277" s="2" t="s">
        <v>96</v>
      </c>
      <c r="AM277" s="2" t="s">
        <v>95</v>
      </c>
      <c r="AN277" s="2" t="s">
        <v>96</v>
      </c>
      <c r="AO277" s="2" t="s">
        <v>95</v>
      </c>
      <c r="AP277" s="2" t="s">
        <v>97</v>
      </c>
      <c r="AQ277" s="2" t="s">
        <v>98</v>
      </c>
      <c r="AV277" s="2" t="s">
        <v>95</v>
      </c>
      <c r="AX277" s="2" t="s">
        <v>1456</v>
      </c>
      <c r="AZ277" s="2" t="s">
        <v>342</v>
      </c>
      <c r="BB277" s="2" t="s">
        <v>490</v>
      </c>
      <c r="BC277" s="2" t="s">
        <v>1457</v>
      </c>
      <c r="BF277" s="2" t="s">
        <v>1458</v>
      </c>
      <c r="BG277" s="2" t="s">
        <v>95</v>
      </c>
      <c r="BH277" s="2" t="s">
        <v>95</v>
      </c>
      <c r="BI277" s="2" t="s">
        <v>95</v>
      </c>
      <c r="BK277" s="2" t="s">
        <v>100</v>
      </c>
      <c r="CA277" s="2" t="s">
        <v>1459</v>
      </c>
      <c r="CB277" s="2" t="s">
        <v>1456</v>
      </c>
      <c r="CL277" s="2" t="s">
        <v>95</v>
      </c>
      <c r="CM277" s="2" t="s">
        <v>95</v>
      </c>
      <c r="CN277" s="2" t="s">
        <v>1460</v>
      </c>
      <c r="CO277" s="3">
        <v>42089</v>
      </c>
      <c r="CP277" s="3">
        <v>43634</v>
      </c>
    </row>
    <row r="278" spans="1:94" x14ac:dyDescent="0.25">
      <c r="A278" s="2" t="s">
        <v>1461</v>
      </c>
      <c r="B278" s="2" t="str">
        <f xml:space="preserve"> "" &amp; 844349024217</f>
        <v>844349024217</v>
      </c>
      <c r="C278" s="2" t="s">
        <v>526</v>
      </c>
      <c r="D278" s="2" t="s">
        <v>526</v>
      </c>
      <c r="F278" s="2" t="s">
        <v>418</v>
      </c>
      <c r="G278" s="2">
        <v>1</v>
      </c>
      <c r="H278" s="2">
        <v>1</v>
      </c>
      <c r="I278" s="2" t="s">
        <v>94</v>
      </c>
      <c r="J278" s="6">
        <v>75</v>
      </c>
      <c r="K278" s="6">
        <v>225</v>
      </c>
      <c r="L278" s="2">
        <v>0</v>
      </c>
      <c r="N278" s="2">
        <v>0</v>
      </c>
      <c r="O278" s="2" t="s">
        <v>96</v>
      </c>
      <c r="P278" s="6">
        <v>156.94999999999999</v>
      </c>
      <c r="Q278" s="6"/>
      <c r="R278" s="7"/>
      <c r="S278" s="2">
        <v>12.25</v>
      </c>
      <c r="U278" s="2">
        <v>12</v>
      </c>
      <c r="V278" s="2">
        <v>4.75</v>
      </c>
      <c r="W278" s="2">
        <v>2.29</v>
      </c>
      <c r="X278" s="2">
        <v>1</v>
      </c>
      <c r="Y278" s="2">
        <v>7.5</v>
      </c>
      <c r="Z278" s="2">
        <v>14.63</v>
      </c>
      <c r="AA278" s="2">
        <v>14.63</v>
      </c>
      <c r="AB278" s="2">
        <v>0.92900000000000005</v>
      </c>
      <c r="AC278" s="2">
        <v>3.97</v>
      </c>
      <c r="AE278" s="2">
        <v>1</v>
      </c>
      <c r="AF278" s="2" t="s">
        <v>347</v>
      </c>
      <c r="AG278" s="2">
        <v>6</v>
      </c>
      <c r="AK278" s="2" t="s">
        <v>96</v>
      </c>
      <c r="AL278" s="2">
        <v>1</v>
      </c>
      <c r="AM278" s="2" t="s">
        <v>95</v>
      </c>
      <c r="AN278" s="2" t="s">
        <v>96</v>
      </c>
      <c r="AO278" s="2" t="s">
        <v>95</v>
      </c>
      <c r="AP278" s="2" t="s">
        <v>97</v>
      </c>
      <c r="AQ278" s="2" t="s">
        <v>98</v>
      </c>
      <c r="AV278" s="2" t="s">
        <v>95</v>
      </c>
      <c r="AX278" s="2" t="s">
        <v>395</v>
      </c>
      <c r="AZ278" s="2" t="s">
        <v>449</v>
      </c>
      <c r="BF278" s="2" t="s">
        <v>1462</v>
      </c>
      <c r="BG278" s="2" t="s">
        <v>95</v>
      </c>
      <c r="BH278" s="2" t="s">
        <v>95</v>
      </c>
      <c r="BI278" s="2" t="s">
        <v>95</v>
      </c>
      <c r="BK278" s="2" t="s">
        <v>414</v>
      </c>
      <c r="BL278" s="2" t="s">
        <v>476</v>
      </c>
      <c r="BM278" s="2">
        <v>4.25</v>
      </c>
      <c r="BN278" s="2">
        <v>1.75</v>
      </c>
      <c r="CA278" s="2" t="s">
        <v>1463</v>
      </c>
      <c r="CB278" s="2" t="s">
        <v>395</v>
      </c>
      <c r="CG278" s="2">
        <v>3000</v>
      </c>
      <c r="CH278" s="2">
        <v>95</v>
      </c>
      <c r="CI278" s="2">
        <v>471</v>
      </c>
      <c r="CJ278" s="2">
        <v>335</v>
      </c>
      <c r="CK278" s="2">
        <v>30000</v>
      </c>
      <c r="CL278" s="2" t="s">
        <v>96</v>
      </c>
      <c r="CM278" s="2" t="s">
        <v>95</v>
      </c>
      <c r="CN278" s="2" t="s">
        <v>1464</v>
      </c>
      <c r="CO278" s="3">
        <v>43087</v>
      </c>
      <c r="CP278" s="3">
        <v>43634</v>
      </c>
    </row>
    <row r="279" spans="1:94" x14ac:dyDescent="0.25">
      <c r="A279" s="2" t="s">
        <v>1465</v>
      </c>
      <c r="B279" s="2" t="str">
        <f xml:space="preserve"> "" &amp; 844349024224</f>
        <v>844349024224</v>
      </c>
      <c r="C279" s="2" t="s">
        <v>1466</v>
      </c>
      <c r="D279" s="2" t="s">
        <v>1466</v>
      </c>
      <c r="F279" s="2" t="s">
        <v>1429</v>
      </c>
      <c r="G279" s="2">
        <v>1</v>
      </c>
      <c r="H279" s="2">
        <v>1</v>
      </c>
      <c r="I279" s="2" t="s">
        <v>94</v>
      </c>
      <c r="J279" s="6">
        <v>85</v>
      </c>
      <c r="K279" s="6">
        <v>255</v>
      </c>
      <c r="L279" s="2">
        <v>0</v>
      </c>
      <c r="N279" s="2">
        <v>0</v>
      </c>
      <c r="O279" s="2" t="s">
        <v>96</v>
      </c>
      <c r="P279" s="6">
        <v>179.95</v>
      </c>
      <c r="Q279" s="6"/>
      <c r="R279" s="7"/>
      <c r="S279" s="2">
        <v>19</v>
      </c>
      <c r="U279" s="2">
        <v>12</v>
      </c>
      <c r="W279" s="2">
        <v>3.7</v>
      </c>
      <c r="X279" s="2">
        <v>1</v>
      </c>
      <c r="Y279" s="2">
        <v>4.38</v>
      </c>
      <c r="Z279" s="2">
        <v>22.5</v>
      </c>
      <c r="AA279" s="2">
        <v>14.63</v>
      </c>
      <c r="AB279" s="2">
        <v>0.83399999999999996</v>
      </c>
      <c r="AC279" s="2">
        <v>5.25</v>
      </c>
      <c r="AE279" s="2">
        <v>1</v>
      </c>
      <c r="AF279" s="2" t="s">
        <v>347</v>
      </c>
      <c r="AG279" s="2">
        <v>6</v>
      </c>
      <c r="AK279" s="2" t="s">
        <v>96</v>
      </c>
      <c r="AM279" s="2" t="s">
        <v>95</v>
      </c>
      <c r="AN279" s="2" t="s">
        <v>96</v>
      </c>
      <c r="AO279" s="2" t="s">
        <v>95</v>
      </c>
      <c r="AP279" s="2" t="s">
        <v>97</v>
      </c>
      <c r="AQ279" s="2" t="s">
        <v>98</v>
      </c>
      <c r="AV279" s="2" t="s">
        <v>95</v>
      </c>
      <c r="AX279" s="2" t="s">
        <v>395</v>
      </c>
      <c r="AZ279" s="2" t="s">
        <v>449</v>
      </c>
      <c r="BB279" s="2" t="s">
        <v>348</v>
      </c>
      <c r="BF279" s="2" t="s">
        <v>1467</v>
      </c>
      <c r="BG279" s="2" t="s">
        <v>95</v>
      </c>
      <c r="BH279" s="2" t="s">
        <v>95</v>
      </c>
      <c r="BI279" s="2" t="s">
        <v>95</v>
      </c>
      <c r="BK279" s="2" t="s">
        <v>414</v>
      </c>
      <c r="CA279" s="2" t="s">
        <v>1468</v>
      </c>
      <c r="CB279" s="2" t="s">
        <v>395</v>
      </c>
      <c r="CG279" s="2">
        <v>3000</v>
      </c>
      <c r="CH279" s="2">
        <v>93</v>
      </c>
      <c r="CI279" s="2">
        <v>445</v>
      </c>
      <c r="CJ279" s="2">
        <v>318.8</v>
      </c>
      <c r="CK279" s="2">
        <v>30000</v>
      </c>
      <c r="CL279" s="2" t="s">
        <v>96</v>
      </c>
      <c r="CM279" s="2" t="s">
        <v>95</v>
      </c>
      <c r="CN279" s="2" t="s">
        <v>1469</v>
      </c>
      <c r="CO279" s="3">
        <v>43087</v>
      </c>
      <c r="CP279" s="3">
        <v>43637</v>
      </c>
    </row>
    <row r="280" spans="1:94" x14ac:dyDescent="0.25">
      <c r="A280" s="2" t="s">
        <v>1470</v>
      </c>
      <c r="B280" s="2" t="str">
        <f xml:space="preserve"> "" &amp; 844349011347</f>
        <v>844349011347</v>
      </c>
      <c r="C280" s="2" t="s">
        <v>417</v>
      </c>
      <c r="D280" s="2" t="s">
        <v>417</v>
      </c>
      <c r="F280" s="2" t="s">
        <v>418</v>
      </c>
      <c r="G280" s="2">
        <v>1</v>
      </c>
      <c r="H280" s="2">
        <v>1</v>
      </c>
      <c r="I280" s="2" t="s">
        <v>94</v>
      </c>
      <c r="J280" s="6">
        <v>85</v>
      </c>
      <c r="K280" s="6">
        <v>255</v>
      </c>
      <c r="L280" s="2">
        <v>0</v>
      </c>
      <c r="N280" s="2">
        <v>0</v>
      </c>
      <c r="O280" s="2" t="s">
        <v>96</v>
      </c>
      <c r="P280" s="6">
        <v>178.95</v>
      </c>
      <c r="Q280" s="6"/>
      <c r="R280" s="7"/>
      <c r="S280" s="2">
        <v>10</v>
      </c>
      <c r="T280" s="2">
        <v>11.5</v>
      </c>
      <c r="U280" s="2">
        <v>4.5</v>
      </c>
      <c r="V280" s="2">
        <v>4</v>
      </c>
      <c r="W280" s="2">
        <v>3.2</v>
      </c>
      <c r="X280" s="2">
        <v>1</v>
      </c>
      <c r="Y280" s="2">
        <v>5.5</v>
      </c>
      <c r="Z280" s="2">
        <v>11.5</v>
      </c>
      <c r="AA280" s="2">
        <v>6.75</v>
      </c>
      <c r="AB280" s="2">
        <v>0.247</v>
      </c>
      <c r="AC280" s="2">
        <v>3.97</v>
      </c>
      <c r="AE280" s="2">
        <v>1</v>
      </c>
      <c r="AF280" s="2" t="s">
        <v>1471</v>
      </c>
      <c r="AG280" s="2">
        <v>60</v>
      </c>
      <c r="AK280" s="2" t="s">
        <v>95</v>
      </c>
      <c r="AL280" s="2">
        <v>1</v>
      </c>
      <c r="AM280" s="2" t="s">
        <v>95</v>
      </c>
      <c r="AN280" s="2" t="s">
        <v>96</v>
      </c>
      <c r="AO280" s="2" t="s">
        <v>95</v>
      </c>
      <c r="AP280" s="2" t="s">
        <v>97</v>
      </c>
      <c r="AQ280" s="2" t="s">
        <v>98</v>
      </c>
      <c r="AV280" s="2" t="s">
        <v>95</v>
      </c>
      <c r="AX280" s="2" t="s">
        <v>529</v>
      </c>
      <c r="AZ280" s="2" t="s">
        <v>342</v>
      </c>
      <c r="BB280" s="2" t="s">
        <v>329</v>
      </c>
      <c r="BC280" s="2" t="s">
        <v>1472</v>
      </c>
      <c r="BF280" s="2" t="s">
        <v>1473</v>
      </c>
      <c r="BG280" s="2" t="s">
        <v>95</v>
      </c>
      <c r="BH280" s="2" t="s">
        <v>96</v>
      </c>
      <c r="BI280" s="2" t="s">
        <v>95</v>
      </c>
      <c r="BK280" s="2" t="s">
        <v>414</v>
      </c>
      <c r="BL280" s="2" t="s">
        <v>476</v>
      </c>
      <c r="BR280" s="2">
        <v>7.75</v>
      </c>
      <c r="BT280" s="2">
        <v>4.13</v>
      </c>
      <c r="CA280" s="2" t="s">
        <v>1474</v>
      </c>
      <c r="CB280" s="2" t="s">
        <v>529</v>
      </c>
      <c r="CL280" s="2" t="s">
        <v>96</v>
      </c>
      <c r="CM280" s="2" t="s">
        <v>95</v>
      </c>
      <c r="CN280" s="2" t="s">
        <v>1404</v>
      </c>
      <c r="CO280" s="3">
        <v>40750</v>
      </c>
      <c r="CP280" s="3">
        <v>43634</v>
      </c>
    </row>
    <row r="281" spans="1:94" x14ac:dyDescent="0.25">
      <c r="A281" s="2" t="s">
        <v>1475</v>
      </c>
      <c r="B281" s="2" t="str">
        <f xml:space="preserve"> "" &amp; 844349011385</f>
        <v>844349011385</v>
      </c>
      <c r="C281" s="2" t="s">
        <v>417</v>
      </c>
      <c r="D281" s="2" t="s">
        <v>417</v>
      </c>
      <c r="F281" s="2" t="s">
        <v>418</v>
      </c>
      <c r="G281" s="2">
        <v>1</v>
      </c>
      <c r="H281" s="2">
        <v>1</v>
      </c>
      <c r="I281" s="2" t="s">
        <v>94</v>
      </c>
      <c r="J281" s="6">
        <v>99</v>
      </c>
      <c r="K281" s="6">
        <v>297</v>
      </c>
      <c r="L281" s="2">
        <v>0</v>
      </c>
      <c r="N281" s="2">
        <v>0</v>
      </c>
      <c r="O281" s="2" t="s">
        <v>96</v>
      </c>
      <c r="P281" s="6">
        <v>207.95</v>
      </c>
      <c r="Q281" s="6"/>
      <c r="R281" s="7"/>
      <c r="S281" s="2">
        <v>9</v>
      </c>
      <c r="T281" s="2">
        <v>13</v>
      </c>
      <c r="U281" s="2">
        <v>4.5</v>
      </c>
      <c r="V281" s="2">
        <v>5.25</v>
      </c>
      <c r="W281" s="2">
        <v>2.58</v>
      </c>
      <c r="X281" s="2">
        <v>1</v>
      </c>
      <c r="Y281" s="2">
        <v>6.5</v>
      </c>
      <c r="Z281" s="2">
        <v>13</v>
      </c>
      <c r="AA281" s="2">
        <v>6.5</v>
      </c>
      <c r="AB281" s="2">
        <v>0.318</v>
      </c>
      <c r="AC281" s="2">
        <v>3.64</v>
      </c>
      <c r="AE281" s="2">
        <v>1</v>
      </c>
      <c r="AF281" s="2" t="s">
        <v>1302</v>
      </c>
      <c r="AG281" s="2">
        <v>60</v>
      </c>
      <c r="AK281" s="2" t="s">
        <v>95</v>
      </c>
      <c r="AL281" s="2">
        <v>1</v>
      </c>
      <c r="AM281" s="2" t="s">
        <v>95</v>
      </c>
      <c r="AN281" s="2" t="s">
        <v>96</v>
      </c>
      <c r="AO281" s="2" t="s">
        <v>95</v>
      </c>
      <c r="AP281" s="2" t="s">
        <v>97</v>
      </c>
      <c r="AQ281" s="2" t="s">
        <v>98</v>
      </c>
      <c r="AV281" s="2" t="s">
        <v>95</v>
      </c>
      <c r="AX281" s="2" t="s">
        <v>529</v>
      </c>
      <c r="AZ281" s="2" t="s">
        <v>342</v>
      </c>
      <c r="BB281" s="2" t="s">
        <v>329</v>
      </c>
      <c r="BC281" s="2" t="s">
        <v>1476</v>
      </c>
      <c r="BF281" s="2" t="s">
        <v>1477</v>
      </c>
      <c r="BG281" s="2" t="s">
        <v>95</v>
      </c>
      <c r="BH281" s="2" t="s">
        <v>95</v>
      </c>
      <c r="BI281" s="2" t="s">
        <v>95</v>
      </c>
      <c r="BK281" s="2" t="s">
        <v>414</v>
      </c>
      <c r="BL281" s="2" t="s">
        <v>993</v>
      </c>
      <c r="BR281" s="2">
        <v>4.5</v>
      </c>
      <c r="BT281" s="2">
        <v>4.5</v>
      </c>
      <c r="CA281" s="2" t="s">
        <v>1478</v>
      </c>
      <c r="CB281" s="2" t="s">
        <v>529</v>
      </c>
      <c r="CL281" s="2" t="s">
        <v>96</v>
      </c>
      <c r="CM281" s="2" t="s">
        <v>95</v>
      </c>
      <c r="CN281" s="2" t="s">
        <v>460</v>
      </c>
      <c r="CO281" s="3">
        <v>40750</v>
      </c>
      <c r="CP281" s="3">
        <v>43634</v>
      </c>
    </row>
    <row r="282" spans="1:94" x14ac:dyDescent="0.25">
      <c r="A282" s="2" t="s">
        <v>1479</v>
      </c>
      <c r="B282" s="2" t="str">
        <f xml:space="preserve"> "" &amp; 844349011408</f>
        <v>844349011408</v>
      </c>
      <c r="C282" s="2" t="s">
        <v>417</v>
      </c>
      <c r="D282" s="2" t="s">
        <v>417</v>
      </c>
      <c r="F282" s="2" t="s">
        <v>418</v>
      </c>
      <c r="G282" s="2">
        <v>1</v>
      </c>
      <c r="H282" s="2">
        <v>1</v>
      </c>
      <c r="I282" s="2" t="s">
        <v>94</v>
      </c>
      <c r="J282" s="6">
        <v>105</v>
      </c>
      <c r="K282" s="6">
        <v>315</v>
      </c>
      <c r="L282" s="2">
        <v>0</v>
      </c>
      <c r="N282" s="2">
        <v>0</v>
      </c>
      <c r="O282" s="2" t="s">
        <v>96</v>
      </c>
      <c r="P282" s="6">
        <v>219.95</v>
      </c>
      <c r="Q282" s="6"/>
      <c r="R282" s="7"/>
      <c r="S282" s="2">
        <v>16.5</v>
      </c>
      <c r="U282" s="2">
        <v>10</v>
      </c>
      <c r="V282" s="2">
        <v>4</v>
      </c>
      <c r="W282" s="2">
        <v>4.41</v>
      </c>
      <c r="X282" s="2">
        <v>1</v>
      </c>
      <c r="Y282" s="2">
        <v>7</v>
      </c>
      <c r="Z282" s="2">
        <v>18</v>
      </c>
      <c r="AA282" s="2">
        <v>10</v>
      </c>
      <c r="AB282" s="2">
        <v>0.72899999999999998</v>
      </c>
      <c r="AC282" s="2">
        <v>6.02</v>
      </c>
      <c r="AE282" s="2">
        <v>1</v>
      </c>
      <c r="AF282" s="2" t="s">
        <v>440</v>
      </c>
      <c r="AG282" s="2">
        <v>100</v>
      </c>
      <c r="AK282" s="2" t="s">
        <v>95</v>
      </c>
      <c r="AL282" s="2">
        <v>1</v>
      </c>
      <c r="AM282" s="2" t="s">
        <v>95</v>
      </c>
      <c r="AN282" s="2" t="s">
        <v>96</v>
      </c>
      <c r="AO282" s="2" t="s">
        <v>95</v>
      </c>
      <c r="AP282" s="2" t="s">
        <v>97</v>
      </c>
      <c r="AQ282" s="2" t="s">
        <v>98</v>
      </c>
      <c r="AV282" s="2" t="s">
        <v>95</v>
      </c>
      <c r="AX282" s="2" t="s">
        <v>529</v>
      </c>
      <c r="AZ282" s="2" t="s">
        <v>342</v>
      </c>
      <c r="BB282" s="2" t="s">
        <v>329</v>
      </c>
      <c r="BC282" s="2" t="s">
        <v>1472</v>
      </c>
      <c r="BF282" s="2" t="s">
        <v>1480</v>
      </c>
      <c r="BG282" s="2" t="s">
        <v>95</v>
      </c>
      <c r="BH282" s="2" t="s">
        <v>96</v>
      </c>
      <c r="BI282" s="2" t="s">
        <v>95</v>
      </c>
      <c r="BK282" s="2" t="s">
        <v>414</v>
      </c>
      <c r="BL282" s="2" t="s">
        <v>476</v>
      </c>
      <c r="BR282" s="2">
        <v>4.25</v>
      </c>
      <c r="BT282" s="2">
        <v>8.75</v>
      </c>
      <c r="CA282" s="2" t="s">
        <v>1481</v>
      </c>
      <c r="CB282" s="2" t="s">
        <v>529</v>
      </c>
      <c r="CL282" s="2" t="s">
        <v>96</v>
      </c>
      <c r="CM282" s="2" t="s">
        <v>95</v>
      </c>
      <c r="CN282" s="2" t="s">
        <v>552</v>
      </c>
      <c r="CO282" s="3">
        <v>40399</v>
      </c>
      <c r="CP282" s="3">
        <v>43634</v>
      </c>
    </row>
    <row r="283" spans="1:94" x14ac:dyDescent="0.25">
      <c r="A283" s="2" t="s">
        <v>1482</v>
      </c>
      <c r="B283" s="2" t="str">
        <f xml:space="preserve"> "" &amp; 844349011392</f>
        <v>844349011392</v>
      </c>
      <c r="C283" s="2" t="s">
        <v>417</v>
      </c>
      <c r="D283" s="2" t="s">
        <v>417</v>
      </c>
      <c r="F283" s="2" t="s">
        <v>418</v>
      </c>
      <c r="G283" s="2">
        <v>1</v>
      </c>
      <c r="H283" s="2">
        <v>1</v>
      </c>
      <c r="I283" s="2" t="s">
        <v>94</v>
      </c>
      <c r="J283" s="6">
        <v>105</v>
      </c>
      <c r="K283" s="6">
        <v>315</v>
      </c>
      <c r="L283" s="2">
        <v>0</v>
      </c>
      <c r="N283" s="2">
        <v>0</v>
      </c>
      <c r="O283" s="2" t="s">
        <v>96</v>
      </c>
      <c r="P283" s="6">
        <v>219.95</v>
      </c>
      <c r="Q283" s="6"/>
      <c r="R283" s="7"/>
      <c r="S283" s="2">
        <v>16.5</v>
      </c>
      <c r="U283" s="2">
        <v>10</v>
      </c>
      <c r="V283" s="2">
        <v>4</v>
      </c>
      <c r="W283" s="2">
        <v>4.41</v>
      </c>
      <c r="X283" s="2">
        <v>1</v>
      </c>
      <c r="Y283" s="2">
        <v>7</v>
      </c>
      <c r="Z283" s="2">
        <v>18</v>
      </c>
      <c r="AA283" s="2">
        <v>10</v>
      </c>
      <c r="AB283" s="2">
        <v>0.72899999999999998</v>
      </c>
      <c r="AC283" s="2">
        <v>6.02</v>
      </c>
      <c r="AE283" s="2">
        <v>1</v>
      </c>
      <c r="AF283" s="2" t="s">
        <v>519</v>
      </c>
      <c r="AG283" s="2">
        <v>100</v>
      </c>
      <c r="AK283" s="2" t="s">
        <v>95</v>
      </c>
      <c r="AL283" s="2">
        <v>1</v>
      </c>
      <c r="AM283" s="2" t="s">
        <v>95</v>
      </c>
      <c r="AN283" s="2" t="s">
        <v>96</v>
      </c>
      <c r="AO283" s="2" t="s">
        <v>95</v>
      </c>
      <c r="AP283" s="2" t="s">
        <v>97</v>
      </c>
      <c r="AQ283" s="2" t="s">
        <v>98</v>
      </c>
      <c r="AV283" s="2" t="s">
        <v>95</v>
      </c>
      <c r="AX283" s="2" t="s">
        <v>1483</v>
      </c>
      <c r="AZ283" s="2" t="s">
        <v>342</v>
      </c>
      <c r="BB283" s="2" t="s">
        <v>329</v>
      </c>
      <c r="BC283" s="2" t="s">
        <v>1472</v>
      </c>
      <c r="BF283" s="2" t="s">
        <v>1484</v>
      </c>
      <c r="BG283" s="2" t="s">
        <v>95</v>
      </c>
      <c r="BH283" s="2" t="s">
        <v>96</v>
      </c>
      <c r="BI283" s="2" t="s">
        <v>95</v>
      </c>
      <c r="BK283" s="2" t="s">
        <v>414</v>
      </c>
      <c r="BL283" s="2" t="s">
        <v>476</v>
      </c>
      <c r="BR283" s="2">
        <v>4.25</v>
      </c>
      <c r="BT283" s="2">
        <v>8.75</v>
      </c>
      <c r="CA283" s="2" t="s">
        <v>1481</v>
      </c>
      <c r="CB283" s="2" t="s">
        <v>1483</v>
      </c>
      <c r="CL283" s="2" t="s">
        <v>96</v>
      </c>
      <c r="CM283" s="2" t="s">
        <v>95</v>
      </c>
      <c r="CN283" s="2" t="s">
        <v>460</v>
      </c>
      <c r="CO283" s="3">
        <v>40399</v>
      </c>
      <c r="CP283" s="3">
        <v>43634</v>
      </c>
    </row>
    <row r="284" spans="1:94" x14ac:dyDescent="0.25">
      <c r="A284" s="2" t="s">
        <v>1485</v>
      </c>
      <c r="B284" s="2" t="str">
        <f xml:space="preserve"> "" &amp; 844349011422</f>
        <v>844349011422</v>
      </c>
      <c r="C284" s="2" t="s">
        <v>417</v>
      </c>
      <c r="D284" s="2" t="s">
        <v>417</v>
      </c>
      <c r="F284" s="2" t="s">
        <v>418</v>
      </c>
      <c r="G284" s="2">
        <v>1</v>
      </c>
      <c r="H284" s="2">
        <v>1</v>
      </c>
      <c r="I284" s="2" t="s">
        <v>94</v>
      </c>
      <c r="J284" s="6">
        <v>105</v>
      </c>
      <c r="K284" s="6">
        <v>315</v>
      </c>
      <c r="L284" s="2">
        <v>0</v>
      </c>
      <c r="N284" s="2">
        <v>0</v>
      </c>
      <c r="O284" s="2" t="s">
        <v>96</v>
      </c>
      <c r="P284" s="6">
        <v>219.95</v>
      </c>
      <c r="Q284" s="6"/>
      <c r="R284" s="7"/>
      <c r="S284" s="2">
        <v>16.75</v>
      </c>
      <c r="U284" s="2">
        <v>11.75</v>
      </c>
      <c r="V284" s="2">
        <v>4</v>
      </c>
      <c r="W284" s="2">
        <v>2.69</v>
      </c>
      <c r="X284" s="2">
        <v>1</v>
      </c>
      <c r="Y284" s="2">
        <v>7.5</v>
      </c>
      <c r="Z284" s="2">
        <v>18</v>
      </c>
      <c r="AA284" s="2">
        <v>10</v>
      </c>
      <c r="AB284" s="2">
        <v>0.78100000000000003</v>
      </c>
      <c r="AC284" s="2">
        <v>4.9400000000000004</v>
      </c>
      <c r="AE284" s="2">
        <v>1</v>
      </c>
      <c r="AF284" s="2" t="s">
        <v>1486</v>
      </c>
      <c r="AG284" s="2">
        <v>13</v>
      </c>
      <c r="AK284" s="2" t="s">
        <v>96</v>
      </c>
      <c r="AL284" s="2">
        <v>1</v>
      </c>
      <c r="AM284" s="2" t="s">
        <v>95</v>
      </c>
      <c r="AN284" s="2" t="s">
        <v>96</v>
      </c>
      <c r="AO284" s="2" t="s">
        <v>95</v>
      </c>
      <c r="AP284" s="2" t="s">
        <v>97</v>
      </c>
      <c r="AQ284" s="2" t="s">
        <v>98</v>
      </c>
      <c r="AV284" s="2" t="s">
        <v>95</v>
      </c>
      <c r="AX284" s="2" t="s">
        <v>529</v>
      </c>
      <c r="AZ284" s="2" t="s">
        <v>342</v>
      </c>
      <c r="BB284" s="2" t="s">
        <v>1487</v>
      </c>
      <c r="BC284" s="2" t="s">
        <v>99</v>
      </c>
      <c r="BF284" s="2" t="s">
        <v>1488</v>
      </c>
      <c r="BG284" s="2" t="s">
        <v>95</v>
      </c>
      <c r="BH284" s="2" t="s">
        <v>96</v>
      </c>
      <c r="BI284" s="2" t="s">
        <v>96</v>
      </c>
      <c r="BK284" s="2" t="s">
        <v>414</v>
      </c>
      <c r="BL284" s="2" t="s">
        <v>476</v>
      </c>
      <c r="BR284" s="2">
        <v>9</v>
      </c>
      <c r="BT284" s="2">
        <v>4.75</v>
      </c>
      <c r="CA284" s="2" t="s">
        <v>1489</v>
      </c>
      <c r="CB284" s="2" t="s">
        <v>529</v>
      </c>
      <c r="CG284" s="2">
        <v>2700</v>
      </c>
      <c r="CL284" s="2" t="s">
        <v>95</v>
      </c>
      <c r="CM284" s="2" t="s">
        <v>95</v>
      </c>
      <c r="CN284" s="2" t="s">
        <v>1490</v>
      </c>
      <c r="CO284" s="3">
        <v>40947</v>
      </c>
      <c r="CP284" s="3">
        <v>43634</v>
      </c>
    </row>
    <row r="285" spans="1:94" x14ac:dyDescent="0.25">
      <c r="A285" s="2" t="s">
        <v>1491</v>
      </c>
      <c r="B285" s="2" t="str">
        <f xml:space="preserve"> "" &amp; 844349011415</f>
        <v>844349011415</v>
      </c>
      <c r="C285" s="2" t="s">
        <v>417</v>
      </c>
      <c r="D285" s="2" t="s">
        <v>417</v>
      </c>
      <c r="F285" s="2" t="s">
        <v>418</v>
      </c>
      <c r="G285" s="2">
        <v>1</v>
      </c>
      <c r="H285" s="2">
        <v>1</v>
      </c>
      <c r="I285" s="2" t="s">
        <v>94</v>
      </c>
      <c r="J285" s="6">
        <v>105</v>
      </c>
      <c r="K285" s="6">
        <v>315</v>
      </c>
      <c r="L285" s="2">
        <v>0</v>
      </c>
      <c r="N285" s="2">
        <v>0</v>
      </c>
      <c r="Q285" s="6"/>
      <c r="R285" s="7"/>
      <c r="S285" s="2">
        <v>16.75</v>
      </c>
      <c r="U285" s="2">
        <v>11.75</v>
      </c>
      <c r="V285" s="2">
        <v>4</v>
      </c>
      <c r="W285" s="2">
        <v>2.69</v>
      </c>
      <c r="X285" s="2">
        <v>1</v>
      </c>
      <c r="Y285" s="2">
        <v>7.5</v>
      </c>
      <c r="Z285" s="2">
        <v>18</v>
      </c>
      <c r="AA285" s="2">
        <v>10</v>
      </c>
      <c r="AB285" s="2">
        <v>0.78100000000000003</v>
      </c>
      <c r="AC285" s="2">
        <v>4.9400000000000004</v>
      </c>
      <c r="AE285" s="2">
        <v>1</v>
      </c>
      <c r="AF285" s="2" t="s">
        <v>1486</v>
      </c>
      <c r="AG285" s="2">
        <v>13</v>
      </c>
      <c r="AK285" s="2" t="s">
        <v>96</v>
      </c>
      <c r="AL285" s="2">
        <v>1</v>
      </c>
      <c r="AM285" s="2" t="s">
        <v>95</v>
      </c>
      <c r="AN285" s="2" t="s">
        <v>96</v>
      </c>
      <c r="AO285" s="2" t="s">
        <v>95</v>
      </c>
      <c r="AP285" s="2" t="s">
        <v>97</v>
      </c>
      <c r="AQ285" s="2" t="s">
        <v>98</v>
      </c>
      <c r="AV285" s="2" t="s">
        <v>95</v>
      </c>
      <c r="AX285" s="2" t="s">
        <v>1483</v>
      </c>
      <c r="AZ285" s="2" t="s">
        <v>342</v>
      </c>
      <c r="BB285" s="2" t="s">
        <v>1487</v>
      </c>
      <c r="BC285" s="2" t="s">
        <v>99</v>
      </c>
      <c r="BF285" s="2" t="s">
        <v>1492</v>
      </c>
      <c r="BG285" s="2" t="s">
        <v>95</v>
      </c>
      <c r="BH285" s="2" t="s">
        <v>96</v>
      </c>
      <c r="BI285" s="2" t="s">
        <v>96</v>
      </c>
      <c r="BK285" s="2" t="s">
        <v>414</v>
      </c>
      <c r="BL285" s="2" t="s">
        <v>476</v>
      </c>
      <c r="BR285" s="2">
        <v>9</v>
      </c>
      <c r="BT285" s="2">
        <v>4.75</v>
      </c>
      <c r="CA285" s="2" t="s">
        <v>1489</v>
      </c>
      <c r="CB285" s="2" t="s">
        <v>1483</v>
      </c>
      <c r="CG285" s="2">
        <v>2700</v>
      </c>
      <c r="CL285" s="2" t="s">
        <v>95</v>
      </c>
      <c r="CM285" s="2" t="s">
        <v>95</v>
      </c>
      <c r="CN285" s="2" t="s">
        <v>1490</v>
      </c>
      <c r="CO285" s="3">
        <v>40947</v>
      </c>
      <c r="CP285" s="3">
        <v>43634</v>
      </c>
    </row>
    <row r="286" spans="1:94" x14ac:dyDescent="0.25">
      <c r="A286" s="2" t="s">
        <v>1493</v>
      </c>
      <c r="B286" s="2" t="str">
        <f xml:space="preserve"> "" &amp; 844349020370</f>
        <v>844349020370</v>
      </c>
      <c r="C286" s="2" t="s">
        <v>510</v>
      </c>
      <c r="D286" s="2" t="s">
        <v>1494</v>
      </c>
      <c r="E286" s="2" t="s">
        <v>1495</v>
      </c>
      <c r="F286" s="2" t="s">
        <v>393</v>
      </c>
      <c r="G286" s="2">
        <v>1</v>
      </c>
      <c r="H286" s="2">
        <v>1</v>
      </c>
      <c r="I286" s="2" t="s">
        <v>94</v>
      </c>
      <c r="J286" s="6">
        <v>250</v>
      </c>
      <c r="K286" s="6">
        <v>750</v>
      </c>
      <c r="L286" s="2">
        <v>0</v>
      </c>
      <c r="N286" s="2">
        <v>0</v>
      </c>
      <c r="O286" s="2" t="s">
        <v>96</v>
      </c>
      <c r="P286" s="6">
        <v>524.95000000000005</v>
      </c>
      <c r="Q286" s="6"/>
      <c r="R286" s="7"/>
      <c r="S286" s="2">
        <v>7</v>
      </c>
      <c r="T286" s="2">
        <v>33.75</v>
      </c>
      <c r="U286" s="2">
        <v>33.75</v>
      </c>
      <c r="W286" s="2">
        <v>15.7</v>
      </c>
      <c r="X286" s="2">
        <v>1</v>
      </c>
      <c r="Y286" s="2">
        <v>34.75</v>
      </c>
      <c r="Z286" s="2">
        <v>30.75</v>
      </c>
      <c r="AA286" s="2">
        <v>6</v>
      </c>
      <c r="AB286" s="2">
        <v>3.71</v>
      </c>
      <c r="AC286" s="2">
        <v>20.440000000000001</v>
      </c>
      <c r="AE286" s="2">
        <v>3</v>
      </c>
      <c r="AF286" s="2" t="s">
        <v>1496</v>
      </c>
      <c r="AG286" s="2">
        <v>27</v>
      </c>
      <c r="AK286" s="2" t="s">
        <v>96</v>
      </c>
      <c r="AM286" s="2" t="s">
        <v>95</v>
      </c>
      <c r="AN286" s="2" t="s">
        <v>96</v>
      </c>
      <c r="AO286" s="2" t="s">
        <v>95</v>
      </c>
      <c r="AP286" s="2" t="s">
        <v>97</v>
      </c>
      <c r="AQ286" s="2" t="s">
        <v>98</v>
      </c>
      <c r="AV286" s="2" t="s">
        <v>95</v>
      </c>
      <c r="AX286" s="2" t="s">
        <v>116</v>
      </c>
      <c r="AZ286" s="2" t="s">
        <v>483</v>
      </c>
      <c r="BB286" s="2" t="s">
        <v>348</v>
      </c>
      <c r="BC286" s="2" t="s">
        <v>1497</v>
      </c>
      <c r="BF286" s="2" t="s">
        <v>1498</v>
      </c>
      <c r="BG286" s="2" t="s">
        <v>95</v>
      </c>
      <c r="BH286" s="2" t="s">
        <v>95</v>
      </c>
      <c r="BI286" s="2" t="s">
        <v>95</v>
      </c>
      <c r="BK286" s="2" t="s">
        <v>100</v>
      </c>
      <c r="BQ286" s="2">
        <v>4.88</v>
      </c>
      <c r="BR286" s="2">
        <v>1</v>
      </c>
      <c r="BS286" s="2">
        <v>4.88</v>
      </c>
      <c r="BT286" s="2">
        <v>4.88</v>
      </c>
      <c r="CA286" s="2" t="s">
        <v>1499</v>
      </c>
      <c r="CB286" s="2" t="s">
        <v>116</v>
      </c>
      <c r="CG286" s="2">
        <v>3000</v>
      </c>
      <c r="CH286" s="2">
        <v>94</v>
      </c>
      <c r="CI286" s="2">
        <v>4264</v>
      </c>
      <c r="CJ286" s="2">
        <v>3638</v>
      </c>
      <c r="CK286" s="2">
        <v>30000</v>
      </c>
      <c r="CL286" s="2" t="s">
        <v>96</v>
      </c>
      <c r="CM286" s="2" t="s">
        <v>96</v>
      </c>
      <c r="CN286" s="2" t="s">
        <v>1500</v>
      </c>
      <c r="CO286" s="3">
        <v>42389</v>
      </c>
      <c r="CP286" s="3">
        <v>43634</v>
      </c>
    </row>
    <row r="287" spans="1:94" x14ac:dyDescent="0.25">
      <c r="A287" s="2" t="s">
        <v>1501</v>
      </c>
      <c r="B287" s="2" t="str">
        <f xml:space="preserve"> "" &amp; 844349020387</f>
        <v>844349020387</v>
      </c>
      <c r="C287" s="2" t="s">
        <v>625</v>
      </c>
      <c r="D287" s="2" t="s">
        <v>1502</v>
      </c>
      <c r="E287" s="2" t="s">
        <v>1495</v>
      </c>
      <c r="F287" s="2" t="s">
        <v>614</v>
      </c>
      <c r="G287" s="2">
        <v>1</v>
      </c>
      <c r="H287" s="2">
        <v>1</v>
      </c>
      <c r="I287" s="2" t="s">
        <v>94</v>
      </c>
      <c r="J287" s="6">
        <v>315</v>
      </c>
      <c r="K287" s="6">
        <v>945</v>
      </c>
      <c r="L287" s="2">
        <v>0</v>
      </c>
      <c r="N287" s="2">
        <v>0</v>
      </c>
      <c r="O287" s="2" t="s">
        <v>96</v>
      </c>
      <c r="P287" s="6">
        <v>659.95</v>
      </c>
      <c r="Q287" s="6"/>
      <c r="R287" s="7"/>
      <c r="S287" s="2">
        <v>17.25</v>
      </c>
      <c r="T287" s="2">
        <v>50.25</v>
      </c>
      <c r="U287" s="2">
        <v>4.5</v>
      </c>
      <c r="W287" s="2">
        <v>19.64</v>
      </c>
      <c r="X287" s="2">
        <v>1</v>
      </c>
      <c r="Y287" s="2">
        <v>54.13</v>
      </c>
      <c r="Z287" s="2">
        <v>16.75</v>
      </c>
      <c r="AA287" s="2">
        <v>4.88</v>
      </c>
      <c r="AB287" s="2">
        <v>2.5609999999999999</v>
      </c>
      <c r="AC287" s="2">
        <v>23.46</v>
      </c>
      <c r="AE287" s="2">
        <v>3</v>
      </c>
      <c r="AF287" s="2" t="s">
        <v>347</v>
      </c>
      <c r="AG287" s="2">
        <v>27</v>
      </c>
      <c r="AK287" s="2" t="s">
        <v>96</v>
      </c>
      <c r="AM287" s="2" t="s">
        <v>95</v>
      </c>
      <c r="AN287" s="2" t="s">
        <v>96</v>
      </c>
      <c r="AO287" s="2" t="s">
        <v>95</v>
      </c>
      <c r="AP287" s="2" t="s">
        <v>97</v>
      </c>
      <c r="AQ287" s="2" t="s">
        <v>98</v>
      </c>
      <c r="AV287" s="2" t="s">
        <v>95</v>
      </c>
      <c r="AX287" s="2" t="s">
        <v>116</v>
      </c>
      <c r="AZ287" s="2" t="s">
        <v>483</v>
      </c>
      <c r="BB287" s="2" t="s">
        <v>348</v>
      </c>
      <c r="BC287" s="2" t="s">
        <v>1503</v>
      </c>
      <c r="BF287" s="2" t="s">
        <v>1504</v>
      </c>
      <c r="BG287" s="2" t="s">
        <v>95</v>
      </c>
      <c r="BH287" s="2" t="s">
        <v>95</v>
      </c>
      <c r="BI287" s="2" t="s">
        <v>95</v>
      </c>
      <c r="BK287" s="2" t="s">
        <v>100</v>
      </c>
      <c r="BR287" s="2">
        <v>4.5</v>
      </c>
      <c r="BT287" s="2">
        <v>20.5</v>
      </c>
      <c r="CA287" s="2" t="s">
        <v>1505</v>
      </c>
      <c r="CB287" s="2" t="s">
        <v>116</v>
      </c>
      <c r="CG287" s="2">
        <v>3000</v>
      </c>
      <c r="CH287" s="2">
        <v>93</v>
      </c>
      <c r="CI287" s="2">
        <v>4303</v>
      </c>
      <c r="CJ287" s="2">
        <v>3685</v>
      </c>
      <c r="CK287" s="2">
        <v>30000</v>
      </c>
      <c r="CL287" s="2" t="s">
        <v>96</v>
      </c>
      <c r="CM287" s="2" t="s">
        <v>96</v>
      </c>
      <c r="CN287" s="2" t="s">
        <v>1469</v>
      </c>
      <c r="CO287" s="3">
        <v>42389</v>
      </c>
      <c r="CP287" s="3">
        <v>43634</v>
      </c>
    </row>
    <row r="288" spans="1:94" x14ac:dyDescent="0.25">
      <c r="A288" s="2" t="s">
        <v>1506</v>
      </c>
      <c r="B288" s="2" t="str">
        <f xml:space="preserve"> "" &amp; 844349025306</f>
        <v>844349025306</v>
      </c>
      <c r="C288" s="2" t="s">
        <v>526</v>
      </c>
      <c r="D288" s="2" t="s">
        <v>1507</v>
      </c>
      <c r="E288" s="2" t="s">
        <v>1508</v>
      </c>
      <c r="F288" s="2" t="s">
        <v>340</v>
      </c>
      <c r="G288" s="2">
        <v>1</v>
      </c>
      <c r="H288" s="2">
        <v>1</v>
      </c>
      <c r="I288" s="2" t="s">
        <v>94</v>
      </c>
      <c r="J288" s="6">
        <v>47</v>
      </c>
      <c r="K288" s="6">
        <v>141</v>
      </c>
      <c r="L288" s="2">
        <v>0</v>
      </c>
      <c r="N288" s="2">
        <v>0</v>
      </c>
      <c r="O288" s="2" t="s">
        <v>96</v>
      </c>
      <c r="P288" s="6">
        <v>99.95</v>
      </c>
      <c r="Q288" s="6"/>
      <c r="R288" s="7"/>
      <c r="S288" s="2">
        <v>7.25</v>
      </c>
      <c r="U288" s="2">
        <v>5.5</v>
      </c>
      <c r="V288" s="2">
        <v>3.75</v>
      </c>
      <c r="W288" s="2">
        <v>3.73</v>
      </c>
      <c r="X288" s="2">
        <v>1</v>
      </c>
      <c r="Y288" s="2">
        <v>11</v>
      </c>
      <c r="Z288" s="2">
        <v>7.13</v>
      </c>
      <c r="AA288" s="2">
        <v>6</v>
      </c>
      <c r="AB288" s="2">
        <v>0.27200000000000002</v>
      </c>
      <c r="AC288" s="2">
        <v>4.3</v>
      </c>
      <c r="AE288" s="2">
        <v>1</v>
      </c>
      <c r="AF288" s="2" t="s">
        <v>347</v>
      </c>
      <c r="AG288" s="2">
        <v>8</v>
      </c>
      <c r="AK288" s="2" t="s">
        <v>96</v>
      </c>
      <c r="AM288" s="2" t="s">
        <v>95</v>
      </c>
      <c r="AN288" s="2" t="s">
        <v>96</v>
      </c>
      <c r="AO288" s="2" t="s">
        <v>95</v>
      </c>
      <c r="AP288" s="2" t="s">
        <v>97</v>
      </c>
      <c r="AQ288" s="2" t="s">
        <v>98</v>
      </c>
      <c r="AV288" s="2" t="s">
        <v>95</v>
      </c>
      <c r="AX288" s="2" t="s">
        <v>592</v>
      </c>
      <c r="AZ288" s="2" t="s">
        <v>449</v>
      </c>
      <c r="BB288" s="2" t="s">
        <v>329</v>
      </c>
      <c r="BC288" s="2" t="s">
        <v>1509</v>
      </c>
      <c r="BF288" s="2" t="s">
        <v>1510</v>
      </c>
      <c r="BG288" s="2" t="s">
        <v>95</v>
      </c>
      <c r="BH288" s="2" t="s">
        <v>96</v>
      </c>
      <c r="BI288" s="2" t="s">
        <v>95</v>
      </c>
      <c r="BJ288" s="2" t="s">
        <v>96</v>
      </c>
      <c r="BK288" s="2" t="s">
        <v>567</v>
      </c>
      <c r="BM288" s="2">
        <v>5.5</v>
      </c>
      <c r="BN288" s="2">
        <v>4.5</v>
      </c>
      <c r="CA288" s="2" t="s">
        <v>1511</v>
      </c>
      <c r="CB288" s="2" t="s">
        <v>592</v>
      </c>
      <c r="CG288" s="2">
        <v>3000</v>
      </c>
      <c r="CH288" s="2">
        <v>94</v>
      </c>
      <c r="CI288" s="2">
        <v>417</v>
      </c>
      <c r="CJ288" s="2">
        <v>301</v>
      </c>
      <c r="CK288" s="2">
        <v>30000</v>
      </c>
      <c r="CL288" s="2" t="s">
        <v>96</v>
      </c>
      <c r="CM288" s="2" t="s">
        <v>95</v>
      </c>
      <c r="CO288" s="3">
        <v>43088</v>
      </c>
      <c r="CP288" s="3">
        <v>43634</v>
      </c>
    </row>
    <row r="289" spans="1:94" x14ac:dyDescent="0.25">
      <c r="A289" s="2" t="s">
        <v>1512</v>
      </c>
      <c r="B289" s="2" t="str">
        <f xml:space="preserve"> "" &amp; 844349025313</f>
        <v>844349025313</v>
      </c>
      <c r="C289" s="2" t="s">
        <v>526</v>
      </c>
      <c r="D289" s="2" t="s">
        <v>1507</v>
      </c>
      <c r="E289" s="2" t="s">
        <v>1508</v>
      </c>
      <c r="F289" s="2" t="s">
        <v>340</v>
      </c>
      <c r="G289" s="2">
        <v>1</v>
      </c>
      <c r="H289" s="2">
        <v>1</v>
      </c>
      <c r="I289" s="2" t="s">
        <v>94</v>
      </c>
      <c r="J289" s="6">
        <v>57</v>
      </c>
      <c r="K289" s="6">
        <v>171</v>
      </c>
      <c r="L289" s="2">
        <v>0</v>
      </c>
      <c r="N289" s="2">
        <v>0</v>
      </c>
      <c r="O289" s="2" t="s">
        <v>96</v>
      </c>
      <c r="P289" s="6">
        <v>119.95</v>
      </c>
      <c r="Q289" s="6"/>
      <c r="R289" s="7"/>
      <c r="S289" s="2">
        <v>9.5</v>
      </c>
      <c r="U289" s="2">
        <v>5.5</v>
      </c>
      <c r="V289" s="2">
        <v>3.75</v>
      </c>
      <c r="W289" s="2">
        <v>4.92</v>
      </c>
      <c r="X289" s="2">
        <v>1</v>
      </c>
      <c r="Y289" s="2">
        <v>13.63</v>
      </c>
      <c r="Z289" s="2">
        <v>7.13</v>
      </c>
      <c r="AA289" s="2">
        <v>6</v>
      </c>
      <c r="AB289" s="2">
        <v>0.33700000000000002</v>
      </c>
      <c r="AC289" s="2">
        <v>5.56</v>
      </c>
      <c r="AE289" s="2">
        <v>1</v>
      </c>
      <c r="AF289" s="2" t="s">
        <v>347</v>
      </c>
      <c r="AG289" s="2">
        <v>8</v>
      </c>
      <c r="AK289" s="2" t="s">
        <v>96</v>
      </c>
      <c r="AM289" s="2" t="s">
        <v>95</v>
      </c>
      <c r="AN289" s="2" t="s">
        <v>96</v>
      </c>
      <c r="AO289" s="2" t="s">
        <v>95</v>
      </c>
      <c r="AP289" s="2" t="s">
        <v>97</v>
      </c>
      <c r="AQ289" s="2" t="s">
        <v>98</v>
      </c>
      <c r="AV289" s="2" t="s">
        <v>95</v>
      </c>
      <c r="AX289" s="2" t="s">
        <v>592</v>
      </c>
      <c r="AZ289" s="2" t="s">
        <v>449</v>
      </c>
      <c r="BB289" s="2" t="s">
        <v>329</v>
      </c>
      <c r="BF289" s="2" t="s">
        <v>1513</v>
      </c>
      <c r="BG289" s="2" t="s">
        <v>95</v>
      </c>
      <c r="BH289" s="2" t="s">
        <v>96</v>
      </c>
      <c r="BI289" s="2" t="s">
        <v>95</v>
      </c>
      <c r="BJ289" s="2" t="s">
        <v>96</v>
      </c>
      <c r="BK289" s="2" t="s">
        <v>567</v>
      </c>
      <c r="BM289" s="2">
        <v>5.5</v>
      </c>
      <c r="BN289" s="2">
        <v>4.5</v>
      </c>
      <c r="CA289" s="2" t="s">
        <v>1514</v>
      </c>
      <c r="CB289" s="2" t="s">
        <v>592</v>
      </c>
      <c r="CG289" s="2">
        <v>3000</v>
      </c>
      <c r="CH289" s="2">
        <v>94</v>
      </c>
      <c r="CI289" s="2">
        <v>413</v>
      </c>
      <c r="CJ289" s="2">
        <v>308</v>
      </c>
      <c r="CK289" s="2">
        <v>30000</v>
      </c>
      <c r="CL289" s="2" t="s">
        <v>96</v>
      </c>
      <c r="CM289" s="2" t="s">
        <v>95</v>
      </c>
      <c r="CO289" s="3">
        <v>43088</v>
      </c>
      <c r="CP289" s="3">
        <v>43634</v>
      </c>
    </row>
    <row r="290" spans="1:94" x14ac:dyDescent="0.25">
      <c r="A290" s="2" t="s">
        <v>1515</v>
      </c>
      <c r="B290" s="2" t="str">
        <f xml:space="preserve"> "" &amp; 844349025320</f>
        <v>844349025320</v>
      </c>
      <c r="C290" s="2" t="s">
        <v>526</v>
      </c>
      <c r="D290" s="2" t="s">
        <v>1516</v>
      </c>
      <c r="E290" s="2" t="s">
        <v>1517</v>
      </c>
      <c r="F290" s="2" t="s">
        <v>340</v>
      </c>
      <c r="G290" s="2">
        <v>1</v>
      </c>
      <c r="H290" s="2">
        <v>1</v>
      </c>
      <c r="I290" s="2" t="s">
        <v>94</v>
      </c>
      <c r="J290" s="6">
        <v>53</v>
      </c>
      <c r="K290" s="6">
        <v>159</v>
      </c>
      <c r="L290" s="2">
        <v>0</v>
      </c>
      <c r="N290" s="2">
        <v>0</v>
      </c>
      <c r="O290" s="2" t="s">
        <v>96</v>
      </c>
      <c r="P290" s="6">
        <v>111.95</v>
      </c>
      <c r="Q290" s="6"/>
      <c r="R290" s="7"/>
      <c r="S290" s="2">
        <v>7.5</v>
      </c>
      <c r="U290" s="2">
        <v>6</v>
      </c>
      <c r="V290" s="2">
        <v>3.25</v>
      </c>
      <c r="W290" s="2">
        <v>3.57</v>
      </c>
      <c r="X290" s="2">
        <v>1</v>
      </c>
      <c r="Y290" s="2">
        <v>9.8800000000000008</v>
      </c>
      <c r="Z290" s="2">
        <v>8.25</v>
      </c>
      <c r="AA290" s="2">
        <v>5.5</v>
      </c>
      <c r="AB290" s="2">
        <v>0.25900000000000001</v>
      </c>
      <c r="AC290" s="2">
        <v>4.08</v>
      </c>
      <c r="AE290" s="2">
        <v>1</v>
      </c>
      <c r="AF290" s="2" t="s">
        <v>347</v>
      </c>
      <c r="AG290" s="2">
        <v>10</v>
      </c>
      <c r="AK290" s="2" t="s">
        <v>96</v>
      </c>
      <c r="AM290" s="2" t="s">
        <v>95</v>
      </c>
      <c r="AN290" s="2" t="s">
        <v>96</v>
      </c>
      <c r="AO290" s="2" t="s">
        <v>95</v>
      </c>
      <c r="AP290" s="2" t="s">
        <v>97</v>
      </c>
      <c r="AQ290" s="2" t="s">
        <v>98</v>
      </c>
      <c r="AV290" s="2" t="s">
        <v>95</v>
      </c>
      <c r="AX290" s="2" t="s">
        <v>592</v>
      </c>
      <c r="AZ290" s="2" t="s">
        <v>449</v>
      </c>
      <c r="BF290" s="2" t="s">
        <v>1518</v>
      </c>
      <c r="BG290" s="2" t="s">
        <v>95</v>
      </c>
      <c r="BH290" s="2" t="s">
        <v>96</v>
      </c>
      <c r="BI290" s="2" t="s">
        <v>95</v>
      </c>
      <c r="BJ290" s="2" t="s">
        <v>96</v>
      </c>
      <c r="BK290" s="2" t="s">
        <v>567</v>
      </c>
      <c r="BM290" s="2">
        <v>6</v>
      </c>
      <c r="BN290" s="2">
        <v>7.5</v>
      </c>
      <c r="CA290" s="2" t="s">
        <v>1519</v>
      </c>
      <c r="CB290" s="2" t="s">
        <v>592</v>
      </c>
      <c r="CG290" s="2">
        <v>3000</v>
      </c>
      <c r="CH290" s="2">
        <v>93</v>
      </c>
      <c r="CI290" s="2">
        <v>963</v>
      </c>
      <c r="CJ290" s="2">
        <v>415</v>
      </c>
      <c r="CK290" s="2">
        <v>30000</v>
      </c>
      <c r="CL290" s="2" t="s">
        <v>96</v>
      </c>
      <c r="CM290" s="2" t="s">
        <v>95</v>
      </c>
      <c r="CN290" s="2" t="s">
        <v>577</v>
      </c>
      <c r="CO290" s="3">
        <v>43088</v>
      </c>
      <c r="CP290" s="3">
        <v>43634</v>
      </c>
    </row>
    <row r="291" spans="1:94" x14ac:dyDescent="0.25">
      <c r="A291" s="2" t="s">
        <v>1520</v>
      </c>
      <c r="B291" s="2" t="str">
        <f xml:space="preserve"> "" &amp; 844349025337</f>
        <v>844349025337</v>
      </c>
      <c r="C291" s="2" t="s">
        <v>526</v>
      </c>
      <c r="D291" s="2" t="s">
        <v>1516</v>
      </c>
      <c r="E291" s="2" t="s">
        <v>1517</v>
      </c>
      <c r="F291" s="2" t="s">
        <v>340</v>
      </c>
      <c r="G291" s="2">
        <v>1</v>
      </c>
      <c r="H291" s="2">
        <v>1</v>
      </c>
      <c r="I291" s="2" t="s">
        <v>94</v>
      </c>
      <c r="J291" s="6">
        <v>65</v>
      </c>
      <c r="K291" s="6">
        <v>195</v>
      </c>
      <c r="L291" s="2">
        <v>0</v>
      </c>
      <c r="N291" s="2">
        <v>0</v>
      </c>
      <c r="O291" s="2" t="s">
        <v>96</v>
      </c>
      <c r="P291" s="6">
        <v>136.94999999999999</v>
      </c>
      <c r="Q291" s="6"/>
      <c r="R291" s="7"/>
      <c r="S291" s="2">
        <v>11</v>
      </c>
      <c r="U291" s="2">
        <v>6</v>
      </c>
      <c r="V291" s="2">
        <v>3.25</v>
      </c>
      <c r="W291" s="2">
        <v>5.25</v>
      </c>
      <c r="X291" s="2">
        <v>1</v>
      </c>
      <c r="Y291" s="2">
        <v>14</v>
      </c>
      <c r="Z291" s="2">
        <v>8.25</v>
      </c>
      <c r="AA291" s="2">
        <v>6</v>
      </c>
      <c r="AB291" s="2">
        <v>0.40100000000000002</v>
      </c>
      <c r="AC291" s="2">
        <v>5.97</v>
      </c>
      <c r="AE291" s="2">
        <v>1</v>
      </c>
      <c r="AF291" s="2" t="s">
        <v>347</v>
      </c>
      <c r="AG291" s="2">
        <v>12</v>
      </c>
      <c r="AK291" s="2" t="s">
        <v>96</v>
      </c>
      <c r="AM291" s="2" t="s">
        <v>95</v>
      </c>
      <c r="AN291" s="2" t="s">
        <v>96</v>
      </c>
      <c r="AO291" s="2" t="s">
        <v>95</v>
      </c>
      <c r="AP291" s="2" t="s">
        <v>97</v>
      </c>
      <c r="AQ291" s="2" t="s">
        <v>98</v>
      </c>
      <c r="AV291" s="2" t="s">
        <v>95</v>
      </c>
      <c r="AX291" s="2" t="s">
        <v>592</v>
      </c>
      <c r="AZ291" s="2" t="s">
        <v>449</v>
      </c>
      <c r="BB291" s="2" t="s">
        <v>329</v>
      </c>
      <c r="BC291" s="2" t="s">
        <v>1509</v>
      </c>
      <c r="BF291" s="2" t="s">
        <v>1521</v>
      </c>
      <c r="BG291" s="2" t="s">
        <v>95</v>
      </c>
      <c r="BH291" s="2" t="s">
        <v>96</v>
      </c>
      <c r="BI291" s="2" t="s">
        <v>95</v>
      </c>
      <c r="BJ291" s="2" t="s">
        <v>96</v>
      </c>
      <c r="BK291" s="2" t="s">
        <v>567</v>
      </c>
      <c r="BM291" s="2">
        <v>6</v>
      </c>
      <c r="BN291" s="2">
        <v>11</v>
      </c>
      <c r="CA291" s="2" t="s">
        <v>1522</v>
      </c>
      <c r="CB291" s="2" t="s">
        <v>592</v>
      </c>
      <c r="CG291" s="2">
        <v>3000</v>
      </c>
      <c r="CH291" s="2">
        <v>93</v>
      </c>
      <c r="CI291" s="2">
        <v>1180</v>
      </c>
      <c r="CJ291" s="2">
        <v>431</v>
      </c>
      <c r="CK291" s="2">
        <v>30000</v>
      </c>
      <c r="CL291" s="2" t="s">
        <v>96</v>
      </c>
      <c r="CM291" s="2" t="s">
        <v>95</v>
      </c>
      <c r="CN291" s="2" t="s">
        <v>577</v>
      </c>
      <c r="CO291" s="3">
        <v>43088</v>
      </c>
      <c r="CP291" s="3">
        <v>43634</v>
      </c>
    </row>
    <row r="292" spans="1:94" x14ac:dyDescent="0.25">
      <c r="A292" s="2" t="s">
        <v>1523</v>
      </c>
      <c r="B292" s="2" t="str">
        <f xml:space="preserve"> "" &amp; 844349028291</f>
        <v>844349028291</v>
      </c>
      <c r="C292" s="2" t="s">
        <v>1524</v>
      </c>
      <c r="D292" s="2" t="s">
        <v>1525</v>
      </c>
      <c r="E292" s="2" t="s">
        <v>1526</v>
      </c>
      <c r="F292" s="2" t="s">
        <v>564</v>
      </c>
      <c r="G292" s="2">
        <v>1</v>
      </c>
      <c r="H292" s="2">
        <v>1</v>
      </c>
      <c r="I292" s="2" t="s">
        <v>94</v>
      </c>
      <c r="J292" s="6">
        <v>190</v>
      </c>
      <c r="K292" s="6">
        <v>570</v>
      </c>
      <c r="L292" s="2">
        <v>0</v>
      </c>
      <c r="N292" s="2">
        <v>0</v>
      </c>
      <c r="O292" s="2" t="s">
        <v>96</v>
      </c>
      <c r="P292" s="6">
        <v>399.95</v>
      </c>
      <c r="Q292" s="6"/>
      <c r="R292" s="7"/>
      <c r="S292" s="2">
        <v>23</v>
      </c>
      <c r="U292" s="2">
        <v>7.25</v>
      </c>
      <c r="V292" s="2">
        <v>3.5</v>
      </c>
      <c r="W292" s="2">
        <v>3.53</v>
      </c>
      <c r="X292" s="2">
        <v>1</v>
      </c>
      <c r="Y292" s="2">
        <v>5.5</v>
      </c>
      <c r="Z292" s="2">
        <v>25</v>
      </c>
      <c r="AA292" s="2">
        <v>8.5</v>
      </c>
      <c r="AB292" s="2">
        <v>0.67600000000000005</v>
      </c>
      <c r="AC292" s="2">
        <v>4.76</v>
      </c>
      <c r="AE292" s="2">
        <v>1</v>
      </c>
      <c r="AF292" s="2" t="s">
        <v>1527</v>
      </c>
      <c r="AG292" s="2">
        <v>32</v>
      </c>
      <c r="AK292" s="2" t="s">
        <v>96</v>
      </c>
      <c r="AM292" s="2" t="s">
        <v>95</v>
      </c>
      <c r="AN292" s="2" t="s">
        <v>96</v>
      </c>
      <c r="AO292" s="2" t="s">
        <v>95</v>
      </c>
      <c r="AP292" s="2" t="s">
        <v>97</v>
      </c>
      <c r="AQ292" s="2" t="s">
        <v>98</v>
      </c>
      <c r="AV292" s="2" t="s">
        <v>95</v>
      </c>
      <c r="AX292" s="2" t="s">
        <v>634</v>
      </c>
      <c r="AZ292" s="2" t="s">
        <v>483</v>
      </c>
      <c r="BC292" s="2" t="s">
        <v>1528</v>
      </c>
      <c r="BF292" s="2" t="s">
        <v>1529</v>
      </c>
      <c r="BG292" s="2" t="s">
        <v>95</v>
      </c>
      <c r="BH292" s="2" t="s">
        <v>95</v>
      </c>
      <c r="BI292" s="2" t="s">
        <v>95</v>
      </c>
      <c r="BJ292" s="2" t="s">
        <v>96</v>
      </c>
      <c r="BK292" s="2" t="s">
        <v>567</v>
      </c>
      <c r="BM292" s="2">
        <v>5</v>
      </c>
      <c r="BN292" s="2">
        <v>23</v>
      </c>
      <c r="CA292" s="2" t="s">
        <v>1530</v>
      </c>
      <c r="CB292" s="2" t="s">
        <v>634</v>
      </c>
      <c r="CG292" s="2">
        <v>3000</v>
      </c>
      <c r="CH292" s="2">
        <v>92</v>
      </c>
      <c r="CJ292" s="2">
        <v>1075.4000000000001</v>
      </c>
      <c r="CL292" s="2" t="s">
        <v>96</v>
      </c>
      <c r="CM292" s="2" t="s">
        <v>95</v>
      </c>
      <c r="CN292" s="2" t="s">
        <v>577</v>
      </c>
      <c r="CO292" s="3">
        <v>43537</v>
      </c>
      <c r="CP292" s="3">
        <v>43634</v>
      </c>
    </row>
    <row r="293" spans="1:94" x14ac:dyDescent="0.25">
      <c r="A293" s="2" t="s">
        <v>1531</v>
      </c>
      <c r="B293" s="2" t="str">
        <f xml:space="preserve"> "" &amp; 844349028284</f>
        <v>844349028284</v>
      </c>
      <c r="C293" s="2" t="s">
        <v>1532</v>
      </c>
      <c r="D293" s="2" t="s">
        <v>1533</v>
      </c>
      <c r="E293" s="2" t="s">
        <v>1534</v>
      </c>
      <c r="F293" s="2" t="s">
        <v>564</v>
      </c>
      <c r="G293" s="2">
        <v>1</v>
      </c>
      <c r="H293" s="2">
        <v>1</v>
      </c>
      <c r="I293" s="2" t="s">
        <v>94</v>
      </c>
      <c r="J293" s="6">
        <v>205</v>
      </c>
      <c r="K293" s="6">
        <v>615</v>
      </c>
      <c r="L293" s="2">
        <v>0</v>
      </c>
      <c r="N293" s="2">
        <v>0</v>
      </c>
      <c r="O293" s="2" t="s">
        <v>96</v>
      </c>
      <c r="P293" s="6">
        <v>429.95</v>
      </c>
      <c r="Q293" s="6"/>
      <c r="R293" s="7"/>
      <c r="S293" s="2">
        <v>24</v>
      </c>
      <c r="U293" s="2">
        <v>7.5</v>
      </c>
      <c r="V293" s="2">
        <v>4.75</v>
      </c>
      <c r="W293" s="2">
        <v>7.5</v>
      </c>
      <c r="X293" s="2">
        <v>1</v>
      </c>
      <c r="Y293" s="2">
        <v>8.75</v>
      </c>
      <c r="Z293" s="2">
        <v>27</v>
      </c>
      <c r="AA293" s="2">
        <v>9</v>
      </c>
      <c r="AB293" s="2">
        <v>1.23</v>
      </c>
      <c r="AC293" s="2">
        <v>9.26</v>
      </c>
      <c r="AE293" s="2">
        <v>1</v>
      </c>
      <c r="AF293" s="2" t="s">
        <v>1535</v>
      </c>
      <c r="AG293" s="2">
        <v>28</v>
      </c>
      <c r="AK293" s="2" t="s">
        <v>96</v>
      </c>
      <c r="AM293" s="2" t="s">
        <v>95</v>
      </c>
      <c r="AN293" s="2" t="s">
        <v>96</v>
      </c>
      <c r="AO293" s="2" t="s">
        <v>95</v>
      </c>
      <c r="AP293" s="2" t="s">
        <v>97</v>
      </c>
      <c r="AQ293" s="2" t="s">
        <v>98</v>
      </c>
      <c r="AV293" s="2" t="s">
        <v>95</v>
      </c>
      <c r="AX293" s="2" t="s">
        <v>840</v>
      </c>
      <c r="AZ293" s="2" t="s">
        <v>483</v>
      </c>
      <c r="BC293" s="2" t="s">
        <v>1528</v>
      </c>
      <c r="BF293" s="2" t="s">
        <v>1536</v>
      </c>
      <c r="BG293" s="2" t="s">
        <v>95</v>
      </c>
      <c r="BH293" s="2" t="s">
        <v>95</v>
      </c>
      <c r="BI293" s="2" t="s">
        <v>95</v>
      </c>
      <c r="BJ293" s="2" t="s">
        <v>96</v>
      </c>
      <c r="BK293" s="2" t="s">
        <v>567</v>
      </c>
      <c r="BL293" s="2" t="s">
        <v>421</v>
      </c>
      <c r="BM293" s="2">
        <v>7.5</v>
      </c>
      <c r="BN293" s="2">
        <v>24</v>
      </c>
      <c r="CA293" s="2" t="s">
        <v>1537</v>
      </c>
      <c r="CB293" s="2" t="s">
        <v>840</v>
      </c>
      <c r="CG293" s="2">
        <v>3000</v>
      </c>
      <c r="CH293" s="2">
        <v>92</v>
      </c>
      <c r="CI293" s="2">
        <v>2660</v>
      </c>
      <c r="CJ293" s="2">
        <v>989</v>
      </c>
      <c r="CK293" s="2">
        <v>30000</v>
      </c>
      <c r="CL293" s="2" t="s">
        <v>96</v>
      </c>
      <c r="CM293" s="2" t="s">
        <v>95</v>
      </c>
      <c r="CN293" s="2" t="s">
        <v>577</v>
      </c>
      <c r="CO293" s="3">
        <v>43537</v>
      </c>
      <c r="CP293" s="3">
        <v>43634</v>
      </c>
    </row>
    <row r="294" spans="1:94" x14ac:dyDescent="0.25">
      <c r="A294" s="2" t="s">
        <v>1538</v>
      </c>
      <c r="B294" s="2" t="str">
        <f xml:space="preserve"> "" &amp; 844349028307</f>
        <v>844349028307</v>
      </c>
      <c r="C294" s="2" t="s">
        <v>1532</v>
      </c>
      <c r="D294" s="2" t="s">
        <v>1539</v>
      </c>
      <c r="E294" s="2" t="s">
        <v>1540</v>
      </c>
      <c r="F294" s="2" t="s">
        <v>564</v>
      </c>
      <c r="G294" s="2">
        <v>1</v>
      </c>
      <c r="H294" s="2">
        <v>1</v>
      </c>
      <c r="I294" s="2" t="s">
        <v>94</v>
      </c>
      <c r="J294" s="6">
        <v>240</v>
      </c>
      <c r="K294" s="6">
        <v>720</v>
      </c>
      <c r="L294" s="2">
        <v>0</v>
      </c>
      <c r="N294" s="2">
        <v>0</v>
      </c>
      <c r="O294" s="2" t="s">
        <v>96</v>
      </c>
      <c r="P294" s="6">
        <v>509.95</v>
      </c>
      <c r="Q294" s="6"/>
      <c r="R294" s="7"/>
      <c r="S294" s="2">
        <v>22.25</v>
      </c>
      <c r="U294" s="2">
        <v>7</v>
      </c>
      <c r="V294" s="2">
        <v>4.5</v>
      </c>
      <c r="W294" s="2">
        <v>9.11</v>
      </c>
      <c r="X294" s="2">
        <v>1</v>
      </c>
      <c r="Y294" s="2">
        <v>7.25</v>
      </c>
      <c r="Z294" s="2">
        <v>25</v>
      </c>
      <c r="AA294" s="2">
        <v>8.5</v>
      </c>
      <c r="AB294" s="2">
        <v>0.89200000000000002</v>
      </c>
      <c r="AC294" s="2">
        <v>10.47</v>
      </c>
      <c r="AE294" s="2">
        <v>1</v>
      </c>
      <c r="AF294" s="2" t="s">
        <v>1535</v>
      </c>
      <c r="AG294" s="2">
        <v>28</v>
      </c>
      <c r="AK294" s="2" t="s">
        <v>96</v>
      </c>
      <c r="AM294" s="2" t="s">
        <v>95</v>
      </c>
      <c r="AN294" s="2" t="s">
        <v>96</v>
      </c>
      <c r="AO294" s="2" t="s">
        <v>95</v>
      </c>
      <c r="AP294" s="2" t="s">
        <v>97</v>
      </c>
      <c r="AQ294" s="2" t="s">
        <v>98</v>
      </c>
      <c r="AV294" s="2" t="s">
        <v>95</v>
      </c>
      <c r="AX294" s="2" t="s">
        <v>840</v>
      </c>
      <c r="AZ294" s="2" t="s">
        <v>483</v>
      </c>
      <c r="BC294" s="2" t="s">
        <v>1528</v>
      </c>
      <c r="BF294" s="2" t="s">
        <v>1541</v>
      </c>
      <c r="BG294" s="2" t="s">
        <v>95</v>
      </c>
      <c r="BH294" s="2" t="s">
        <v>95</v>
      </c>
      <c r="BI294" s="2" t="s">
        <v>95</v>
      </c>
      <c r="BJ294" s="2" t="s">
        <v>96</v>
      </c>
      <c r="BK294" s="2" t="s">
        <v>567</v>
      </c>
      <c r="BL294" s="2" t="s">
        <v>421</v>
      </c>
      <c r="BM294" s="2">
        <v>6</v>
      </c>
      <c r="BN294" s="2">
        <v>21</v>
      </c>
      <c r="CA294" s="2" t="s">
        <v>1542</v>
      </c>
      <c r="CB294" s="2" t="s">
        <v>840</v>
      </c>
      <c r="CG294" s="2">
        <v>3000</v>
      </c>
      <c r="CH294" s="2">
        <v>93</v>
      </c>
      <c r="CI294" s="2">
        <v>2640</v>
      </c>
      <c r="CJ294" s="2">
        <v>560</v>
      </c>
      <c r="CL294" s="2" t="s">
        <v>96</v>
      </c>
      <c r="CM294" s="2" t="s">
        <v>95</v>
      </c>
      <c r="CN294" s="2" t="s">
        <v>577</v>
      </c>
      <c r="CO294" s="3">
        <v>43537</v>
      </c>
      <c r="CP294" s="3">
        <v>43634</v>
      </c>
    </row>
    <row r="295" spans="1:94" x14ac:dyDescent="0.25">
      <c r="A295" s="2" t="s">
        <v>1543</v>
      </c>
      <c r="B295" s="2" t="str">
        <f xml:space="preserve"> "" &amp; 844349025344</f>
        <v>844349025344</v>
      </c>
      <c r="C295" s="2" t="s">
        <v>526</v>
      </c>
      <c r="D295" s="2" t="s">
        <v>1544</v>
      </c>
      <c r="E295" s="2" t="s">
        <v>1545</v>
      </c>
      <c r="F295" s="2" t="s">
        <v>340</v>
      </c>
      <c r="G295" s="2">
        <v>1</v>
      </c>
      <c r="H295" s="2">
        <v>1</v>
      </c>
      <c r="I295" s="2" t="s">
        <v>94</v>
      </c>
      <c r="J295" s="6">
        <v>82.5</v>
      </c>
      <c r="K295" s="6">
        <v>247.5</v>
      </c>
      <c r="L295" s="2">
        <v>0</v>
      </c>
      <c r="N295" s="2">
        <v>0</v>
      </c>
      <c r="O295" s="2" t="s">
        <v>96</v>
      </c>
      <c r="P295" s="6">
        <v>170.95</v>
      </c>
      <c r="Q295" s="6"/>
      <c r="R295" s="7"/>
      <c r="S295" s="2">
        <v>12</v>
      </c>
      <c r="U295" s="2">
        <v>5.25</v>
      </c>
      <c r="V295" s="2">
        <v>6.75</v>
      </c>
      <c r="W295" s="2">
        <v>4.01</v>
      </c>
      <c r="X295" s="2">
        <v>1</v>
      </c>
      <c r="Y295" s="2">
        <v>15</v>
      </c>
      <c r="Z295" s="2">
        <v>9.25</v>
      </c>
      <c r="AA295" s="2">
        <v>7.88</v>
      </c>
      <c r="AB295" s="2">
        <v>0.63300000000000001</v>
      </c>
      <c r="AC295" s="2">
        <v>4.87</v>
      </c>
      <c r="AE295" s="2">
        <v>2</v>
      </c>
      <c r="AF295" s="2" t="s">
        <v>347</v>
      </c>
      <c r="AG295" s="2">
        <v>6</v>
      </c>
      <c r="AK295" s="2" t="s">
        <v>96</v>
      </c>
      <c r="AM295" s="2" t="s">
        <v>95</v>
      </c>
      <c r="AN295" s="2" t="s">
        <v>96</v>
      </c>
      <c r="AO295" s="2" t="s">
        <v>95</v>
      </c>
      <c r="AP295" s="2" t="s">
        <v>97</v>
      </c>
      <c r="AQ295" s="2" t="s">
        <v>98</v>
      </c>
      <c r="AV295" s="2" t="s">
        <v>95</v>
      </c>
      <c r="AX295" s="2" t="s">
        <v>205</v>
      </c>
      <c r="AZ295" s="2" t="s">
        <v>449</v>
      </c>
      <c r="BB295" s="2" t="s">
        <v>329</v>
      </c>
      <c r="BC295" s="2" t="s">
        <v>850</v>
      </c>
      <c r="BF295" s="2" t="s">
        <v>1546</v>
      </c>
      <c r="BG295" s="2" t="s">
        <v>95</v>
      </c>
      <c r="BH295" s="2" t="s">
        <v>95</v>
      </c>
      <c r="BI295" s="2" t="s">
        <v>95</v>
      </c>
      <c r="BJ295" s="2" t="s">
        <v>96</v>
      </c>
      <c r="BK295" s="2" t="s">
        <v>567</v>
      </c>
      <c r="BM295" s="2">
        <v>7</v>
      </c>
      <c r="BN295" s="2">
        <v>5</v>
      </c>
      <c r="CA295" s="2" t="s">
        <v>1547</v>
      </c>
      <c r="CB295" s="2" t="s">
        <v>205</v>
      </c>
      <c r="CG295" s="2">
        <v>3000</v>
      </c>
      <c r="CH295" s="2">
        <v>92</v>
      </c>
      <c r="CI295" s="2">
        <v>371</v>
      </c>
      <c r="CJ295" s="2">
        <v>271</v>
      </c>
      <c r="CK295" s="2">
        <v>30000</v>
      </c>
      <c r="CL295" s="2" t="s">
        <v>96</v>
      </c>
      <c r="CM295" s="2" t="s">
        <v>95</v>
      </c>
      <c r="CO295" s="3">
        <v>43088</v>
      </c>
      <c r="CP295" s="3">
        <v>43634</v>
      </c>
    </row>
    <row r="296" spans="1:94" x14ac:dyDescent="0.25">
      <c r="A296" s="2" t="s">
        <v>1548</v>
      </c>
      <c r="B296" s="2" t="str">
        <f xml:space="preserve"> "" &amp; 844349025351</f>
        <v>844349025351</v>
      </c>
      <c r="C296" s="2" t="s">
        <v>526</v>
      </c>
      <c r="D296" s="2" t="s">
        <v>1544</v>
      </c>
      <c r="E296" s="2" t="s">
        <v>1545</v>
      </c>
      <c r="F296" s="2" t="s">
        <v>340</v>
      </c>
      <c r="G296" s="2">
        <v>1</v>
      </c>
      <c r="H296" s="2">
        <v>1</v>
      </c>
      <c r="I296" s="2" t="s">
        <v>94</v>
      </c>
      <c r="J296" s="6">
        <v>89</v>
      </c>
      <c r="K296" s="6">
        <v>267</v>
      </c>
      <c r="L296" s="2">
        <v>0</v>
      </c>
      <c r="N296" s="2">
        <v>0</v>
      </c>
      <c r="O296" s="2" t="s">
        <v>96</v>
      </c>
      <c r="P296" s="6">
        <v>189.95</v>
      </c>
      <c r="Q296" s="6"/>
      <c r="R296" s="7"/>
      <c r="S296" s="2">
        <v>14</v>
      </c>
      <c r="U296" s="2">
        <v>5.25</v>
      </c>
      <c r="V296" s="2">
        <v>6.75</v>
      </c>
      <c r="W296" s="2">
        <v>4.63</v>
      </c>
      <c r="X296" s="2">
        <v>1</v>
      </c>
      <c r="Y296" s="2">
        <v>17.13</v>
      </c>
      <c r="Z296" s="2">
        <v>9.25</v>
      </c>
      <c r="AA296" s="2">
        <v>7.88</v>
      </c>
      <c r="AB296" s="2">
        <v>0.72299999999999998</v>
      </c>
      <c r="AC296" s="2">
        <v>5.64</v>
      </c>
      <c r="AE296" s="2">
        <v>2</v>
      </c>
      <c r="AF296" s="2" t="s">
        <v>347</v>
      </c>
      <c r="AG296" s="2">
        <v>6</v>
      </c>
      <c r="AK296" s="2" t="s">
        <v>96</v>
      </c>
      <c r="AM296" s="2" t="s">
        <v>95</v>
      </c>
      <c r="AN296" s="2" t="s">
        <v>96</v>
      </c>
      <c r="AO296" s="2" t="s">
        <v>95</v>
      </c>
      <c r="AP296" s="2" t="s">
        <v>97</v>
      </c>
      <c r="AQ296" s="2" t="s">
        <v>98</v>
      </c>
      <c r="AV296" s="2" t="s">
        <v>95</v>
      </c>
      <c r="AX296" s="2" t="s">
        <v>205</v>
      </c>
      <c r="AZ296" s="2" t="s">
        <v>449</v>
      </c>
      <c r="BB296" s="2" t="s">
        <v>329</v>
      </c>
      <c r="BC296" s="2" t="s">
        <v>850</v>
      </c>
      <c r="BF296" s="2" t="s">
        <v>1549</v>
      </c>
      <c r="BG296" s="2" t="s">
        <v>95</v>
      </c>
      <c r="BH296" s="2" t="s">
        <v>95</v>
      </c>
      <c r="BI296" s="2" t="s">
        <v>95</v>
      </c>
      <c r="BJ296" s="2" t="s">
        <v>96</v>
      </c>
      <c r="BK296" s="2" t="s">
        <v>567</v>
      </c>
      <c r="BM296" s="2">
        <v>7</v>
      </c>
      <c r="BN296" s="2">
        <v>5</v>
      </c>
      <c r="CA296" s="2" t="s">
        <v>1550</v>
      </c>
      <c r="CB296" s="2" t="s">
        <v>205</v>
      </c>
      <c r="CG296" s="2">
        <v>2700</v>
      </c>
      <c r="CH296" s="2">
        <v>92</v>
      </c>
      <c r="CI296" s="2">
        <v>326</v>
      </c>
      <c r="CJ296" s="2">
        <v>244</v>
      </c>
      <c r="CK296" s="2">
        <v>30000</v>
      </c>
      <c r="CL296" s="2" t="s">
        <v>96</v>
      </c>
      <c r="CM296" s="2" t="s">
        <v>95</v>
      </c>
      <c r="CO296" s="3">
        <v>43088</v>
      </c>
      <c r="CP296" s="3">
        <v>43634</v>
      </c>
    </row>
    <row r="297" spans="1:94" x14ac:dyDescent="0.25">
      <c r="A297" s="2" t="s">
        <v>1551</v>
      </c>
      <c r="B297" s="2" t="str">
        <f xml:space="preserve"> "" &amp; 844349025382</f>
        <v>844349025382</v>
      </c>
      <c r="C297" s="2" t="s">
        <v>526</v>
      </c>
      <c r="D297" s="2" t="s">
        <v>1552</v>
      </c>
      <c r="E297" s="2" t="s">
        <v>1553</v>
      </c>
      <c r="F297" s="2" t="s">
        <v>340</v>
      </c>
      <c r="G297" s="2">
        <v>1</v>
      </c>
      <c r="H297" s="2">
        <v>1</v>
      </c>
      <c r="I297" s="2" t="s">
        <v>94</v>
      </c>
      <c r="J297" s="6">
        <v>79</v>
      </c>
      <c r="K297" s="6">
        <v>237</v>
      </c>
      <c r="L297" s="2">
        <v>0</v>
      </c>
      <c r="N297" s="2">
        <v>0</v>
      </c>
      <c r="O297" s="2" t="s">
        <v>96</v>
      </c>
      <c r="P297" s="6">
        <v>164.95</v>
      </c>
      <c r="Q297" s="6"/>
      <c r="R297" s="7"/>
      <c r="S297" s="2">
        <v>6.5</v>
      </c>
      <c r="T297" s="2">
        <v>8.4600000000000009</v>
      </c>
      <c r="U297" s="2">
        <v>6.5</v>
      </c>
      <c r="V297" s="2">
        <v>4</v>
      </c>
      <c r="W297" s="2">
        <v>1.7</v>
      </c>
      <c r="X297" s="2">
        <v>1</v>
      </c>
      <c r="Y297" s="2">
        <v>5.12</v>
      </c>
      <c r="Z297" s="2">
        <v>8.4600000000000009</v>
      </c>
      <c r="AA297" s="2">
        <v>8.4600000000000009</v>
      </c>
      <c r="AB297" s="2">
        <v>0.21199999999999999</v>
      </c>
      <c r="AC297" s="2">
        <v>2.4900000000000002</v>
      </c>
      <c r="AE297" s="2">
        <v>1</v>
      </c>
      <c r="AF297" s="2" t="s">
        <v>347</v>
      </c>
      <c r="AG297" s="2">
        <v>8</v>
      </c>
      <c r="AK297" s="2" t="s">
        <v>96</v>
      </c>
      <c r="AM297" s="2" t="s">
        <v>95</v>
      </c>
      <c r="AN297" s="2" t="s">
        <v>96</v>
      </c>
      <c r="AO297" s="2" t="s">
        <v>95</v>
      </c>
      <c r="AP297" s="2" t="s">
        <v>97</v>
      </c>
      <c r="AQ297" s="2" t="s">
        <v>98</v>
      </c>
      <c r="AV297" s="2" t="s">
        <v>95</v>
      </c>
      <c r="AX297" s="2" t="s">
        <v>642</v>
      </c>
      <c r="AZ297" s="2" t="s">
        <v>449</v>
      </c>
      <c r="BB297" s="2" t="s">
        <v>348</v>
      </c>
      <c r="BC297" s="2" t="s">
        <v>379</v>
      </c>
      <c r="BF297" s="2" t="s">
        <v>1554</v>
      </c>
      <c r="BG297" s="2" t="s">
        <v>95</v>
      </c>
      <c r="BH297" s="2" t="s">
        <v>96</v>
      </c>
      <c r="BI297" s="2" t="s">
        <v>95</v>
      </c>
      <c r="BK297" s="2" t="s">
        <v>414</v>
      </c>
      <c r="BM297" s="2">
        <v>4.75</v>
      </c>
      <c r="BN297" s="2">
        <v>1.38</v>
      </c>
      <c r="CA297" s="2" t="s">
        <v>1555</v>
      </c>
      <c r="CB297" s="2" t="s">
        <v>642</v>
      </c>
      <c r="CG297" s="2">
        <v>3000</v>
      </c>
      <c r="CH297" s="2">
        <v>90</v>
      </c>
      <c r="CI297" s="2">
        <v>344</v>
      </c>
      <c r="CJ297" s="2">
        <v>285</v>
      </c>
      <c r="CK297" s="2">
        <v>50000</v>
      </c>
      <c r="CL297" s="2" t="s">
        <v>96</v>
      </c>
      <c r="CM297" s="2" t="s">
        <v>95</v>
      </c>
      <c r="CN297" s="2" t="s">
        <v>1556</v>
      </c>
      <c r="CO297" s="3">
        <v>43088</v>
      </c>
      <c r="CP297" s="3">
        <v>43634</v>
      </c>
    </row>
    <row r="298" spans="1:94" x14ac:dyDescent="0.25">
      <c r="A298" s="2" t="s">
        <v>1557</v>
      </c>
      <c r="B298" s="2" t="str">
        <f xml:space="preserve"> "" &amp; 844349025399</f>
        <v>844349025399</v>
      </c>
      <c r="C298" s="2" t="s">
        <v>526</v>
      </c>
      <c r="D298" s="2" t="s">
        <v>1552</v>
      </c>
      <c r="E298" s="2" t="s">
        <v>1553</v>
      </c>
      <c r="F298" s="2" t="s">
        <v>340</v>
      </c>
      <c r="G298" s="2">
        <v>1</v>
      </c>
      <c r="H298" s="2">
        <v>1</v>
      </c>
      <c r="I298" s="2" t="s">
        <v>94</v>
      </c>
      <c r="J298" s="6">
        <v>85</v>
      </c>
      <c r="K298" s="6">
        <v>255</v>
      </c>
      <c r="L298" s="2">
        <v>0</v>
      </c>
      <c r="N298" s="2">
        <v>0</v>
      </c>
      <c r="O298" s="2" t="s">
        <v>96</v>
      </c>
      <c r="P298" s="6">
        <v>179.95</v>
      </c>
      <c r="Q298" s="6"/>
      <c r="R298" s="7"/>
      <c r="S298" s="2">
        <v>9.25</v>
      </c>
      <c r="T298" s="2">
        <v>11.22</v>
      </c>
      <c r="U298" s="2">
        <v>6.5</v>
      </c>
      <c r="V298" s="2">
        <v>4</v>
      </c>
      <c r="W298" s="2">
        <v>2.67</v>
      </c>
      <c r="X298" s="2">
        <v>1</v>
      </c>
      <c r="Y298" s="2">
        <v>5.12</v>
      </c>
      <c r="Z298" s="2">
        <v>11.22</v>
      </c>
      <c r="AA298" s="2">
        <v>8.07</v>
      </c>
      <c r="AB298" s="2">
        <v>0.26800000000000002</v>
      </c>
      <c r="AC298" s="2">
        <v>3.59</v>
      </c>
      <c r="AE298" s="2">
        <v>1</v>
      </c>
      <c r="AF298" s="2" t="s">
        <v>347</v>
      </c>
      <c r="AG298" s="2">
        <v>8</v>
      </c>
      <c r="AK298" s="2" t="s">
        <v>96</v>
      </c>
      <c r="AM298" s="2" t="s">
        <v>95</v>
      </c>
      <c r="AN298" s="2" t="s">
        <v>96</v>
      </c>
      <c r="AO298" s="2" t="s">
        <v>95</v>
      </c>
      <c r="AP298" s="2" t="s">
        <v>97</v>
      </c>
      <c r="AQ298" s="2" t="s">
        <v>98</v>
      </c>
      <c r="AV298" s="2" t="s">
        <v>95</v>
      </c>
      <c r="AX298" s="2" t="s">
        <v>642</v>
      </c>
      <c r="AZ298" s="2" t="s">
        <v>449</v>
      </c>
      <c r="BB298" s="2" t="s">
        <v>348</v>
      </c>
      <c r="BF298" s="2" t="s">
        <v>1558</v>
      </c>
      <c r="BG298" s="2" t="s">
        <v>95</v>
      </c>
      <c r="BH298" s="2" t="s">
        <v>96</v>
      </c>
      <c r="BI298" s="2" t="s">
        <v>95</v>
      </c>
      <c r="BK298" s="2" t="s">
        <v>414</v>
      </c>
      <c r="BM298" s="2">
        <v>4.38</v>
      </c>
      <c r="BN298" s="2">
        <v>5.75</v>
      </c>
      <c r="CA298" s="2" t="s">
        <v>1559</v>
      </c>
      <c r="CB298" s="2" t="s">
        <v>642</v>
      </c>
      <c r="CG298" s="2">
        <v>3000</v>
      </c>
      <c r="CH298" s="2">
        <v>89</v>
      </c>
      <c r="CI298" s="2">
        <v>323.10000000000002</v>
      </c>
      <c r="CJ298" s="2">
        <v>273</v>
      </c>
      <c r="CK298" s="2">
        <v>50000</v>
      </c>
      <c r="CL298" s="2" t="s">
        <v>96</v>
      </c>
      <c r="CM298" s="2" t="s">
        <v>95</v>
      </c>
      <c r="CN298" s="2" t="s">
        <v>1556</v>
      </c>
      <c r="CO298" s="3">
        <v>43088</v>
      </c>
      <c r="CP298" s="3">
        <v>43634</v>
      </c>
    </row>
    <row r="299" spans="1:94" x14ac:dyDescent="0.25">
      <c r="A299" s="2" t="s">
        <v>1560</v>
      </c>
      <c r="B299" s="2" t="str">
        <f xml:space="preserve"> "" &amp; 844349025405</f>
        <v>844349025405</v>
      </c>
      <c r="C299" s="2" t="s">
        <v>526</v>
      </c>
      <c r="D299" s="2" t="s">
        <v>1561</v>
      </c>
      <c r="E299" s="2" t="s">
        <v>1562</v>
      </c>
      <c r="F299" s="2" t="s">
        <v>340</v>
      </c>
      <c r="G299" s="2">
        <v>1</v>
      </c>
      <c r="H299" s="2">
        <v>1</v>
      </c>
      <c r="I299" s="2" t="s">
        <v>94</v>
      </c>
      <c r="J299" s="6">
        <v>110</v>
      </c>
      <c r="K299" s="6">
        <v>330</v>
      </c>
      <c r="L299" s="2">
        <v>0</v>
      </c>
      <c r="N299" s="2">
        <v>0</v>
      </c>
      <c r="O299" s="2" t="s">
        <v>96</v>
      </c>
      <c r="P299" s="6">
        <v>231.95</v>
      </c>
      <c r="Q299" s="6"/>
      <c r="R299" s="7"/>
      <c r="S299" s="2">
        <v>9</v>
      </c>
      <c r="T299" s="2">
        <v>11.22</v>
      </c>
      <c r="U299" s="2">
        <v>8.75</v>
      </c>
      <c r="V299" s="2">
        <v>4</v>
      </c>
      <c r="W299" s="2">
        <v>2.69</v>
      </c>
      <c r="X299" s="2">
        <v>1</v>
      </c>
      <c r="Y299" s="2">
        <v>5.91</v>
      </c>
      <c r="Z299" s="2">
        <v>11.22</v>
      </c>
      <c r="AA299" s="2">
        <v>11.22</v>
      </c>
      <c r="AB299" s="2">
        <v>0.43099999999999999</v>
      </c>
      <c r="AC299" s="2">
        <v>3.62</v>
      </c>
      <c r="AE299" s="2">
        <v>1</v>
      </c>
      <c r="AF299" s="2" t="s">
        <v>347</v>
      </c>
      <c r="AG299" s="2">
        <v>6</v>
      </c>
      <c r="AK299" s="2" t="s">
        <v>96</v>
      </c>
      <c r="AM299" s="2" t="s">
        <v>95</v>
      </c>
      <c r="AN299" s="2" t="s">
        <v>96</v>
      </c>
      <c r="AO299" s="2" t="s">
        <v>95</v>
      </c>
      <c r="AP299" s="2" t="s">
        <v>97</v>
      </c>
      <c r="AQ299" s="2" t="s">
        <v>98</v>
      </c>
      <c r="AV299" s="2" t="s">
        <v>95</v>
      </c>
      <c r="AX299" s="2" t="s">
        <v>634</v>
      </c>
      <c r="AZ299" s="2" t="s">
        <v>449</v>
      </c>
      <c r="BB299" s="2" t="s">
        <v>348</v>
      </c>
      <c r="BF299" s="2" t="s">
        <v>1563</v>
      </c>
      <c r="BG299" s="2" t="s">
        <v>95</v>
      </c>
      <c r="BH299" s="2" t="s">
        <v>96</v>
      </c>
      <c r="BI299" s="2" t="s">
        <v>95</v>
      </c>
      <c r="BK299" s="2" t="s">
        <v>414</v>
      </c>
      <c r="BM299" s="2">
        <v>5.13</v>
      </c>
      <c r="BN299" s="2">
        <v>5.13</v>
      </c>
      <c r="CA299" s="2" t="s">
        <v>1564</v>
      </c>
      <c r="CB299" s="2" t="s">
        <v>634</v>
      </c>
      <c r="CG299" s="2">
        <v>3000</v>
      </c>
      <c r="CH299" s="2">
        <v>81</v>
      </c>
      <c r="CI299" s="2">
        <v>307.8</v>
      </c>
      <c r="CJ299" s="2">
        <v>248</v>
      </c>
      <c r="CK299" s="2">
        <v>50000</v>
      </c>
      <c r="CL299" s="2" t="s">
        <v>95</v>
      </c>
      <c r="CM299" s="2" t="s">
        <v>95</v>
      </c>
      <c r="CN299" s="2" t="s">
        <v>630</v>
      </c>
      <c r="CO299" s="3">
        <v>43088</v>
      </c>
      <c r="CP299" s="3">
        <v>43634</v>
      </c>
    </row>
    <row r="300" spans="1:94" x14ac:dyDescent="0.25">
      <c r="A300" s="2" t="s">
        <v>1565</v>
      </c>
      <c r="B300" s="2" t="str">
        <f xml:space="preserve"> "" &amp; 844349025412</f>
        <v>844349025412</v>
      </c>
      <c r="C300" s="2" t="s">
        <v>526</v>
      </c>
      <c r="D300" s="2" t="s">
        <v>1566</v>
      </c>
      <c r="E300" s="2" t="s">
        <v>1562</v>
      </c>
      <c r="F300" s="2" t="s">
        <v>340</v>
      </c>
      <c r="G300" s="2">
        <v>1</v>
      </c>
      <c r="H300" s="2">
        <v>1</v>
      </c>
      <c r="I300" s="2" t="s">
        <v>94</v>
      </c>
      <c r="J300" s="6">
        <v>145</v>
      </c>
      <c r="K300" s="6">
        <v>435</v>
      </c>
      <c r="L300" s="2">
        <v>0</v>
      </c>
      <c r="N300" s="2">
        <v>0</v>
      </c>
      <c r="O300" s="2" t="s">
        <v>96</v>
      </c>
      <c r="P300" s="6">
        <v>304.95</v>
      </c>
      <c r="Q300" s="6"/>
      <c r="R300" s="7"/>
      <c r="S300" s="2">
        <v>13.75</v>
      </c>
      <c r="U300" s="2">
        <v>13.75</v>
      </c>
      <c r="V300" s="2">
        <v>4.75</v>
      </c>
      <c r="W300" s="2">
        <v>5.84</v>
      </c>
      <c r="X300" s="2">
        <v>1</v>
      </c>
      <c r="Y300" s="2">
        <v>6.99</v>
      </c>
      <c r="Z300" s="2">
        <v>16.190000000000001</v>
      </c>
      <c r="AA300" s="2">
        <v>16.190000000000001</v>
      </c>
      <c r="AB300" s="2">
        <v>1.06</v>
      </c>
      <c r="AC300" s="2">
        <v>7.96</v>
      </c>
      <c r="AE300" s="2">
        <v>1</v>
      </c>
      <c r="AF300" s="2" t="s">
        <v>347</v>
      </c>
      <c r="AG300" s="2">
        <v>8</v>
      </c>
      <c r="AK300" s="2" t="s">
        <v>96</v>
      </c>
      <c r="AM300" s="2" t="s">
        <v>95</v>
      </c>
      <c r="AN300" s="2" t="s">
        <v>96</v>
      </c>
      <c r="AO300" s="2" t="s">
        <v>95</v>
      </c>
      <c r="AP300" s="2" t="s">
        <v>97</v>
      </c>
      <c r="AQ300" s="2" t="s">
        <v>98</v>
      </c>
      <c r="AV300" s="2" t="s">
        <v>95</v>
      </c>
      <c r="AX300" s="2" t="s">
        <v>634</v>
      </c>
      <c r="AZ300" s="2" t="s">
        <v>449</v>
      </c>
      <c r="BF300" s="2" t="s">
        <v>1567</v>
      </c>
      <c r="BG300" s="2" t="s">
        <v>95</v>
      </c>
      <c r="BH300" s="2" t="s">
        <v>95</v>
      </c>
      <c r="BI300" s="2" t="s">
        <v>95</v>
      </c>
      <c r="BK300" s="2" t="s">
        <v>414</v>
      </c>
      <c r="BM300" s="2">
        <v>8.25</v>
      </c>
      <c r="BN300" s="2">
        <v>8.25</v>
      </c>
      <c r="CA300" s="2" t="s">
        <v>1568</v>
      </c>
      <c r="CB300" s="2" t="s">
        <v>634</v>
      </c>
      <c r="CG300" s="2">
        <v>3000</v>
      </c>
      <c r="CH300" s="2">
        <v>81</v>
      </c>
      <c r="CI300" s="2">
        <v>404.9</v>
      </c>
      <c r="CJ300" s="2">
        <v>319.89999999999998</v>
      </c>
      <c r="CK300" s="2">
        <v>50000</v>
      </c>
      <c r="CL300" s="2" t="s">
        <v>96</v>
      </c>
      <c r="CM300" s="2" t="s">
        <v>95</v>
      </c>
      <c r="CN300" s="2" t="s">
        <v>630</v>
      </c>
      <c r="CO300" s="3">
        <v>43088</v>
      </c>
      <c r="CP300" s="3">
        <v>43634</v>
      </c>
    </row>
    <row r="301" spans="1:94" x14ac:dyDescent="0.25">
      <c r="A301" s="2" t="s">
        <v>1569</v>
      </c>
      <c r="B301" s="2" t="str">
        <f xml:space="preserve"> "" &amp; 844349025429</f>
        <v>844349025429</v>
      </c>
      <c r="C301" s="2" t="s">
        <v>526</v>
      </c>
      <c r="D301" s="2" t="s">
        <v>1570</v>
      </c>
      <c r="E301" s="2" t="s">
        <v>1562</v>
      </c>
      <c r="F301" s="2" t="s">
        <v>340</v>
      </c>
      <c r="G301" s="2">
        <v>1</v>
      </c>
      <c r="H301" s="2">
        <v>1</v>
      </c>
      <c r="I301" s="2" t="s">
        <v>94</v>
      </c>
      <c r="J301" s="6">
        <v>189</v>
      </c>
      <c r="K301" s="6">
        <v>567</v>
      </c>
      <c r="L301" s="2">
        <v>0</v>
      </c>
      <c r="N301" s="2">
        <v>0</v>
      </c>
      <c r="O301" s="2" t="s">
        <v>96</v>
      </c>
      <c r="P301" s="6">
        <v>397.95</v>
      </c>
      <c r="Q301" s="6"/>
      <c r="R301" s="7"/>
      <c r="S301" s="2">
        <v>18</v>
      </c>
      <c r="U301" s="2">
        <v>18</v>
      </c>
      <c r="V301" s="2">
        <v>5.75</v>
      </c>
      <c r="W301" s="2">
        <v>9.2200000000000006</v>
      </c>
      <c r="X301" s="2">
        <v>1</v>
      </c>
      <c r="Y301" s="2">
        <v>6.99</v>
      </c>
      <c r="Z301" s="2">
        <v>20.18</v>
      </c>
      <c r="AA301" s="2">
        <v>20.18</v>
      </c>
      <c r="AB301" s="2">
        <v>1.647</v>
      </c>
      <c r="AC301" s="2">
        <v>12.35</v>
      </c>
      <c r="AE301" s="2">
        <v>1</v>
      </c>
      <c r="AF301" s="2" t="s">
        <v>347</v>
      </c>
      <c r="AG301" s="2">
        <v>10</v>
      </c>
      <c r="AK301" s="2" t="s">
        <v>96</v>
      </c>
      <c r="AM301" s="2" t="s">
        <v>95</v>
      </c>
      <c r="AN301" s="2" t="s">
        <v>96</v>
      </c>
      <c r="AO301" s="2" t="s">
        <v>95</v>
      </c>
      <c r="AP301" s="2" t="s">
        <v>97</v>
      </c>
      <c r="AQ301" s="2" t="s">
        <v>98</v>
      </c>
      <c r="AV301" s="2" t="s">
        <v>95</v>
      </c>
      <c r="AX301" s="2" t="s">
        <v>634</v>
      </c>
      <c r="AZ301" s="2" t="s">
        <v>449</v>
      </c>
      <c r="BB301" s="2" t="s">
        <v>348</v>
      </c>
      <c r="BF301" s="2" t="s">
        <v>1571</v>
      </c>
      <c r="BG301" s="2" t="s">
        <v>95</v>
      </c>
      <c r="BH301" s="2" t="s">
        <v>95</v>
      </c>
      <c r="BI301" s="2" t="s">
        <v>95</v>
      </c>
      <c r="BK301" s="2" t="s">
        <v>414</v>
      </c>
      <c r="BM301" s="2">
        <v>10.63</v>
      </c>
      <c r="BN301" s="2">
        <v>10.63</v>
      </c>
      <c r="CA301" s="2" t="s">
        <v>1572</v>
      </c>
      <c r="CB301" s="2" t="s">
        <v>634</v>
      </c>
      <c r="CG301" s="2">
        <v>3000</v>
      </c>
      <c r="CH301" s="2">
        <v>81</v>
      </c>
      <c r="CI301" s="2">
        <v>503.8</v>
      </c>
      <c r="CJ301" s="2">
        <v>389</v>
      </c>
      <c r="CK301" s="2">
        <v>50000</v>
      </c>
      <c r="CL301" s="2" t="s">
        <v>96</v>
      </c>
      <c r="CM301" s="2" t="s">
        <v>95</v>
      </c>
      <c r="CN301" s="2" t="s">
        <v>630</v>
      </c>
      <c r="CO301" s="3">
        <v>43088</v>
      </c>
      <c r="CP301" s="3">
        <v>43634</v>
      </c>
    </row>
    <row r="302" spans="1:94" x14ac:dyDescent="0.25">
      <c r="A302" s="2" t="s">
        <v>1573</v>
      </c>
      <c r="B302" s="2" t="str">
        <f xml:space="preserve"> "" &amp; 844349025443</f>
        <v>844349025443</v>
      </c>
      <c r="C302" s="2" t="s">
        <v>526</v>
      </c>
      <c r="D302" s="2" t="s">
        <v>1574</v>
      </c>
      <c r="E302" s="2" t="s">
        <v>1575</v>
      </c>
      <c r="F302" s="2" t="s">
        <v>340</v>
      </c>
      <c r="G302" s="2">
        <v>1</v>
      </c>
      <c r="H302" s="2">
        <v>1</v>
      </c>
      <c r="I302" s="2" t="s">
        <v>94</v>
      </c>
      <c r="J302" s="6">
        <v>129</v>
      </c>
      <c r="K302" s="6">
        <v>387</v>
      </c>
      <c r="L302" s="2">
        <v>0</v>
      </c>
      <c r="N302" s="2">
        <v>0</v>
      </c>
      <c r="O302" s="2" t="s">
        <v>96</v>
      </c>
      <c r="P302" s="6">
        <v>269.95</v>
      </c>
      <c r="Q302" s="6"/>
      <c r="R302" s="7"/>
      <c r="S302" s="2">
        <v>12</v>
      </c>
      <c r="U302" s="2">
        <v>13.5</v>
      </c>
      <c r="V302" s="2">
        <v>2.75</v>
      </c>
      <c r="W302" s="2">
        <v>3.09</v>
      </c>
      <c r="X302" s="2">
        <v>1</v>
      </c>
      <c r="Y302" s="2">
        <v>5</v>
      </c>
      <c r="Z302" s="2">
        <v>16.25</v>
      </c>
      <c r="AA302" s="2">
        <v>14</v>
      </c>
      <c r="AB302" s="2">
        <v>0.65800000000000003</v>
      </c>
      <c r="AC302" s="2">
        <v>4.96</v>
      </c>
      <c r="AE302" s="2">
        <v>1</v>
      </c>
      <c r="AF302" s="2" t="s">
        <v>347</v>
      </c>
      <c r="AG302" s="2">
        <v>18</v>
      </c>
      <c r="AK302" s="2" t="s">
        <v>96</v>
      </c>
      <c r="AM302" s="2" t="s">
        <v>95</v>
      </c>
      <c r="AN302" s="2" t="s">
        <v>96</v>
      </c>
      <c r="AO302" s="2" t="s">
        <v>95</v>
      </c>
      <c r="AP302" s="2" t="s">
        <v>97</v>
      </c>
      <c r="AQ302" s="2" t="s">
        <v>98</v>
      </c>
      <c r="AV302" s="2" t="s">
        <v>95</v>
      </c>
      <c r="AX302" s="2" t="s">
        <v>648</v>
      </c>
      <c r="AZ302" s="2" t="s">
        <v>449</v>
      </c>
      <c r="BF302" s="2" t="s">
        <v>1576</v>
      </c>
      <c r="BG302" s="2" t="s">
        <v>95</v>
      </c>
      <c r="BH302" s="2" t="s">
        <v>96</v>
      </c>
      <c r="BI302" s="2" t="s">
        <v>95</v>
      </c>
      <c r="BK302" s="2" t="s">
        <v>414</v>
      </c>
      <c r="BM302" s="2">
        <v>2.75</v>
      </c>
      <c r="BN302" s="2">
        <v>13.38</v>
      </c>
      <c r="CA302" s="2" t="s">
        <v>1577</v>
      </c>
      <c r="CB302" s="2" t="s">
        <v>648</v>
      </c>
      <c r="CG302" s="2">
        <v>3000</v>
      </c>
      <c r="CH302" s="2">
        <v>92</v>
      </c>
      <c r="CI302" s="2">
        <v>1416</v>
      </c>
      <c r="CJ302" s="2">
        <v>905</v>
      </c>
      <c r="CK302" s="2">
        <v>50000</v>
      </c>
      <c r="CL302" s="2" t="s">
        <v>96</v>
      </c>
      <c r="CM302" s="2" t="s">
        <v>95</v>
      </c>
      <c r="CN302" s="2" t="s">
        <v>630</v>
      </c>
      <c r="CO302" s="3">
        <v>43088</v>
      </c>
      <c r="CP302" s="3">
        <v>43634</v>
      </c>
    </row>
    <row r="303" spans="1:94" x14ac:dyDescent="0.25">
      <c r="A303" s="2" t="s">
        <v>1578</v>
      </c>
      <c r="B303" s="2" t="str">
        <f xml:space="preserve"> "" &amp; 844349025580</f>
        <v>844349025580</v>
      </c>
      <c r="C303" s="2" t="s">
        <v>467</v>
      </c>
      <c r="D303" s="2" t="s">
        <v>1579</v>
      </c>
      <c r="E303" s="2" t="s">
        <v>1580</v>
      </c>
      <c r="F303" s="2" t="s">
        <v>340</v>
      </c>
      <c r="G303" s="2">
        <v>1</v>
      </c>
      <c r="H303" s="2">
        <v>1</v>
      </c>
      <c r="I303" s="2" t="s">
        <v>94</v>
      </c>
      <c r="J303" s="6">
        <v>225</v>
      </c>
      <c r="K303" s="6">
        <v>675</v>
      </c>
      <c r="L303" s="2">
        <v>0</v>
      </c>
      <c r="N303" s="2">
        <v>0</v>
      </c>
      <c r="O303" s="2" t="s">
        <v>96</v>
      </c>
      <c r="P303" s="6">
        <v>474.95</v>
      </c>
      <c r="Q303" s="6"/>
      <c r="R303" s="7"/>
      <c r="S303" s="2">
        <v>10.5</v>
      </c>
      <c r="U303" s="2">
        <v>16.75</v>
      </c>
      <c r="W303" s="2">
        <v>6.07</v>
      </c>
      <c r="X303" s="2">
        <v>1</v>
      </c>
      <c r="Y303" s="2">
        <v>13.5</v>
      </c>
      <c r="Z303" s="2">
        <v>19.38</v>
      </c>
      <c r="AA303" s="2">
        <v>19.38</v>
      </c>
      <c r="AB303" s="2">
        <v>2.9340000000000002</v>
      </c>
      <c r="AC303" s="2">
        <v>10.210000000000001</v>
      </c>
      <c r="AE303" s="2">
        <v>1</v>
      </c>
      <c r="AF303" s="2" t="s">
        <v>347</v>
      </c>
      <c r="AG303" s="2">
        <v>28</v>
      </c>
      <c r="AK303" s="2" t="s">
        <v>96</v>
      </c>
      <c r="AM303" s="2" t="s">
        <v>95</v>
      </c>
      <c r="AN303" s="2" t="s">
        <v>95</v>
      </c>
      <c r="AO303" s="2" t="s">
        <v>95</v>
      </c>
      <c r="AP303" s="2" t="s">
        <v>97</v>
      </c>
      <c r="AQ303" s="2" t="s">
        <v>98</v>
      </c>
      <c r="AV303" s="2" t="s">
        <v>95</v>
      </c>
      <c r="AX303" s="2" t="s">
        <v>642</v>
      </c>
      <c r="AZ303" s="2" t="s">
        <v>449</v>
      </c>
      <c r="BF303" s="2" t="s">
        <v>1581</v>
      </c>
      <c r="BG303" s="2" t="s">
        <v>95</v>
      </c>
      <c r="BH303" s="2" t="s">
        <v>95</v>
      </c>
      <c r="BI303" s="2" t="s">
        <v>95</v>
      </c>
      <c r="BK303" s="2" t="s">
        <v>100</v>
      </c>
      <c r="CA303" s="2" t="s">
        <v>1582</v>
      </c>
      <c r="CB303" s="2" t="s">
        <v>642</v>
      </c>
      <c r="CG303" s="2">
        <v>3000</v>
      </c>
      <c r="CJ303" s="2">
        <v>1120</v>
      </c>
      <c r="CK303" s="2">
        <v>30000</v>
      </c>
      <c r="CL303" s="2" t="s">
        <v>95</v>
      </c>
      <c r="CM303" s="2" t="s">
        <v>95</v>
      </c>
      <c r="CO303" s="3">
        <v>43088</v>
      </c>
      <c r="CP303" s="3">
        <v>43634</v>
      </c>
    </row>
    <row r="304" spans="1:94" x14ac:dyDescent="0.25">
      <c r="A304" s="2" t="s">
        <v>1583</v>
      </c>
      <c r="B304" s="2" t="str">
        <f xml:space="preserve"> "" &amp; 844349025450</f>
        <v>844349025450</v>
      </c>
      <c r="C304" s="2" t="s">
        <v>467</v>
      </c>
      <c r="D304" s="2" t="s">
        <v>1579</v>
      </c>
      <c r="E304" s="2" t="s">
        <v>1580</v>
      </c>
      <c r="F304" s="2" t="s">
        <v>340</v>
      </c>
      <c r="G304" s="2">
        <v>1</v>
      </c>
      <c r="H304" s="2">
        <v>1</v>
      </c>
      <c r="I304" s="2" t="s">
        <v>94</v>
      </c>
      <c r="J304" s="6">
        <v>225</v>
      </c>
      <c r="K304" s="6">
        <v>675</v>
      </c>
      <c r="L304" s="2">
        <v>0</v>
      </c>
      <c r="N304" s="2">
        <v>0</v>
      </c>
      <c r="O304" s="2" t="s">
        <v>96</v>
      </c>
      <c r="P304" s="6">
        <v>474.95</v>
      </c>
      <c r="Q304" s="6"/>
      <c r="R304" s="7"/>
      <c r="S304" s="2">
        <v>59</v>
      </c>
      <c r="U304" s="2">
        <v>16.75</v>
      </c>
      <c r="W304" s="2">
        <v>6.07</v>
      </c>
      <c r="X304" s="2">
        <v>1</v>
      </c>
      <c r="Y304" s="2">
        <v>13.5</v>
      </c>
      <c r="Z304" s="2">
        <v>19.38</v>
      </c>
      <c r="AA304" s="2">
        <v>19.38</v>
      </c>
      <c r="AB304" s="2">
        <v>2.9340000000000002</v>
      </c>
      <c r="AC304" s="2">
        <v>10.210000000000001</v>
      </c>
      <c r="AE304" s="2">
        <v>1</v>
      </c>
      <c r="AF304" s="2" t="s">
        <v>347</v>
      </c>
      <c r="AG304" s="2">
        <v>28</v>
      </c>
      <c r="AK304" s="2" t="s">
        <v>96</v>
      </c>
      <c r="AM304" s="2" t="s">
        <v>95</v>
      </c>
      <c r="AN304" s="2" t="s">
        <v>95</v>
      </c>
      <c r="AO304" s="2" t="s">
        <v>95</v>
      </c>
      <c r="AP304" s="2" t="s">
        <v>97</v>
      </c>
      <c r="AQ304" s="2" t="s">
        <v>98</v>
      </c>
      <c r="AV304" s="2" t="s">
        <v>95</v>
      </c>
      <c r="AX304" s="2" t="s">
        <v>1584</v>
      </c>
      <c r="AZ304" s="2" t="s">
        <v>449</v>
      </c>
      <c r="BF304" s="2" t="s">
        <v>1585</v>
      </c>
      <c r="BG304" s="2" t="s">
        <v>95</v>
      </c>
      <c r="BH304" s="2" t="s">
        <v>95</v>
      </c>
      <c r="BI304" s="2" t="s">
        <v>95</v>
      </c>
      <c r="BK304" s="2" t="s">
        <v>100</v>
      </c>
      <c r="CA304" s="2" t="s">
        <v>1582</v>
      </c>
      <c r="CB304" s="2" t="s">
        <v>1584</v>
      </c>
      <c r="CG304" s="2">
        <v>3000</v>
      </c>
      <c r="CJ304" s="2">
        <v>1120</v>
      </c>
      <c r="CK304" s="2">
        <v>30000</v>
      </c>
      <c r="CL304" s="2" t="s">
        <v>95</v>
      </c>
      <c r="CM304" s="2" t="s">
        <v>95</v>
      </c>
      <c r="CO304" s="3">
        <v>43088</v>
      </c>
      <c r="CP304" s="3">
        <v>43634</v>
      </c>
    </row>
    <row r="305" spans="1:94" x14ac:dyDescent="0.25">
      <c r="A305" s="2" t="s">
        <v>1586</v>
      </c>
      <c r="B305" s="2" t="str">
        <f xml:space="preserve"> "" &amp; 844349028475</f>
        <v>844349028475</v>
      </c>
      <c r="C305" s="2" t="s">
        <v>670</v>
      </c>
      <c r="D305" s="2" t="s">
        <v>1587</v>
      </c>
      <c r="E305" s="2" t="s">
        <v>1588</v>
      </c>
      <c r="F305" s="2" t="s">
        <v>340</v>
      </c>
      <c r="G305" s="2">
        <v>1</v>
      </c>
      <c r="H305" s="2">
        <v>1</v>
      </c>
      <c r="I305" s="2" t="s">
        <v>94</v>
      </c>
      <c r="J305" s="6">
        <v>195</v>
      </c>
      <c r="K305" s="6">
        <v>585</v>
      </c>
      <c r="L305" s="2">
        <v>0</v>
      </c>
      <c r="N305" s="2">
        <v>0</v>
      </c>
      <c r="O305" s="2" t="s">
        <v>96</v>
      </c>
      <c r="P305" s="6">
        <v>409.95</v>
      </c>
      <c r="Q305" s="6"/>
      <c r="R305" s="7"/>
      <c r="S305" s="2">
        <v>10</v>
      </c>
      <c r="T305" s="2">
        <v>19</v>
      </c>
      <c r="U305" s="2">
        <v>19</v>
      </c>
      <c r="W305" s="2">
        <v>9.2799999999999994</v>
      </c>
      <c r="X305" s="2">
        <v>1</v>
      </c>
      <c r="Y305" s="2">
        <v>7.25</v>
      </c>
      <c r="Z305" s="2">
        <v>23</v>
      </c>
      <c r="AA305" s="2">
        <v>23</v>
      </c>
      <c r="AB305" s="2">
        <v>2.2189999999999999</v>
      </c>
      <c r="AC305" s="2">
        <v>12.79</v>
      </c>
      <c r="AE305" s="2">
        <v>1</v>
      </c>
      <c r="AF305" s="2" t="s">
        <v>1589</v>
      </c>
      <c r="AG305" s="2">
        <v>27</v>
      </c>
      <c r="AK305" s="2" t="s">
        <v>96</v>
      </c>
      <c r="AM305" s="2" t="s">
        <v>95</v>
      </c>
      <c r="AN305" s="2" t="s">
        <v>96</v>
      </c>
      <c r="AO305" s="2" t="s">
        <v>95</v>
      </c>
      <c r="AP305" s="2" t="s">
        <v>97</v>
      </c>
      <c r="AQ305" s="2" t="s">
        <v>98</v>
      </c>
      <c r="AV305" s="2" t="s">
        <v>95</v>
      </c>
      <c r="AX305" s="2" t="s">
        <v>642</v>
      </c>
      <c r="AZ305" s="2" t="s">
        <v>483</v>
      </c>
      <c r="BF305" s="2" t="s">
        <v>1590</v>
      </c>
      <c r="BG305" s="2" t="s">
        <v>95</v>
      </c>
      <c r="BH305" s="2" t="s">
        <v>95</v>
      </c>
      <c r="BI305" s="2" t="s">
        <v>95</v>
      </c>
      <c r="BK305" s="2" t="s">
        <v>414</v>
      </c>
      <c r="BR305" s="2">
        <v>2</v>
      </c>
      <c r="BT305" s="2">
        <v>4.75</v>
      </c>
      <c r="CA305" s="2" t="s">
        <v>1591</v>
      </c>
      <c r="CB305" s="2" t="s">
        <v>642</v>
      </c>
      <c r="CG305" s="2">
        <v>3000</v>
      </c>
      <c r="CH305" s="2">
        <v>94</v>
      </c>
      <c r="CI305" s="2">
        <v>2465.1</v>
      </c>
      <c r="CJ305" s="2">
        <v>1903.3</v>
      </c>
      <c r="CK305" s="2">
        <v>30000</v>
      </c>
      <c r="CL305" s="2" t="s">
        <v>96</v>
      </c>
      <c r="CM305" s="2" t="s">
        <v>95</v>
      </c>
      <c r="CN305" s="2" t="s">
        <v>677</v>
      </c>
      <c r="CO305" s="3">
        <v>43537</v>
      </c>
      <c r="CP305" s="3">
        <v>43634</v>
      </c>
    </row>
    <row r="306" spans="1:94" x14ac:dyDescent="0.25">
      <c r="A306" s="2" t="s">
        <v>1592</v>
      </c>
      <c r="B306" s="2" t="str">
        <f xml:space="preserve"> "" &amp; 844349028468</f>
        <v>844349028468</v>
      </c>
      <c r="C306" s="2" t="s">
        <v>670</v>
      </c>
      <c r="D306" s="2" t="s">
        <v>1587</v>
      </c>
      <c r="E306" s="2" t="s">
        <v>1588</v>
      </c>
      <c r="F306" s="2" t="s">
        <v>340</v>
      </c>
      <c r="G306" s="2">
        <v>1</v>
      </c>
      <c r="H306" s="2">
        <v>1</v>
      </c>
      <c r="I306" s="2" t="s">
        <v>94</v>
      </c>
      <c r="J306" s="6">
        <v>195</v>
      </c>
      <c r="K306" s="6">
        <v>585</v>
      </c>
      <c r="L306" s="2">
        <v>0</v>
      </c>
      <c r="N306" s="2">
        <v>0</v>
      </c>
      <c r="O306" s="2" t="s">
        <v>96</v>
      </c>
      <c r="P306" s="6">
        <v>409.95</v>
      </c>
      <c r="Q306" s="6"/>
      <c r="R306" s="7"/>
      <c r="S306" s="2">
        <v>10</v>
      </c>
      <c r="T306" s="2">
        <v>19</v>
      </c>
      <c r="U306" s="2">
        <v>19</v>
      </c>
      <c r="W306" s="2">
        <v>9.2799999999999994</v>
      </c>
      <c r="X306" s="2">
        <v>1</v>
      </c>
      <c r="Y306" s="2">
        <v>7.25</v>
      </c>
      <c r="Z306" s="2">
        <v>23</v>
      </c>
      <c r="AA306" s="2">
        <v>23</v>
      </c>
      <c r="AB306" s="2">
        <v>2.2189999999999999</v>
      </c>
      <c r="AC306" s="2">
        <v>12.79</v>
      </c>
      <c r="AE306" s="2">
        <v>1</v>
      </c>
      <c r="AF306" s="2" t="s">
        <v>1589</v>
      </c>
      <c r="AG306" s="2">
        <v>27</v>
      </c>
      <c r="AK306" s="2" t="s">
        <v>96</v>
      </c>
      <c r="AM306" s="2" t="s">
        <v>95</v>
      </c>
      <c r="AN306" s="2" t="s">
        <v>96</v>
      </c>
      <c r="AO306" s="2" t="s">
        <v>95</v>
      </c>
      <c r="AP306" s="2" t="s">
        <v>97</v>
      </c>
      <c r="AQ306" s="2" t="s">
        <v>98</v>
      </c>
      <c r="AV306" s="2" t="s">
        <v>95</v>
      </c>
      <c r="AX306" s="2" t="s">
        <v>1593</v>
      </c>
      <c r="AZ306" s="2" t="s">
        <v>483</v>
      </c>
      <c r="BF306" s="2" t="s">
        <v>1594</v>
      </c>
      <c r="BG306" s="2" t="s">
        <v>95</v>
      </c>
      <c r="BH306" s="2" t="s">
        <v>95</v>
      </c>
      <c r="BI306" s="2" t="s">
        <v>95</v>
      </c>
      <c r="BK306" s="2" t="s">
        <v>414</v>
      </c>
      <c r="BR306" s="2">
        <v>2</v>
      </c>
      <c r="BT306" s="2">
        <v>4.75</v>
      </c>
      <c r="CA306" s="2" t="s">
        <v>1591</v>
      </c>
      <c r="CB306" s="2" t="s">
        <v>1593</v>
      </c>
      <c r="CG306" s="2">
        <v>3000</v>
      </c>
      <c r="CH306" s="2">
        <v>94</v>
      </c>
      <c r="CI306" s="2">
        <v>2465.1</v>
      </c>
      <c r="CJ306" s="2">
        <v>1903.3</v>
      </c>
      <c r="CK306" s="2">
        <v>30000</v>
      </c>
      <c r="CL306" s="2" t="s">
        <v>96</v>
      </c>
      <c r="CM306" s="2" t="s">
        <v>95</v>
      </c>
      <c r="CN306" s="2" t="s">
        <v>677</v>
      </c>
      <c r="CO306" s="3">
        <v>43537</v>
      </c>
      <c r="CP306" s="3">
        <v>43634</v>
      </c>
    </row>
    <row r="307" spans="1:94" x14ac:dyDescent="0.25">
      <c r="A307" s="2" t="s">
        <v>1595</v>
      </c>
      <c r="B307" s="2" t="str">
        <f xml:space="preserve"> "" &amp; 844349028345</f>
        <v>844349028345</v>
      </c>
      <c r="C307" s="2" t="s">
        <v>670</v>
      </c>
      <c r="D307" s="2" t="s">
        <v>1596</v>
      </c>
      <c r="E307" s="2" t="s">
        <v>1597</v>
      </c>
      <c r="F307" s="2" t="s">
        <v>340</v>
      </c>
      <c r="G307" s="2">
        <v>1</v>
      </c>
      <c r="H307" s="2">
        <v>1</v>
      </c>
      <c r="I307" s="2" t="s">
        <v>94</v>
      </c>
      <c r="J307" s="6">
        <v>219</v>
      </c>
      <c r="K307" s="6">
        <v>657</v>
      </c>
      <c r="L307" s="2">
        <v>0</v>
      </c>
      <c r="N307" s="2">
        <v>0</v>
      </c>
      <c r="O307" s="2" t="s">
        <v>96</v>
      </c>
      <c r="P307" s="6">
        <v>459.95</v>
      </c>
      <c r="Q307" s="6"/>
      <c r="R307" s="7"/>
      <c r="S307" s="2">
        <v>3.25</v>
      </c>
      <c r="T307" s="2">
        <v>19.75</v>
      </c>
      <c r="U307" s="2">
        <v>19.75</v>
      </c>
      <c r="W307" s="2">
        <v>6.39</v>
      </c>
      <c r="X307" s="2">
        <v>1</v>
      </c>
      <c r="Y307" s="2">
        <v>5.5</v>
      </c>
      <c r="Z307" s="2">
        <v>22</v>
      </c>
      <c r="AA307" s="2">
        <v>22</v>
      </c>
      <c r="AB307" s="2">
        <v>1.5409999999999999</v>
      </c>
      <c r="AC307" s="2">
        <v>7.72</v>
      </c>
      <c r="AE307" s="2">
        <v>1</v>
      </c>
      <c r="AF307" s="2" t="s">
        <v>1589</v>
      </c>
      <c r="AG307" s="2">
        <v>27</v>
      </c>
      <c r="AK307" s="2" t="s">
        <v>96</v>
      </c>
      <c r="AM307" s="2" t="s">
        <v>95</v>
      </c>
      <c r="AN307" s="2" t="s">
        <v>96</v>
      </c>
      <c r="AO307" s="2" t="s">
        <v>95</v>
      </c>
      <c r="AP307" s="2" t="s">
        <v>97</v>
      </c>
      <c r="AQ307" s="2" t="s">
        <v>98</v>
      </c>
      <c r="AV307" s="2" t="s">
        <v>95</v>
      </c>
      <c r="AX307" s="2" t="s">
        <v>116</v>
      </c>
      <c r="AZ307" s="2" t="s">
        <v>483</v>
      </c>
      <c r="BB307" s="2" t="s">
        <v>348</v>
      </c>
      <c r="BC307" s="2" t="s">
        <v>451</v>
      </c>
      <c r="BF307" s="2" t="s">
        <v>1598</v>
      </c>
      <c r="BG307" s="2" t="s">
        <v>95</v>
      </c>
      <c r="BH307" s="2" t="s">
        <v>95</v>
      </c>
      <c r="BI307" s="2" t="s">
        <v>95</v>
      </c>
      <c r="BK307" s="2" t="s">
        <v>414</v>
      </c>
      <c r="BQ307" s="2">
        <v>6</v>
      </c>
      <c r="BR307" s="2">
        <v>1.5</v>
      </c>
      <c r="BS307" s="2">
        <v>6</v>
      </c>
      <c r="BT307" s="2">
        <v>6</v>
      </c>
      <c r="CA307" s="2" t="s">
        <v>1599</v>
      </c>
      <c r="CB307" s="2" t="s">
        <v>116</v>
      </c>
      <c r="CG307" s="2">
        <v>3000</v>
      </c>
      <c r="CH307" s="2">
        <v>92</v>
      </c>
      <c r="CI307" s="2">
        <v>2203</v>
      </c>
      <c r="CJ307" s="2">
        <v>1715.5</v>
      </c>
      <c r="CK307" s="2">
        <v>30000</v>
      </c>
      <c r="CL307" s="2" t="s">
        <v>96</v>
      </c>
      <c r="CM307" s="2" t="s">
        <v>95</v>
      </c>
      <c r="CN307" s="2" t="s">
        <v>677</v>
      </c>
      <c r="CO307" s="3">
        <v>43537</v>
      </c>
      <c r="CP307" s="3">
        <v>43634</v>
      </c>
    </row>
    <row r="308" spans="1:94" x14ac:dyDescent="0.25">
      <c r="A308" s="2" t="s">
        <v>1600</v>
      </c>
      <c r="B308" s="2" t="str">
        <f xml:space="preserve"> "" &amp; 844349028352</f>
        <v>844349028352</v>
      </c>
      <c r="C308" s="2" t="s">
        <v>670</v>
      </c>
      <c r="D308" s="2" t="s">
        <v>1596</v>
      </c>
      <c r="E308" s="2" t="s">
        <v>1597</v>
      </c>
      <c r="F308" s="2" t="s">
        <v>340</v>
      </c>
      <c r="G308" s="2">
        <v>1</v>
      </c>
      <c r="H308" s="2">
        <v>1</v>
      </c>
      <c r="I308" s="2" t="s">
        <v>94</v>
      </c>
      <c r="J308" s="6">
        <v>249</v>
      </c>
      <c r="K308" s="6">
        <v>747</v>
      </c>
      <c r="L308" s="2">
        <v>0</v>
      </c>
      <c r="N308" s="2">
        <v>0</v>
      </c>
      <c r="O308" s="2" t="s">
        <v>96</v>
      </c>
      <c r="P308" s="6">
        <v>524.95000000000005</v>
      </c>
      <c r="Q308" s="6"/>
      <c r="R308" s="7"/>
      <c r="S308" s="2">
        <v>6.25</v>
      </c>
      <c r="T308" s="2">
        <v>17</v>
      </c>
      <c r="U308" s="2">
        <v>17</v>
      </c>
      <c r="W308" s="2">
        <v>8.16</v>
      </c>
      <c r="X308" s="2">
        <v>1</v>
      </c>
      <c r="Y308" s="2">
        <v>14.38</v>
      </c>
      <c r="Z308" s="2">
        <v>14.13</v>
      </c>
      <c r="AA308" s="2">
        <v>10.25</v>
      </c>
      <c r="AB308" s="2">
        <v>1.2050000000000001</v>
      </c>
      <c r="AC308" s="2">
        <v>8.82</v>
      </c>
      <c r="AE308" s="2">
        <v>3</v>
      </c>
      <c r="AF308" s="2" t="s">
        <v>347</v>
      </c>
      <c r="AG308" s="2">
        <v>9</v>
      </c>
      <c r="AK308" s="2" t="s">
        <v>96</v>
      </c>
      <c r="AM308" s="2" t="s">
        <v>95</v>
      </c>
      <c r="AN308" s="2" t="s">
        <v>96</v>
      </c>
      <c r="AO308" s="2" t="s">
        <v>95</v>
      </c>
      <c r="AP308" s="2" t="s">
        <v>97</v>
      </c>
      <c r="AQ308" s="2" t="s">
        <v>98</v>
      </c>
      <c r="AV308" s="2" t="s">
        <v>95</v>
      </c>
      <c r="AX308" s="2" t="s">
        <v>116</v>
      </c>
      <c r="AZ308" s="2" t="s">
        <v>483</v>
      </c>
      <c r="BB308" s="2" t="s">
        <v>348</v>
      </c>
      <c r="BC308" s="2" t="s">
        <v>451</v>
      </c>
      <c r="BF308" s="2" t="s">
        <v>1601</v>
      </c>
      <c r="BG308" s="2" t="s">
        <v>95</v>
      </c>
      <c r="BH308" s="2" t="s">
        <v>95</v>
      </c>
      <c r="BI308" s="2" t="s">
        <v>95</v>
      </c>
      <c r="BK308" s="2" t="s">
        <v>414</v>
      </c>
      <c r="BQ308" s="2">
        <v>11.75</v>
      </c>
      <c r="BR308" s="2">
        <v>1.5</v>
      </c>
      <c r="BS308" s="2">
        <v>11.75</v>
      </c>
      <c r="BT308" s="2">
        <v>11.75</v>
      </c>
      <c r="CA308" s="2" t="s">
        <v>1602</v>
      </c>
      <c r="CB308" s="2" t="s">
        <v>116</v>
      </c>
      <c r="CG308" s="2">
        <v>3000</v>
      </c>
      <c r="CH308" s="2">
        <v>93</v>
      </c>
      <c r="CI308" s="2">
        <v>2250</v>
      </c>
      <c r="CJ308" s="2">
        <v>1978</v>
      </c>
      <c r="CK308" s="2">
        <v>30000</v>
      </c>
      <c r="CL308" s="2" t="s">
        <v>96</v>
      </c>
      <c r="CM308" s="2" t="s">
        <v>95</v>
      </c>
      <c r="CN308" s="2" t="s">
        <v>677</v>
      </c>
      <c r="CO308" s="3">
        <v>43537</v>
      </c>
      <c r="CP308" s="3">
        <v>43634</v>
      </c>
    </row>
    <row r="309" spans="1:94" x14ac:dyDescent="0.25">
      <c r="A309" s="2" t="s">
        <v>1603</v>
      </c>
      <c r="B309" s="2" t="str">
        <f xml:space="preserve"> "" &amp; 844349028376</f>
        <v>844349028376</v>
      </c>
      <c r="C309" s="2" t="s">
        <v>1604</v>
      </c>
      <c r="D309" s="2" t="s">
        <v>1605</v>
      </c>
      <c r="E309" s="2" t="s">
        <v>1606</v>
      </c>
      <c r="F309" s="2" t="s">
        <v>340</v>
      </c>
      <c r="G309" s="2">
        <v>1</v>
      </c>
      <c r="H309" s="2">
        <v>1</v>
      </c>
      <c r="I309" s="2" t="s">
        <v>94</v>
      </c>
      <c r="J309" s="6">
        <v>219</v>
      </c>
      <c r="K309" s="6">
        <v>657</v>
      </c>
      <c r="L309" s="2">
        <v>0</v>
      </c>
      <c r="N309" s="2">
        <v>0</v>
      </c>
      <c r="O309" s="2" t="s">
        <v>96</v>
      </c>
      <c r="P309" s="6">
        <v>459.95</v>
      </c>
      <c r="Q309" s="6"/>
      <c r="R309" s="7"/>
      <c r="S309" s="2">
        <v>9.5</v>
      </c>
      <c r="T309" s="2">
        <v>26</v>
      </c>
      <c r="U309" s="2">
        <v>26</v>
      </c>
      <c r="W309" s="2">
        <v>10.74</v>
      </c>
      <c r="X309" s="2">
        <v>1</v>
      </c>
      <c r="Y309" s="2">
        <v>12.5</v>
      </c>
      <c r="Z309" s="2">
        <v>28.5</v>
      </c>
      <c r="AA309" s="2">
        <v>28.5</v>
      </c>
      <c r="AB309" s="2">
        <v>5.8760000000000003</v>
      </c>
      <c r="AC309" s="2">
        <v>17.350000000000001</v>
      </c>
      <c r="AE309" s="2">
        <v>1</v>
      </c>
      <c r="AF309" s="2" t="s">
        <v>1607</v>
      </c>
      <c r="AG309" s="2">
        <v>20</v>
      </c>
      <c r="AK309" s="2" t="s">
        <v>96</v>
      </c>
      <c r="AM309" s="2" t="s">
        <v>95</v>
      </c>
      <c r="AN309" s="2" t="s">
        <v>96</v>
      </c>
      <c r="AO309" s="2" t="s">
        <v>95</v>
      </c>
      <c r="AP309" s="2" t="s">
        <v>97</v>
      </c>
      <c r="AQ309" s="2" t="s">
        <v>98</v>
      </c>
      <c r="AV309" s="2" t="s">
        <v>95</v>
      </c>
      <c r="AX309" s="2" t="s">
        <v>1608</v>
      </c>
      <c r="AZ309" s="2" t="s">
        <v>483</v>
      </c>
      <c r="BB309" s="2" t="s">
        <v>230</v>
      </c>
      <c r="BC309" s="2" t="s">
        <v>850</v>
      </c>
      <c r="BF309" s="2" t="s">
        <v>1609</v>
      </c>
      <c r="BG309" s="2" t="s">
        <v>95</v>
      </c>
      <c r="BH309" s="2" t="s">
        <v>95</v>
      </c>
      <c r="BI309" s="2" t="s">
        <v>95</v>
      </c>
      <c r="BK309" s="2" t="s">
        <v>414</v>
      </c>
      <c r="BR309" s="2">
        <v>1</v>
      </c>
      <c r="BT309" s="2">
        <v>5</v>
      </c>
      <c r="CA309" s="2" t="s">
        <v>1610</v>
      </c>
      <c r="CB309" s="2" t="s">
        <v>1608</v>
      </c>
      <c r="CG309" s="2">
        <v>3000</v>
      </c>
      <c r="CH309" s="2">
        <v>95</v>
      </c>
      <c r="CI309" s="2">
        <v>1598.2</v>
      </c>
      <c r="CJ309" s="2">
        <v>911.9</v>
      </c>
      <c r="CK309" s="2">
        <v>30000</v>
      </c>
      <c r="CL309" s="2" t="s">
        <v>96</v>
      </c>
      <c r="CM309" s="2" t="s">
        <v>96</v>
      </c>
      <c r="CN309" s="2" t="s">
        <v>460</v>
      </c>
      <c r="CO309" s="3">
        <v>43537</v>
      </c>
      <c r="CP309" s="3">
        <v>43634</v>
      </c>
    </row>
    <row r="310" spans="1:94" x14ac:dyDescent="0.25">
      <c r="A310" s="2" t="s">
        <v>1611</v>
      </c>
      <c r="B310" s="2" t="str">
        <f xml:space="preserve"> "" &amp; 844349028383</f>
        <v>844349028383</v>
      </c>
      <c r="C310" s="2" t="s">
        <v>1604</v>
      </c>
      <c r="D310" s="2" t="s">
        <v>1605</v>
      </c>
      <c r="E310" s="2" t="s">
        <v>1606</v>
      </c>
      <c r="F310" s="2" t="s">
        <v>340</v>
      </c>
      <c r="G310" s="2">
        <v>1</v>
      </c>
      <c r="H310" s="2">
        <v>1</v>
      </c>
      <c r="I310" s="2" t="s">
        <v>94</v>
      </c>
      <c r="J310" s="6">
        <v>219</v>
      </c>
      <c r="K310" s="6">
        <v>657</v>
      </c>
      <c r="L310" s="2">
        <v>0</v>
      </c>
      <c r="N310" s="2">
        <v>0</v>
      </c>
      <c r="O310" s="2" t="s">
        <v>96</v>
      </c>
      <c r="P310" s="6">
        <v>459.95</v>
      </c>
      <c r="Q310" s="6"/>
      <c r="R310" s="7"/>
      <c r="S310" s="2">
        <v>9.5</v>
      </c>
      <c r="T310" s="2">
        <v>26</v>
      </c>
      <c r="U310" s="2">
        <v>26</v>
      </c>
      <c r="W310" s="2">
        <v>10.74</v>
      </c>
      <c r="X310" s="2">
        <v>1</v>
      </c>
      <c r="Y310" s="2">
        <v>12.5</v>
      </c>
      <c r="Z310" s="2">
        <v>28.5</v>
      </c>
      <c r="AA310" s="2">
        <v>28.5</v>
      </c>
      <c r="AB310" s="2">
        <v>5.8760000000000003</v>
      </c>
      <c r="AC310" s="2">
        <v>17.350000000000001</v>
      </c>
      <c r="AE310" s="2">
        <v>1</v>
      </c>
      <c r="AF310" s="2" t="s">
        <v>1607</v>
      </c>
      <c r="AG310" s="2">
        <v>20</v>
      </c>
      <c r="AK310" s="2" t="s">
        <v>96</v>
      </c>
      <c r="AM310" s="2" t="s">
        <v>95</v>
      </c>
      <c r="AN310" s="2" t="s">
        <v>96</v>
      </c>
      <c r="AO310" s="2" t="s">
        <v>95</v>
      </c>
      <c r="AP310" s="2" t="s">
        <v>97</v>
      </c>
      <c r="AQ310" s="2" t="s">
        <v>98</v>
      </c>
      <c r="AV310" s="2" t="s">
        <v>95</v>
      </c>
      <c r="AX310" s="2" t="s">
        <v>1612</v>
      </c>
      <c r="AZ310" s="2" t="s">
        <v>483</v>
      </c>
      <c r="BB310" s="2" t="s">
        <v>230</v>
      </c>
      <c r="BC310" s="2" t="s">
        <v>850</v>
      </c>
      <c r="BF310" s="2" t="s">
        <v>1613</v>
      </c>
      <c r="BG310" s="2" t="s">
        <v>95</v>
      </c>
      <c r="BH310" s="2" t="s">
        <v>95</v>
      </c>
      <c r="BI310" s="2" t="s">
        <v>95</v>
      </c>
      <c r="BK310" s="2" t="s">
        <v>414</v>
      </c>
      <c r="BR310" s="2">
        <v>1</v>
      </c>
      <c r="BT310" s="2">
        <v>5</v>
      </c>
      <c r="CA310" s="2" t="s">
        <v>1610</v>
      </c>
      <c r="CB310" s="2" t="s">
        <v>1612</v>
      </c>
      <c r="CG310" s="2">
        <v>3000</v>
      </c>
      <c r="CH310" s="2">
        <v>92</v>
      </c>
      <c r="CI310" s="2">
        <v>1661</v>
      </c>
      <c r="CJ310" s="2">
        <v>885.5</v>
      </c>
      <c r="CK310" s="2">
        <v>30000</v>
      </c>
      <c r="CL310" s="2" t="s">
        <v>96</v>
      </c>
      <c r="CM310" s="2" t="s">
        <v>96</v>
      </c>
      <c r="CN310" s="2" t="s">
        <v>460</v>
      </c>
      <c r="CO310" s="3">
        <v>43537</v>
      </c>
      <c r="CP310" s="3">
        <v>43634</v>
      </c>
    </row>
    <row r="311" spans="1:94" x14ac:dyDescent="0.25">
      <c r="A311" s="2" t="s">
        <v>1614</v>
      </c>
      <c r="B311" s="2" t="str">
        <f xml:space="preserve"> "" &amp; 844349028451</f>
        <v>844349028451</v>
      </c>
      <c r="C311" s="2" t="s">
        <v>1615</v>
      </c>
      <c r="D311" s="2" t="s">
        <v>1616</v>
      </c>
      <c r="E311" s="2" t="s">
        <v>1617</v>
      </c>
      <c r="F311" s="2" t="s">
        <v>614</v>
      </c>
      <c r="G311" s="2">
        <v>1</v>
      </c>
      <c r="H311" s="2">
        <v>1</v>
      </c>
      <c r="I311" s="2" t="s">
        <v>94</v>
      </c>
      <c r="J311" s="6">
        <v>335</v>
      </c>
      <c r="K311" s="6">
        <v>1005</v>
      </c>
      <c r="L311" s="2">
        <v>0</v>
      </c>
      <c r="N311" s="2">
        <v>0</v>
      </c>
      <c r="O311" s="2" t="s">
        <v>96</v>
      </c>
      <c r="P311" s="6">
        <v>699.95</v>
      </c>
      <c r="Q311" s="6"/>
      <c r="R311" s="7"/>
      <c r="S311" s="2">
        <v>5.5</v>
      </c>
      <c r="T311" s="2">
        <v>37.75</v>
      </c>
      <c r="U311" s="2">
        <v>1</v>
      </c>
      <c r="V311" s="2">
        <v>21</v>
      </c>
      <c r="W311" s="2">
        <v>11.68</v>
      </c>
      <c r="X311" s="2">
        <v>1</v>
      </c>
      <c r="Y311" s="2">
        <v>8</v>
      </c>
      <c r="Z311" s="2">
        <v>40.75</v>
      </c>
      <c r="AA311" s="2">
        <v>23.5</v>
      </c>
      <c r="AB311" s="2">
        <v>4.4329999999999998</v>
      </c>
      <c r="AC311" s="2">
        <v>16.95</v>
      </c>
      <c r="AE311" s="2">
        <v>16</v>
      </c>
      <c r="AF311" s="2" t="s">
        <v>1618</v>
      </c>
      <c r="AG311" s="2">
        <v>60</v>
      </c>
      <c r="AK311" s="2" t="s">
        <v>95</v>
      </c>
      <c r="AM311" s="2" t="s">
        <v>95</v>
      </c>
      <c r="AN311" s="2" t="s">
        <v>96</v>
      </c>
      <c r="AO311" s="2" t="s">
        <v>95</v>
      </c>
      <c r="AP311" s="2" t="s">
        <v>97</v>
      </c>
      <c r="AQ311" s="2" t="s">
        <v>98</v>
      </c>
      <c r="AV311" s="2" t="s">
        <v>95</v>
      </c>
      <c r="AX311" s="2" t="s">
        <v>1619</v>
      </c>
      <c r="AZ311" s="2" t="s">
        <v>483</v>
      </c>
      <c r="BF311" s="2" t="s">
        <v>1620</v>
      </c>
      <c r="BG311" s="2" t="s">
        <v>95</v>
      </c>
      <c r="BH311" s="2" t="s">
        <v>95</v>
      </c>
      <c r="BI311" s="2" t="s">
        <v>95</v>
      </c>
      <c r="BK311" s="2" t="s">
        <v>414</v>
      </c>
      <c r="BR311" s="2">
        <v>1</v>
      </c>
      <c r="BS311" s="2">
        <v>10</v>
      </c>
      <c r="BT311" s="2">
        <v>5</v>
      </c>
      <c r="CA311" s="2" t="s">
        <v>1621</v>
      </c>
      <c r="CB311" s="2" t="s">
        <v>1619</v>
      </c>
      <c r="CL311" s="2" t="s">
        <v>96</v>
      </c>
      <c r="CM311" s="2" t="s">
        <v>96</v>
      </c>
      <c r="CN311" s="2" t="s">
        <v>230</v>
      </c>
      <c r="CO311" s="3">
        <v>43537</v>
      </c>
      <c r="CP311" s="3">
        <v>43634</v>
      </c>
    </row>
    <row r="312" spans="1:94" x14ac:dyDescent="0.25">
      <c r="A312" s="2" t="s">
        <v>1622</v>
      </c>
      <c r="B312" s="2" t="str">
        <f xml:space="preserve"> "" &amp; 844349024071</f>
        <v>844349024071</v>
      </c>
      <c r="C312" s="2" t="s">
        <v>446</v>
      </c>
      <c r="D312" s="2" t="s">
        <v>1623</v>
      </c>
      <c r="E312" s="2" t="s">
        <v>1624</v>
      </c>
      <c r="F312" s="2" t="s">
        <v>418</v>
      </c>
      <c r="G312" s="2">
        <v>1</v>
      </c>
      <c r="H312" s="2">
        <v>1</v>
      </c>
      <c r="I312" s="2" t="s">
        <v>94</v>
      </c>
      <c r="J312" s="6">
        <v>84</v>
      </c>
      <c r="K312" s="6">
        <v>252</v>
      </c>
      <c r="L312" s="2">
        <v>0</v>
      </c>
      <c r="N312" s="2">
        <v>0</v>
      </c>
      <c r="O312" s="2" t="s">
        <v>96</v>
      </c>
      <c r="P312" s="6">
        <v>178.95</v>
      </c>
      <c r="Q312" s="6"/>
      <c r="R312" s="7"/>
      <c r="S312" s="2">
        <v>20</v>
      </c>
      <c r="T312" s="2">
        <v>20</v>
      </c>
      <c r="U312" s="2">
        <v>20</v>
      </c>
      <c r="V312" s="2">
        <v>5</v>
      </c>
      <c r="W312" s="2">
        <v>3.97</v>
      </c>
      <c r="X312" s="2">
        <v>1</v>
      </c>
      <c r="Y312" s="2">
        <v>6.5</v>
      </c>
      <c r="Z312" s="2">
        <v>15</v>
      </c>
      <c r="AA312" s="2">
        <v>13.5</v>
      </c>
      <c r="AB312" s="2">
        <v>0.76200000000000001</v>
      </c>
      <c r="AC312" s="2">
        <v>5.29</v>
      </c>
      <c r="AE312" s="2">
        <v>3</v>
      </c>
      <c r="AF312" s="2" t="s">
        <v>1148</v>
      </c>
      <c r="AG312" s="2">
        <v>60</v>
      </c>
      <c r="AK312" s="2" t="s">
        <v>95</v>
      </c>
      <c r="AM312" s="2" t="s">
        <v>95</v>
      </c>
      <c r="AN312" s="2" t="s">
        <v>96</v>
      </c>
      <c r="AO312" s="2" t="s">
        <v>95</v>
      </c>
      <c r="AP312" s="2" t="s">
        <v>97</v>
      </c>
      <c r="AQ312" s="2" t="s">
        <v>98</v>
      </c>
      <c r="AV312" s="2" t="s">
        <v>95</v>
      </c>
      <c r="AX312" s="2" t="s">
        <v>395</v>
      </c>
      <c r="AZ312" s="2" t="s">
        <v>483</v>
      </c>
      <c r="BF312" s="2" t="s">
        <v>1625</v>
      </c>
      <c r="BG312" s="2" t="s">
        <v>95</v>
      </c>
      <c r="BH312" s="2" t="s">
        <v>95</v>
      </c>
      <c r="BI312" s="2" t="s">
        <v>95</v>
      </c>
      <c r="BK312" s="2" t="s">
        <v>414</v>
      </c>
      <c r="BM312" s="2">
        <v>5</v>
      </c>
      <c r="BN312" s="2">
        <v>0.75</v>
      </c>
      <c r="CA312" s="2" t="s">
        <v>1626</v>
      </c>
      <c r="CB312" s="2" t="s">
        <v>395</v>
      </c>
      <c r="CL312" s="2" t="s">
        <v>96</v>
      </c>
      <c r="CM312" s="2" t="s">
        <v>95</v>
      </c>
      <c r="CN312" s="2" t="s">
        <v>1434</v>
      </c>
      <c r="CO312" s="3">
        <v>43080</v>
      </c>
      <c r="CP312" s="3">
        <v>43634</v>
      </c>
    </row>
    <row r="313" spans="1:94" x14ac:dyDescent="0.25">
      <c r="A313" s="2" t="s">
        <v>1627</v>
      </c>
      <c r="B313" s="2" t="str">
        <f xml:space="preserve"> "" &amp; 844349024064</f>
        <v>844349024064</v>
      </c>
      <c r="C313" s="2" t="s">
        <v>446</v>
      </c>
      <c r="D313" s="2" t="s">
        <v>1623</v>
      </c>
      <c r="E313" s="2" t="s">
        <v>1624</v>
      </c>
      <c r="F313" s="2" t="s">
        <v>418</v>
      </c>
      <c r="G313" s="2">
        <v>1</v>
      </c>
      <c r="H313" s="2">
        <v>1</v>
      </c>
      <c r="I313" s="2" t="s">
        <v>94</v>
      </c>
      <c r="J313" s="6">
        <v>84</v>
      </c>
      <c r="K313" s="6">
        <v>252</v>
      </c>
      <c r="L313" s="2">
        <v>0</v>
      </c>
      <c r="N313" s="2">
        <v>0</v>
      </c>
      <c r="O313" s="2" t="s">
        <v>96</v>
      </c>
      <c r="P313" s="6">
        <v>179</v>
      </c>
      <c r="Q313" s="6"/>
      <c r="R313" s="7"/>
      <c r="S313" s="2">
        <v>20</v>
      </c>
      <c r="T313" s="2">
        <v>20</v>
      </c>
      <c r="U313" s="2">
        <v>20</v>
      </c>
      <c r="V313" s="2">
        <v>5</v>
      </c>
      <c r="W313" s="2">
        <v>3.97</v>
      </c>
      <c r="X313" s="2">
        <v>1</v>
      </c>
      <c r="Y313" s="2">
        <v>6.5</v>
      </c>
      <c r="Z313" s="2">
        <v>15</v>
      </c>
      <c r="AA313" s="2">
        <v>13.5</v>
      </c>
      <c r="AB313" s="2">
        <v>0.76200000000000001</v>
      </c>
      <c r="AC313" s="2">
        <v>5.29</v>
      </c>
      <c r="AE313" s="2">
        <v>3</v>
      </c>
      <c r="AF313" s="2" t="s">
        <v>1148</v>
      </c>
      <c r="AG313" s="2">
        <v>60</v>
      </c>
      <c r="AK313" s="2" t="s">
        <v>95</v>
      </c>
      <c r="AM313" s="2" t="s">
        <v>95</v>
      </c>
      <c r="AN313" s="2" t="s">
        <v>96</v>
      </c>
      <c r="AO313" s="2" t="s">
        <v>95</v>
      </c>
      <c r="AP313" s="2" t="s">
        <v>97</v>
      </c>
      <c r="AQ313" s="2" t="s">
        <v>98</v>
      </c>
      <c r="AV313" s="2" t="s">
        <v>95</v>
      </c>
      <c r="AX313" s="2" t="s">
        <v>1628</v>
      </c>
      <c r="AZ313" s="2" t="s">
        <v>483</v>
      </c>
      <c r="BF313" s="2" t="s">
        <v>1629</v>
      </c>
      <c r="BG313" s="2" t="s">
        <v>95</v>
      </c>
      <c r="BH313" s="2" t="s">
        <v>95</v>
      </c>
      <c r="BI313" s="2" t="s">
        <v>95</v>
      </c>
      <c r="BK313" s="2" t="s">
        <v>414</v>
      </c>
      <c r="BM313" s="2">
        <v>5</v>
      </c>
      <c r="BN313" s="2">
        <v>0.75</v>
      </c>
      <c r="CA313" s="2" t="s">
        <v>1626</v>
      </c>
      <c r="CB313" s="2" t="s">
        <v>1628</v>
      </c>
      <c r="CL313" s="2" t="s">
        <v>96</v>
      </c>
      <c r="CM313" s="2" t="s">
        <v>95</v>
      </c>
      <c r="CN313" s="2" t="s">
        <v>1434</v>
      </c>
      <c r="CO313" s="3">
        <v>43080</v>
      </c>
      <c r="CP313" s="3">
        <v>43634</v>
      </c>
    </row>
    <row r="314" spans="1:94" x14ac:dyDescent="0.25">
      <c r="A314" s="2" t="s">
        <v>1630</v>
      </c>
      <c r="B314" s="2" t="str">
        <f xml:space="preserve"> "" &amp; 844349024156</f>
        <v>844349024156</v>
      </c>
      <c r="C314" s="2" t="s">
        <v>1158</v>
      </c>
      <c r="D314" s="2" t="s">
        <v>1631</v>
      </c>
      <c r="E314" s="2" t="s">
        <v>1624</v>
      </c>
      <c r="F314" s="2" t="s">
        <v>393</v>
      </c>
      <c r="G314" s="2">
        <v>1</v>
      </c>
      <c r="H314" s="2">
        <v>1</v>
      </c>
      <c r="I314" s="2" t="s">
        <v>94</v>
      </c>
      <c r="J314" s="6">
        <v>139</v>
      </c>
      <c r="K314" s="6">
        <v>417</v>
      </c>
      <c r="L314" s="2">
        <v>0</v>
      </c>
      <c r="N314" s="2">
        <v>0</v>
      </c>
      <c r="O314" s="2" t="s">
        <v>96</v>
      </c>
      <c r="P314" s="6">
        <v>294.95</v>
      </c>
      <c r="Q314" s="6"/>
      <c r="R314" s="7"/>
      <c r="S314" s="2">
        <v>19</v>
      </c>
      <c r="T314" s="2">
        <v>18</v>
      </c>
      <c r="U314" s="2">
        <v>18</v>
      </c>
      <c r="W314" s="2">
        <v>8.11</v>
      </c>
      <c r="X314" s="2">
        <v>1</v>
      </c>
      <c r="Y314" s="2">
        <v>10.75</v>
      </c>
      <c r="Z314" s="2">
        <v>15</v>
      </c>
      <c r="AA314" s="2">
        <v>13.75</v>
      </c>
      <c r="AB314" s="2">
        <v>1.2829999999999999</v>
      </c>
      <c r="AC314" s="2">
        <v>10.01</v>
      </c>
      <c r="AE314" s="2">
        <v>6</v>
      </c>
      <c r="AF314" s="2" t="s">
        <v>1148</v>
      </c>
      <c r="AG314" s="2">
        <v>60</v>
      </c>
      <c r="AK314" s="2" t="s">
        <v>95</v>
      </c>
      <c r="AM314" s="2" t="s">
        <v>95</v>
      </c>
      <c r="AN314" s="2" t="s">
        <v>96</v>
      </c>
      <c r="AO314" s="2" t="s">
        <v>95</v>
      </c>
      <c r="AP314" s="2" t="s">
        <v>97</v>
      </c>
      <c r="AQ314" s="2" t="s">
        <v>98</v>
      </c>
      <c r="AV314" s="2" t="s">
        <v>95</v>
      </c>
      <c r="AX314" s="2" t="s">
        <v>395</v>
      </c>
      <c r="AZ314" s="2" t="s">
        <v>483</v>
      </c>
      <c r="BF314" s="2" t="s">
        <v>1632</v>
      </c>
      <c r="BG314" s="2" t="s">
        <v>95</v>
      </c>
      <c r="BH314" s="2" t="s">
        <v>95</v>
      </c>
      <c r="BI314" s="2" t="s">
        <v>95</v>
      </c>
      <c r="BK314" s="2" t="s">
        <v>100</v>
      </c>
      <c r="BR314" s="2">
        <v>0.75</v>
      </c>
      <c r="BS314" s="2">
        <v>5</v>
      </c>
      <c r="BT314" s="2">
        <v>5</v>
      </c>
      <c r="CA314" s="2" t="s">
        <v>1633</v>
      </c>
      <c r="CB314" s="2" t="s">
        <v>395</v>
      </c>
      <c r="CL314" s="2" t="s">
        <v>96</v>
      </c>
      <c r="CM314" s="2" t="s">
        <v>95</v>
      </c>
      <c r="CN314" s="2" t="s">
        <v>1434</v>
      </c>
      <c r="CO314" s="3">
        <v>43080</v>
      </c>
      <c r="CP314" s="3">
        <v>43634</v>
      </c>
    </row>
    <row r="315" spans="1:94" x14ac:dyDescent="0.25">
      <c r="A315" s="2" t="s">
        <v>1634</v>
      </c>
      <c r="B315" s="2" t="str">
        <f xml:space="preserve"> "" &amp; 844349024149</f>
        <v>844349024149</v>
      </c>
      <c r="C315" s="2" t="s">
        <v>1158</v>
      </c>
      <c r="D315" s="2" t="s">
        <v>1631</v>
      </c>
      <c r="E315" s="2" t="s">
        <v>1624</v>
      </c>
      <c r="F315" s="2" t="s">
        <v>393</v>
      </c>
      <c r="G315" s="2">
        <v>1</v>
      </c>
      <c r="H315" s="2">
        <v>1</v>
      </c>
      <c r="I315" s="2" t="s">
        <v>94</v>
      </c>
      <c r="J315" s="6">
        <v>139</v>
      </c>
      <c r="K315" s="6">
        <v>417</v>
      </c>
      <c r="L315" s="2">
        <v>0</v>
      </c>
      <c r="N315" s="2">
        <v>0</v>
      </c>
      <c r="O315" s="2" t="s">
        <v>96</v>
      </c>
      <c r="P315" s="6">
        <v>295</v>
      </c>
      <c r="Q315" s="6"/>
      <c r="R315" s="7"/>
      <c r="S315" s="2">
        <v>19</v>
      </c>
      <c r="T315" s="2">
        <v>18</v>
      </c>
      <c r="U315" s="2">
        <v>18</v>
      </c>
      <c r="W315" s="2">
        <v>8.11</v>
      </c>
      <c r="X315" s="2">
        <v>1</v>
      </c>
      <c r="Y315" s="2">
        <v>10.75</v>
      </c>
      <c r="Z315" s="2">
        <v>15</v>
      </c>
      <c r="AA315" s="2">
        <v>13.75</v>
      </c>
      <c r="AB315" s="2">
        <v>1.2829999999999999</v>
      </c>
      <c r="AC315" s="2">
        <v>10.01</v>
      </c>
      <c r="AE315" s="2">
        <v>6</v>
      </c>
      <c r="AF315" s="2" t="s">
        <v>1148</v>
      </c>
      <c r="AG315" s="2">
        <v>60</v>
      </c>
      <c r="AK315" s="2" t="s">
        <v>95</v>
      </c>
      <c r="AM315" s="2" t="s">
        <v>95</v>
      </c>
      <c r="AN315" s="2" t="s">
        <v>96</v>
      </c>
      <c r="AO315" s="2" t="s">
        <v>95</v>
      </c>
      <c r="AP315" s="2" t="s">
        <v>97</v>
      </c>
      <c r="AQ315" s="2" t="s">
        <v>98</v>
      </c>
      <c r="AV315" s="2" t="s">
        <v>95</v>
      </c>
      <c r="AX315" s="2" t="s">
        <v>1628</v>
      </c>
      <c r="AZ315" s="2" t="s">
        <v>483</v>
      </c>
      <c r="BF315" s="2" t="s">
        <v>1635</v>
      </c>
      <c r="BG315" s="2" t="s">
        <v>95</v>
      </c>
      <c r="BH315" s="2" t="s">
        <v>95</v>
      </c>
      <c r="BI315" s="2" t="s">
        <v>95</v>
      </c>
      <c r="BK315" s="2" t="s">
        <v>100</v>
      </c>
      <c r="BR315" s="2">
        <v>0.75</v>
      </c>
      <c r="BS315" s="2">
        <v>5</v>
      </c>
      <c r="BT315" s="2">
        <v>5</v>
      </c>
      <c r="CA315" s="2" t="s">
        <v>1633</v>
      </c>
      <c r="CB315" s="2" t="s">
        <v>1628</v>
      </c>
      <c r="CL315" s="2" t="s">
        <v>96</v>
      </c>
      <c r="CM315" s="2" t="s">
        <v>95</v>
      </c>
      <c r="CN315" s="2" t="s">
        <v>1636</v>
      </c>
      <c r="CO315" s="3">
        <v>43080</v>
      </c>
      <c r="CP315" s="3">
        <v>43634</v>
      </c>
    </row>
    <row r="316" spans="1:94" x14ac:dyDescent="0.25">
      <c r="A316" s="2" t="s">
        <v>1637</v>
      </c>
      <c r="B316" s="2" t="str">
        <f xml:space="preserve"> "" &amp; 844349024118</f>
        <v>844349024118</v>
      </c>
      <c r="C316" s="2" t="s">
        <v>1158</v>
      </c>
      <c r="D316" s="2" t="s">
        <v>1638</v>
      </c>
      <c r="E316" s="2" t="s">
        <v>1624</v>
      </c>
      <c r="F316" s="2" t="s">
        <v>393</v>
      </c>
      <c r="G316" s="2">
        <v>1</v>
      </c>
      <c r="H316" s="2">
        <v>1</v>
      </c>
      <c r="I316" s="2" t="s">
        <v>94</v>
      </c>
      <c r="J316" s="6">
        <v>167</v>
      </c>
      <c r="K316" s="6">
        <v>501</v>
      </c>
      <c r="L316" s="2">
        <v>0</v>
      </c>
      <c r="N316" s="2">
        <v>0</v>
      </c>
      <c r="O316" s="2" t="s">
        <v>96</v>
      </c>
      <c r="P316" s="6">
        <v>350</v>
      </c>
      <c r="Q316" s="6"/>
      <c r="R316" s="7"/>
      <c r="S316" s="2">
        <v>25.5</v>
      </c>
      <c r="T316" s="2">
        <v>25</v>
      </c>
      <c r="U316" s="2">
        <v>25</v>
      </c>
      <c r="W316" s="2">
        <v>9.94</v>
      </c>
      <c r="X316" s="2">
        <v>1</v>
      </c>
      <c r="Y316" s="2">
        <v>10</v>
      </c>
      <c r="Z316" s="2">
        <v>22</v>
      </c>
      <c r="AA316" s="2">
        <v>19.75</v>
      </c>
      <c r="AB316" s="2">
        <v>2.5139999999999998</v>
      </c>
      <c r="AC316" s="2">
        <v>15.23</v>
      </c>
      <c r="AE316" s="2">
        <v>6</v>
      </c>
      <c r="AF316" s="2" t="s">
        <v>1148</v>
      </c>
      <c r="AG316" s="2">
        <v>60</v>
      </c>
      <c r="AK316" s="2" t="s">
        <v>95</v>
      </c>
      <c r="AM316" s="2" t="s">
        <v>95</v>
      </c>
      <c r="AN316" s="2" t="s">
        <v>96</v>
      </c>
      <c r="AO316" s="2" t="s">
        <v>95</v>
      </c>
      <c r="AP316" s="2" t="s">
        <v>97</v>
      </c>
      <c r="AQ316" s="2" t="s">
        <v>98</v>
      </c>
      <c r="AV316" s="2" t="s">
        <v>95</v>
      </c>
      <c r="AX316" s="2" t="s">
        <v>395</v>
      </c>
      <c r="AZ316" s="2" t="s">
        <v>483</v>
      </c>
      <c r="BF316" s="2" t="s">
        <v>1639</v>
      </c>
      <c r="BG316" s="2" t="s">
        <v>95</v>
      </c>
      <c r="BH316" s="2" t="s">
        <v>95</v>
      </c>
      <c r="BI316" s="2" t="s">
        <v>95</v>
      </c>
      <c r="BK316" s="2" t="s">
        <v>100</v>
      </c>
      <c r="BR316" s="2">
        <v>0.75</v>
      </c>
      <c r="BS316" s="2">
        <v>5</v>
      </c>
      <c r="BT316" s="2">
        <v>5</v>
      </c>
      <c r="CA316" s="2" t="s">
        <v>1640</v>
      </c>
      <c r="CB316" s="2" t="s">
        <v>395</v>
      </c>
      <c r="CL316" s="2" t="s">
        <v>96</v>
      </c>
      <c r="CM316" s="2" t="s">
        <v>96</v>
      </c>
      <c r="CN316" s="2" t="s">
        <v>1434</v>
      </c>
      <c r="CO316" s="3">
        <v>43080</v>
      </c>
      <c r="CP316" s="3">
        <v>43634</v>
      </c>
    </row>
    <row r="317" spans="1:94" x14ac:dyDescent="0.25">
      <c r="A317" s="2" t="s">
        <v>1641</v>
      </c>
      <c r="B317" s="2" t="str">
        <f xml:space="preserve"> "" &amp; 844349024101</f>
        <v>844349024101</v>
      </c>
      <c r="C317" s="2" t="s">
        <v>1158</v>
      </c>
      <c r="D317" s="2" t="s">
        <v>1638</v>
      </c>
      <c r="E317" s="2" t="s">
        <v>1624</v>
      </c>
      <c r="F317" s="2" t="s">
        <v>393</v>
      </c>
      <c r="G317" s="2">
        <v>1</v>
      </c>
      <c r="H317" s="2">
        <v>1</v>
      </c>
      <c r="I317" s="2" t="s">
        <v>94</v>
      </c>
      <c r="J317" s="6">
        <v>167</v>
      </c>
      <c r="K317" s="6">
        <v>501</v>
      </c>
      <c r="L317" s="2">
        <v>0</v>
      </c>
      <c r="N317" s="2">
        <v>0</v>
      </c>
      <c r="O317" s="2" t="s">
        <v>96</v>
      </c>
      <c r="P317" s="6">
        <v>349.95</v>
      </c>
      <c r="Q317" s="6"/>
      <c r="R317" s="7"/>
      <c r="S317" s="2">
        <v>25.5</v>
      </c>
      <c r="T317" s="2">
        <v>25</v>
      </c>
      <c r="U317" s="2">
        <v>25</v>
      </c>
      <c r="W317" s="2">
        <v>9.94</v>
      </c>
      <c r="X317" s="2">
        <v>1</v>
      </c>
      <c r="Y317" s="2">
        <v>10</v>
      </c>
      <c r="Z317" s="2">
        <v>22</v>
      </c>
      <c r="AA317" s="2">
        <v>19.75</v>
      </c>
      <c r="AB317" s="2">
        <v>2.5139999999999998</v>
      </c>
      <c r="AC317" s="2">
        <v>15.23</v>
      </c>
      <c r="AE317" s="2">
        <v>6</v>
      </c>
      <c r="AF317" s="2" t="s">
        <v>1148</v>
      </c>
      <c r="AG317" s="2">
        <v>60</v>
      </c>
      <c r="AK317" s="2" t="s">
        <v>95</v>
      </c>
      <c r="AM317" s="2" t="s">
        <v>95</v>
      </c>
      <c r="AN317" s="2" t="s">
        <v>96</v>
      </c>
      <c r="AO317" s="2" t="s">
        <v>95</v>
      </c>
      <c r="AP317" s="2" t="s">
        <v>97</v>
      </c>
      <c r="AQ317" s="2" t="s">
        <v>98</v>
      </c>
      <c r="AV317" s="2" t="s">
        <v>95</v>
      </c>
      <c r="AX317" s="2" t="s">
        <v>1628</v>
      </c>
      <c r="AZ317" s="2" t="s">
        <v>483</v>
      </c>
      <c r="BF317" s="2" t="s">
        <v>1642</v>
      </c>
      <c r="BG317" s="2" t="s">
        <v>95</v>
      </c>
      <c r="BH317" s="2" t="s">
        <v>95</v>
      </c>
      <c r="BI317" s="2" t="s">
        <v>95</v>
      </c>
      <c r="BK317" s="2" t="s">
        <v>100</v>
      </c>
      <c r="BR317" s="2">
        <v>0.75</v>
      </c>
      <c r="BS317" s="2">
        <v>5</v>
      </c>
      <c r="BT317" s="2">
        <v>5</v>
      </c>
      <c r="CA317" s="2" t="s">
        <v>1640</v>
      </c>
      <c r="CB317" s="2" t="s">
        <v>1628</v>
      </c>
      <c r="CL317" s="2" t="s">
        <v>96</v>
      </c>
      <c r="CM317" s="2" t="s">
        <v>96</v>
      </c>
      <c r="CN317" s="2" t="s">
        <v>1434</v>
      </c>
      <c r="CO317" s="3">
        <v>43080</v>
      </c>
      <c r="CP317" s="3">
        <v>43634</v>
      </c>
    </row>
    <row r="318" spans="1:94" x14ac:dyDescent="0.25">
      <c r="A318" s="2" t="s">
        <v>1643</v>
      </c>
      <c r="B318" s="2" t="str">
        <f xml:space="preserve"> "" &amp; 844349024132</f>
        <v>844349024132</v>
      </c>
      <c r="C318" s="2" t="s">
        <v>1158</v>
      </c>
      <c r="D318" s="2" t="s">
        <v>1644</v>
      </c>
      <c r="E318" s="2" t="s">
        <v>1624</v>
      </c>
      <c r="F318" s="2" t="s">
        <v>393</v>
      </c>
      <c r="G318" s="2">
        <v>1</v>
      </c>
      <c r="H318" s="2">
        <v>1</v>
      </c>
      <c r="I318" s="2" t="s">
        <v>94</v>
      </c>
      <c r="J318" s="6">
        <v>194</v>
      </c>
      <c r="K318" s="6">
        <v>582</v>
      </c>
      <c r="L318" s="2">
        <v>0</v>
      </c>
      <c r="N318" s="2">
        <v>0</v>
      </c>
      <c r="O318" s="2" t="s">
        <v>96</v>
      </c>
      <c r="P318" s="6">
        <v>409.95</v>
      </c>
      <c r="Q318" s="6"/>
      <c r="R318" s="7"/>
      <c r="S318" s="2">
        <v>31.75</v>
      </c>
      <c r="T318" s="2">
        <v>30.5</v>
      </c>
      <c r="U318" s="2">
        <v>30.5</v>
      </c>
      <c r="W318" s="2">
        <v>11.84</v>
      </c>
      <c r="X318" s="2">
        <v>1</v>
      </c>
      <c r="Y318" s="2">
        <v>9.25</v>
      </c>
      <c r="Z318" s="2">
        <v>27.25</v>
      </c>
      <c r="AA318" s="2">
        <v>24.5</v>
      </c>
      <c r="AB318" s="2">
        <v>3.5739999999999998</v>
      </c>
      <c r="AC318" s="2">
        <v>19.36</v>
      </c>
      <c r="AE318" s="2">
        <v>6</v>
      </c>
      <c r="AF318" s="2" t="s">
        <v>1148</v>
      </c>
      <c r="AG318" s="2">
        <v>60</v>
      </c>
      <c r="AK318" s="2" t="s">
        <v>95</v>
      </c>
      <c r="AM318" s="2" t="s">
        <v>95</v>
      </c>
      <c r="AN318" s="2" t="s">
        <v>96</v>
      </c>
      <c r="AO318" s="2" t="s">
        <v>95</v>
      </c>
      <c r="AP318" s="2" t="s">
        <v>97</v>
      </c>
      <c r="AQ318" s="2" t="s">
        <v>98</v>
      </c>
      <c r="AV318" s="2" t="s">
        <v>95</v>
      </c>
      <c r="AX318" s="2" t="s">
        <v>395</v>
      </c>
      <c r="AZ318" s="2" t="s">
        <v>483</v>
      </c>
      <c r="BF318" s="2" t="s">
        <v>1645</v>
      </c>
      <c r="BG318" s="2" t="s">
        <v>95</v>
      </c>
      <c r="BH318" s="2" t="s">
        <v>95</v>
      </c>
      <c r="BI318" s="2" t="s">
        <v>95</v>
      </c>
      <c r="BK318" s="2" t="s">
        <v>100</v>
      </c>
      <c r="BR318" s="2">
        <v>0.75</v>
      </c>
      <c r="BS318" s="2">
        <v>5</v>
      </c>
      <c r="BT318" s="2">
        <v>5</v>
      </c>
      <c r="CA318" s="2" t="s">
        <v>1646</v>
      </c>
      <c r="CB318" s="2" t="s">
        <v>395</v>
      </c>
      <c r="CL318" s="2" t="s">
        <v>96</v>
      </c>
      <c r="CM318" s="2" t="s">
        <v>95</v>
      </c>
      <c r="CN318" s="2" t="s">
        <v>1434</v>
      </c>
      <c r="CO318" s="3">
        <v>43080</v>
      </c>
      <c r="CP318" s="3">
        <v>43634</v>
      </c>
    </row>
    <row r="319" spans="1:94" x14ac:dyDescent="0.25">
      <c r="A319" s="2" t="s">
        <v>1647</v>
      </c>
      <c r="B319" s="2" t="str">
        <f xml:space="preserve"> "" &amp; 844349024125</f>
        <v>844349024125</v>
      </c>
      <c r="C319" s="2" t="s">
        <v>1158</v>
      </c>
      <c r="D319" s="2" t="s">
        <v>1648</v>
      </c>
      <c r="E319" s="2" t="s">
        <v>1624</v>
      </c>
      <c r="F319" s="2" t="s">
        <v>393</v>
      </c>
      <c r="G319" s="2">
        <v>1</v>
      </c>
      <c r="H319" s="2">
        <v>1</v>
      </c>
      <c r="I319" s="2" t="s">
        <v>94</v>
      </c>
      <c r="J319" s="6">
        <v>194</v>
      </c>
      <c r="K319" s="6">
        <v>582</v>
      </c>
      <c r="L319" s="2">
        <v>0</v>
      </c>
      <c r="N319" s="2">
        <v>0</v>
      </c>
      <c r="O319" s="2" t="s">
        <v>96</v>
      </c>
      <c r="P319" s="6">
        <v>409.95</v>
      </c>
      <c r="Q319" s="6"/>
      <c r="R319" s="7"/>
      <c r="S319" s="2">
        <v>31.75</v>
      </c>
      <c r="T319" s="2">
        <v>30.5</v>
      </c>
      <c r="U319" s="2">
        <v>30.5</v>
      </c>
      <c r="W319" s="2">
        <v>11.84</v>
      </c>
      <c r="X319" s="2">
        <v>1</v>
      </c>
      <c r="Y319" s="2">
        <v>9.25</v>
      </c>
      <c r="Z319" s="2">
        <v>27.25</v>
      </c>
      <c r="AA319" s="2">
        <v>24.5</v>
      </c>
      <c r="AB319" s="2">
        <v>3.5739999999999998</v>
      </c>
      <c r="AC319" s="2">
        <v>19.36</v>
      </c>
      <c r="AE319" s="2">
        <v>6</v>
      </c>
      <c r="AF319" s="2" t="s">
        <v>1148</v>
      </c>
      <c r="AG319" s="2">
        <v>60</v>
      </c>
      <c r="AK319" s="2" t="s">
        <v>95</v>
      </c>
      <c r="AM319" s="2" t="s">
        <v>95</v>
      </c>
      <c r="AN319" s="2" t="s">
        <v>96</v>
      </c>
      <c r="AO319" s="2" t="s">
        <v>95</v>
      </c>
      <c r="AP319" s="2" t="s">
        <v>97</v>
      </c>
      <c r="AQ319" s="2" t="s">
        <v>98</v>
      </c>
      <c r="AV319" s="2" t="s">
        <v>95</v>
      </c>
      <c r="AX319" s="2" t="s">
        <v>1628</v>
      </c>
      <c r="AZ319" s="2" t="s">
        <v>483</v>
      </c>
      <c r="BF319" s="2" t="s">
        <v>1649</v>
      </c>
      <c r="BG319" s="2" t="s">
        <v>95</v>
      </c>
      <c r="BH319" s="2" t="s">
        <v>95</v>
      </c>
      <c r="BI319" s="2" t="s">
        <v>95</v>
      </c>
      <c r="BK319" s="2" t="s">
        <v>100</v>
      </c>
      <c r="BR319" s="2">
        <v>0.75</v>
      </c>
      <c r="BS319" s="2">
        <v>5</v>
      </c>
      <c r="BT319" s="2">
        <v>5</v>
      </c>
      <c r="CA319" s="2" t="s">
        <v>1650</v>
      </c>
      <c r="CB319" s="2" t="s">
        <v>1628</v>
      </c>
      <c r="CL319" s="2" t="s">
        <v>96</v>
      </c>
      <c r="CM319" s="2" t="s">
        <v>95</v>
      </c>
      <c r="CN319" s="2" t="s">
        <v>1434</v>
      </c>
      <c r="CO319" s="3">
        <v>43080</v>
      </c>
      <c r="CP319" s="3">
        <v>43634</v>
      </c>
    </row>
    <row r="320" spans="1:94" x14ac:dyDescent="0.25">
      <c r="A320" s="2" t="s">
        <v>1651</v>
      </c>
      <c r="B320" s="2" t="str">
        <f xml:space="preserve"> "" &amp; 844349024095</f>
        <v>844349024095</v>
      </c>
      <c r="C320" s="2" t="s">
        <v>1158</v>
      </c>
      <c r="D320" s="2" t="s">
        <v>1652</v>
      </c>
      <c r="E320" s="2" t="s">
        <v>1624</v>
      </c>
      <c r="F320" s="2" t="s">
        <v>393</v>
      </c>
      <c r="G320" s="2">
        <v>1</v>
      </c>
      <c r="H320" s="2">
        <v>1</v>
      </c>
      <c r="I320" s="2" t="s">
        <v>94</v>
      </c>
      <c r="J320" s="6">
        <v>215</v>
      </c>
      <c r="K320" s="6">
        <v>645</v>
      </c>
      <c r="L320" s="2">
        <v>0</v>
      </c>
      <c r="N320" s="2">
        <v>0</v>
      </c>
      <c r="O320" s="2" t="s">
        <v>96</v>
      </c>
      <c r="P320" s="6">
        <v>450</v>
      </c>
      <c r="Q320" s="6"/>
      <c r="R320" s="7"/>
      <c r="S320" s="2">
        <v>36</v>
      </c>
      <c r="T320" s="2">
        <v>35</v>
      </c>
      <c r="U320" s="2">
        <v>35</v>
      </c>
      <c r="W320" s="2">
        <v>13.89</v>
      </c>
      <c r="X320" s="2">
        <v>1</v>
      </c>
      <c r="Y320" s="2">
        <v>9.75</v>
      </c>
      <c r="Z320" s="2">
        <v>31.5</v>
      </c>
      <c r="AA320" s="2">
        <v>28.5</v>
      </c>
      <c r="AB320" s="2">
        <v>5.0650000000000004</v>
      </c>
      <c r="AC320" s="2">
        <v>21.94</v>
      </c>
      <c r="AE320" s="2">
        <v>6</v>
      </c>
      <c r="AF320" s="2" t="s">
        <v>1148</v>
      </c>
      <c r="AG320" s="2">
        <v>60</v>
      </c>
      <c r="AK320" s="2" t="s">
        <v>95</v>
      </c>
      <c r="AM320" s="2" t="s">
        <v>95</v>
      </c>
      <c r="AN320" s="2" t="s">
        <v>96</v>
      </c>
      <c r="AO320" s="2" t="s">
        <v>95</v>
      </c>
      <c r="AP320" s="2" t="s">
        <v>97</v>
      </c>
      <c r="AQ320" s="2" t="s">
        <v>98</v>
      </c>
      <c r="AV320" s="2" t="s">
        <v>95</v>
      </c>
      <c r="AX320" s="2" t="s">
        <v>395</v>
      </c>
      <c r="AZ320" s="2" t="s">
        <v>483</v>
      </c>
      <c r="BF320" s="2" t="s">
        <v>1653</v>
      </c>
      <c r="BG320" s="2" t="s">
        <v>95</v>
      </c>
      <c r="BH320" s="2" t="s">
        <v>95</v>
      </c>
      <c r="BI320" s="2" t="s">
        <v>95</v>
      </c>
      <c r="BK320" s="2" t="s">
        <v>100</v>
      </c>
      <c r="BR320" s="2">
        <v>0.75</v>
      </c>
      <c r="BS320" s="2">
        <v>5</v>
      </c>
      <c r="BT320" s="2">
        <v>5</v>
      </c>
      <c r="CA320" s="2" t="s">
        <v>1654</v>
      </c>
      <c r="CB320" s="2" t="s">
        <v>395</v>
      </c>
      <c r="CL320" s="2" t="s">
        <v>96</v>
      </c>
      <c r="CM320" s="2" t="s">
        <v>95</v>
      </c>
      <c r="CN320" s="2" t="s">
        <v>1434</v>
      </c>
      <c r="CO320" s="3">
        <v>43080</v>
      </c>
      <c r="CP320" s="3">
        <v>43634</v>
      </c>
    </row>
    <row r="321" spans="1:94" x14ac:dyDescent="0.25">
      <c r="A321" s="2" t="s">
        <v>1655</v>
      </c>
      <c r="B321" s="2" t="str">
        <f xml:space="preserve"> "" &amp; 844349024088</f>
        <v>844349024088</v>
      </c>
      <c r="C321" s="2" t="s">
        <v>1158</v>
      </c>
      <c r="D321" s="2" t="s">
        <v>1652</v>
      </c>
      <c r="E321" s="2" t="s">
        <v>1624</v>
      </c>
      <c r="F321" s="2" t="s">
        <v>393</v>
      </c>
      <c r="G321" s="2">
        <v>1</v>
      </c>
      <c r="H321" s="2">
        <v>1</v>
      </c>
      <c r="I321" s="2" t="s">
        <v>94</v>
      </c>
      <c r="J321" s="6">
        <v>215</v>
      </c>
      <c r="K321" s="6">
        <v>645</v>
      </c>
      <c r="L321" s="2">
        <v>0</v>
      </c>
      <c r="N321" s="2">
        <v>0</v>
      </c>
      <c r="O321" s="2" t="s">
        <v>96</v>
      </c>
      <c r="P321" s="6">
        <v>449.95</v>
      </c>
      <c r="Q321" s="6"/>
      <c r="R321" s="7"/>
      <c r="S321" s="2">
        <v>36</v>
      </c>
      <c r="T321" s="2">
        <v>35</v>
      </c>
      <c r="U321" s="2">
        <v>35</v>
      </c>
      <c r="W321" s="2">
        <v>13.89</v>
      </c>
      <c r="X321" s="2">
        <v>1</v>
      </c>
      <c r="Y321" s="2">
        <v>9.75</v>
      </c>
      <c r="Z321" s="2">
        <v>31.5</v>
      </c>
      <c r="AA321" s="2">
        <v>28.5</v>
      </c>
      <c r="AB321" s="2">
        <v>5.0650000000000004</v>
      </c>
      <c r="AC321" s="2">
        <v>21.94</v>
      </c>
      <c r="AE321" s="2">
        <v>6</v>
      </c>
      <c r="AF321" s="2" t="s">
        <v>1148</v>
      </c>
      <c r="AG321" s="2">
        <v>60</v>
      </c>
      <c r="AK321" s="2" t="s">
        <v>95</v>
      </c>
      <c r="AM321" s="2" t="s">
        <v>95</v>
      </c>
      <c r="AN321" s="2" t="s">
        <v>96</v>
      </c>
      <c r="AO321" s="2" t="s">
        <v>95</v>
      </c>
      <c r="AP321" s="2" t="s">
        <v>97</v>
      </c>
      <c r="AQ321" s="2" t="s">
        <v>98</v>
      </c>
      <c r="AV321" s="2" t="s">
        <v>95</v>
      </c>
      <c r="AX321" s="2" t="s">
        <v>395</v>
      </c>
      <c r="AZ321" s="2" t="s">
        <v>483</v>
      </c>
      <c r="BF321" s="2" t="s">
        <v>1656</v>
      </c>
      <c r="BG321" s="2" t="s">
        <v>95</v>
      </c>
      <c r="BH321" s="2" t="s">
        <v>95</v>
      </c>
      <c r="BI321" s="2" t="s">
        <v>95</v>
      </c>
      <c r="BK321" s="2" t="s">
        <v>100</v>
      </c>
      <c r="BR321" s="2">
        <v>0.75</v>
      </c>
      <c r="BS321" s="2">
        <v>5</v>
      </c>
      <c r="BT321" s="2">
        <v>5</v>
      </c>
      <c r="CA321" s="2" t="s">
        <v>1654</v>
      </c>
      <c r="CB321" s="2" t="s">
        <v>395</v>
      </c>
      <c r="CL321" s="2" t="s">
        <v>96</v>
      </c>
      <c r="CM321" s="2" t="s">
        <v>95</v>
      </c>
      <c r="CN321" s="2" t="s">
        <v>1434</v>
      </c>
      <c r="CO321" s="3">
        <v>43080</v>
      </c>
      <c r="CP321" s="3">
        <v>43634</v>
      </c>
    </row>
    <row r="322" spans="1:94" x14ac:dyDescent="0.25">
      <c r="A322" s="2" t="s">
        <v>1657</v>
      </c>
      <c r="B322" s="2" t="str">
        <f xml:space="preserve"> "" &amp; 844349027485</f>
        <v>844349027485</v>
      </c>
      <c r="C322" s="2" t="s">
        <v>1466</v>
      </c>
      <c r="D322" s="2" t="s">
        <v>1658</v>
      </c>
      <c r="E322" s="2" t="s">
        <v>1624</v>
      </c>
      <c r="F322" s="2" t="s">
        <v>1429</v>
      </c>
      <c r="G322" s="2">
        <v>1</v>
      </c>
      <c r="H322" s="2">
        <v>1</v>
      </c>
      <c r="I322" s="2" t="s">
        <v>94</v>
      </c>
      <c r="J322" s="6">
        <v>135</v>
      </c>
      <c r="K322" s="6">
        <v>405</v>
      </c>
      <c r="L322" s="2">
        <v>0</v>
      </c>
      <c r="N322" s="2">
        <v>0</v>
      </c>
      <c r="O322" s="2" t="s">
        <v>96</v>
      </c>
      <c r="P322" s="6">
        <v>283.95</v>
      </c>
      <c r="Q322" s="6"/>
      <c r="R322" s="7"/>
      <c r="S322" s="2">
        <v>31</v>
      </c>
      <c r="T322" s="2">
        <v>16</v>
      </c>
      <c r="U322" s="2">
        <v>16</v>
      </c>
      <c r="W322" s="2">
        <v>10.91</v>
      </c>
      <c r="X322" s="2">
        <v>1</v>
      </c>
      <c r="Y322" s="2">
        <v>8.25</v>
      </c>
      <c r="Z322" s="2">
        <v>22.5</v>
      </c>
      <c r="AA322" s="2">
        <v>14</v>
      </c>
      <c r="AB322" s="2">
        <v>1.504</v>
      </c>
      <c r="AC322" s="2">
        <v>13.01</v>
      </c>
      <c r="AE322" s="2">
        <v>6</v>
      </c>
      <c r="AF322" s="2" t="s">
        <v>1659</v>
      </c>
      <c r="AG322" s="2">
        <v>4</v>
      </c>
      <c r="AK322" s="2" t="s">
        <v>96</v>
      </c>
      <c r="AM322" s="2" t="s">
        <v>95</v>
      </c>
      <c r="AN322" s="2" t="s">
        <v>96</v>
      </c>
      <c r="AO322" s="2" t="s">
        <v>95</v>
      </c>
      <c r="AP322" s="2" t="s">
        <v>97</v>
      </c>
      <c r="AQ322" s="2" t="s">
        <v>98</v>
      </c>
      <c r="AV322" s="2" t="s">
        <v>95</v>
      </c>
      <c r="AX322" s="2" t="s">
        <v>395</v>
      </c>
      <c r="AZ322" s="2" t="s">
        <v>483</v>
      </c>
      <c r="BF322" s="2" t="s">
        <v>1660</v>
      </c>
      <c r="BG322" s="2" t="s">
        <v>95</v>
      </c>
      <c r="BH322" s="2" t="s">
        <v>95</v>
      </c>
      <c r="BI322" s="2" t="s">
        <v>95</v>
      </c>
      <c r="BK322" s="2" t="s">
        <v>100</v>
      </c>
      <c r="CA322" s="2" t="s">
        <v>1661</v>
      </c>
      <c r="CB322" s="2" t="s">
        <v>395</v>
      </c>
      <c r="CG322" s="2">
        <v>2700</v>
      </c>
      <c r="CH322" s="2">
        <v>90</v>
      </c>
      <c r="CI322" s="2">
        <v>1898</v>
      </c>
      <c r="CJ322" s="2">
        <v>1896</v>
      </c>
      <c r="CK322" s="2">
        <v>15000</v>
      </c>
      <c r="CL322" s="2" t="s">
        <v>96</v>
      </c>
      <c r="CM322" s="2" t="s">
        <v>95</v>
      </c>
      <c r="CN322" s="2" t="s">
        <v>230</v>
      </c>
      <c r="CO322" s="3">
        <v>43273</v>
      </c>
      <c r="CP322" s="3">
        <v>43634</v>
      </c>
    </row>
    <row r="323" spans="1:94" x14ac:dyDescent="0.25">
      <c r="A323" s="2" t="s">
        <v>1662</v>
      </c>
      <c r="B323" s="2" t="str">
        <f xml:space="preserve"> "" &amp; 844349027492</f>
        <v>844349027492</v>
      </c>
      <c r="C323" s="2" t="s">
        <v>1466</v>
      </c>
      <c r="D323" s="2" t="s">
        <v>1663</v>
      </c>
      <c r="E323" s="2" t="s">
        <v>1624</v>
      </c>
      <c r="F323" s="2" t="s">
        <v>1429</v>
      </c>
      <c r="G323" s="2">
        <v>1</v>
      </c>
      <c r="H323" s="2">
        <v>1</v>
      </c>
      <c r="I323" s="2" t="s">
        <v>94</v>
      </c>
      <c r="J323" s="6">
        <v>135</v>
      </c>
      <c r="K323" s="6">
        <v>405</v>
      </c>
      <c r="L323" s="2">
        <v>0</v>
      </c>
      <c r="N323" s="2">
        <v>0</v>
      </c>
      <c r="O323" s="2" t="s">
        <v>96</v>
      </c>
      <c r="P323" s="6">
        <v>284</v>
      </c>
      <c r="Q323" s="6"/>
      <c r="R323" s="7"/>
      <c r="S323" s="2">
        <v>31</v>
      </c>
      <c r="T323" s="2">
        <v>16</v>
      </c>
      <c r="U323" s="2">
        <v>16</v>
      </c>
      <c r="W323" s="2">
        <v>10.91</v>
      </c>
      <c r="X323" s="2">
        <v>1</v>
      </c>
      <c r="Y323" s="2">
        <v>8.25</v>
      </c>
      <c r="Z323" s="2">
        <v>22.5</v>
      </c>
      <c r="AA323" s="2">
        <v>14</v>
      </c>
      <c r="AB323" s="2">
        <v>1.504</v>
      </c>
      <c r="AC323" s="2">
        <v>13.01</v>
      </c>
      <c r="AE323" s="2">
        <v>6</v>
      </c>
      <c r="AF323" s="2" t="s">
        <v>1659</v>
      </c>
      <c r="AG323" s="2">
        <v>4</v>
      </c>
      <c r="AK323" s="2" t="s">
        <v>96</v>
      </c>
      <c r="AM323" s="2" t="s">
        <v>95</v>
      </c>
      <c r="AN323" s="2" t="s">
        <v>96</v>
      </c>
      <c r="AO323" s="2" t="s">
        <v>95</v>
      </c>
      <c r="AP323" s="2" t="s">
        <v>97</v>
      </c>
      <c r="AQ323" s="2" t="s">
        <v>98</v>
      </c>
      <c r="AV323" s="2" t="s">
        <v>95</v>
      </c>
      <c r="AX323" s="2" t="s">
        <v>1628</v>
      </c>
      <c r="AZ323" s="2" t="s">
        <v>483</v>
      </c>
      <c r="BF323" s="2" t="s">
        <v>1664</v>
      </c>
      <c r="BG323" s="2" t="s">
        <v>95</v>
      </c>
      <c r="BH323" s="2" t="s">
        <v>95</v>
      </c>
      <c r="BI323" s="2" t="s">
        <v>95</v>
      </c>
      <c r="BK323" s="2" t="s">
        <v>100</v>
      </c>
      <c r="BR323" s="2">
        <v>1.1299999999999999</v>
      </c>
      <c r="BS323" s="2">
        <v>9</v>
      </c>
      <c r="BT323" s="2">
        <v>9</v>
      </c>
      <c r="CA323" s="2" t="s">
        <v>1661</v>
      </c>
      <c r="CB323" s="2" t="s">
        <v>1628</v>
      </c>
      <c r="CG323" s="2">
        <v>2700</v>
      </c>
      <c r="CH323" s="2">
        <v>90</v>
      </c>
      <c r="CI323" s="2">
        <v>1898</v>
      </c>
      <c r="CJ323" s="2">
        <v>1896</v>
      </c>
      <c r="CK323" s="2">
        <v>15000</v>
      </c>
      <c r="CL323" s="2" t="s">
        <v>96</v>
      </c>
      <c r="CM323" s="2" t="s">
        <v>95</v>
      </c>
      <c r="CN323" s="2" t="s">
        <v>230</v>
      </c>
      <c r="CO323" s="3">
        <v>43273</v>
      </c>
      <c r="CP323" s="3">
        <v>43634</v>
      </c>
    </row>
    <row r="324" spans="1:94" x14ac:dyDescent="0.25">
      <c r="A324" s="2" t="s">
        <v>1665</v>
      </c>
      <c r="B324" s="2" t="str">
        <f xml:space="preserve"> "" &amp; 844349027508</f>
        <v>844349027508</v>
      </c>
      <c r="C324" s="2" t="s">
        <v>1666</v>
      </c>
      <c r="D324" s="2" t="s">
        <v>1667</v>
      </c>
      <c r="E324" s="2" t="s">
        <v>1624</v>
      </c>
      <c r="F324" s="2" t="s">
        <v>1429</v>
      </c>
      <c r="G324" s="2">
        <v>1</v>
      </c>
      <c r="H324" s="2">
        <v>1</v>
      </c>
      <c r="I324" s="2" t="s">
        <v>94</v>
      </c>
      <c r="J324" s="6">
        <v>165</v>
      </c>
      <c r="K324" s="6">
        <v>495</v>
      </c>
      <c r="L324" s="2">
        <v>0</v>
      </c>
      <c r="N324" s="2">
        <v>0</v>
      </c>
      <c r="O324" s="2" t="s">
        <v>96</v>
      </c>
      <c r="P324" s="6">
        <v>347</v>
      </c>
      <c r="Q324" s="6"/>
      <c r="R324" s="7"/>
      <c r="S324" s="2">
        <v>71</v>
      </c>
      <c r="T324" s="2">
        <v>16</v>
      </c>
      <c r="U324" s="2">
        <v>16</v>
      </c>
      <c r="W324" s="2">
        <v>21.8</v>
      </c>
      <c r="X324" s="2">
        <v>1</v>
      </c>
      <c r="Y324" s="2">
        <v>10</v>
      </c>
      <c r="Z324" s="2">
        <v>26.5</v>
      </c>
      <c r="AA324" s="2">
        <v>15</v>
      </c>
      <c r="AB324" s="2">
        <v>2.2999999999999998</v>
      </c>
      <c r="AC324" s="2">
        <v>24.52</v>
      </c>
      <c r="AE324" s="2">
        <v>6</v>
      </c>
      <c r="AF324" s="2" t="s">
        <v>1659</v>
      </c>
      <c r="AG324" s="2">
        <v>4</v>
      </c>
      <c r="AK324" s="2" t="s">
        <v>96</v>
      </c>
      <c r="AM324" s="2" t="s">
        <v>95</v>
      </c>
      <c r="AN324" s="2" t="s">
        <v>96</v>
      </c>
      <c r="AO324" s="2" t="s">
        <v>95</v>
      </c>
      <c r="AP324" s="2" t="s">
        <v>97</v>
      </c>
      <c r="AQ324" s="2" t="s">
        <v>98</v>
      </c>
      <c r="AV324" s="2" t="s">
        <v>95</v>
      </c>
      <c r="AX324" s="2" t="s">
        <v>395</v>
      </c>
      <c r="AZ324" s="2" t="s">
        <v>483</v>
      </c>
      <c r="BF324" s="2" t="s">
        <v>1668</v>
      </c>
      <c r="BG324" s="2" t="s">
        <v>95</v>
      </c>
      <c r="BH324" s="2" t="s">
        <v>95</v>
      </c>
      <c r="BI324" s="2" t="s">
        <v>95</v>
      </c>
      <c r="BK324" s="2" t="s">
        <v>100</v>
      </c>
      <c r="BR324" s="2">
        <v>1.25</v>
      </c>
      <c r="BS324" s="2">
        <v>12</v>
      </c>
      <c r="BT324" s="2">
        <v>12</v>
      </c>
      <c r="CA324" s="2" t="s">
        <v>1669</v>
      </c>
      <c r="CB324" s="2" t="s">
        <v>395</v>
      </c>
      <c r="CG324" s="2">
        <v>2700</v>
      </c>
      <c r="CH324" s="2">
        <v>90</v>
      </c>
      <c r="CI324" s="2">
        <v>1898</v>
      </c>
      <c r="CJ324" s="2">
        <v>1896</v>
      </c>
      <c r="CK324" s="2">
        <v>15000</v>
      </c>
      <c r="CL324" s="2" t="s">
        <v>96</v>
      </c>
      <c r="CM324" s="2" t="s">
        <v>95</v>
      </c>
      <c r="CN324" s="2" t="s">
        <v>230</v>
      </c>
      <c r="CO324" s="3">
        <v>43273</v>
      </c>
      <c r="CP324" s="3">
        <v>43634</v>
      </c>
    </row>
    <row r="325" spans="1:94" x14ac:dyDescent="0.25">
      <c r="A325" s="2" t="s">
        <v>1670</v>
      </c>
      <c r="B325" s="2" t="str">
        <f xml:space="preserve"> "" &amp; 844349027515</f>
        <v>844349027515</v>
      </c>
      <c r="C325" s="2" t="s">
        <v>1666</v>
      </c>
      <c r="D325" s="2" t="s">
        <v>1671</v>
      </c>
      <c r="E325" s="2" t="s">
        <v>1624</v>
      </c>
      <c r="F325" s="2" t="s">
        <v>1429</v>
      </c>
      <c r="G325" s="2">
        <v>1</v>
      </c>
      <c r="H325" s="2">
        <v>1</v>
      </c>
      <c r="I325" s="2" t="s">
        <v>94</v>
      </c>
      <c r="J325" s="6">
        <v>165</v>
      </c>
      <c r="K325" s="6">
        <v>495</v>
      </c>
      <c r="L325" s="2">
        <v>0</v>
      </c>
      <c r="N325" s="2">
        <v>0</v>
      </c>
      <c r="O325" s="2" t="s">
        <v>96</v>
      </c>
      <c r="P325" s="6">
        <v>349</v>
      </c>
      <c r="Q325" s="6"/>
      <c r="R325" s="7"/>
      <c r="S325" s="2">
        <v>71</v>
      </c>
      <c r="T325" s="2">
        <v>16</v>
      </c>
      <c r="U325" s="2">
        <v>16</v>
      </c>
      <c r="W325" s="2">
        <v>21.8</v>
      </c>
      <c r="X325" s="2">
        <v>1</v>
      </c>
      <c r="Y325" s="2">
        <v>10</v>
      </c>
      <c r="Z325" s="2">
        <v>26.5</v>
      </c>
      <c r="AA325" s="2">
        <v>15</v>
      </c>
      <c r="AB325" s="2">
        <v>2.2999999999999998</v>
      </c>
      <c r="AC325" s="2">
        <v>24.52</v>
      </c>
      <c r="AE325" s="2">
        <v>6</v>
      </c>
      <c r="AF325" s="2" t="s">
        <v>1659</v>
      </c>
      <c r="AG325" s="2">
        <v>4</v>
      </c>
      <c r="AK325" s="2" t="s">
        <v>96</v>
      </c>
      <c r="AM325" s="2" t="s">
        <v>95</v>
      </c>
      <c r="AN325" s="2" t="s">
        <v>96</v>
      </c>
      <c r="AO325" s="2" t="s">
        <v>95</v>
      </c>
      <c r="AP325" s="2" t="s">
        <v>97</v>
      </c>
      <c r="AQ325" s="2" t="s">
        <v>98</v>
      </c>
      <c r="AV325" s="2" t="s">
        <v>95</v>
      </c>
      <c r="AX325" s="2" t="s">
        <v>1628</v>
      </c>
      <c r="AZ325" s="2" t="s">
        <v>483</v>
      </c>
      <c r="BF325" s="2" t="s">
        <v>1672</v>
      </c>
      <c r="BG325" s="2" t="s">
        <v>95</v>
      </c>
      <c r="BH325" s="2" t="s">
        <v>95</v>
      </c>
      <c r="BI325" s="2" t="s">
        <v>95</v>
      </c>
      <c r="BK325" s="2" t="s">
        <v>100</v>
      </c>
      <c r="BR325" s="2">
        <v>1.25</v>
      </c>
      <c r="BS325" s="2">
        <v>12</v>
      </c>
      <c r="BT325" s="2">
        <v>12</v>
      </c>
      <c r="CA325" s="2" t="s">
        <v>1669</v>
      </c>
      <c r="CB325" s="2" t="s">
        <v>1628</v>
      </c>
      <c r="CG325" s="2">
        <v>2700</v>
      </c>
      <c r="CH325" s="2">
        <v>90</v>
      </c>
      <c r="CI325" s="2">
        <v>1898</v>
      </c>
      <c r="CJ325" s="2">
        <v>1896</v>
      </c>
      <c r="CK325" s="2">
        <v>15000</v>
      </c>
      <c r="CL325" s="2" t="s">
        <v>96</v>
      </c>
      <c r="CM325" s="2" t="s">
        <v>95</v>
      </c>
      <c r="CN325" s="2" t="s">
        <v>230</v>
      </c>
      <c r="CO325" s="3">
        <v>43273</v>
      </c>
      <c r="CP325" s="3">
        <v>43634</v>
      </c>
    </row>
    <row r="326" spans="1:94" x14ac:dyDescent="0.25">
      <c r="A326" s="2" t="s">
        <v>1673</v>
      </c>
      <c r="B326" s="2" t="str">
        <f xml:space="preserve"> "" &amp; 844349024057</f>
        <v>844349024057</v>
      </c>
      <c r="C326" s="2" t="s">
        <v>1674</v>
      </c>
      <c r="D326" s="2" t="s">
        <v>1675</v>
      </c>
      <c r="E326" s="2" t="s">
        <v>1624</v>
      </c>
      <c r="F326" s="2" t="s">
        <v>102</v>
      </c>
      <c r="G326" s="2">
        <v>1</v>
      </c>
      <c r="H326" s="2">
        <v>1</v>
      </c>
      <c r="I326" s="2" t="s">
        <v>94</v>
      </c>
      <c r="J326" s="6">
        <v>95</v>
      </c>
      <c r="K326" s="6">
        <v>285</v>
      </c>
      <c r="L326" s="2">
        <v>0</v>
      </c>
      <c r="N326" s="2">
        <v>0</v>
      </c>
      <c r="O326" s="2" t="s">
        <v>96</v>
      </c>
      <c r="P326" s="6">
        <v>199.95</v>
      </c>
      <c r="Q326" s="6"/>
      <c r="R326" s="7"/>
      <c r="S326" s="2">
        <v>11.75</v>
      </c>
      <c r="T326" s="2">
        <v>20</v>
      </c>
      <c r="U326" s="2">
        <v>20</v>
      </c>
      <c r="W326" s="2">
        <v>5.14</v>
      </c>
      <c r="X326" s="2">
        <v>1</v>
      </c>
      <c r="Y326" s="2">
        <v>12.5</v>
      </c>
      <c r="Z326" s="2">
        <v>14</v>
      </c>
      <c r="AA326" s="2">
        <v>12</v>
      </c>
      <c r="AB326" s="2">
        <v>1.2150000000000001</v>
      </c>
      <c r="AC326" s="2">
        <v>7.43</v>
      </c>
      <c r="AE326" s="2">
        <v>4</v>
      </c>
      <c r="AF326" s="2" t="s">
        <v>1148</v>
      </c>
      <c r="AG326" s="2">
        <v>60</v>
      </c>
      <c r="AK326" s="2" t="s">
        <v>95</v>
      </c>
      <c r="AM326" s="2" t="s">
        <v>95</v>
      </c>
      <c r="AN326" s="2" t="s">
        <v>96</v>
      </c>
      <c r="AO326" s="2" t="s">
        <v>95</v>
      </c>
      <c r="AP326" s="2" t="s">
        <v>97</v>
      </c>
      <c r="AQ326" s="2" t="s">
        <v>98</v>
      </c>
      <c r="AV326" s="2" t="s">
        <v>95</v>
      </c>
      <c r="AX326" s="2" t="s">
        <v>395</v>
      </c>
      <c r="AZ326" s="2" t="s">
        <v>483</v>
      </c>
      <c r="BB326" s="2" t="s">
        <v>329</v>
      </c>
      <c r="BC326" s="2" t="s">
        <v>379</v>
      </c>
      <c r="BF326" s="2" t="s">
        <v>1676</v>
      </c>
      <c r="BG326" s="2" t="s">
        <v>95</v>
      </c>
      <c r="BH326" s="2" t="s">
        <v>95</v>
      </c>
      <c r="BI326" s="2" t="s">
        <v>95</v>
      </c>
      <c r="BK326" s="2" t="s">
        <v>414</v>
      </c>
      <c r="BR326" s="2">
        <v>0.75</v>
      </c>
      <c r="BS326" s="2">
        <v>5</v>
      </c>
      <c r="BT326" s="2">
        <v>5</v>
      </c>
      <c r="CA326" s="2" t="s">
        <v>1677</v>
      </c>
      <c r="CB326" s="2" t="s">
        <v>395</v>
      </c>
      <c r="CL326" s="2" t="s">
        <v>96</v>
      </c>
      <c r="CM326" s="2" t="s">
        <v>95</v>
      </c>
      <c r="CN326" s="2" t="s">
        <v>1434</v>
      </c>
      <c r="CO326" s="3">
        <v>43080</v>
      </c>
      <c r="CP326" s="3">
        <v>43634</v>
      </c>
    </row>
    <row r="327" spans="1:94" x14ac:dyDescent="0.25">
      <c r="A327" s="2" t="s">
        <v>1678</v>
      </c>
      <c r="B327" s="2" t="str">
        <f xml:space="preserve"> "" &amp; 844349024040</f>
        <v>844349024040</v>
      </c>
      <c r="C327" s="2" t="s">
        <v>1674</v>
      </c>
      <c r="D327" s="2" t="s">
        <v>1675</v>
      </c>
      <c r="E327" s="2" t="s">
        <v>1624</v>
      </c>
      <c r="F327" s="2" t="s">
        <v>102</v>
      </c>
      <c r="G327" s="2">
        <v>1</v>
      </c>
      <c r="H327" s="2">
        <v>1</v>
      </c>
      <c r="I327" s="2" t="s">
        <v>94</v>
      </c>
      <c r="J327" s="6">
        <v>95</v>
      </c>
      <c r="K327" s="6">
        <v>285</v>
      </c>
      <c r="L327" s="2">
        <v>0</v>
      </c>
      <c r="N327" s="2">
        <v>0</v>
      </c>
      <c r="O327" s="2" t="s">
        <v>96</v>
      </c>
      <c r="P327" s="6">
        <v>199.95</v>
      </c>
      <c r="Q327" s="6"/>
      <c r="R327" s="7"/>
      <c r="S327" s="2">
        <v>11.75</v>
      </c>
      <c r="T327" s="2">
        <v>20</v>
      </c>
      <c r="U327" s="2">
        <v>20</v>
      </c>
      <c r="W327" s="2">
        <v>5.14</v>
      </c>
      <c r="X327" s="2">
        <v>1</v>
      </c>
      <c r="Y327" s="2">
        <v>12.5</v>
      </c>
      <c r="Z327" s="2">
        <v>14</v>
      </c>
      <c r="AA327" s="2">
        <v>12</v>
      </c>
      <c r="AB327" s="2">
        <v>1.2150000000000001</v>
      </c>
      <c r="AC327" s="2">
        <v>7.43</v>
      </c>
      <c r="AE327" s="2">
        <v>4</v>
      </c>
      <c r="AF327" s="2" t="s">
        <v>1148</v>
      </c>
      <c r="AG327" s="2">
        <v>60</v>
      </c>
      <c r="AK327" s="2" t="s">
        <v>95</v>
      </c>
      <c r="AM327" s="2" t="s">
        <v>95</v>
      </c>
      <c r="AN327" s="2" t="s">
        <v>96</v>
      </c>
      <c r="AO327" s="2" t="s">
        <v>95</v>
      </c>
      <c r="AP327" s="2" t="s">
        <v>97</v>
      </c>
      <c r="AQ327" s="2" t="s">
        <v>98</v>
      </c>
      <c r="AV327" s="2" t="s">
        <v>95</v>
      </c>
      <c r="AX327" s="2" t="s">
        <v>395</v>
      </c>
      <c r="AZ327" s="2" t="s">
        <v>483</v>
      </c>
      <c r="BF327" s="2" t="s">
        <v>1679</v>
      </c>
      <c r="BG327" s="2" t="s">
        <v>95</v>
      </c>
      <c r="BH327" s="2" t="s">
        <v>95</v>
      </c>
      <c r="BI327" s="2" t="s">
        <v>95</v>
      </c>
      <c r="BK327" s="2" t="s">
        <v>100</v>
      </c>
      <c r="BR327" s="2">
        <v>0.75</v>
      </c>
      <c r="BS327" s="2">
        <v>5</v>
      </c>
      <c r="BT327" s="2">
        <v>5</v>
      </c>
      <c r="CA327" s="2" t="s">
        <v>1677</v>
      </c>
      <c r="CB327" s="2" t="s">
        <v>395</v>
      </c>
      <c r="CL327" s="2" t="s">
        <v>96</v>
      </c>
      <c r="CM327" s="2" t="s">
        <v>95</v>
      </c>
      <c r="CN327" s="2" t="s">
        <v>1434</v>
      </c>
      <c r="CO327" s="3">
        <v>43080</v>
      </c>
      <c r="CP327" s="3">
        <v>43634</v>
      </c>
    </row>
    <row r="328" spans="1:94" x14ac:dyDescent="0.25">
      <c r="A328" s="2" t="s">
        <v>1680</v>
      </c>
      <c r="B328" s="2" t="str">
        <f xml:space="preserve"> "" &amp; 844349015772</f>
        <v>844349015772</v>
      </c>
      <c r="C328" s="2" t="s">
        <v>391</v>
      </c>
      <c r="D328" s="2" t="s">
        <v>1681</v>
      </c>
      <c r="E328" s="2" t="s">
        <v>1682</v>
      </c>
      <c r="F328" s="2" t="s">
        <v>393</v>
      </c>
      <c r="G328" s="2">
        <v>1</v>
      </c>
      <c r="H328" s="2">
        <v>1</v>
      </c>
      <c r="I328" s="2" t="s">
        <v>94</v>
      </c>
      <c r="J328" s="6">
        <v>49</v>
      </c>
      <c r="K328" s="6">
        <v>147</v>
      </c>
      <c r="L328" s="2">
        <v>0</v>
      </c>
      <c r="N328" s="2">
        <v>0</v>
      </c>
      <c r="O328" s="2" t="s">
        <v>96</v>
      </c>
      <c r="P328" s="6">
        <v>94.95</v>
      </c>
      <c r="Q328" s="6"/>
      <c r="R328" s="7"/>
      <c r="S328" s="2">
        <v>6</v>
      </c>
      <c r="T328" s="2">
        <v>4</v>
      </c>
      <c r="U328" s="2">
        <v>4</v>
      </c>
      <c r="W328" s="2">
        <v>2.14</v>
      </c>
      <c r="X328" s="2">
        <v>1</v>
      </c>
      <c r="Y328" s="2">
        <v>6.5</v>
      </c>
      <c r="Z328" s="2">
        <v>12.75</v>
      </c>
      <c r="AA328" s="2">
        <v>5.5</v>
      </c>
      <c r="AB328" s="2">
        <v>0.26400000000000001</v>
      </c>
      <c r="AC328" s="2">
        <v>2.73</v>
      </c>
      <c r="AE328" s="2">
        <v>1</v>
      </c>
      <c r="AF328" s="2" t="s">
        <v>1683</v>
      </c>
      <c r="AG328" s="2">
        <v>60</v>
      </c>
      <c r="AK328" s="2" t="s">
        <v>96</v>
      </c>
      <c r="AM328" s="2" t="s">
        <v>95</v>
      </c>
      <c r="AN328" s="2" t="s">
        <v>96</v>
      </c>
      <c r="AO328" s="2" t="s">
        <v>95</v>
      </c>
      <c r="AP328" s="2" t="s">
        <v>97</v>
      </c>
      <c r="AQ328" s="2" t="s">
        <v>98</v>
      </c>
      <c r="AV328" s="2" t="s">
        <v>95</v>
      </c>
      <c r="AX328" s="2" t="s">
        <v>116</v>
      </c>
      <c r="AZ328" s="2" t="s">
        <v>342</v>
      </c>
      <c r="BB328" s="2" t="s">
        <v>329</v>
      </c>
      <c r="BC328" s="2" t="s">
        <v>976</v>
      </c>
      <c r="BF328" s="2" t="s">
        <v>1684</v>
      </c>
      <c r="BG328" s="2" t="s">
        <v>95</v>
      </c>
      <c r="BH328" s="2" t="s">
        <v>95</v>
      </c>
      <c r="BI328" s="2" t="s">
        <v>95</v>
      </c>
      <c r="BK328" s="2" t="s">
        <v>100</v>
      </c>
      <c r="BQ328" s="2">
        <v>4.88</v>
      </c>
      <c r="BR328" s="2">
        <v>1</v>
      </c>
      <c r="BS328" s="2">
        <v>4.88</v>
      </c>
      <c r="BT328" s="2">
        <v>4.88</v>
      </c>
      <c r="CA328" s="2" t="s">
        <v>1685</v>
      </c>
      <c r="CB328" s="2" t="s">
        <v>116</v>
      </c>
      <c r="CL328" s="2" t="s">
        <v>96</v>
      </c>
      <c r="CM328" s="2" t="s">
        <v>96</v>
      </c>
      <c r="CN328" s="2" t="s">
        <v>460</v>
      </c>
      <c r="CO328" s="3">
        <v>41586</v>
      </c>
      <c r="CP328" s="3">
        <v>43634</v>
      </c>
    </row>
    <row r="329" spans="1:94" x14ac:dyDescent="0.25">
      <c r="A329" s="2" t="s">
        <v>1686</v>
      </c>
      <c r="B329" s="2" t="str">
        <f xml:space="preserve"> "" &amp; 844349015765</f>
        <v>844349015765</v>
      </c>
      <c r="C329" s="2" t="s">
        <v>391</v>
      </c>
      <c r="D329" s="2" t="s">
        <v>1687</v>
      </c>
      <c r="E329" s="2" t="s">
        <v>1682</v>
      </c>
      <c r="F329" s="2" t="s">
        <v>393</v>
      </c>
      <c r="G329" s="2">
        <v>1</v>
      </c>
      <c r="H329" s="2">
        <v>1</v>
      </c>
      <c r="I329" s="2" t="s">
        <v>94</v>
      </c>
      <c r="J329" s="6">
        <v>49</v>
      </c>
      <c r="K329" s="6">
        <v>147</v>
      </c>
      <c r="L329" s="2">
        <v>0</v>
      </c>
      <c r="N329" s="2">
        <v>0</v>
      </c>
      <c r="O329" s="2" t="s">
        <v>96</v>
      </c>
      <c r="P329" s="6">
        <v>94.95</v>
      </c>
      <c r="Q329" s="6"/>
      <c r="R329" s="7"/>
      <c r="S329" s="2">
        <v>6</v>
      </c>
      <c r="T329" s="2">
        <v>4</v>
      </c>
      <c r="U329" s="2">
        <v>4</v>
      </c>
      <c r="W329" s="2">
        <v>2.14</v>
      </c>
      <c r="X329" s="2">
        <v>1</v>
      </c>
      <c r="Y329" s="2">
        <v>6.5</v>
      </c>
      <c r="Z329" s="2">
        <v>12.75</v>
      </c>
      <c r="AA329" s="2">
        <v>5.5</v>
      </c>
      <c r="AB329" s="2">
        <v>0.26400000000000001</v>
      </c>
      <c r="AC329" s="2">
        <v>2.73</v>
      </c>
      <c r="AE329" s="2">
        <v>1</v>
      </c>
      <c r="AF329" s="2" t="s">
        <v>1683</v>
      </c>
      <c r="AG329" s="2">
        <v>60</v>
      </c>
      <c r="AK329" s="2" t="s">
        <v>96</v>
      </c>
      <c r="AM329" s="2" t="s">
        <v>95</v>
      </c>
      <c r="AN329" s="2" t="s">
        <v>96</v>
      </c>
      <c r="AO329" s="2" t="s">
        <v>95</v>
      </c>
      <c r="AP329" s="2" t="s">
        <v>97</v>
      </c>
      <c r="AQ329" s="2" t="s">
        <v>98</v>
      </c>
      <c r="AV329" s="2" t="s">
        <v>95</v>
      </c>
      <c r="AX329" s="2" t="s">
        <v>1688</v>
      </c>
      <c r="AZ329" s="2" t="s">
        <v>342</v>
      </c>
      <c r="BB329" s="2" t="s">
        <v>329</v>
      </c>
      <c r="BC329" s="2" t="s">
        <v>593</v>
      </c>
      <c r="BF329" s="2" t="s">
        <v>1689</v>
      </c>
      <c r="BG329" s="2" t="s">
        <v>95</v>
      </c>
      <c r="BH329" s="2" t="s">
        <v>95</v>
      </c>
      <c r="BI329" s="2" t="s">
        <v>95</v>
      </c>
      <c r="BK329" s="2" t="s">
        <v>100</v>
      </c>
      <c r="BQ329" s="2">
        <v>4.88</v>
      </c>
      <c r="BR329" s="2">
        <v>1</v>
      </c>
      <c r="BS329" s="2">
        <v>4.88</v>
      </c>
      <c r="BT329" s="2">
        <v>4.88</v>
      </c>
      <c r="CB329" s="2" t="s">
        <v>1688</v>
      </c>
      <c r="CL329" s="2" t="s">
        <v>96</v>
      </c>
      <c r="CM329" s="2" t="s">
        <v>96</v>
      </c>
      <c r="CN329" s="2" t="s">
        <v>552</v>
      </c>
      <c r="CO329" s="3">
        <v>41586</v>
      </c>
      <c r="CP329" s="3">
        <v>43634</v>
      </c>
    </row>
    <row r="330" spans="1:94" x14ac:dyDescent="0.25">
      <c r="A330" s="2" t="s">
        <v>1690</v>
      </c>
      <c r="B330" s="2" t="str">
        <f xml:space="preserve"> "" &amp; 844349021872</f>
        <v>844349021872</v>
      </c>
      <c r="C330" s="2" t="s">
        <v>1691</v>
      </c>
      <c r="D330" s="2" t="s">
        <v>1692</v>
      </c>
      <c r="E330" s="2" t="s">
        <v>1682</v>
      </c>
      <c r="F330" s="2" t="s">
        <v>418</v>
      </c>
      <c r="G330" s="2">
        <v>1</v>
      </c>
      <c r="H330" s="2">
        <v>1</v>
      </c>
      <c r="I330" s="2" t="s">
        <v>94</v>
      </c>
      <c r="J330" s="6">
        <v>69</v>
      </c>
      <c r="K330" s="6">
        <v>207</v>
      </c>
      <c r="L330" s="2">
        <v>0</v>
      </c>
      <c r="N330" s="2">
        <v>0</v>
      </c>
      <c r="O330" s="2" t="s">
        <v>96</v>
      </c>
      <c r="P330" s="6">
        <v>128.94999999999999</v>
      </c>
      <c r="Q330" s="6"/>
      <c r="R330" s="7"/>
      <c r="S330" s="2">
        <v>16.5</v>
      </c>
      <c r="U330" s="2">
        <v>10.75</v>
      </c>
      <c r="V330" s="2">
        <v>6.5</v>
      </c>
      <c r="W330" s="2">
        <v>2.56</v>
      </c>
      <c r="X330" s="2">
        <v>1</v>
      </c>
      <c r="Y330" s="2">
        <v>6</v>
      </c>
      <c r="Z330" s="2">
        <v>15.75</v>
      </c>
      <c r="AA330" s="2">
        <v>13.25</v>
      </c>
      <c r="AB330" s="2">
        <v>0.72499999999999998</v>
      </c>
      <c r="AC330" s="2">
        <v>3.81</v>
      </c>
      <c r="AE330" s="2">
        <v>2</v>
      </c>
      <c r="AF330" s="2" t="s">
        <v>1693</v>
      </c>
      <c r="AG330" s="2">
        <v>60</v>
      </c>
      <c r="AK330" s="2" t="s">
        <v>96</v>
      </c>
      <c r="AL330" s="2">
        <v>2</v>
      </c>
      <c r="AM330" s="2" t="s">
        <v>95</v>
      </c>
      <c r="AN330" s="2" t="s">
        <v>96</v>
      </c>
      <c r="AO330" s="2" t="s">
        <v>95</v>
      </c>
      <c r="AP330" s="2" t="s">
        <v>97</v>
      </c>
      <c r="AQ330" s="2" t="s">
        <v>98</v>
      </c>
      <c r="AV330" s="2" t="s">
        <v>95</v>
      </c>
      <c r="AX330" s="2" t="s">
        <v>116</v>
      </c>
      <c r="AZ330" s="2" t="s">
        <v>449</v>
      </c>
      <c r="BB330" s="2" t="s">
        <v>329</v>
      </c>
      <c r="BC330" s="2" t="s">
        <v>593</v>
      </c>
      <c r="BF330" s="2" t="s">
        <v>1694</v>
      </c>
      <c r="BG330" s="2" t="s">
        <v>95</v>
      </c>
      <c r="BH330" s="2" t="s">
        <v>95</v>
      </c>
      <c r="BI330" s="2" t="s">
        <v>95</v>
      </c>
      <c r="BK330" s="2" t="s">
        <v>414</v>
      </c>
      <c r="BL330" s="2" t="s">
        <v>993</v>
      </c>
      <c r="BM330" s="2">
        <v>4.88</v>
      </c>
      <c r="BN330" s="2">
        <v>1</v>
      </c>
      <c r="BO330" s="2">
        <v>4.88</v>
      </c>
      <c r="BP330" s="2">
        <v>4.88</v>
      </c>
      <c r="CB330" s="2" t="s">
        <v>116</v>
      </c>
      <c r="CL330" s="2" t="s">
        <v>96</v>
      </c>
      <c r="CM330" s="2" t="s">
        <v>95</v>
      </c>
      <c r="CN330" s="2" t="s">
        <v>460</v>
      </c>
      <c r="CO330" s="3">
        <v>42542</v>
      </c>
      <c r="CP330" s="3">
        <v>43634</v>
      </c>
    </row>
    <row r="331" spans="1:94" x14ac:dyDescent="0.25">
      <c r="A331" s="2" t="s">
        <v>1695</v>
      </c>
      <c r="B331" s="2" t="str">
        <f xml:space="preserve"> "" &amp; 844349021889</f>
        <v>844349021889</v>
      </c>
      <c r="C331" s="2" t="s">
        <v>1691</v>
      </c>
      <c r="D331" s="2" t="s">
        <v>1692</v>
      </c>
      <c r="E331" s="2" t="s">
        <v>1682</v>
      </c>
      <c r="F331" s="2" t="s">
        <v>418</v>
      </c>
      <c r="G331" s="2">
        <v>1</v>
      </c>
      <c r="H331" s="2">
        <v>1</v>
      </c>
      <c r="I331" s="2" t="s">
        <v>94</v>
      </c>
      <c r="J331" s="6">
        <v>69</v>
      </c>
      <c r="K331" s="6">
        <v>207</v>
      </c>
      <c r="L331" s="2">
        <v>0</v>
      </c>
      <c r="N331" s="2">
        <v>0</v>
      </c>
      <c r="O331" s="2" t="s">
        <v>96</v>
      </c>
      <c r="P331" s="6">
        <v>128.94999999999999</v>
      </c>
      <c r="Q331" s="6"/>
      <c r="R331" s="7"/>
      <c r="S331" s="2">
        <v>16.5</v>
      </c>
      <c r="U331" s="2">
        <v>10.75</v>
      </c>
      <c r="V331" s="2">
        <v>6.5</v>
      </c>
      <c r="W331" s="2">
        <v>2.56</v>
      </c>
      <c r="X331" s="2">
        <v>1</v>
      </c>
      <c r="Y331" s="2">
        <v>6</v>
      </c>
      <c r="Z331" s="2">
        <v>15.75</v>
      </c>
      <c r="AA331" s="2">
        <v>13.25</v>
      </c>
      <c r="AB331" s="2">
        <v>0.72499999999999998</v>
      </c>
      <c r="AC331" s="2">
        <v>3.81</v>
      </c>
      <c r="AE331" s="2">
        <v>2</v>
      </c>
      <c r="AF331" s="2" t="s">
        <v>1693</v>
      </c>
      <c r="AG331" s="2">
        <v>60</v>
      </c>
      <c r="AK331" s="2" t="s">
        <v>96</v>
      </c>
      <c r="AL331" s="2">
        <v>2</v>
      </c>
      <c r="AM331" s="2" t="s">
        <v>95</v>
      </c>
      <c r="AN331" s="2" t="s">
        <v>96</v>
      </c>
      <c r="AO331" s="2" t="s">
        <v>95</v>
      </c>
      <c r="AP331" s="2" t="s">
        <v>97</v>
      </c>
      <c r="AQ331" s="2" t="s">
        <v>98</v>
      </c>
      <c r="AV331" s="2" t="s">
        <v>95</v>
      </c>
      <c r="AX331" s="2" t="s">
        <v>1688</v>
      </c>
      <c r="AZ331" s="2" t="s">
        <v>449</v>
      </c>
      <c r="BB331" s="2" t="s">
        <v>329</v>
      </c>
      <c r="BC331" s="2" t="s">
        <v>593</v>
      </c>
      <c r="BF331" s="2" t="s">
        <v>1696</v>
      </c>
      <c r="BG331" s="2" t="s">
        <v>95</v>
      </c>
      <c r="BH331" s="2" t="s">
        <v>95</v>
      </c>
      <c r="BI331" s="2" t="s">
        <v>95</v>
      </c>
      <c r="BK331" s="2" t="s">
        <v>414</v>
      </c>
      <c r="BL331" s="2" t="s">
        <v>993</v>
      </c>
      <c r="BM331" s="2">
        <v>4.88</v>
      </c>
      <c r="BN331" s="2">
        <v>1</v>
      </c>
      <c r="BO331" s="2">
        <v>4.88</v>
      </c>
      <c r="BP331" s="2">
        <v>4.88</v>
      </c>
      <c r="CA331" s="2" t="s">
        <v>1697</v>
      </c>
      <c r="CB331" s="2" t="s">
        <v>1688</v>
      </c>
      <c r="CL331" s="2" t="s">
        <v>96</v>
      </c>
      <c r="CM331" s="2" t="s">
        <v>95</v>
      </c>
      <c r="CN331" s="2" t="s">
        <v>460</v>
      </c>
      <c r="CO331" s="3">
        <v>42542</v>
      </c>
      <c r="CP331" s="3">
        <v>43634</v>
      </c>
    </row>
    <row r="332" spans="1:94" x14ac:dyDescent="0.25">
      <c r="A332" s="2" t="s">
        <v>1698</v>
      </c>
      <c r="B332" s="2" t="str">
        <f xml:space="preserve"> "" &amp; 844349015796</f>
        <v>844349015796</v>
      </c>
      <c r="C332" s="2" t="s">
        <v>1699</v>
      </c>
      <c r="D332" s="2" t="s">
        <v>1700</v>
      </c>
      <c r="E332" s="2" t="s">
        <v>1682</v>
      </c>
      <c r="F332" s="2" t="s">
        <v>1126</v>
      </c>
      <c r="G332" s="2">
        <v>1</v>
      </c>
      <c r="H332" s="2">
        <v>1</v>
      </c>
      <c r="I332" s="2" t="s">
        <v>94</v>
      </c>
      <c r="J332" s="6">
        <v>123</v>
      </c>
      <c r="K332" s="6">
        <v>369</v>
      </c>
      <c r="L332" s="2">
        <v>0</v>
      </c>
      <c r="N332" s="2">
        <v>0</v>
      </c>
      <c r="O332" s="2" t="s">
        <v>96</v>
      </c>
      <c r="P332" s="6">
        <v>224.95</v>
      </c>
      <c r="Q332" s="6"/>
      <c r="R332" s="7"/>
      <c r="S332" s="2">
        <v>12.5</v>
      </c>
      <c r="T332" s="2">
        <v>18</v>
      </c>
      <c r="U332" s="2">
        <v>18</v>
      </c>
      <c r="V332" s="2">
        <v>18</v>
      </c>
      <c r="W332" s="2">
        <v>5.34</v>
      </c>
      <c r="X332" s="2">
        <v>1</v>
      </c>
      <c r="Y332" s="2">
        <v>10.5</v>
      </c>
      <c r="Z332" s="2">
        <v>15</v>
      </c>
      <c r="AA332" s="2">
        <v>15</v>
      </c>
      <c r="AB332" s="2">
        <v>1.367</v>
      </c>
      <c r="AC332" s="2">
        <v>8.27</v>
      </c>
      <c r="AE332" s="2">
        <v>3</v>
      </c>
      <c r="AF332" s="2" t="s">
        <v>1701</v>
      </c>
      <c r="AG332" s="2">
        <v>60</v>
      </c>
      <c r="AK332" s="2" t="s">
        <v>96</v>
      </c>
      <c r="AM332" s="2" t="s">
        <v>95</v>
      </c>
      <c r="AN332" s="2" t="s">
        <v>96</v>
      </c>
      <c r="AO332" s="2" t="s">
        <v>95</v>
      </c>
      <c r="AP332" s="2" t="s">
        <v>97</v>
      </c>
      <c r="AQ332" s="2" t="s">
        <v>98</v>
      </c>
      <c r="AV332" s="2" t="s">
        <v>95</v>
      </c>
      <c r="AX332" s="2" t="s">
        <v>116</v>
      </c>
      <c r="AZ332" s="2" t="s">
        <v>342</v>
      </c>
      <c r="BB332" s="2" t="s">
        <v>54</v>
      </c>
      <c r="BC332" s="2" t="s">
        <v>1702</v>
      </c>
      <c r="BF332" s="2" t="s">
        <v>1703</v>
      </c>
      <c r="BG332" s="2" t="s">
        <v>95</v>
      </c>
      <c r="BH332" s="2" t="s">
        <v>95</v>
      </c>
      <c r="BI332" s="2" t="s">
        <v>95</v>
      </c>
      <c r="BK332" s="2" t="s">
        <v>100</v>
      </c>
      <c r="BR332" s="2">
        <v>1</v>
      </c>
      <c r="BT332" s="2">
        <v>4.88</v>
      </c>
      <c r="CA332" s="2" t="s">
        <v>1704</v>
      </c>
      <c r="CB332" s="2" t="s">
        <v>116</v>
      </c>
      <c r="CL332" s="2" t="s">
        <v>96</v>
      </c>
      <c r="CM332" s="2" t="s">
        <v>96</v>
      </c>
      <c r="CN332" s="2" t="s">
        <v>1705</v>
      </c>
      <c r="CO332" s="3">
        <v>41586</v>
      </c>
      <c r="CP332" s="3">
        <v>43634</v>
      </c>
    </row>
    <row r="333" spans="1:94" x14ac:dyDescent="0.25">
      <c r="A333" s="2" t="s">
        <v>1706</v>
      </c>
      <c r="B333" s="2" t="str">
        <f xml:space="preserve"> "" &amp; 844349015819</f>
        <v>844349015819</v>
      </c>
      <c r="C333" s="2" t="s">
        <v>1707</v>
      </c>
      <c r="D333" s="2" t="s">
        <v>1708</v>
      </c>
      <c r="E333" s="2" t="s">
        <v>1682</v>
      </c>
      <c r="F333" s="2" t="s">
        <v>1126</v>
      </c>
      <c r="G333" s="2">
        <v>1</v>
      </c>
      <c r="H333" s="2">
        <v>1</v>
      </c>
      <c r="I333" s="2" t="s">
        <v>94</v>
      </c>
      <c r="J333" s="6">
        <v>195</v>
      </c>
      <c r="K333" s="6">
        <v>585</v>
      </c>
      <c r="L333" s="2">
        <v>0</v>
      </c>
      <c r="N333" s="2">
        <v>0</v>
      </c>
      <c r="O333" s="2" t="s">
        <v>96</v>
      </c>
      <c r="P333" s="6">
        <v>349.95</v>
      </c>
      <c r="Q333" s="6"/>
      <c r="R333" s="7"/>
      <c r="S333" s="2">
        <v>17</v>
      </c>
      <c r="T333" s="2">
        <v>24</v>
      </c>
      <c r="U333" s="2">
        <v>24</v>
      </c>
      <c r="W333" s="2">
        <v>7.74</v>
      </c>
      <c r="X333" s="2">
        <v>1</v>
      </c>
      <c r="Y333" s="2">
        <v>13.5</v>
      </c>
      <c r="Z333" s="2">
        <v>22</v>
      </c>
      <c r="AA333" s="2">
        <v>20</v>
      </c>
      <c r="AB333" s="2">
        <v>3.4380000000000002</v>
      </c>
      <c r="AC333" s="2">
        <v>13.38</v>
      </c>
      <c r="AE333" s="2">
        <v>6</v>
      </c>
      <c r="AF333" s="2" t="s">
        <v>1709</v>
      </c>
      <c r="AG333" s="2">
        <v>60</v>
      </c>
      <c r="AK333" s="2" t="s">
        <v>96</v>
      </c>
      <c r="AM333" s="2" t="s">
        <v>95</v>
      </c>
      <c r="AN333" s="2" t="s">
        <v>95</v>
      </c>
      <c r="AO333" s="2" t="s">
        <v>95</v>
      </c>
      <c r="AP333" s="2" t="s">
        <v>97</v>
      </c>
      <c r="AQ333" s="2" t="s">
        <v>98</v>
      </c>
      <c r="AV333" s="2" t="s">
        <v>95</v>
      </c>
      <c r="AX333" s="2" t="s">
        <v>116</v>
      </c>
      <c r="AZ333" s="2" t="s">
        <v>342</v>
      </c>
      <c r="BB333" s="2" t="s">
        <v>54</v>
      </c>
      <c r="BC333" s="2" t="s">
        <v>1702</v>
      </c>
      <c r="BF333" s="2" t="s">
        <v>1710</v>
      </c>
      <c r="BG333" s="2" t="s">
        <v>95</v>
      </c>
      <c r="BH333" s="2" t="s">
        <v>95</v>
      </c>
      <c r="BI333" s="2" t="s">
        <v>95</v>
      </c>
      <c r="BK333" s="2" t="s">
        <v>100</v>
      </c>
      <c r="CA333" s="2" t="s">
        <v>1711</v>
      </c>
      <c r="CB333" s="2" t="s">
        <v>116</v>
      </c>
      <c r="CL333" s="2" t="s">
        <v>96</v>
      </c>
      <c r="CM333" s="2" t="s">
        <v>96</v>
      </c>
      <c r="CN333" s="2" t="s">
        <v>460</v>
      </c>
      <c r="CO333" s="3">
        <v>41702</v>
      </c>
      <c r="CP333" s="3">
        <v>43634</v>
      </c>
    </row>
    <row r="334" spans="1:94" x14ac:dyDescent="0.25">
      <c r="A334" s="2" t="s">
        <v>1712</v>
      </c>
      <c r="B334" s="2" t="str">
        <f xml:space="preserve"> "" &amp; 844349015802</f>
        <v>844349015802</v>
      </c>
      <c r="C334" s="2" t="s">
        <v>1707</v>
      </c>
      <c r="D334" s="2" t="s">
        <v>1708</v>
      </c>
      <c r="E334" s="2" t="s">
        <v>1682</v>
      </c>
      <c r="F334" s="2" t="s">
        <v>1126</v>
      </c>
      <c r="G334" s="2">
        <v>1</v>
      </c>
      <c r="H334" s="2">
        <v>1</v>
      </c>
      <c r="I334" s="2" t="s">
        <v>94</v>
      </c>
      <c r="J334" s="6">
        <v>195</v>
      </c>
      <c r="K334" s="6">
        <v>585</v>
      </c>
      <c r="L334" s="2">
        <v>0</v>
      </c>
      <c r="N334" s="2">
        <v>0</v>
      </c>
      <c r="O334" s="2" t="s">
        <v>96</v>
      </c>
      <c r="P334" s="6">
        <v>349.95</v>
      </c>
      <c r="Q334" s="6"/>
      <c r="R334" s="7"/>
      <c r="S334" s="2">
        <v>17</v>
      </c>
      <c r="T334" s="2">
        <v>24</v>
      </c>
      <c r="U334" s="2">
        <v>24</v>
      </c>
      <c r="V334" s="2">
        <v>24</v>
      </c>
      <c r="W334" s="2">
        <v>7.74</v>
      </c>
      <c r="X334" s="2">
        <v>1</v>
      </c>
      <c r="Y334" s="2">
        <v>13.5</v>
      </c>
      <c r="Z334" s="2">
        <v>22</v>
      </c>
      <c r="AA334" s="2">
        <v>20</v>
      </c>
      <c r="AB334" s="2">
        <v>3.4380000000000002</v>
      </c>
      <c r="AC334" s="2">
        <v>13.38</v>
      </c>
      <c r="AE334" s="2">
        <v>6</v>
      </c>
      <c r="AF334" s="2" t="s">
        <v>1701</v>
      </c>
      <c r="AG334" s="2">
        <v>60</v>
      </c>
      <c r="AK334" s="2" t="s">
        <v>96</v>
      </c>
      <c r="AM334" s="2" t="s">
        <v>95</v>
      </c>
      <c r="AN334" s="2" t="s">
        <v>96</v>
      </c>
      <c r="AO334" s="2" t="s">
        <v>95</v>
      </c>
      <c r="AP334" s="2" t="s">
        <v>97</v>
      </c>
      <c r="AQ334" s="2" t="s">
        <v>98</v>
      </c>
      <c r="AV334" s="2" t="s">
        <v>95</v>
      </c>
      <c r="AX334" s="2" t="s">
        <v>1688</v>
      </c>
      <c r="AZ334" s="2" t="s">
        <v>342</v>
      </c>
      <c r="BB334" s="2" t="s">
        <v>54</v>
      </c>
      <c r="BC334" s="2" t="s">
        <v>1713</v>
      </c>
      <c r="BF334" s="2" t="s">
        <v>1714</v>
      </c>
      <c r="BG334" s="2" t="s">
        <v>95</v>
      </c>
      <c r="BH334" s="2" t="s">
        <v>95</v>
      </c>
      <c r="BI334" s="2" t="s">
        <v>95</v>
      </c>
      <c r="BK334" s="2" t="s">
        <v>100</v>
      </c>
      <c r="BR334" s="2">
        <v>1</v>
      </c>
      <c r="BT334" s="2">
        <v>4.88</v>
      </c>
      <c r="CA334" s="2" t="s">
        <v>1711</v>
      </c>
      <c r="CB334" s="2" t="s">
        <v>1688</v>
      </c>
      <c r="CL334" s="2" t="s">
        <v>96</v>
      </c>
      <c r="CM334" s="2" t="s">
        <v>96</v>
      </c>
      <c r="CN334" s="2" t="s">
        <v>1715</v>
      </c>
      <c r="CO334" s="3">
        <v>41586</v>
      </c>
      <c r="CP334" s="3">
        <v>43634</v>
      </c>
    </row>
    <row r="335" spans="1:94" x14ac:dyDescent="0.25">
      <c r="A335" s="2" t="s">
        <v>1716</v>
      </c>
      <c r="B335" s="2" t="str">
        <f xml:space="preserve"> "" &amp; 844349021919</f>
        <v>844349021919</v>
      </c>
      <c r="C335" s="2" t="s">
        <v>1163</v>
      </c>
      <c r="D335" s="2" t="s">
        <v>1717</v>
      </c>
      <c r="E335" s="2" t="s">
        <v>1682</v>
      </c>
      <c r="F335" s="2" t="s">
        <v>1126</v>
      </c>
      <c r="G335" s="2">
        <v>1</v>
      </c>
      <c r="H335" s="2">
        <v>1</v>
      </c>
      <c r="I335" s="2" t="s">
        <v>94</v>
      </c>
      <c r="J335" s="6">
        <v>225</v>
      </c>
      <c r="K335" s="6">
        <v>675</v>
      </c>
      <c r="L335" s="2">
        <v>0</v>
      </c>
      <c r="N335" s="2">
        <v>0</v>
      </c>
      <c r="O335" s="2" t="s">
        <v>96</v>
      </c>
      <c r="P335" s="6">
        <v>473.95</v>
      </c>
      <c r="Q335" s="6"/>
      <c r="R335" s="7"/>
      <c r="S335" s="2">
        <v>23</v>
      </c>
      <c r="T335" s="2">
        <v>18</v>
      </c>
      <c r="U335" s="2">
        <v>18</v>
      </c>
      <c r="W335" s="2">
        <v>8.8800000000000008</v>
      </c>
      <c r="X335" s="2">
        <v>1</v>
      </c>
      <c r="Y335" s="2">
        <v>18</v>
      </c>
      <c r="Z335" s="2">
        <v>25</v>
      </c>
      <c r="AA335" s="2">
        <v>18</v>
      </c>
      <c r="AB335" s="2">
        <v>4.6879999999999997</v>
      </c>
      <c r="AC335" s="2">
        <v>15.63</v>
      </c>
      <c r="AE335" s="2">
        <v>8</v>
      </c>
      <c r="AF335" s="2" t="s">
        <v>1693</v>
      </c>
      <c r="AG335" s="2">
        <v>60</v>
      </c>
      <c r="AK335" s="2" t="s">
        <v>96</v>
      </c>
      <c r="AL335" s="2">
        <v>8</v>
      </c>
      <c r="AM335" s="2" t="s">
        <v>95</v>
      </c>
      <c r="AN335" s="2" t="s">
        <v>96</v>
      </c>
      <c r="AO335" s="2" t="s">
        <v>95</v>
      </c>
      <c r="AP335" s="2" t="s">
        <v>97</v>
      </c>
      <c r="AQ335" s="2" t="s">
        <v>98</v>
      </c>
      <c r="AV335" s="2" t="s">
        <v>95</v>
      </c>
      <c r="AX335" s="2" t="s">
        <v>116</v>
      </c>
      <c r="AZ335" s="2" t="s">
        <v>449</v>
      </c>
      <c r="BB335" s="2" t="s">
        <v>329</v>
      </c>
      <c r="BC335" s="2" t="s">
        <v>593</v>
      </c>
      <c r="BF335" s="2" t="s">
        <v>1718</v>
      </c>
      <c r="BG335" s="2" t="s">
        <v>95</v>
      </c>
      <c r="BH335" s="2" t="s">
        <v>95</v>
      </c>
      <c r="BI335" s="2" t="s">
        <v>95</v>
      </c>
      <c r="BK335" s="2" t="s">
        <v>100</v>
      </c>
      <c r="BQ335" s="2">
        <v>4.88</v>
      </c>
      <c r="BR335" s="2">
        <v>1</v>
      </c>
      <c r="BS335" s="2">
        <v>4.88</v>
      </c>
      <c r="BT335" s="2">
        <v>4.88</v>
      </c>
      <c r="CB335" s="2" t="s">
        <v>116</v>
      </c>
      <c r="CL335" s="2" t="s">
        <v>96</v>
      </c>
      <c r="CM335" s="2" t="s">
        <v>96</v>
      </c>
      <c r="CN335" s="2" t="s">
        <v>460</v>
      </c>
      <c r="CO335" s="3">
        <v>42542</v>
      </c>
      <c r="CP335" s="3">
        <v>43634</v>
      </c>
    </row>
    <row r="336" spans="1:94" x14ac:dyDescent="0.25">
      <c r="A336" s="2" t="s">
        <v>1719</v>
      </c>
      <c r="B336" s="2" t="str">
        <f xml:space="preserve"> "" &amp; 844349021926</f>
        <v>844349021926</v>
      </c>
      <c r="C336" s="2" t="s">
        <v>1163</v>
      </c>
      <c r="D336" s="2" t="s">
        <v>1717</v>
      </c>
      <c r="E336" s="2" t="s">
        <v>1682</v>
      </c>
      <c r="F336" s="2" t="s">
        <v>1126</v>
      </c>
      <c r="G336" s="2">
        <v>1</v>
      </c>
      <c r="H336" s="2">
        <v>1</v>
      </c>
      <c r="I336" s="2" t="s">
        <v>94</v>
      </c>
      <c r="J336" s="6">
        <v>225</v>
      </c>
      <c r="K336" s="6">
        <v>675</v>
      </c>
      <c r="L336" s="2">
        <v>0</v>
      </c>
      <c r="N336" s="2">
        <v>0</v>
      </c>
      <c r="O336" s="2" t="s">
        <v>96</v>
      </c>
      <c r="P336" s="6">
        <v>473.95</v>
      </c>
      <c r="Q336" s="6"/>
      <c r="R336" s="7"/>
      <c r="S336" s="2">
        <v>23</v>
      </c>
      <c r="T336" s="2">
        <v>18</v>
      </c>
      <c r="U336" s="2">
        <v>18</v>
      </c>
      <c r="W336" s="2">
        <v>8.8800000000000008</v>
      </c>
      <c r="X336" s="2">
        <v>1</v>
      </c>
      <c r="Y336" s="2">
        <v>18</v>
      </c>
      <c r="Z336" s="2">
        <v>25</v>
      </c>
      <c r="AA336" s="2">
        <v>18</v>
      </c>
      <c r="AB336" s="2">
        <v>4.6879999999999997</v>
      </c>
      <c r="AC336" s="2">
        <v>15.63</v>
      </c>
      <c r="AE336" s="2">
        <v>8</v>
      </c>
      <c r="AF336" s="2" t="s">
        <v>1693</v>
      </c>
      <c r="AG336" s="2">
        <v>60</v>
      </c>
      <c r="AK336" s="2" t="s">
        <v>96</v>
      </c>
      <c r="AL336" s="2">
        <v>8</v>
      </c>
      <c r="AM336" s="2" t="s">
        <v>95</v>
      </c>
      <c r="AN336" s="2" t="s">
        <v>96</v>
      </c>
      <c r="AO336" s="2" t="s">
        <v>95</v>
      </c>
      <c r="AP336" s="2" t="s">
        <v>97</v>
      </c>
      <c r="AQ336" s="2" t="s">
        <v>98</v>
      </c>
      <c r="AV336" s="2" t="s">
        <v>95</v>
      </c>
      <c r="AX336" s="2" t="s">
        <v>1688</v>
      </c>
      <c r="AZ336" s="2" t="s">
        <v>449</v>
      </c>
      <c r="BB336" s="2" t="s">
        <v>329</v>
      </c>
      <c r="BC336" s="2" t="s">
        <v>593</v>
      </c>
      <c r="BF336" s="2" t="s">
        <v>1720</v>
      </c>
      <c r="BG336" s="2" t="s">
        <v>95</v>
      </c>
      <c r="BH336" s="2" t="s">
        <v>95</v>
      </c>
      <c r="BI336" s="2" t="s">
        <v>95</v>
      </c>
      <c r="BK336" s="2" t="s">
        <v>100</v>
      </c>
      <c r="BQ336" s="2">
        <v>4.88</v>
      </c>
      <c r="BR336" s="2">
        <v>1</v>
      </c>
      <c r="BS336" s="2">
        <v>4.88</v>
      </c>
      <c r="BT336" s="2">
        <v>4.88</v>
      </c>
      <c r="CA336" s="2" t="s">
        <v>1721</v>
      </c>
      <c r="CB336" s="2" t="s">
        <v>1688</v>
      </c>
      <c r="CL336" s="2" t="s">
        <v>96</v>
      </c>
      <c r="CM336" s="2" t="s">
        <v>96</v>
      </c>
      <c r="CN336" s="2" t="s">
        <v>460</v>
      </c>
      <c r="CO336" s="3">
        <v>42542</v>
      </c>
      <c r="CP336" s="3">
        <v>43634</v>
      </c>
    </row>
    <row r="337" spans="1:94" x14ac:dyDescent="0.25">
      <c r="A337" s="2" t="s">
        <v>1722</v>
      </c>
      <c r="B337" s="2" t="str">
        <f xml:space="preserve"> "" &amp; 844349021933</f>
        <v>844349021933</v>
      </c>
      <c r="C337" s="2" t="s">
        <v>1723</v>
      </c>
      <c r="D337" s="2" t="s">
        <v>1724</v>
      </c>
      <c r="E337" s="2" t="s">
        <v>1682</v>
      </c>
      <c r="F337" s="2" t="s">
        <v>614</v>
      </c>
      <c r="G337" s="2">
        <v>1</v>
      </c>
      <c r="H337" s="2">
        <v>1</v>
      </c>
      <c r="I337" s="2" t="s">
        <v>94</v>
      </c>
      <c r="J337" s="6">
        <v>249</v>
      </c>
      <c r="K337" s="6">
        <v>747</v>
      </c>
      <c r="L337" s="2">
        <v>0</v>
      </c>
      <c r="N337" s="2">
        <v>0</v>
      </c>
      <c r="O337" s="2" t="s">
        <v>96</v>
      </c>
      <c r="P337" s="6">
        <v>449.95</v>
      </c>
      <c r="Q337" s="6"/>
      <c r="R337" s="7"/>
      <c r="S337" s="2">
        <v>18</v>
      </c>
      <c r="T337" s="2">
        <v>36.5</v>
      </c>
      <c r="U337" s="2">
        <v>22</v>
      </c>
      <c r="W337" s="2">
        <v>9.26</v>
      </c>
      <c r="X337" s="2">
        <v>1</v>
      </c>
      <c r="Y337" s="2">
        <v>15.75</v>
      </c>
      <c r="Z337" s="2">
        <v>35</v>
      </c>
      <c r="AA337" s="2">
        <v>21</v>
      </c>
      <c r="AB337" s="2">
        <v>6.6989999999999998</v>
      </c>
      <c r="AC337" s="2">
        <v>17.86</v>
      </c>
      <c r="AE337" s="2">
        <v>8</v>
      </c>
      <c r="AF337" s="2" t="s">
        <v>1693</v>
      </c>
      <c r="AG337" s="2">
        <v>60</v>
      </c>
      <c r="AK337" s="2" t="s">
        <v>96</v>
      </c>
      <c r="AL337" s="2">
        <v>8</v>
      </c>
      <c r="AM337" s="2" t="s">
        <v>95</v>
      </c>
      <c r="AN337" s="2" t="s">
        <v>96</v>
      </c>
      <c r="AO337" s="2" t="s">
        <v>95</v>
      </c>
      <c r="AP337" s="2" t="s">
        <v>97</v>
      </c>
      <c r="AQ337" s="2" t="s">
        <v>98</v>
      </c>
      <c r="AV337" s="2" t="s">
        <v>95</v>
      </c>
      <c r="AX337" s="2" t="s">
        <v>116</v>
      </c>
      <c r="AZ337" s="2" t="s">
        <v>449</v>
      </c>
      <c r="BB337" s="2" t="s">
        <v>329</v>
      </c>
      <c r="BC337" s="2" t="s">
        <v>593</v>
      </c>
      <c r="BF337" s="2" t="s">
        <v>1725</v>
      </c>
      <c r="BG337" s="2" t="s">
        <v>95</v>
      </c>
      <c r="BH337" s="2" t="s">
        <v>95</v>
      </c>
      <c r="BI337" s="2" t="s">
        <v>95</v>
      </c>
      <c r="BK337" s="2" t="s">
        <v>100</v>
      </c>
      <c r="BQ337" s="2">
        <v>4.88</v>
      </c>
      <c r="BR337" s="2">
        <v>1</v>
      </c>
      <c r="BS337" s="2">
        <v>4.88</v>
      </c>
      <c r="BT337" s="2">
        <v>4.88</v>
      </c>
      <c r="CA337" s="2" t="s">
        <v>1726</v>
      </c>
      <c r="CB337" s="2" t="s">
        <v>116</v>
      </c>
      <c r="CL337" s="2" t="s">
        <v>96</v>
      </c>
      <c r="CM337" s="2" t="s">
        <v>96</v>
      </c>
      <c r="CN337" s="2" t="s">
        <v>460</v>
      </c>
      <c r="CO337" s="3">
        <v>42542</v>
      </c>
      <c r="CP337" s="3">
        <v>43634</v>
      </c>
    </row>
    <row r="338" spans="1:94" x14ac:dyDescent="0.25">
      <c r="A338" s="2" t="s">
        <v>1727</v>
      </c>
      <c r="B338" s="2" t="str">
        <f xml:space="preserve"> "" &amp; 844349021940</f>
        <v>844349021940</v>
      </c>
      <c r="C338" s="2" t="s">
        <v>1723</v>
      </c>
      <c r="D338" s="2" t="s">
        <v>1724</v>
      </c>
      <c r="E338" s="2" t="s">
        <v>1682</v>
      </c>
      <c r="F338" s="2" t="s">
        <v>614</v>
      </c>
      <c r="G338" s="2">
        <v>1</v>
      </c>
      <c r="H338" s="2">
        <v>1</v>
      </c>
      <c r="I338" s="2" t="s">
        <v>94</v>
      </c>
      <c r="J338" s="6">
        <v>249</v>
      </c>
      <c r="K338" s="6">
        <v>747</v>
      </c>
      <c r="L338" s="2">
        <v>0</v>
      </c>
      <c r="N338" s="2">
        <v>0</v>
      </c>
      <c r="O338" s="2" t="s">
        <v>96</v>
      </c>
      <c r="P338" s="6">
        <v>449.95</v>
      </c>
      <c r="Q338" s="6"/>
      <c r="R338" s="7"/>
      <c r="S338" s="2">
        <v>18</v>
      </c>
      <c r="T338" s="2">
        <v>36.5</v>
      </c>
      <c r="U338" s="2">
        <v>22</v>
      </c>
      <c r="W338" s="2">
        <v>9.26</v>
      </c>
      <c r="X338" s="2">
        <v>1</v>
      </c>
      <c r="Y338" s="2">
        <v>15.75</v>
      </c>
      <c r="Z338" s="2">
        <v>35</v>
      </c>
      <c r="AA338" s="2">
        <v>21</v>
      </c>
      <c r="AB338" s="2">
        <v>6.6989999999999998</v>
      </c>
      <c r="AC338" s="2">
        <v>17.86</v>
      </c>
      <c r="AE338" s="2">
        <v>8</v>
      </c>
      <c r="AF338" s="2" t="s">
        <v>1693</v>
      </c>
      <c r="AG338" s="2">
        <v>60</v>
      </c>
      <c r="AK338" s="2" t="s">
        <v>96</v>
      </c>
      <c r="AL338" s="2">
        <v>8</v>
      </c>
      <c r="AM338" s="2" t="s">
        <v>95</v>
      </c>
      <c r="AN338" s="2" t="s">
        <v>96</v>
      </c>
      <c r="AO338" s="2" t="s">
        <v>95</v>
      </c>
      <c r="AP338" s="2" t="s">
        <v>97</v>
      </c>
      <c r="AQ338" s="2" t="s">
        <v>98</v>
      </c>
      <c r="AV338" s="2" t="s">
        <v>95</v>
      </c>
      <c r="AX338" s="2" t="s">
        <v>1688</v>
      </c>
      <c r="AZ338" s="2" t="s">
        <v>449</v>
      </c>
      <c r="BB338" s="2" t="s">
        <v>329</v>
      </c>
      <c r="BC338" s="2" t="s">
        <v>593</v>
      </c>
      <c r="BF338" s="2" t="s">
        <v>1728</v>
      </c>
      <c r="BG338" s="2" t="s">
        <v>95</v>
      </c>
      <c r="BH338" s="2" t="s">
        <v>95</v>
      </c>
      <c r="BI338" s="2" t="s">
        <v>95</v>
      </c>
      <c r="BK338" s="2" t="s">
        <v>100</v>
      </c>
      <c r="BQ338" s="2">
        <v>4.88</v>
      </c>
      <c r="BR338" s="2">
        <v>1</v>
      </c>
      <c r="BS338" s="2">
        <v>4.88</v>
      </c>
      <c r="BT338" s="2">
        <v>4.88</v>
      </c>
      <c r="CA338" s="2" t="s">
        <v>1726</v>
      </c>
      <c r="CB338" s="2" t="s">
        <v>1688</v>
      </c>
      <c r="CL338" s="2" t="s">
        <v>96</v>
      </c>
      <c r="CM338" s="2" t="s">
        <v>96</v>
      </c>
      <c r="CN338" s="2" t="s">
        <v>460</v>
      </c>
      <c r="CO338" s="3">
        <v>42542</v>
      </c>
      <c r="CP338" s="3">
        <v>43634</v>
      </c>
    </row>
    <row r="339" spans="1:94" x14ac:dyDescent="0.25">
      <c r="A339" s="2" t="s">
        <v>1729</v>
      </c>
      <c r="B339" s="2" t="str">
        <f xml:space="preserve"> "" &amp; 844349015826</f>
        <v>844349015826</v>
      </c>
      <c r="C339" s="2" t="s">
        <v>391</v>
      </c>
      <c r="D339" s="2" t="s">
        <v>1730</v>
      </c>
      <c r="E339" s="2" t="s">
        <v>1731</v>
      </c>
      <c r="F339" s="2" t="s">
        <v>393</v>
      </c>
      <c r="G339" s="2">
        <v>1</v>
      </c>
      <c r="H339" s="2">
        <v>1</v>
      </c>
      <c r="I339" s="2" t="s">
        <v>94</v>
      </c>
      <c r="J339" s="6">
        <v>75</v>
      </c>
      <c r="K339" s="6">
        <v>225</v>
      </c>
      <c r="L339" s="2">
        <v>0</v>
      </c>
      <c r="N339" s="2">
        <v>0</v>
      </c>
      <c r="O339" s="2" t="s">
        <v>96</v>
      </c>
      <c r="P339" s="6">
        <v>159.94999999999999</v>
      </c>
      <c r="Q339" s="6"/>
      <c r="R339" s="7"/>
      <c r="S339" s="2">
        <v>9.25</v>
      </c>
      <c r="U339" s="2">
        <v>9</v>
      </c>
      <c r="W339" s="2">
        <v>4.4800000000000004</v>
      </c>
      <c r="X339" s="2">
        <v>1</v>
      </c>
      <c r="Y339" s="2">
        <v>14</v>
      </c>
      <c r="Z339" s="2">
        <v>11.5</v>
      </c>
      <c r="AA339" s="2">
        <v>11.5</v>
      </c>
      <c r="AB339" s="2">
        <v>1.071</v>
      </c>
      <c r="AC339" s="2">
        <v>6.61</v>
      </c>
      <c r="AE339" s="2">
        <v>1</v>
      </c>
      <c r="AF339" s="2" t="s">
        <v>1445</v>
      </c>
      <c r="AG339" s="2">
        <v>100</v>
      </c>
      <c r="AK339" s="2" t="s">
        <v>95</v>
      </c>
      <c r="AM339" s="2" t="s">
        <v>95</v>
      </c>
      <c r="AN339" s="2" t="s">
        <v>96</v>
      </c>
      <c r="AO339" s="2" t="s">
        <v>95</v>
      </c>
      <c r="AP339" s="2" t="s">
        <v>97</v>
      </c>
      <c r="AQ339" s="2" t="s">
        <v>98</v>
      </c>
      <c r="AV339" s="2" t="s">
        <v>95</v>
      </c>
      <c r="AX339" s="2" t="s">
        <v>1732</v>
      </c>
      <c r="AZ339" s="2" t="s">
        <v>1436</v>
      </c>
      <c r="BB339" s="2" t="s">
        <v>1447</v>
      </c>
      <c r="BC339" s="2" t="s">
        <v>1733</v>
      </c>
      <c r="BF339" s="2" t="s">
        <v>1734</v>
      </c>
      <c r="BG339" s="2" t="s">
        <v>95</v>
      </c>
      <c r="BH339" s="2" t="s">
        <v>95</v>
      </c>
      <c r="BI339" s="2" t="s">
        <v>95</v>
      </c>
      <c r="BK339" s="2" t="s">
        <v>100</v>
      </c>
      <c r="BR339" s="2">
        <v>1</v>
      </c>
      <c r="BT339" s="2">
        <v>4.88</v>
      </c>
      <c r="CA339" s="2" t="s">
        <v>1735</v>
      </c>
      <c r="CB339" s="2" t="s">
        <v>1732</v>
      </c>
      <c r="CL339" s="2" t="s">
        <v>96</v>
      </c>
      <c r="CM339" s="2" t="s">
        <v>96</v>
      </c>
      <c r="CN339" s="2" t="s">
        <v>1736</v>
      </c>
      <c r="CO339" s="3">
        <v>41575</v>
      </c>
      <c r="CP339" s="3">
        <v>43634</v>
      </c>
    </row>
    <row r="340" spans="1:94" x14ac:dyDescent="0.25">
      <c r="A340" s="2" t="s">
        <v>1737</v>
      </c>
      <c r="B340" s="2" t="str">
        <f xml:space="preserve"> "" &amp; 844349015833</f>
        <v>844349015833</v>
      </c>
      <c r="C340" s="2" t="s">
        <v>1738</v>
      </c>
      <c r="D340" s="2" t="s">
        <v>1739</v>
      </c>
      <c r="E340" s="2" t="s">
        <v>1731</v>
      </c>
      <c r="F340" s="2" t="s">
        <v>393</v>
      </c>
      <c r="G340" s="2">
        <v>1</v>
      </c>
      <c r="H340" s="2">
        <v>1</v>
      </c>
      <c r="I340" s="2" t="s">
        <v>94</v>
      </c>
      <c r="J340" s="6">
        <v>169</v>
      </c>
      <c r="K340" s="6">
        <v>507</v>
      </c>
      <c r="L340" s="2">
        <v>0</v>
      </c>
      <c r="N340" s="2">
        <v>0</v>
      </c>
      <c r="O340" s="2" t="s">
        <v>96</v>
      </c>
      <c r="P340" s="6">
        <v>354.95</v>
      </c>
      <c r="Q340" s="6"/>
      <c r="R340" s="7"/>
      <c r="S340" s="2">
        <v>10.25</v>
      </c>
      <c r="U340" s="2">
        <v>18</v>
      </c>
      <c r="W340" s="2">
        <v>8.36</v>
      </c>
      <c r="X340" s="2">
        <v>1</v>
      </c>
      <c r="Y340" s="2">
        <v>12</v>
      </c>
      <c r="Z340" s="2">
        <v>20.5</v>
      </c>
      <c r="AA340" s="2">
        <v>20.5</v>
      </c>
      <c r="AB340" s="2">
        <v>2.9180000000000001</v>
      </c>
      <c r="AC340" s="2">
        <v>12.85</v>
      </c>
      <c r="AE340" s="2">
        <v>4</v>
      </c>
      <c r="AF340" s="2" t="s">
        <v>1740</v>
      </c>
      <c r="AG340" s="2">
        <v>100</v>
      </c>
      <c r="AK340" s="2" t="s">
        <v>95</v>
      </c>
      <c r="AM340" s="2" t="s">
        <v>95</v>
      </c>
      <c r="AN340" s="2" t="s">
        <v>96</v>
      </c>
      <c r="AO340" s="2" t="s">
        <v>95</v>
      </c>
      <c r="AP340" s="2" t="s">
        <v>97</v>
      </c>
      <c r="AQ340" s="2" t="s">
        <v>98</v>
      </c>
      <c r="AV340" s="2" t="s">
        <v>95</v>
      </c>
      <c r="AX340" s="2" t="s">
        <v>1732</v>
      </c>
      <c r="AZ340" s="2" t="s">
        <v>1436</v>
      </c>
      <c r="BB340" s="2" t="s">
        <v>1447</v>
      </c>
      <c r="BC340" s="2" t="s">
        <v>1733</v>
      </c>
      <c r="BF340" s="2" t="s">
        <v>1741</v>
      </c>
      <c r="BG340" s="2" t="s">
        <v>95</v>
      </c>
      <c r="BH340" s="2" t="s">
        <v>95</v>
      </c>
      <c r="BI340" s="2" t="s">
        <v>95</v>
      </c>
      <c r="BK340" s="2" t="s">
        <v>100</v>
      </c>
      <c r="BR340" s="2">
        <v>1</v>
      </c>
      <c r="BT340" s="2">
        <v>4.88</v>
      </c>
      <c r="CA340" s="2" t="s">
        <v>1742</v>
      </c>
      <c r="CB340" s="2" t="s">
        <v>1732</v>
      </c>
      <c r="CL340" s="2" t="s">
        <v>96</v>
      </c>
      <c r="CM340" s="2" t="s">
        <v>96</v>
      </c>
      <c r="CN340" s="2" t="s">
        <v>1736</v>
      </c>
      <c r="CO340" s="3">
        <v>41575</v>
      </c>
      <c r="CP340" s="3">
        <v>43634</v>
      </c>
    </row>
    <row r="341" spans="1:94" x14ac:dyDescent="0.25">
      <c r="A341" s="2" t="s">
        <v>1743</v>
      </c>
      <c r="B341" s="2" t="str">
        <f xml:space="preserve"> "" &amp; 844349015840</f>
        <v>844349015840</v>
      </c>
      <c r="C341" s="2" t="s">
        <v>1738</v>
      </c>
      <c r="D341" s="2" t="s">
        <v>1739</v>
      </c>
      <c r="E341" s="2" t="s">
        <v>1731</v>
      </c>
      <c r="F341" s="2" t="s">
        <v>393</v>
      </c>
      <c r="G341" s="2">
        <v>1</v>
      </c>
      <c r="H341" s="2">
        <v>1</v>
      </c>
      <c r="I341" s="2" t="s">
        <v>94</v>
      </c>
      <c r="J341" s="6">
        <v>195</v>
      </c>
      <c r="K341" s="6">
        <v>585</v>
      </c>
      <c r="L341" s="2">
        <v>0</v>
      </c>
      <c r="N341" s="2">
        <v>0</v>
      </c>
      <c r="O341" s="2" t="s">
        <v>96</v>
      </c>
      <c r="P341" s="6">
        <v>409.95</v>
      </c>
      <c r="Q341" s="6"/>
      <c r="R341" s="7"/>
      <c r="S341" s="2">
        <v>10.5</v>
      </c>
      <c r="U341" s="2">
        <v>24</v>
      </c>
      <c r="W341" s="2">
        <v>9.99</v>
      </c>
      <c r="X341" s="2">
        <v>1</v>
      </c>
      <c r="Y341" s="2">
        <v>12</v>
      </c>
      <c r="Z341" s="2">
        <v>26.5</v>
      </c>
      <c r="AA341" s="2">
        <v>26.5</v>
      </c>
      <c r="AB341" s="2">
        <v>4.8769999999999998</v>
      </c>
      <c r="AC341" s="2">
        <v>16.690000000000001</v>
      </c>
      <c r="AE341" s="2">
        <v>4</v>
      </c>
      <c r="AF341" s="2" t="s">
        <v>1445</v>
      </c>
      <c r="AG341" s="2">
        <v>100</v>
      </c>
      <c r="AK341" s="2" t="s">
        <v>95</v>
      </c>
      <c r="AM341" s="2" t="s">
        <v>95</v>
      </c>
      <c r="AN341" s="2" t="s">
        <v>96</v>
      </c>
      <c r="AO341" s="2" t="s">
        <v>95</v>
      </c>
      <c r="AP341" s="2" t="s">
        <v>97</v>
      </c>
      <c r="AQ341" s="2" t="s">
        <v>98</v>
      </c>
      <c r="AV341" s="2" t="s">
        <v>95</v>
      </c>
      <c r="AX341" s="2" t="s">
        <v>1732</v>
      </c>
      <c r="AZ341" s="2" t="s">
        <v>1436</v>
      </c>
      <c r="BB341" s="2" t="s">
        <v>1447</v>
      </c>
      <c r="BC341" s="2" t="s">
        <v>1733</v>
      </c>
      <c r="BF341" s="2" t="s">
        <v>1744</v>
      </c>
      <c r="BG341" s="2" t="s">
        <v>95</v>
      </c>
      <c r="BH341" s="2" t="s">
        <v>95</v>
      </c>
      <c r="BI341" s="2" t="s">
        <v>95</v>
      </c>
      <c r="BK341" s="2" t="s">
        <v>100</v>
      </c>
      <c r="BR341" s="2">
        <v>1</v>
      </c>
      <c r="BT341" s="2">
        <v>4.88</v>
      </c>
      <c r="CA341" s="2" t="s">
        <v>1745</v>
      </c>
      <c r="CB341" s="2" t="s">
        <v>1732</v>
      </c>
      <c r="CL341" s="2" t="s">
        <v>96</v>
      </c>
      <c r="CM341" s="2" t="s">
        <v>96</v>
      </c>
      <c r="CN341" s="2" t="s">
        <v>1736</v>
      </c>
      <c r="CO341" s="3">
        <v>41575</v>
      </c>
      <c r="CP341" s="3">
        <v>43634</v>
      </c>
    </row>
    <row r="342" spans="1:94" x14ac:dyDescent="0.25">
      <c r="A342" s="2" t="s">
        <v>1746</v>
      </c>
      <c r="B342" s="2" t="str">
        <f xml:space="preserve"> "" &amp; 844349021865</f>
        <v>844349021865</v>
      </c>
      <c r="C342" s="2" t="s">
        <v>391</v>
      </c>
      <c r="D342" s="2" t="s">
        <v>1747</v>
      </c>
      <c r="E342" s="2" t="s">
        <v>1748</v>
      </c>
      <c r="F342" s="2" t="s">
        <v>393</v>
      </c>
      <c r="G342" s="2">
        <v>1</v>
      </c>
      <c r="H342" s="2">
        <v>1</v>
      </c>
      <c r="I342" s="2" t="s">
        <v>94</v>
      </c>
      <c r="J342" s="6">
        <v>52</v>
      </c>
      <c r="K342" s="6">
        <v>156</v>
      </c>
      <c r="L342" s="2">
        <v>0</v>
      </c>
      <c r="N342" s="2">
        <v>0</v>
      </c>
      <c r="O342" s="2" t="s">
        <v>96</v>
      </c>
      <c r="P342" s="6">
        <v>108.95</v>
      </c>
      <c r="Q342" s="6"/>
      <c r="R342" s="7"/>
      <c r="S342" s="2">
        <v>9.5</v>
      </c>
      <c r="U342" s="2">
        <v>5.5</v>
      </c>
      <c r="W342" s="2">
        <v>2.09</v>
      </c>
      <c r="X342" s="2">
        <v>1</v>
      </c>
      <c r="Y342" s="2">
        <v>8.5</v>
      </c>
      <c r="Z342" s="2">
        <v>14.5</v>
      </c>
      <c r="AA342" s="2">
        <v>9</v>
      </c>
      <c r="AB342" s="2">
        <v>0.64200000000000002</v>
      </c>
      <c r="AC342" s="2">
        <v>3.2</v>
      </c>
      <c r="AE342" s="2">
        <v>1</v>
      </c>
      <c r="AF342" s="2" t="s">
        <v>440</v>
      </c>
      <c r="AG342" s="2">
        <v>100</v>
      </c>
      <c r="AK342" s="2" t="s">
        <v>95</v>
      </c>
      <c r="AM342" s="2" t="s">
        <v>95</v>
      </c>
      <c r="AN342" s="2" t="s">
        <v>96</v>
      </c>
      <c r="AO342" s="2" t="s">
        <v>95</v>
      </c>
      <c r="AP342" s="2" t="s">
        <v>97</v>
      </c>
      <c r="AQ342" s="2" t="s">
        <v>98</v>
      </c>
      <c r="AV342" s="2" t="s">
        <v>95</v>
      </c>
      <c r="AX342" s="2" t="s">
        <v>1688</v>
      </c>
      <c r="AZ342" s="2" t="s">
        <v>449</v>
      </c>
      <c r="BB342" s="2" t="s">
        <v>230</v>
      </c>
      <c r="BC342" s="2" t="s">
        <v>1584</v>
      </c>
      <c r="BF342" s="2" t="s">
        <v>1749</v>
      </c>
      <c r="BG342" s="2" t="s">
        <v>95</v>
      </c>
      <c r="BH342" s="2" t="s">
        <v>95</v>
      </c>
      <c r="BI342" s="2" t="s">
        <v>95</v>
      </c>
      <c r="BK342" s="2" t="s">
        <v>100</v>
      </c>
      <c r="BR342" s="2">
        <v>0.88</v>
      </c>
      <c r="BT342" s="2">
        <v>4.88</v>
      </c>
      <c r="CA342" s="2" t="s">
        <v>1750</v>
      </c>
      <c r="CB342" s="2" t="s">
        <v>1688</v>
      </c>
      <c r="CL342" s="2" t="s">
        <v>96</v>
      </c>
      <c r="CM342" s="2" t="s">
        <v>96</v>
      </c>
      <c r="CN342" s="2" t="s">
        <v>230</v>
      </c>
      <c r="CO342" s="3">
        <v>42609</v>
      </c>
      <c r="CP342" s="3">
        <v>43634</v>
      </c>
    </row>
    <row r="343" spans="1:94" x14ac:dyDescent="0.25">
      <c r="A343" s="2" t="s">
        <v>1751</v>
      </c>
      <c r="B343" s="2" t="str">
        <f xml:space="preserve"> "" &amp; 844349016083</f>
        <v>844349016083</v>
      </c>
      <c r="C343" s="2" t="s">
        <v>391</v>
      </c>
      <c r="D343" s="2" t="s">
        <v>1747</v>
      </c>
      <c r="E343" s="2" t="s">
        <v>1748</v>
      </c>
      <c r="F343" s="2" t="s">
        <v>393</v>
      </c>
      <c r="G343" s="2">
        <v>1</v>
      </c>
      <c r="H343" s="2">
        <v>1</v>
      </c>
      <c r="I343" s="2" t="s">
        <v>94</v>
      </c>
      <c r="J343" s="6">
        <v>52</v>
      </c>
      <c r="K343" s="6">
        <v>156</v>
      </c>
      <c r="L343" s="2">
        <v>0</v>
      </c>
      <c r="N343" s="2">
        <v>0</v>
      </c>
      <c r="O343" s="2" t="s">
        <v>96</v>
      </c>
      <c r="P343" s="6">
        <v>108.95</v>
      </c>
      <c r="Q343" s="6"/>
      <c r="R343" s="7"/>
      <c r="S343" s="2">
        <v>9.25</v>
      </c>
      <c r="U343" s="2">
        <v>5.5</v>
      </c>
      <c r="W343" s="2">
        <v>2.09</v>
      </c>
      <c r="X343" s="2">
        <v>1</v>
      </c>
      <c r="Y343" s="2">
        <v>8.5</v>
      </c>
      <c r="Z343" s="2">
        <v>14.5</v>
      </c>
      <c r="AA343" s="2">
        <v>9</v>
      </c>
      <c r="AB343" s="2">
        <v>0.64200000000000002</v>
      </c>
      <c r="AC343" s="2">
        <v>3.2</v>
      </c>
      <c r="AE343" s="2">
        <v>1</v>
      </c>
      <c r="AF343" s="2" t="s">
        <v>1445</v>
      </c>
      <c r="AG343" s="2">
        <v>100</v>
      </c>
      <c r="AK343" s="2" t="s">
        <v>95</v>
      </c>
      <c r="AM343" s="2" t="s">
        <v>95</v>
      </c>
      <c r="AN343" s="2" t="s">
        <v>95</v>
      </c>
      <c r="AO343" s="2" t="s">
        <v>95</v>
      </c>
      <c r="AP343" s="2" t="s">
        <v>97</v>
      </c>
      <c r="AQ343" s="2" t="s">
        <v>98</v>
      </c>
      <c r="AV343" s="2" t="s">
        <v>95</v>
      </c>
      <c r="AX343" s="2" t="s">
        <v>1752</v>
      </c>
      <c r="AZ343" s="2" t="s">
        <v>342</v>
      </c>
      <c r="BB343" s="2" t="s">
        <v>219</v>
      </c>
      <c r="BC343" s="2" t="s">
        <v>1753</v>
      </c>
      <c r="BF343" s="2" t="s">
        <v>1754</v>
      </c>
      <c r="BG343" s="2" t="s">
        <v>95</v>
      </c>
      <c r="BH343" s="2" t="s">
        <v>95</v>
      </c>
      <c r="BI343" s="2" t="s">
        <v>95</v>
      </c>
      <c r="BK343" s="2" t="s">
        <v>100</v>
      </c>
      <c r="BR343" s="2">
        <v>0.88</v>
      </c>
      <c r="BT343" s="2">
        <v>4.88</v>
      </c>
      <c r="CA343" s="2" t="s">
        <v>1750</v>
      </c>
      <c r="CB343" s="2" t="s">
        <v>1752</v>
      </c>
      <c r="CL343" s="2" t="s">
        <v>95</v>
      </c>
      <c r="CM343" s="2" t="s">
        <v>95</v>
      </c>
      <c r="CN343" s="2" t="s">
        <v>219</v>
      </c>
      <c r="CO343" s="3">
        <v>41627</v>
      </c>
      <c r="CP343" s="3">
        <v>43634</v>
      </c>
    </row>
    <row r="344" spans="1:94" x14ac:dyDescent="0.25">
      <c r="A344" s="2" t="s">
        <v>1755</v>
      </c>
      <c r="B344" s="2" t="str">
        <f xml:space="preserve"> "" &amp; 844349016076</f>
        <v>844349016076</v>
      </c>
      <c r="C344" s="2" t="s">
        <v>391</v>
      </c>
      <c r="D344" s="2" t="s">
        <v>1747</v>
      </c>
      <c r="E344" s="2" t="s">
        <v>1748</v>
      </c>
      <c r="F344" s="2" t="s">
        <v>393</v>
      </c>
      <c r="G344" s="2">
        <v>1</v>
      </c>
      <c r="H344" s="2">
        <v>1</v>
      </c>
      <c r="I344" s="2" t="s">
        <v>94</v>
      </c>
      <c r="J344" s="6">
        <v>52</v>
      </c>
      <c r="K344" s="6">
        <v>156</v>
      </c>
      <c r="L344" s="2">
        <v>0</v>
      </c>
      <c r="N344" s="2">
        <v>0</v>
      </c>
      <c r="O344" s="2" t="s">
        <v>96</v>
      </c>
      <c r="P344" s="6">
        <v>108.95</v>
      </c>
      <c r="Q344" s="6"/>
      <c r="R344" s="7"/>
      <c r="S344" s="2">
        <v>9.25</v>
      </c>
      <c r="U344" s="2">
        <v>5.5</v>
      </c>
      <c r="W344" s="2">
        <v>2.09</v>
      </c>
      <c r="X344" s="2">
        <v>1</v>
      </c>
      <c r="Y344" s="2">
        <v>8.5</v>
      </c>
      <c r="Z344" s="2">
        <v>14.5</v>
      </c>
      <c r="AA344" s="2">
        <v>9</v>
      </c>
      <c r="AB344" s="2">
        <v>0.64200000000000002</v>
      </c>
      <c r="AC344" s="2">
        <v>3.2</v>
      </c>
      <c r="AE344" s="2">
        <v>1</v>
      </c>
      <c r="AF344" s="2" t="s">
        <v>1445</v>
      </c>
      <c r="AG344" s="2">
        <v>100</v>
      </c>
      <c r="AK344" s="2" t="s">
        <v>95</v>
      </c>
      <c r="AM344" s="2" t="s">
        <v>95</v>
      </c>
      <c r="AN344" s="2" t="s">
        <v>96</v>
      </c>
      <c r="AO344" s="2" t="s">
        <v>95</v>
      </c>
      <c r="AP344" s="2" t="s">
        <v>97</v>
      </c>
      <c r="AQ344" s="2" t="s">
        <v>98</v>
      </c>
      <c r="AV344" s="2" t="s">
        <v>95</v>
      </c>
      <c r="AX344" s="2" t="s">
        <v>1756</v>
      </c>
      <c r="AZ344" s="2" t="s">
        <v>342</v>
      </c>
      <c r="BB344" s="2" t="s">
        <v>434</v>
      </c>
      <c r="BC344" s="2" t="s">
        <v>1757</v>
      </c>
      <c r="BF344" s="2" t="s">
        <v>1758</v>
      </c>
      <c r="BG344" s="2" t="s">
        <v>95</v>
      </c>
      <c r="BH344" s="2" t="s">
        <v>95</v>
      </c>
      <c r="BI344" s="2" t="s">
        <v>95</v>
      </c>
      <c r="BK344" s="2" t="s">
        <v>100</v>
      </c>
      <c r="BR344" s="2">
        <v>0.88</v>
      </c>
      <c r="BT344" s="2">
        <v>4.88</v>
      </c>
      <c r="CA344" s="2" t="s">
        <v>1750</v>
      </c>
      <c r="CB344" s="2" t="s">
        <v>1756</v>
      </c>
      <c r="CL344" s="2" t="s">
        <v>95</v>
      </c>
      <c r="CM344" s="2" t="s">
        <v>96</v>
      </c>
      <c r="CN344" s="2" t="s">
        <v>219</v>
      </c>
      <c r="CO344" s="3">
        <v>41627</v>
      </c>
      <c r="CP344" s="3">
        <v>43634</v>
      </c>
    </row>
    <row r="345" spans="1:94" x14ac:dyDescent="0.25">
      <c r="A345" s="2" t="s">
        <v>1759</v>
      </c>
      <c r="B345" s="2" t="str">
        <f xml:space="preserve"> "" &amp; 844349016069</f>
        <v>844349016069</v>
      </c>
      <c r="C345" s="2" t="s">
        <v>1760</v>
      </c>
      <c r="D345" s="2" t="s">
        <v>1761</v>
      </c>
      <c r="E345" s="2" t="s">
        <v>1748</v>
      </c>
      <c r="F345" s="2" t="s">
        <v>1429</v>
      </c>
      <c r="G345" s="2">
        <v>1</v>
      </c>
      <c r="H345" s="2">
        <v>1</v>
      </c>
      <c r="I345" s="2" t="s">
        <v>94</v>
      </c>
      <c r="J345" s="6">
        <v>115</v>
      </c>
      <c r="K345" s="6">
        <v>345</v>
      </c>
      <c r="L345" s="2">
        <v>0</v>
      </c>
      <c r="N345" s="2">
        <v>0</v>
      </c>
      <c r="O345" s="2" t="s">
        <v>96</v>
      </c>
      <c r="P345" s="6">
        <v>239.95</v>
      </c>
      <c r="Q345" s="6"/>
      <c r="R345" s="7"/>
      <c r="S345" s="2">
        <v>20</v>
      </c>
      <c r="U345" s="2">
        <v>6.5</v>
      </c>
      <c r="V345" s="2">
        <v>14.5</v>
      </c>
      <c r="W345" s="2">
        <v>6.99</v>
      </c>
      <c r="X345" s="2">
        <v>1</v>
      </c>
      <c r="Y345" s="2">
        <v>9.1300000000000008</v>
      </c>
      <c r="Z345" s="2">
        <v>24.13</v>
      </c>
      <c r="AA345" s="2">
        <v>9.25</v>
      </c>
      <c r="AB345" s="2">
        <v>1.179</v>
      </c>
      <c r="AC345" s="2">
        <v>8.73</v>
      </c>
      <c r="AE345" s="2">
        <v>1</v>
      </c>
      <c r="AF345" s="2" t="s">
        <v>876</v>
      </c>
      <c r="AG345" s="2">
        <v>8</v>
      </c>
      <c r="AK345" s="2" t="s">
        <v>96</v>
      </c>
      <c r="AM345" s="2" t="s">
        <v>95</v>
      </c>
      <c r="AN345" s="2" t="s">
        <v>96</v>
      </c>
      <c r="AO345" s="2" t="s">
        <v>95</v>
      </c>
      <c r="AP345" s="2" t="s">
        <v>97</v>
      </c>
      <c r="AQ345" s="2" t="s">
        <v>98</v>
      </c>
      <c r="AV345" s="2" t="s">
        <v>95</v>
      </c>
      <c r="AX345" s="2" t="s">
        <v>116</v>
      </c>
      <c r="AZ345" s="2" t="s">
        <v>483</v>
      </c>
      <c r="BB345" s="2" t="s">
        <v>1762</v>
      </c>
      <c r="BC345" s="2" t="s">
        <v>1753</v>
      </c>
      <c r="BF345" s="2" t="s">
        <v>1763</v>
      </c>
      <c r="BG345" s="2" t="s">
        <v>95</v>
      </c>
      <c r="BH345" s="2" t="s">
        <v>95</v>
      </c>
      <c r="BI345" s="2" t="s">
        <v>95</v>
      </c>
      <c r="BK345" s="2" t="s">
        <v>100</v>
      </c>
      <c r="CA345" s="2" t="s">
        <v>1764</v>
      </c>
      <c r="CB345" s="2" t="s">
        <v>116</v>
      </c>
      <c r="CG345" s="2">
        <v>3000</v>
      </c>
      <c r="CH345" s="2">
        <v>84</v>
      </c>
      <c r="CI345" s="2">
        <v>590</v>
      </c>
      <c r="CJ345" s="2">
        <v>488.97</v>
      </c>
      <c r="CK345" s="2">
        <v>30000</v>
      </c>
      <c r="CL345" s="2" t="s">
        <v>96</v>
      </c>
      <c r="CM345" s="2" t="s">
        <v>95</v>
      </c>
      <c r="CN345" s="2" t="s">
        <v>1765</v>
      </c>
      <c r="CO345" s="3">
        <v>41628</v>
      </c>
      <c r="CP345" s="3">
        <v>43634</v>
      </c>
    </row>
    <row r="346" spans="1:94" x14ac:dyDescent="0.25">
      <c r="A346" s="2" t="s">
        <v>1766</v>
      </c>
      <c r="B346" s="2" t="str">
        <f xml:space="preserve"> "" &amp; 844349016052</f>
        <v>844349016052</v>
      </c>
      <c r="C346" s="2" t="s">
        <v>1760</v>
      </c>
      <c r="D346" s="2" t="s">
        <v>1761</v>
      </c>
      <c r="E346" s="2" t="s">
        <v>1748</v>
      </c>
      <c r="F346" s="2" t="s">
        <v>1429</v>
      </c>
      <c r="G346" s="2">
        <v>1</v>
      </c>
      <c r="H346" s="2">
        <v>1</v>
      </c>
      <c r="I346" s="2" t="s">
        <v>94</v>
      </c>
      <c r="J346" s="6">
        <v>115</v>
      </c>
      <c r="K346" s="6">
        <v>345</v>
      </c>
      <c r="L346" s="2">
        <v>0</v>
      </c>
      <c r="N346" s="2">
        <v>0</v>
      </c>
      <c r="O346" s="2" t="s">
        <v>96</v>
      </c>
      <c r="P346" s="6">
        <v>239.95</v>
      </c>
      <c r="Q346" s="6"/>
      <c r="R346" s="7"/>
      <c r="S346" s="2">
        <v>20</v>
      </c>
      <c r="U346" s="2">
        <v>6.5</v>
      </c>
      <c r="V346" s="2">
        <v>14.5</v>
      </c>
      <c r="W346" s="2">
        <v>6.99</v>
      </c>
      <c r="X346" s="2">
        <v>1</v>
      </c>
      <c r="Y346" s="2">
        <v>9.1300000000000008</v>
      </c>
      <c r="Z346" s="2">
        <v>24.13</v>
      </c>
      <c r="AA346" s="2">
        <v>9.25</v>
      </c>
      <c r="AB346" s="2">
        <v>1.179</v>
      </c>
      <c r="AC346" s="2">
        <v>8.73</v>
      </c>
      <c r="AE346" s="2">
        <v>1</v>
      </c>
      <c r="AF346" s="2" t="s">
        <v>876</v>
      </c>
      <c r="AG346" s="2">
        <v>8</v>
      </c>
      <c r="AK346" s="2" t="s">
        <v>96</v>
      </c>
      <c r="AM346" s="2" t="s">
        <v>95</v>
      </c>
      <c r="AN346" s="2" t="s">
        <v>96</v>
      </c>
      <c r="AO346" s="2" t="s">
        <v>95</v>
      </c>
      <c r="AP346" s="2" t="s">
        <v>97</v>
      </c>
      <c r="AQ346" s="2" t="s">
        <v>98</v>
      </c>
      <c r="AV346" s="2" t="s">
        <v>95</v>
      </c>
      <c r="AX346" s="2" t="s">
        <v>1756</v>
      </c>
      <c r="AZ346" s="2" t="s">
        <v>342</v>
      </c>
      <c r="BB346" s="2" t="s">
        <v>1762</v>
      </c>
      <c r="BC346" s="2" t="s">
        <v>1757</v>
      </c>
      <c r="BF346" s="2" t="s">
        <v>1767</v>
      </c>
      <c r="BG346" s="2" t="s">
        <v>95</v>
      </c>
      <c r="BH346" s="2" t="s">
        <v>95</v>
      </c>
      <c r="BI346" s="2" t="s">
        <v>95</v>
      </c>
      <c r="BK346" s="2" t="s">
        <v>100</v>
      </c>
      <c r="CA346" s="2" t="s">
        <v>1764</v>
      </c>
      <c r="CB346" s="2" t="s">
        <v>1756</v>
      </c>
      <c r="CG346" s="2">
        <v>3000</v>
      </c>
      <c r="CH346" s="2">
        <v>84</v>
      </c>
      <c r="CI346" s="2">
        <v>590</v>
      </c>
      <c r="CJ346" s="2">
        <v>488.97</v>
      </c>
      <c r="CK346" s="2">
        <v>30000</v>
      </c>
      <c r="CL346" s="2" t="s">
        <v>96</v>
      </c>
      <c r="CM346" s="2" t="s">
        <v>95</v>
      </c>
      <c r="CN346" s="2" t="s">
        <v>1765</v>
      </c>
      <c r="CO346" s="3">
        <v>41628</v>
      </c>
      <c r="CP346" s="3">
        <v>43634</v>
      </c>
    </row>
    <row r="347" spans="1:94" x14ac:dyDescent="0.25">
      <c r="A347" s="2" t="s">
        <v>1768</v>
      </c>
      <c r="B347" s="2" t="str">
        <f xml:space="preserve"> "" &amp; 844349021810</f>
        <v>844349021810</v>
      </c>
      <c r="C347" s="2" t="s">
        <v>1699</v>
      </c>
      <c r="D347" s="2" t="s">
        <v>1769</v>
      </c>
      <c r="E347" s="2" t="s">
        <v>1748</v>
      </c>
      <c r="F347" s="2" t="s">
        <v>1126</v>
      </c>
      <c r="G347" s="2">
        <v>1</v>
      </c>
      <c r="H347" s="2">
        <v>1</v>
      </c>
      <c r="I347" s="2" t="s">
        <v>94</v>
      </c>
      <c r="J347" s="6">
        <v>105</v>
      </c>
      <c r="K347" s="6">
        <v>315</v>
      </c>
      <c r="L347" s="2">
        <v>0</v>
      </c>
      <c r="N347" s="2">
        <v>0</v>
      </c>
      <c r="O347" s="2" t="s">
        <v>96</v>
      </c>
      <c r="P347" s="6">
        <v>219.95</v>
      </c>
      <c r="Q347" s="6"/>
      <c r="R347" s="7"/>
      <c r="S347" s="2">
        <v>21</v>
      </c>
      <c r="U347" s="2">
        <v>20</v>
      </c>
      <c r="W347" s="2">
        <v>5.51</v>
      </c>
      <c r="X347" s="2">
        <v>1</v>
      </c>
      <c r="Y347" s="2">
        <v>12.63</v>
      </c>
      <c r="Z347" s="2">
        <v>20.8</v>
      </c>
      <c r="AA347" s="2">
        <v>19.63</v>
      </c>
      <c r="AB347" s="2">
        <v>2.984</v>
      </c>
      <c r="AC347" s="2">
        <v>9.6300000000000008</v>
      </c>
      <c r="AE347" s="2">
        <v>3</v>
      </c>
      <c r="AF347" s="2" t="s">
        <v>1770</v>
      </c>
      <c r="AG347" s="2">
        <v>100</v>
      </c>
      <c r="AK347" s="2" t="s">
        <v>95</v>
      </c>
      <c r="AM347" s="2" t="s">
        <v>95</v>
      </c>
      <c r="AN347" s="2" t="s">
        <v>96</v>
      </c>
      <c r="AO347" s="2" t="s">
        <v>95</v>
      </c>
      <c r="AP347" s="2" t="s">
        <v>97</v>
      </c>
      <c r="AQ347" s="2" t="s">
        <v>98</v>
      </c>
      <c r="AV347" s="2" t="s">
        <v>95</v>
      </c>
      <c r="AX347" s="2" t="s">
        <v>1688</v>
      </c>
      <c r="AZ347" s="2" t="s">
        <v>449</v>
      </c>
      <c r="BB347" s="2" t="s">
        <v>230</v>
      </c>
      <c r="BC347" s="2" t="s">
        <v>205</v>
      </c>
      <c r="BF347" s="2" t="s">
        <v>1771</v>
      </c>
      <c r="BG347" s="2" t="s">
        <v>95</v>
      </c>
      <c r="BH347" s="2" t="s">
        <v>95</v>
      </c>
      <c r="BI347" s="2" t="s">
        <v>95</v>
      </c>
      <c r="BK347" s="2" t="s">
        <v>100</v>
      </c>
      <c r="BR347" s="2">
        <v>0.88</v>
      </c>
      <c r="BT347" s="2">
        <v>4.88</v>
      </c>
      <c r="CA347" s="2" t="s">
        <v>1772</v>
      </c>
      <c r="CB347" s="2" t="s">
        <v>1688</v>
      </c>
      <c r="CL347" s="2" t="s">
        <v>96</v>
      </c>
      <c r="CM347" s="2" t="s">
        <v>96</v>
      </c>
      <c r="CN347" s="2" t="s">
        <v>230</v>
      </c>
      <c r="CO347" s="3">
        <v>42609</v>
      </c>
      <c r="CP347" s="3">
        <v>43634</v>
      </c>
    </row>
    <row r="348" spans="1:94" x14ac:dyDescent="0.25">
      <c r="A348" s="2" t="s">
        <v>1773</v>
      </c>
      <c r="B348" s="2" t="str">
        <f xml:space="preserve"> "" &amp; 844349016106</f>
        <v>844349016106</v>
      </c>
      <c r="C348" s="2" t="s">
        <v>1774</v>
      </c>
      <c r="D348" s="2" t="s">
        <v>1769</v>
      </c>
      <c r="E348" s="2" t="s">
        <v>1748</v>
      </c>
      <c r="F348" s="2" t="s">
        <v>1126</v>
      </c>
      <c r="G348" s="2">
        <v>1</v>
      </c>
      <c r="H348" s="2">
        <v>1</v>
      </c>
      <c r="I348" s="2" t="s">
        <v>94</v>
      </c>
      <c r="J348" s="6">
        <v>105</v>
      </c>
      <c r="K348" s="6">
        <v>315</v>
      </c>
      <c r="L348" s="2">
        <v>0</v>
      </c>
      <c r="N348" s="2">
        <v>0</v>
      </c>
      <c r="O348" s="2" t="s">
        <v>96</v>
      </c>
      <c r="P348" s="6">
        <v>219.95</v>
      </c>
      <c r="Q348" s="6"/>
      <c r="R348" s="7"/>
      <c r="S348" s="2">
        <v>21</v>
      </c>
      <c r="U348" s="2">
        <v>20</v>
      </c>
      <c r="W348" s="2">
        <v>5.51</v>
      </c>
      <c r="X348" s="2">
        <v>1</v>
      </c>
      <c r="Y348" s="2">
        <v>12.63</v>
      </c>
      <c r="Z348" s="2">
        <v>20.88</v>
      </c>
      <c r="AA348" s="2">
        <v>19.63</v>
      </c>
      <c r="AB348" s="2">
        <v>2.996</v>
      </c>
      <c r="AC348" s="2">
        <v>9.6300000000000008</v>
      </c>
      <c r="AE348" s="2">
        <v>3</v>
      </c>
      <c r="AF348" s="2" t="s">
        <v>519</v>
      </c>
      <c r="AG348" s="2">
        <v>100</v>
      </c>
      <c r="AK348" s="2" t="s">
        <v>95</v>
      </c>
      <c r="AM348" s="2" t="s">
        <v>95</v>
      </c>
      <c r="AN348" s="2" t="s">
        <v>96</v>
      </c>
      <c r="AO348" s="2" t="s">
        <v>95</v>
      </c>
      <c r="AP348" s="2" t="s">
        <v>97</v>
      </c>
      <c r="AQ348" s="2" t="s">
        <v>98</v>
      </c>
      <c r="AV348" s="2" t="s">
        <v>95</v>
      </c>
      <c r="AX348" s="2" t="s">
        <v>1752</v>
      </c>
      <c r="AZ348" s="2" t="s">
        <v>342</v>
      </c>
      <c r="BB348" s="2" t="s">
        <v>230</v>
      </c>
      <c r="BC348" s="2" t="s">
        <v>1752</v>
      </c>
      <c r="BF348" s="2" t="s">
        <v>1775</v>
      </c>
      <c r="BG348" s="2" t="s">
        <v>95</v>
      </c>
      <c r="BH348" s="2" t="s">
        <v>95</v>
      </c>
      <c r="BI348" s="2" t="s">
        <v>95</v>
      </c>
      <c r="BK348" s="2" t="s">
        <v>100</v>
      </c>
      <c r="BR348" s="2">
        <v>0.88</v>
      </c>
      <c r="BT348" s="2">
        <v>5</v>
      </c>
      <c r="CA348" s="2" t="s">
        <v>1772</v>
      </c>
      <c r="CB348" s="2" t="s">
        <v>1752</v>
      </c>
      <c r="CL348" s="2" t="s">
        <v>96</v>
      </c>
      <c r="CM348" s="2" t="s">
        <v>96</v>
      </c>
      <c r="CN348" s="2" t="s">
        <v>219</v>
      </c>
      <c r="CO348" s="3">
        <v>41627</v>
      </c>
      <c r="CP348" s="3">
        <v>43634</v>
      </c>
    </row>
    <row r="349" spans="1:94" x14ac:dyDescent="0.25">
      <c r="A349" s="2" t="s">
        <v>1776</v>
      </c>
      <c r="B349" s="2" t="str">
        <f xml:space="preserve"> "" &amp; 844349016090</f>
        <v>844349016090</v>
      </c>
      <c r="C349" s="2" t="s">
        <v>1774</v>
      </c>
      <c r="D349" s="2" t="s">
        <v>1769</v>
      </c>
      <c r="E349" s="2" t="s">
        <v>1748</v>
      </c>
      <c r="F349" s="2" t="s">
        <v>1126</v>
      </c>
      <c r="G349" s="2">
        <v>1</v>
      </c>
      <c r="H349" s="2">
        <v>1</v>
      </c>
      <c r="I349" s="2" t="s">
        <v>94</v>
      </c>
      <c r="J349" s="6">
        <v>105</v>
      </c>
      <c r="K349" s="6">
        <v>315</v>
      </c>
      <c r="L349" s="2">
        <v>0</v>
      </c>
      <c r="N349" s="2">
        <v>0</v>
      </c>
      <c r="O349" s="2" t="s">
        <v>96</v>
      </c>
      <c r="P349" s="6">
        <v>219.95</v>
      </c>
      <c r="Q349" s="6"/>
      <c r="R349" s="7"/>
      <c r="S349" s="2">
        <v>21</v>
      </c>
      <c r="U349" s="2">
        <v>20</v>
      </c>
      <c r="W349" s="2">
        <v>5.51</v>
      </c>
      <c r="X349" s="2">
        <v>1</v>
      </c>
      <c r="Y349" s="2">
        <v>12.63</v>
      </c>
      <c r="Z349" s="2">
        <v>20.88</v>
      </c>
      <c r="AA349" s="2">
        <v>19.63</v>
      </c>
      <c r="AB349" s="2">
        <v>2.996</v>
      </c>
      <c r="AC349" s="2">
        <v>9.6300000000000008</v>
      </c>
      <c r="AE349" s="2">
        <v>3</v>
      </c>
      <c r="AF349" s="2" t="s">
        <v>519</v>
      </c>
      <c r="AG349" s="2">
        <v>100</v>
      </c>
      <c r="AK349" s="2" t="s">
        <v>95</v>
      </c>
      <c r="AM349" s="2" t="s">
        <v>95</v>
      </c>
      <c r="AN349" s="2" t="s">
        <v>96</v>
      </c>
      <c r="AO349" s="2" t="s">
        <v>95</v>
      </c>
      <c r="AP349" s="2" t="s">
        <v>97</v>
      </c>
      <c r="AQ349" s="2" t="s">
        <v>98</v>
      </c>
      <c r="AV349" s="2" t="s">
        <v>95</v>
      </c>
      <c r="AX349" s="2" t="s">
        <v>1756</v>
      </c>
      <c r="AZ349" s="2" t="s">
        <v>342</v>
      </c>
      <c r="BB349" s="2" t="s">
        <v>230</v>
      </c>
      <c r="BC349" s="2" t="s">
        <v>1777</v>
      </c>
      <c r="BF349" s="2" t="s">
        <v>1778</v>
      </c>
      <c r="BG349" s="2" t="s">
        <v>95</v>
      </c>
      <c r="BH349" s="2" t="s">
        <v>95</v>
      </c>
      <c r="BI349" s="2" t="s">
        <v>95</v>
      </c>
      <c r="BK349" s="2" t="s">
        <v>100</v>
      </c>
      <c r="BR349" s="2">
        <v>0.88</v>
      </c>
      <c r="BT349" s="2">
        <v>5</v>
      </c>
      <c r="CA349" s="2" t="s">
        <v>1772</v>
      </c>
      <c r="CB349" s="2" t="s">
        <v>1756</v>
      </c>
      <c r="CL349" s="2" t="s">
        <v>96</v>
      </c>
      <c r="CM349" s="2" t="s">
        <v>96</v>
      </c>
      <c r="CN349" s="2" t="s">
        <v>219</v>
      </c>
      <c r="CO349" s="3">
        <v>41627</v>
      </c>
      <c r="CP349" s="3">
        <v>43634</v>
      </c>
    </row>
    <row r="350" spans="1:94" x14ac:dyDescent="0.25">
      <c r="A350" s="2" t="s">
        <v>1779</v>
      </c>
      <c r="B350" s="2" t="str">
        <f xml:space="preserve"> "" &amp; 844349021834</f>
        <v>844349021834</v>
      </c>
      <c r="C350" s="2" t="s">
        <v>1780</v>
      </c>
      <c r="D350" s="2" t="s">
        <v>1781</v>
      </c>
      <c r="E350" s="2" t="s">
        <v>1748</v>
      </c>
      <c r="F350" s="2" t="s">
        <v>614</v>
      </c>
      <c r="G350" s="2">
        <v>1</v>
      </c>
      <c r="H350" s="2">
        <v>1</v>
      </c>
      <c r="I350" s="2" t="s">
        <v>94</v>
      </c>
      <c r="J350" s="6">
        <v>155</v>
      </c>
      <c r="K350" s="6">
        <v>465</v>
      </c>
      <c r="L350" s="2">
        <v>0</v>
      </c>
      <c r="N350" s="2">
        <v>0</v>
      </c>
      <c r="O350" s="2" t="s">
        <v>96</v>
      </c>
      <c r="P350" s="6">
        <v>324.95</v>
      </c>
      <c r="Q350" s="6"/>
      <c r="R350" s="7"/>
      <c r="S350" s="2">
        <v>24.5</v>
      </c>
      <c r="T350" s="2">
        <v>35.75</v>
      </c>
      <c r="U350" s="2">
        <v>5.5</v>
      </c>
      <c r="W350" s="2">
        <v>6.39</v>
      </c>
      <c r="X350" s="2">
        <v>1</v>
      </c>
      <c r="Y350" s="2">
        <v>8.3800000000000008</v>
      </c>
      <c r="Z350" s="2">
        <v>39</v>
      </c>
      <c r="AA350" s="2">
        <v>12.25</v>
      </c>
      <c r="AB350" s="2">
        <v>2.3170000000000002</v>
      </c>
      <c r="AC350" s="2">
        <v>9.8800000000000008</v>
      </c>
      <c r="AE350" s="2">
        <v>4</v>
      </c>
      <c r="AF350" s="2" t="s">
        <v>1782</v>
      </c>
      <c r="AG350" s="2">
        <v>100</v>
      </c>
      <c r="AK350" s="2" t="s">
        <v>95</v>
      </c>
      <c r="AM350" s="2" t="s">
        <v>95</v>
      </c>
      <c r="AN350" s="2" t="s">
        <v>96</v>
      </c>
      <c r="AO350" s="2" t="s">
        <v>95</v>
      </c>
      <c r="AP350" s="2" t="s">
        <v>97</v>
      </c>
      <c r="AQ350" s="2" t="s">
        <v>98</v>
      </c>
      <c r="AV350" s="2" t="s">
        <v>95</v>
      </c>
      <c r="AX350" s="2" t="s">
        <v>1688</v>
      </c>
      <c r="AZ350" s="2" t="s">
        <v>449</v>
      </c>
      <c r="BB350" s="2" t="s">
        <v>230</v>
      </c>
      <c r="BC350" s="2" t="s">
        <v>205</v>
      </c>
      <c r="BF350" s="2" t="s">
        <v>1783</v>
      </c>
      <c r="BG350" s="2" t="s">
        <v>95</v>
      </c>
      <c r="BH350" s="2" t="s">
        <v>95</v>
      </c>
      <c r="BI350" s="2" t="s">
        <v>95</v>
      </c>
      <c r="BK350" s="2" t="s">
        <v>100</v>
      </c>
      <c r="BQ350" s="2">
        <v>4.88</v>
      </c>
      <c r="BR350" s="2">
        <v>0.88</v>
      </c>
      <c r="BS350" s="2">
        <v>4.88</v>
      </c>
      <c r="BT350" s="2">
        <v>4.88</v>
      </c>
      <c r="CA350" s="2" t="s">
        <v>1784</v>
      </c>
      <c r="CB350" s="2" t="s">
        <v>1688</v>
      </c>
      <c r="CL350" s="2" t="s">
        <v>96</v>
      </c>
      <c r="CM350" s="2" t="s">
        <v>96</v>
      </c>
      <c r="CN350" s="2" t="s">
        <v>230</v>
      </c>
      <c r="CO350" s="3">
        <v>42613</v>
      </c>
      <c r="CP350" s="3">
        <v>43634</v>
      </c>
    </row>
    <row r="351" spans="1:94" x14ac:dyDescent="0.25">
      <c r="A351" s="2" t="s">
        <v>1785</v>
      </c>
      <c r="B351" s="2" t="str">
        <f xml:space="preserve"> "" &amp; 844349021841</f>
        <v>844349021841</v>
      </c>
      <c r="C351" s="2" t="s">
        <v>1780</v>
      </c>
      <c r="D351" s="2" t="s">
        <v>1781</v>
      </c>
      <c r="E351" s="2" t="s">
        <v>1748</v>
      </c>
      <c r="F351" s="2" t="s">
        <v>614</v>
      </c>
      <c r="G351" s="2">
        <v>1</v>
      </c>
      <c r="H351" s="2">
        <v>1</v>
      </c>
      <c r="I351" s="2" t="s">
        <v>94</v>
      </c>
      <c r="J351" s="6">
        <v>155</v>
      </c>
      <c r="K351" s="6">
        <v>465</v>
      </c>
      <c r="L351" s="2">
        <v>0</v>
      </c>
      <c r="N351" s="2">
        <v>0</v>
      </c>
      <c r="O351" s="2" t="s">
        <v>96</v>
      </c>
      <c r="P351" s="6">
        <v>324.95</v>
      </c>
      <c r="Q351" s="6"/>
      <c r="R351" s="7"/>
      <c r="S351" s="2">
        <v>24.5</v>
      </c>
      <c r="T351" s="2">
        <v>35.75</v>
      </c>
      <c r="U351" s="2">
        <v>5.5</v>
      </c>
      <c r="W351" s="2">
        <v>6.39</v>
      </c>
      <c r="X351" s="2">
        <v>1</v>
      </c>
      <c r="Y351" s="2">
        <v>8.3800000000000008</v>
      </c>
      <c r="Z351" s="2">
        <v>39</v>
      </c>
      <c r="AA351" s="2">
        <v>12.25</v>
      </c>
      <c r="AB351" s="2">
        <v>2.3170000000000002</v>
      </c>
      <c r="AC351" s="2">
        <v>9.8800000000000008</v>
      </c>
      <c r="AE351" s="2">
        <v>4</v>
      </c>
      <c r="AF351" s="2" t="s">
        <v>1786</v>
      </c>
      <c r="AG351" s="2">
        <v>100</v>
      </c>
      <c r="AK351" s="2" t="s">
        <v>95</v>
      </c>
      <c r="AM351" s="2" t="s">
        <v>95</v>
      </c>
      <c r="AN351" s="2" t="s">
        <v>96</v>
      </c>
      <c r="AO351" s="2" t="s">
        <v>95</v>
      </c>
      <c r="AP351" s="2" t="s">
        <v>97</v>
      </c>
      <c r="AQ351" s="2" t="s">
        <v>98</v>
      </c>
      <c r="AV351" s="2" t="s">
        <v>95</v>
      </c>
      <c r="AX351" s="2" t="s">
        <v>1756</v>
      </c>
      <c r="AZ351" s="2" t="s">
        <v>449</v>
      </c>
      <c r="BB351" s="2" t="s">
        <v>230</v>
      </c>
      <c r="BC351" s="2" t="s">
        <v>1756</v>
      </c>
      <c r="BF351" s="2" t="s">
        <v>1787</v>
      </c>
      <c r="BG351" s="2" t="s">
        <v>95</v>
      </c>
      <c r="BH351" s="2" t="s">
        <v>95</v>
      </c>
      <c r="BI351" s="2" t="s">
        <v>95</v>
      </c>
      <c r="BK351" s="2" t="s">
        <v>100</v>
      </c>
      <c r="BQ351" s="2">
        <v>4.88</v>
      </c>
      <c r="BR351" s="2">
        <v>0.88</v>
      </c>
      <c r="BS351" s="2">
        <v>4.88</v>
      </c>
      <c r="BT351" s="2">
        <v>4.88</v>
      </c>
      <c r="CA351" s="2" t="s">
        <v>1784</v>
      </c>
      <c r="CB351" s="2" t="s">
        <v>1756</v>
      </c>
      <c r="CL351" s="2" t="s">
        <v>96</v>
      </c>
      <c r="CM351" s="2" t="s">
        <v>96</v>
      </c>
      <c r="CN351" s="2" t="s">
        <v>230</v>
      </c>
      <c r="CO351" s="3">
        <v>42613</v>
      </c>
      <c r="CP351" s="3">
        <v>43634</v>
      </c>
    </row>
    <row r="352" spans="1:94" x14ac:dyDescent="0.25">
      <c r="A352" s="2" t="s">
        <v>1788</v>
      </c>
      <c r="B352" s="2" t="str">
        <f xml:space="preserve"> "" &amp; 844349021827</f>
        <v>844349021827</v>
      </c>
      <c r="C352" s="2" t="s">
        <v>1789</v>
      </c>
      <c r="D352" s="2" t="s">
        <v>1790</v>
      </c>
      <c r="E352" s="2" t="s">
        <v>1748</v>
      </c>
      <c r="F352" s="2" t="s">
        <v>1126</v>
      </c>
      <c r="G352" s="2">
        <v>1</v>
      </c>
      <c r="H352" s="2">
        <v>1</v>
      </c>
      <c r="I352" s="2" t="s">
        <v>94</v>
      </c>
      <c r="J352" s="6">
        <v>145</v>
      </c>
      <c r="K352" s="6">
        <v>435</v>
      </c>
      <c r="L352" s="2">
        <v>0</v>
      </c>
      <c r="N352" s="2">
        <v>0</v>
      </c>
      <c r="O352" s="2" t="s">
        <v>96</v>
      </c>
      <c r="P352" s="6">
        <v>304.95</v>
      </c>
      <c r="Q352" s="6"/>
      <c r="R352" s="7"/>
      <c r="S352" s="2">
        <v>24</v>
      </c>
      <c r="U352" s="2">
        <v>26</v>
      </c>
      <c r="W352" s="2">
        <v>7.83</v>
      </c>
      <c r="X352" s="2">
        <v>1</v>
      </c>
      <c r="Y352" s="2">
        <v>12.63</v>
      </c>
      <c r="Z352" s="2">
        <v>27.5</v>
      </c>
      <c r="AA352" s="2">
        <v>26.38</v>
      </c>
      <c r="AB352" s="2">
        <v>5.3019999999999996</v>
      </c>
      <c r="AC352" s="2">
        <v>14.24</v>
      </c>
      <c r="AE352" s="2">
        <v>5</v>
      </c>
      <c r="AF352" s="2" t="s">
        <v>1791</v>
      </c>
      <c r="AG352" s="2">
        <v>100</v>
      </c>
      <c r="AK352" s="2" t="s">
        <v>95</v>
      </c>
      <c r="AL352" s="2">
        <v>5</v>
      </c>
      <c r="AM352" s="2" t="s">
        <v>95</v>
      </c>
      <c r="AN352" s="2" t="s">
        <v>96</v>
      </c>
      <c r="AO352" s="2" t="s">
        <v>95</v>
      </c>
      <c r="AP352" s="2" t="s">
        <v>97</v>
      </c>
      <c r="AQ352" s="2" t="s">
        <v>98</v>
      </c>
      <c r="AV352" s="2" t="s">
        <v>95</v>
      </c>
      <c r="AX352" s="2" t="s">
        <v>1688</v>
      </c>
      <c r="AZ352" s="2" t="s">
        <v>449</v>
      </c>
      <c r="BB352" s="2" t="s">
        <v>230</v>
      </c>
      <c r="BC352" s="2" t="s">
        <v>1584</v>
      </c>
      <c r="BF352" s="2" t="s">
        <v>1792</v>
      </c>
      <c r="BG352" s="2" t="s">
        <v>95</v>
      </c>
      <c r="BH352" s="2" t="s">
        <v>95</v>
      </c>
      <c r="BI352" s="2" t="s">
        <v>95</v>
      </c>
      <c r="BK352" s="2" t="s">
        <v>100</v>
      </c>
      <c r="BQ352" s="2">
        <v>4.88</v>
      </c>
      <c r="BR352" s="2">
        <v>0.88</v>
      </c>
      <c r="BS352" s="2">
        <v>4.88</v>
      </c>
      <c r="BT352" s="2">
        <v>4.88</v>
      </c>
      <c r="CA352" s="2" t="s">
        <v>1793</v>
      </c>
      <c r="CB352" s="2" t="s">
        <v>1688</v>
      </c>
      <c r="CL352" s="2" t="s">
        <v>96</v>
      </c>
      <c r="CM352" s="2" t="s">
        <v>96</v>
      </c>
      <c r="CN352" s="2" t="s">
        <v>230</v>
      </c>
      <c r="CO352" s="3">
        <v>42605</v>
      </c>
      <c r="CP352" s="3">
        <v>43634</v>
      </c>
    </row>
    <row r="353" spans="1:94" x14ac:dyDescent="0.25">
      <c r="A353" s="2" t="s">
        <v>1794</v>
      </c>
      <c r="B353" s="2" t="str">
        <f xml:space="preserve"> "" &amp; 844349016120</f>
        <v>844349016120</v>
      </c>
      <c r="C353" s="2" t="s">
        <v>1795</v>
      </c>
      <c r="D353" s="2" t="s">
        <v>1790</v>
      </c>
      <c r="E353" s="2" t="s">
        <v>1748</v>
      </c>
      <c r="F353" s="2" t="s">
        <v>1126</v>
      </c>
      <c r="G353" s="2">
        <v>1</v>
      </c>
      <c r="H353" s="2">
        <v>1</v>
      </c>
      <c r="I353" s="2" t="s">
        <v>94</v>
      </c>
      <c r="J353" s="6">
        <v>145</v>
      </c>
      <c r="K353" s="6">
        <v>435</v>
      </c>
      <c r="L353" s="2">
        <v>0</v>
      </c>
      <c r="N353" s="2">
        <v>0</v>
      </c>
      <c r="O353" s="2" t="s">
        <v>96</v>
      </c>
      <c r="P353" s="6">
        <v>304.95</v>
      </c>
      <c r="Q353" s="6"/>
      <c r="R353" s="7"/>
      <c r="S353" s="2">
        <v>24</v>
      </c>
      <c r="U353" s="2">
        <v>26</v>
      </c>
      <c r="W353" s="2">
        <v>7.83</v>
      </c>
      <c r="X353" s="2">
        <v>1</v>
      </c>
      <c r="Y353" s="2">
        <v>12.63</v>
      </c>
      <c r="Z353" s="2">
        <v>27.5</v>
      </c>
      <c r="AA353" s="2">
        <v>26.38</v>
      </c>
      <c r="AB353" s="2">
        <v>5.3019999999999996</v>
      </c>
      <c r="AC353" s="2">
        <v>14.24</v>
      </c>
      <c r="AE353" s="2">
        <v>5</v>
      </c>
      <c r="AF353" s="2" t="s">
        <v>519</v>
      </c>
      <c r="AG353" s="2">
        <v>100</v>
      </c>
      <c r="AK353" s="2" t="s">
        <v>95</v>
      </c>
      <c r="AM353" s="2" t="s">
        <v>95</v>
      </c>
      <c r="AN353" s="2" t="s">
        <v>96</v>
      </c>
      <c r="AO353" s="2" t="s">
        <v>95</v>
      </c>
      <c r="AP353" s="2" t="s">
        <v>97</v>
      </c>
      <c r="AQ353" s="2" t="s">
        <v>98</v>
      </c>
      <c r="AV353" s="2" t="s">
        <v>95</v>
      </c>
      <c r="AX353" s="2" t="s">
        <v>1752</v>
      </c>
      <c r="AZ353" s="2" t="s">
        <v>342</v>
      </c>
      <c r="BB353" s="2" t="s">
        <v>230</v>
      </c>
      <c r="BC353" s="2" t="s">
        <v>1752</v>
      </c>
      <c r="BF353" s="2" t="s">
        <v>1796</v>
      </c>
      <c r="BG353" s="2" t="s">
        <v>95</v>
      </c>
      <c r="BH353" s="2" t="s">
        <v>95</v>
      </c>
      <c r="BI353" s="2" t="s">
        <v>95</v>
      </c>
      <c r="BK353" s="2" t="s">
        <v>100</v>
      </c>
      <c r="BQ353" s="2">
        <v>4.88</v>
      </c>
      <c r="BR353" s="2">
        <v>0.88</v>
      </c>
      <c r="BS353" s="2">
        <v>4.88</v>
      </c>
      <c r="BT353" s="2">
        <v>4.88</v>
      </c>
      <c r="CA353" s="2" t="s">
        <v>1793</v>
      </c>
      <c r="CB353" s="2" t="s">
        <v>1752</v>
      </c>
      <c r="CL353" s="2" t="s">
        <v>96</v>
      </c>
      <c r="CM353" s="2" t="s">
        <v>96</v>
      </c>
      <c r="CN353" s="2" t="s">
        <v>230</v>
      </c>
      <c r="CO353" s="3">
        <v>41627</v>
      </c>
      <c r="CP353" s="3">
        <v>43634</v>
      </c>
    </row>
    <row r="354" spans="1:94" x14ac:dyDescent="0.25">
      <c r="A354" s="2" t="s">
        <v>1797</v>
      </c>
      <c r="B354" s="2" t="str">
        <f xml:space="preserve"> "" &amp; 844349016113</f>
        <v>844349016113</v>
      </c>
      <c r="C354" s="2" t="s">
        <v>1795</v>
      </c>
      <c r="D354" s="2" t="s">
        <v>1790</v>
      </c>
      <c r="E354" s="2" t="s">
        <v>1748</v>
      </c>
      <c r="F354" s="2" t="s">
        <v>1126</v>
      </c>
      <c r="G354" s="2">
        <v>1</v>
      </c>
      <c r="H354" s="2">
        <v>1</v>
      </c>
      <c r="I354" s="2" t="s">
        <v>94</v>
      </c>
      <c r="J354" s="6">
        <v>145</v>
      </c>
      <c r="K354" s="6">
        <v>435</v>
      </c>
      <c r="L354" s="2">
        <v>0</v>
      </c>
      <c r="N354" s="2">
        <v>0</v>
      </c>
      <c r="O354" s="2" t="s">
        <v>96</v>
      </c>
      <c r="P354" s="6">
        <v>304.95</v>
      </c>
      <c r="Q354" s="6"/>
      <c r="R354" s="7"/>
      <c r="S354" s="2">
        <v>24</v>
      </c>
      <c r="U354" s="2">
        <v>26</v>
      </c>
      <c r="W354" s="2">
        <v>7.83</v>
      </c>
      <c r="X354" s="2">
        <v>1</v>
      </c>
      <c r="Y354" s="2">
        <v>12.63</v>
      </c>
      <c r="Z354" s="2">
        <v>27.5</v>
      </c>
      <c r="AA354" s="2">
        <v>26.38</v>
      </c>
      <c r="AB354" s="2">
        <v>5.3019999999999996</v>
      </c>
      <c r="AC354" s="2">
        <v>14.24</v>
      </c>
      <c r="AE354" s="2">
        <v>5</v>
      </c>
      <c r="AF354" s="2" t="s">
        <v>519</v>
      </c>
      <c r="AG354" s="2">
        <v>10</v>
      </c>
      <c r="AK354" s="2" t="s">
        <v>95</v>
      </c>
      <c r="AM354" s="2" t="s">
        <v>95</v>
      </c>
      <c r="AN354" s="2" t="s">
        <v>96</v>
      </c>
      <c r="AO354" s="2" t="s">
        <v>95</v>
      </c>
      <c r="AP354" s="2" t="s">
        <v>97</v>
      </c>
      <c r="AQ354" s="2" t="s">
        <v>98</v>
      </c>
      <c r="AV354" s="2" t="s">
        <v>95</v>
      </c>
      <c r="AX354" s="2" t="s">
        <v>1756</v>
      </c>
      <c r="AZ354" s="2" t="s">
        <v>342</v>
      </c>
      <c r="BB354" s="2" t="s">
        <v>230</v>
      </c>
      <c r="BC354" s="2" t="s">
        <v>1757</v>
      </c>
      <c r="BF354" s="2" t="s">
        <v>1798</v>
      </c>
      <c r="BG354" s="2" t="s">
        <v>95</v>
      </c>
      <c r="BH354" s="2" t="s">
        <v>95</v>
      </c>
      <c r="BI354" s="2" t="s">
        <v>95</v>
      </c>
      <c r="BK354" s="2" t="s">
        <v>100</v>
      </c>
      <c r="BR354" s="2">
        <v>0.88</v>
      </c>
      <c r="BT354" s="2">
        <v>4.88</v>
      </c>
      <c r="CA354" s="2" t="s">
        <v>1793</v>
      </c>
      <c r="CB354" s="2" t="s">
        <v>1756</v>
      </c>
      <c r="CL354" s="2" t="s">
        <v>96</v>
      </c>
      <c r="CM354" s="2" t="s">
        <v>96</v>
      </c>
      <c r="CN354" s="2" t="s">
        <v>230</v>
      </c>
      <c r="CO354" s="3">
        <v>41627</v>
      </c>
      <c r="CP354" s="3">
        <v>43634</v>
      </c>
    </row>
    <row r="355" spans="1:94" x14ac:dyDescent="0.25">
      <c r="A355" s="2" t="s">
        <v>1799</v>
      </c>
      <c r="B355" s="2" t="str">
        <f xml:space="preserve"> "" &amp; 844349019992</f>
        <v>844349019992</v>
      </c>
      <c r="C355" s="2" t="s">
        <v>515</v>
      </c>
      <c r="D355" s="2" t="s">
        <v>1800</v>
      </c>
      <c r="E355" s="2" t="s">
        <v>1801</v>
      </c>
      <c r="F355" s="2" t="s">
        <v>1429</v>
      </c>
      <c r="G355" s="2">
        <v>1</v>
      </c>
      <c r="H355" s="2">
        <v>1</v>
      </c>
      <c r="I355" s="2" t="s">
        <v>94</v>
      </c>
      <c r="J355" s="6">
        <v>45</v>
      </c>
      <c r="K355" s="6">
        <v>135</v>
      </c>
      <c r="L355" s="2">
        <v>0</v>
      </c>
      <c r="N355" s="2">
        <v>0</v>
      </c>
      <c r="O355" s="2" t="s">
        <v>96</v>
      </c>
      <c r="P355" s="6">
        <v>84.95</v>
      </c>
      <c r="Q355" s="6"/>
      <c r="R355" s="7"/>
      <c r="S355" s="2">
        <v>12.5</v>
      </c>
      <c r="T355" s="2">
        <v>9</v>
      </c>
      <c r="U355" s="2">
        <v>9</v>
      </c>
      <c r="W355" s="2">
        <v>4.5199999999999996</v>
      </c>
      <c r="X355" s="2">
        <v>1</v>
      </c>
      <c r="Y355" s="2">
        <v>17.75</v>
      </c>
      <c r="Z355" s="2">
        <v>12</v>
      </c>
      <c r="AA355" s="2">
        <v>12</v>
      </c>
      <c r="AB355" s="2">
        <v>1.4790000000000001</v>
      </c>
      <c r="AC355" s="2">
        <v>6.55</v>
      </c>
      <c r="AE355" s="2">
        <v>1</v>
      </c>
      <c r="AF355" s="2" t="s">
        <v>1430</v>
      </c>
      <c r="AG355" s="2">
        <v>10</v>
      </c>
      <c r="AK355" s="2" t="s">
        <v>96</v>
      </c>
      <c r="AM355" s="2" t="s">
        <v>95</v>
      </c>
      <c r="AN355" s="2" t="s">
        <v>95</v>
      </c>
      <c r="AO355" s="2" t="s">
        <v>96</v>
      </c>
      <c r="AP355" s="2" t="s">
        <v>97</v>
      </c>
      <c r="AQ355" s="2" t="s">
        <v>98</v>
      </c>
      <c r="AV355" s="2" t="s">
        <v>95</v>
      </c>
      <c r="AX355" s="2" t="s">
        <v>395</v>
      </c>
      <c r="AZ355" s="2" t="s">
        <v>449</v>
      </c>
      <c r="BB355" s="2" t="s">
        <v>329</v>
      </c>
      <c r="BC355" s="2" t="s">
        <v>593</v>
      </c>
      <c r="BF355" s="2" t="s">
        <v>1802</v>
      </c>
      <c r="BG355" s="2" t="s">
        <v>95</v>
      </c>
      <c r="BH355" s="2" t="s">
        <v>95</v>
      </c>
      <c r="BI355" s="2" t="s">
        <v>95</v>
      </c>
      <c r="BK355" s="2" t="s">
        <v>100</v>
      </c>
      <c r="BM355" s="2">
        <v>5.5</v>
      </c>
      <c r="BN355" s="2">
        <v>1</v>
      </c>
      <c r="BO355" s="2">
        <v>5.5</v>
      </c>
      <c r="BP355" s="2">
        <v>5.5</v>
      </c>
      <c r="CA355" s="2" t="s">
        <v>1803</v>
      </c>
      <c r="CB355" s="2" t="s">
        <v>395</v>
      </c>
      <c r="CL355" s="2" t="s">
        <v>96</v>
      </c>
      <c r="CM355" s="2" t="s">
        <v>95</v>
      </c>
      <c r="CN355" s="2" t="s">
        <v>460</v>
      </c>
      <c r="CO355" s="3">
        <v>42325</v>
      </c>
      <c r="CP355" s="3">
        <v>43634</v>
      </c>
    </row>
    <row r="356" spans="1:94" x14ac:dyDescent="0.25">
      <c r="A356" s="2" t="s">
        <v>1804</v>
      </c>
      <c r="B356" s="2" t="str">
        <f xml:space="preserve"> "" &amp; 844349020004</f>
        <v>844349020004</v>
      </c>
      <c r="C356" s="2" t="s">
        <v>1805</v>
      </c>
      <c r="D356" s="2" t="s">
        <v>1800</v>
      </c>
      <c r="E356" s="2" t="s">
        <v>1801</v>
      </c>
      <c r="F356" s="2" t="s">
        <v>1429</v>
      </c>
      <c r="G356" s="2">
        <v>1</v>
      </c>
      <c r="H356" s="2">
        <v>1</v>
      </c>
      <c r="I356" s="2" t="s">
        <v>94</v>
      </c>
      <c r="J356" s="6">
        <v>55</v>
      </c>
      <c r="K356" s="6">
        <v>165</v>
      </c>
      <c r="L356" s="2">
        <v>0</v>
      </c>
      <c r="N356" s="2">
        <v>0</v>
      </c>
      <c r="O356" s="2" t="s">
        <v>96</v>
      </c>
      <c r="P356" s="6">
        <v>114.95</v>
      </c>
      <c r="Q356" s="6"/>
      <c r="R356" s="7"/>
      <c r="S356" s="2">
        <v>21.5</v>
      </c>
      <c r="T356" s="2">
        <v>9</v>
      </c>
      <c r="U356" s="2">
        <v>9</v>
      </c>
      <c r="W356" s="2">
        <v>5.53</v>
      </c>
      <c r="X356" s="2">
        <v>1</v>
      </c>
      <c r="Y356" s="2">
        <v>17.125</v>
      </c>
      <c r="Z356" s="2">
        <v>12</v>
      </c>
      <c r="AA356" s="2">
        <v>12</v>
      </c>
      <c r="AB356" s="2">
        <v>1.427</v>
      </c>
      <c r="AC356" s="2">
        <v>7.56</v>
      </c>
      <c r="AE356" s="2">
        <v>1</v>
      </c>
      <c r="AF356" s="2" t="s">
        <v>1430</v>
      </c>
      <c r="AG356" s="2">
        <v>10</v>
      </c>
      <c r="AK356" s="2" t="s">
        <v>96</v>
      </c>
      <c r="AM356" s="2" t="s">
        <v>95</v>
      </c>
      <c r="AN356" s="2" t="s">
        <v>95</v>
      </c>
      <c r="AO356" s="2" t="s">
        <v>96</v>
      </c>
      <c r="AP356" s="2" t="s">
        <v>97</v>
      </c>
      <c r="AQ356" s="2" t="s">
        <v>98</v>
      </c>
      <c r="AV356" s="2" t="s">
        <v>95</v>
      </c>
      <c r="AX356" s="2" t="s">
        <v>395</v>
      </c>
      <c r="AZ356" s="2" t="s">
        <v>449</v>
      </c>
      <c r="BB356" s="2" t="s">
        <v>329</v>
      </c>
      <c r="BC356" s="2" t="s">
        <v>593</v>
      </c>
      <c r="BF356" s="2" t="s">
        <v>1806</v>
      </c>
      <c r="BG356" s="2" t="s">
        <v>95</v>
      </c>
      <c r="BH356" s="2" t="s">
        <v>95</v>
      </c>
      <c r="BI356" s="2" t="s">
        <v>95</v>
      </c>
      <c r="BK356" s="2" t="s">
        <v>100</v>
      </c>
      <c r="BM356" s="2">
        <v>6.5</v>
      </c>
      <c r="BN356" s="2">
        <v>1.25</v>
      </c>
      <c r="CA356" s="2" t="s">
        <v>1803</v>
      </c>
      <c r="CB356" s="2" t="s">
        <v>395</v>
      </c>
      <c r="CL356" s="2" t="s">
        <v>96</v>
      </c>
      <c r="CM356" s="2" t="s">
        <v>95</v>
      </c>
      <c r="CN356" s="2" t="s">
        <v>460</v>
      </c>
      <c r="CO356" s="3">
        <v>42325</v>
      </c>
      <c r="CP356" s="3">
        <v>43634</v>
      </c>
    </row>
    <row r="357" spans="1:94" x14ac:dyDescent="0.25">
      <c r="A357" s="2" t="s">
        <v>1807</v>
      </c>
      <c r="B357" s="2" t="str">
        <f xml:space="preserve"> "" &amp; 844349020011</f>
        <v>844349020011</v>
      </c>
      <c r="C357" s="2" t="s">
        <v>1808</v>
      </c>
      <c r="D357" s="2" t="s">
        <v>1809</v>
      </c>
      <c r="E357" s="2" t="s">
        <v>1801</v>
      </c>
      <c r="F357" s="2" t="s">
        <v>426</v>
      </c>
      <c r="G357" s="2">
        <v>1</v>
      </c>
      <c r="H357" s="2">
        <v>1</v>
      </c>
      <c r="I357" s="2" t="s">
        <v>94</v>
      </c>
      <c r="J357" s="6">
        <v>85</v>
      </c>
      <c r="K357" s="6">
        <v>255</v>
      </c>
      <c r="L357" s="2">
        <v>0</v>
      </c>
      <c r="N357" s="2">
        <v>0</v>
      </c>
      <c r="O357" s="2" t="s">
        <v>96</v>
      </c>
      <c r="P357" s="6">
        <v>178.95</v>
      </c>
      <c r="Q357" s="6"/>
      <c r="R357" s="7"/>
      <c r="S357" s="2">
        <v>67.75</v>
      </c>
      <c r="U357" s="2">
        <v>11</v>
      </c>
      <c r="W357" s="2">
        <v>13.12</v>
      </c>
      <c r="X357" s="2">
        <v>1</v>
      </c>
      <c r="Y357" s="2">
        <v>14.75</v>
      </c>
      <c r="Z357" s="2">
        <v>21.75</v>
      </c>
      <c r="AA357" s="2">
        <v>14.5</v>
      </c>
      <c r="AB357" s="2">
        <v>2.6920000000000002</v>
      </c>
      <c r="AC357" s="2">
        <v>16.600000000000001</v>
      </c>
      <c r="AE357" s="2">
        <v>1</v>
      </c>
      <c r="AF357" s="2" t="s">
        <v>1430</v>
      </c>
      <c r="AG357" s="2">
        <v>10</v>
      </c>
      <c r="AK357" s="2" t="s">
        <v>96</v>
      </c>
      <c r="AM357" s="2" t="s">
        <v>95</v>
      </c>
      <c r="AN357" s="2" t="s">
        <v>95</v>
      </c>
      <c r="AO357" s="2" t="s">
        <v>96</v>
      </c>
      <c r="AP357" s="2" t="s">
        <v>97</v>
      </c>
      <c r="AQ357" s="2" t="s">
        <v>98</v>
      </c>
      <c r="AV357" s="2" t="s">
        <v>95</v>
      </c>
      <c r="AX357" s="2" t="s">
        <v>395</v>
      </c>
      <c r="AZ357" s="2" t="s">
        <v>483</v>
      </c>
      <c r="BB357" s="2" t="s">
        <v>329</v>
      </c>
      <c r="BC357" s="2" t="s">
        <v>976</v>
      </c>
      <c r="BF357" s="2" t="s">
        <v>1810</v>
      </c>
      <c r="BG357" s="2" t="s">
        <v>95</v>
      </c>
      <c r="BH357" s="2" t="s">
        <v>95</v>
      </c>
      <c r="BI357" s="2" t="s">
        <v>95</v>
      </c>
      <c r="BK357" s="2" t="s">
        <v>100</v>
      </c>
      <c r="BM357" s="2">
        <v>11</v>
      </c>
      <c r="BN357" s="2">
        <v>1</v>
      </c>
      <c r="CA357" s="2" t="s">
        <v>1803</v>
      </c>
      <c r="CB357" s="2" t="s">
        <v>395</v>
      </c>
      <c r="CL357" s="2" t="s">
        <v>96</v>
      </c>
      <c r="CM357" s="2" t="s">
        <v>95</v>
      </c>
      <c r="CN357" s="2" t="s">
        <v>460</v>
      </c>
      <c r="CO357" s="3">
        <v>42325</v>
      </c>
      <c r="CP357" s="3">
        <v>43634</v>
      </c>
    </row>
    <row r="358" spans="1:94" x14ac:dyDescent="0.25">
      <c r="A358" s="2" t="s">
        <v>1811</v>
      </c>
      <c r="B358" s="2" t="str">
        <f xml:space="preserve"> "" &amp; 844349020028</f>
        <v>844349020028</v>
      </c>
      <c r="C358" s="2" t="s">
        <v>1812</v>
      </c>
      <c r="D358" s="2" t="s">
        <v>1813</v>
      </c>
      <c r="E358" s="2" t="s">
        <v>1801</v>
      </c>
      <c r="F358" s="2" t="s">
        <v>393</v>
      </c>
      <c r="G358" s="2">
        <v>1</v>
      </c>
      <c r="H358" s="2">
        <v>1</v>
      </c>
      <c r="I358" s="2" t="s">
        <v>94</v>
      </c>
      <c r="J358" s="6">
        <v>45</v>
      </c>
      <c r="K358" s="6">
        <v>135</v>
      </c>
      <c r="L358" s="2">
        <v>0</v>
      </c>
      <c r="N358" s="2">
        <v>0</v>
      </c>
      <c r="O358" s="2" t="s">
        <v>96</v>
      </c>
      <c r="P358" s="6">
        <v>89.95</v>
      </c>
      <c r="Q358" s="6"/>
      <c r="R358" s="7"/>
      <c r="S358" s="2">
        <v>8</v>
      </c>
      <c r="T358" s="2">
        <v>6</v>
      </c>
      <c r="U358" s="2">
        <v>6</v>
      </c>
      <c r="W358" s="2">
        <v>2.97</v>
      </c>
      <c r="X358" s="2">
        <v>1</v>
      </c>
      <c r="Y358" s="2">
        <v>8.25</v>
      </c>
      <c r="Z358" s="2">
        <v>15.38</v>
      </c>
      <c r="AA358" s="2">
        <v>9.5</v>
      </c>
      <c r="AB358" s="2">
        <v>0.69799999999999995</v>
      </c>
      <c r="AC358" s="2">
        <v>4.25</v>
      </c>
      <c r="AE358" s="2">
        <v>1</v>
      </c>
      <c r="AF358" s="2" t="s">
        <v>1814</v>
      </c>
      <c r="AG358" s="2">
        <v>100</v>
      </c>
      <c r="AK358" s="2" t="s">
        <v>95</v>
      </c>
      <c r="AM358" s="2" t="s">
        <v>95</v>
      </c>
      <c r="AN358" s="2" t="s">
        <v>95</v>
      </c>
      <c r="AO358" s="2" t="s">
        <v>95</v>
      </c>
      <c r="AP358" s="2" t="s">
        <v>97</v>
      </c>
      <c r="AQ358" s="2" t="s">
        <v>98</v>
      </c>
      <c r="AV358" s="2" t="s">
        <v>95</v>
      </c>
      <c r="AX358" s="2" t="s">
        <v>395</v>
      </c>
      <c r="AZ358" s="2" t="s">
        <v>483</v>
      </c>
      <c r="BB358" s="2" t="s">
        <v>329</v>
      </c>
      <c r="BC358" s="2" t="s">
        <v>593</v>
      </c>
      <c r="BF358" s="2" t="s">
        <v>1815</v>
      </c>
      <c r="BG358" s="2" t="s">
        <v>95</v>
      </c>
      <c r="BH358" s="2" t="s">
        <v>95</v>
      </c>
      <c r="BI358" s="2" t="s">
        <v>95</v>
      </c>
      <c r="CA358" s="2" t="s">
        <v>1816</v>
      </c>
      <c r="CB358" s="2" t="s">
        <v>395</v>
      </c>
      <c r="CL358" s="2" t="s">
        <v>95</v>
      </c>
      <c r="CM358" s="2" t="s">
        <v>95</v>
      </c>
      <c r="CN358" s="2" t="s">
        <v>460</v>
      </c>
      <c r="CO358" s="3">
        <v>42405</v>
      </c>
      <c r="CP358" s="3">
        <v>43634</v>
      </c>
    </row>
    <row r="359" spans="1:94" x14ac:dyDescent="0.25">
      <c r="A359" s="2" t="s">
        <v>1817</v>
      </c>
      <c r="B359" s="2" t="str">
        <f xml:space="preserve"> "" &amp; 844349020035</f>
        <v>844349020035</v>
      </c>
      <c r="C359" s="2" t="s">
        <v>1812</v>
      </c>
      <c r="D359" s="2" t="s">
        <v>1813</v>
      </c>
      <c r="E359" s="2" t="s">
        <v>1801</v>
      </c>
      <c r="F359" s="2" t="s">
        <v>393</v>
      </c>
      <c r="G359" s="2">
        <v>1</v>
      </c>
      <c r="H359" s="2">
        <v>1</v>
      </c>
      <c r="I359" s="2" t="s">
        <v>94</v>
      </c>
      <c r="J359" s="6">
        <v>55</v>
      </c>
      <c r="K359" s="6">
        <v>165</v>
      </c>
      <c r="L359" s="2">
        <v>0</v>
      </c>
      <c r="N359" s="2">
        <v>0</v>
      </c>
      <c r="O359" s="2" t="s">
        <v>96</v>
      </c>
      <c r="P359" s="6">
        <v>114.95</v>
      </c>
      <c r="Q359" s="6"/>
      <c r="R359" s="7"/>
      <c r="S359" s="2">
        <v>11</v>
      </c>
      <c r="T359" s="2">
        <v>9</v>
      </c>
      <c r="U359" s="2">
        <v>9</v>
      </c>
      <c r="W359" s="2">
        <v>3.78</v>
      </c>
      <c r="X359" s="2">
        <v>1</v>
      </c>
      <c r="Y359" s="2">
        <v>11.75</v>
      </c>
      <c r="Z359" s="2">
        <v>15.38</v>
      </c>
      <c r="AA359" s="2">
        <v>13.5</v>
      </c>
      <c r="AB359" s="2">
        <v>1.4119999999999999</v>
      </c>
      <c r="AC359" s="2">
        <v>5.85</v>
      </c>
      <c r="AE359" s="2">
        <v>1</v>
      </c>
      <c r="AF359" s="2" t="s">
        <v>1814</v>
      </c>
      <c r="AG359" s="2">
        <v>100</v>
      </c>
      <c r="AK359" s="2" t="s">
        <v>95</v>
      </c>
      <c r="AM359" s="2" t="s">
        <v>95</v>
      </c>
      <c r="AN359" s="2" t="s">
        <v>95</v>
      </c>
      <c r="AO359" s="2" t="s">
        <v>95</v>
      </c>
      <c r="AP359" s="2" t="s">
        <v>97</v>
      </c>
      <c r="AQ359" s="2" t="s">
        <v>98</v>
      </c>
      <c r="AV359" s="2" t="s">
        <v>95</v>
      </c>
      <c r="AX359" s="2" t="s">
        <v>395</v>
      </c>
      <c r="AZ359" s="2" t="s">
        <v>483</v>
      </c>
      <c r="BB359" s="2" t="s">
        <v>329</v>
      </c>
      <c r="BC359" s="2" t="s">
        <v>593</v>
      </c>
      <c r="BF359" s="2" t="s">
        <v>1818</v>
      </c>
      <c r="BG359" s="2" t="s">
        <v>95</v>
      </c>
      <c r="BH359" s="2" t="s">
        <v>95</v>
      </c>
      <c r="BI359" s="2" t="s">
        <v>95</v>
      </c>
      <c r="CA359" s="2" t="s">
        <v>1819</v>
      </c>
      <c r="CB359" s="2" t="s">
        <v>395</v>
      </c>
      <c r="CL359" s="2" t="s">
        <v>95</v>
      </c>
      <c r="CM359" s="2" t="s">
        <v>95</v>
      </c>
      <c r="CN359" s="2" t="s">
        <v>460</v>
      </c>
      <c r="CO359" s="3">
        <v>42405</v>
      </c>
      <c r="CP359" s="3">
        <v>43634</v>
      </c>
    </row>
    <row r="360" spans="1:94" x14ac:dyDescent="0.25">
      <c r="A360" s="2" t="s">
        <v>1820</v>
      </c>
      <c r="B360" s="2" t="str">
        <f xml:space="preserve"> "" &amp; 844349020042</f>
        <v>844349020042</v>
      </c>
      <c r="C360" s="2" t="s">
        <v>1812</v>
      </c>
      <c r="D360" s="2" t="s">
        <v>1813</v>
      </c>
      <c r="E360" s="2" t="s">
        <v>1801</v>
      </c>
      <c r="F360" s="2" t="s">
        <v>393</v>
      </c>
      <c r="G360" s="2">
        <v>1</v>
      </c>
      <c r="H360" s="2">
        <v>1</v>
      </c>
      <c r="I360" s="2" t="s">
        <v>94</v>
      </c>
      <c r="J360" s="6">
        <v>87</v>
      </c>
      <c r="K360" s="6">
        <v>261</v>
      </c>
      <c r="L360" s="2">
        <v>0</v>
      </c>
      <c r="N360" s="2">
        <v>0</v>
      </c>
      <c r="O360" s="2" t="s">
        <v>96</v>
      </c>
      <c r="P360" s="6">
        <v>179.95</v>
      </c>
      <c r="Q360" s="6"/>
      <c r="R360" s="7"/>
      <c r="S360" s="2">
        <v>19</v>
      </c>
      <c r="T360" s="2">
        <v>16</v>
      </c>
      <c r="U360" s="2">
        <v>16</v>
      </c>
      <c r="W360" s="2">
        <v>7.08</v>
      </c>
      <c r="X360" s="2">
        <v>1</v>
      </c>
      <c r="Y360" s="2">
        <v>20.25</v>
      </c>
      <c r="Z360" s="2">
        <v>19.25</v>
      </c>
      <c r="AA360" s="2">
        <v>19.25</v>
      </c>
      <c r="AB360" s="2">
        <v>4.343</v>
      </c>
      <c r="AC360" s="2">
        <v>11.9</v>
      </c>
      <c r="AE360" s="2">
        <v>1</v>
      </c>
      <c r="AF360" s="2" t="s">
        <v>519</v>
      </c>
      <c r="AG360" s="2">
        <v>100</v>
      </c>
      <c r="AK360" s="2" t="s">
        <v>95</v>
      </c>
      <c r="AM360" s="2" t="s">
        <v>95</v>
      </c>
      <c r="AN360" s="2" t="s">
        <v>95</v>
      </c>
      <c r="AO360" s="2" t="s">
        <v>96</v>
      </c>
      <c r="AP360" s="2" t="s">
        <v>97</v>
      </c>
      <c r="AQ360" s="2" t="s">
        <v>98</v>
      </c>
      <c r="AV360" s="2" t="s">
        <v>95</v>
      </c>
      <c r="AX360" s="2" t="s">
        <v>395</v>
      </c>
      <c r="AZ360" s="2" t="s">
        <v>449</v>
      </c>
      <c r="BB360" s="2" t="s">
        <v>329</v>
      </c>
      <c r="BC360" s="2" t="s">
        <v>593</v>
      </c>
      <c r="BF360" s="2" t="s">
        <v>1821</v>
      </c>
      <c r="BG360" s="2" t="s">
        <v>95</v>
      </c>
      <c r="BH360" s="2" t="s">
        <v>95</v>
      </c>
      <c r="BI360" s="2" t="s">
        <v>95</v>
      </c>
      <c r="BK360" s="2" t="s">
        <v>100</v>
      </c>
      <c r="BQ360" s="2">
        <v>4.88</v>
      </c>
      <c r="BR360" s="2">
        <v>1</v>
      </c>
      <c r="BS360" s="2">
        <v>4.88</v>
      </c>
      <c r="BT360" s="2">
        <v>4.88</v>
      </c>
      <c r="CA360" s="2" t="s">
        <v>1822</v>
      </c>
      <c r="CB360" s="2" t="s">
        <v>395</v>
      </c>
      <c r="CL360" s="2" t="s">
        <v>96</v>
      </c>
      <c r="CM360" s="2" t="s">
        <v>96</v>
      </c>
      <c r="CN360" s="2" t="s">
        <v>460</v>
      </c>
      <c r="CO360" s="3">
        <v>42325</v>
      </c>
      <c r="CP360" s="3">
        <v>43634</v>
      </c>
    </row>
    <row r="361" spans="1:94" x14ac:dyDescent="0.25">
      <c r="A361" s="2" t="s">
        <v>1823</v>
      </c>
      <c r="B361" s="2" t="str">
        <f xml:space="preserve"> "" &amp; 844349020059</f>
        <v>844349020059</v>
      </c>
      <c r="C361" s="2" t="s">
        <v>1824</v>
      </c>
      <c r="D361" s="2" t="s">
        <v>1825</v>
      </c>
      <c r="E361" s="2" t="s">
        <v>1801</v>
      </c>
      <c r="F361" s="2" t="s">
        <v>102</v>
      </c>
      <c r="G361" s="2">
        <v>1</v>
      </c>
      <c r="H361" s="2">
        <v>1</v>
      </c>
      <c r="I361" s="2" t="s">
        <v>94</v>
      </c>
      <c r="J361" s="6">
        <v>36</v>
      </c>
      <c r="K361" s="6">
        <v>108</v>
      </c>
      <c r="L361" s="2">
        <v>0</v>
      </c>
      <c r="N361" s="2">
        <v>0</v>
      </c>
      <c r="O361" s="2" t="s">
        <v>96</v>
      </c>
      <c r="P361" s="6">
        <v>74.95</v>
      </c>
      <c r="Q361" s="6"/>
      <c r="R361" s="7"/>
      <c r="S361" s="2">
        <v>11.75</v>
      </c>
      <c r="T361" s="2">
        <v>9</v>
      </c>
      <c r="U361" s="2">
        <v>9</v>
      </c>
      <c r="W361" s="2">
        <v>2.78</v>
      </c>
      <c r="X361" s="2">
        <v>1</v>
      </c>
      <c r="Y361" s="2">
        <v>18</v>
      </c>
      <c r="Z361" s="2">
        <v>12</v>
      </c>
      <c r="AA361" s="2">
        <v>12</v>
      </c>
      <c r="AB361" s="2">
        <v>1.5</v>
      </c>
      <c r="AC361" s="2">
        <v>4.8899999999999997</v>
      </c>
      <c r="AE361" s="2">
        <v>1</v>
      </c>
      <c r="AF361" s="2" t="s">
        <v>440</v>
      </c>
      <c r="AG361" s="2">
        <v>60</v>
      </c>
      <c r="AK361" s="2" t="s">
        <v>95</v>
      </c>
      <c r="AM361" s="2" t="s">
        <v>95</v>
      </c>
      <c r="AN361" s="2" t="s">
        <v>95</v>
      </c>
      <c r="AO361" s="2" t="s">
        <v>96</v>
      </c>
      <c r="AP361" s="2" t="s">
        <v>97</v>
      </c>
      <c r="AQ361" s="2" t="s">
        <v>98</v>
      </c>
      <c r="AV361" s="2" t="s">
        <v>95</v>
      </c>
      <c r="AX361" s="2" t="s">
        <v>395</v>
      </c>
      <c r="AZ361" s="2" t="s">
        <v>449</v>
      </c>
      <c r="BB361" s="2" t="s">
        <v>329</v>
      </c>
      <c r="BC361" s="2" t="s">
        <v>593</v>
      </c>
      <c r="BF361" s="2" t="s">
        <v>1826</v>
      </c>
      <c r="BG361" s="2" t="s">
        <v>95</v>
      </c>
      <c r="BH361" s="2" t="s">
        <v>95</v>
      </c>
      <c r="BI361" s="2" t="s">
        <v>95</v>
      </c>
      <c r="BK361" s="2" t="s">
        <v>100</v>
      </c>
      <c r="BQ361" s="2">
        <v>5.5</v>
      </c>
      <c r="BR361" s="2">
        <v>0.63</v>
      </c>
      <c r="BS361" s="2">
        <v>5.5</v>
      </c>
      <c r="BT361" s="2">
        <v>5.5</v>
      </c>
      <c r="CA361" s="2" t="s">
        <v>1827</v>
      </c>
      <c r="CB361" s="2" t="s">
        <v>395</v>
      </c>
      <c r="CL361" s="2" t="s">
        <v>96</v>
      </c>
      <c r="CM361" s="2" t="s">
        <v>95</v>
      </c>
      <c r="CN361" s="2" t="s">
        <v>460</v>
      </c>
      <c r="CO361" s="3">
        <v>42325</v>
      </c>
      <c r="CP361" s="3">
        <v>43634</v>
      </c>
    </row>
    <row r="362" spans="1:94" x14ac:dyDescent="0.25">
      <c r="A362" s="2" t="s">
        <v>1833</v>
      </c>
      <c r="B362" s="2" t="str">
        <f xml:space="preserve"> "" &amp; 844349020165</f>
        <v>844349020165</v>
      </c>
      <c r="C362" s="2" t="s">
        <v>391</v>
      </c>
      <c r="D362" s="2" t="s">
        <v>1834</v>
      </c>
      <c r="E362" s="2" t="s">
        <v>1835</v>
      </c>
      <c r="F362" s="2" t="s">
        <v>393</v>
      </c>
      <c r="G362" s="2">
        <v>1</v>
      </c>
      <c r="H362" s="2">
        <v>1</v>
      </c>
      <c r="I362" s="2" t="s">
        <v>94</v>
      </c>
      <c r="J362" s="6">
        <v>42</v>
      </c>
      <c r="K362" s="6">
        <v>126</v>
      </c>
      <c r="L362" s="2">
        <v>0</v>
      </c>
      <c r="N362" s="2">
        <v>0</v>
      </c>
      <c r="O362" s="2" t="s">
        <v>96</v>
      </c>
      <c r="P362" s="6">
        <v>88.95</v>
      </c>
      <c r="Q362" s="6"/>
      <c r="R362" s="7"/>
      <c r="S362" s="2">
        <v>5.5</v>
      </c>
      <c r="T362" s="2">
        <v>5.75</v>
      </c>
      <c r="U362" s="2">
        <v>5.75</v>
      </c>
      <c r="W362" s="2">
        <v>2.4500000000000002</v>
      </c>
      <c r="X362" s="2">
        <v>1</v>
      </c>
      <c r="Y362" s="2">
        <v>7.75</v>
      </c>
      <c r="Z362" s="2">
        <v>15</v>
      </c>
      <c r="AA362" s="2">
        <v>10</v>
      </c>
      <c r="AB362" s="2">
        <v>0.67300000000000004</v>
      </c>
      <c r="AC362" s="2">
        <v>3.64</v>
      </c>
      <c r="AE362" s="2">
        <v>1</v>
      </c>
      <c r="AF362" s="2" t="s">
        <v>1836</v>
      </c>
      <c r="AG362" s="2">
        <v>60</v>
      </c>
      <c r="AK362" s="2" t="s">
        <v>95</v>
      </c>
      <c r="AM362" s="2" t="s">
        <v>95</v>
      </c>
      <c r="AN362" s="2" t="s">
        <v>95</v>
      </c>
      <c r="AO362" s="2" t="s">
        <v>96</v>
      </c>
      <c r="AP362" s="2" t="s">
        <v>97</v>
      </c>
      <c r="AQ362" s="2" t="s">
        <v>98</v>
      </c>
      <c r="AV362" s="2" t="s">
        <v>95</v>
      </c>
      <c r="AX362" s="2" t="s">
        <v>395</v>
      </c>
      <c r="AZ362" s="2" t="s">
        <v>483</v>
      </c>
      <c r="BB362" s="2" t="s">
        <v>329</v>
      </c>
      <c r="BC362" s="2" t="s">
        <v>1837</v>
      </c>
      <c r="BF362" s="2" t="s">
        <v>1838</v>
      </c>
      <c r="BG362" s="2" t="s">
        <v>95</v>
      </c>
      <c r="BH362" s="2" t="s">
        <v>95</v>
      </c>
      <c r="BI362" s="2" t="s">
        <v>95</v>
      </c>
      <c r="BK362" s="2" t="s">
        <v>100</v>
      </c>
      <c r="BR362" s="2">
        <v>0.75</v>
      </c>
      <c r="BS362" s="2">
        <v>4.75</v>
      </c>
      <c r="BT362" s="2">
        <v>4.75</v>
      </c>
      <c r="CA362" s="2" t="s">
        <v>1839</v>
      </c>
      <c r="CB362" s="2" t="s">
        <v>395</v>
      </c>
      <c r="CL362" s="2" t="s">
        <v>96</v>
      </c>
      <c r="CM362" s="2" t="s">
        <v>95</v>
      </c>
      <c r="CN362" s="2" t="s">
        <v>460</v>
      </c>
      <c r="CO362" s="3">
        <v>42325</v>
      </c>
      <c r="CP362" s="3">
        <v>43634</v>
      </c>
    </row>
    <row r="363" spans="1:94" x14ac:dyDescent="0.25">
      <c r="A363" s="2" t="s">
        <v>1828</v>
      </c>
      <c r="B363" s="2" t="str">
        <f xml:space="preserve"> "" &amp; 870540000460</f>
        <v>870540000460</v>
      </c>
      <c r="C363" s="2" t="s">
        <v>1829</v>
      </c>
      <c r="D363" s="2" t="s">
        <v>1830</v>
      </c>
      <c r="F363" s="2" t="s">
        <v>1429</v>
      </c>
      <c r="G363" s="2">
        <v>1</v>
      </c>
      <c r="H363" s="2">
        <v>1</v>
      </c>
      <c r="I363" s="2" t="s">
        <v>94</v>
      </c>
      <c r="J363" s="6">
        <v>108</v>
      </c>
      <c r="K363" s="6">
        <v>324</v>
      </c>
      <c r="L363" s="2">
        <v>0</v>
      </c>
      <c r="N363" s="2">
        <v>0</v>
      </c>
      <c r="O363" s="2" t="s">
        <v>96</v>
      </c>
      <c r="P363" s="6">
        <v>226.95</v>
      </c>
      <c r="Q363" s="6"/>
      <c r="R363" s="7"/>
      <c r="S363" s="2">
        <v>27.25</v>
      </c>
      <c r="T363" s="2">
        <v>17.25</v>
      </c>
      <c r="U363" s="2">
        <v>11</v>
      </c>
      <c r="W363" s="2">
        <v>7.17</v>
      </c>
      <c r="X363" s="2">
        <v>1</v>
      </c>
      <c r="Y363" s="2">
        <v>17.25</v>
      </c>
      <c r="Z363" s="2">
        <v>22.75</v>
      </c>
      <c r="AA363" s="2">
        <v>12.5</v>
      </c>
      <c r="AB363" s="2">
        <v>2.839</v>
      </c>
      <c r="AC363" s="2">
        <v>11.57</v>
      </c>
      <c r="AE363" s="2">
        <v>2</v>
      </c>
      <c r="AF363" s="2" t="s">
        <v>1430</v>
      </c>
      <c r="AG363" s="2">
        <v>10</v>
      </c>
      <c r="AK363" s="2" t="s">
        <v>96</v>
      </c>
      <c r="AM363" s="2" t="s">
        <v>95</v>
      </c>
      <c r="AN363" s="2" t="s">
        <v>96</v>
      </c>
      <c r="AO363" s="2" t="s">
        <v>95</v>
      </c>
      <c r="AP363" s="2" t="s">
        <v>97</v>
      </c>
      <c r="AQ363" s="2" t="s">
        <v>98</v>
      </c>
      <c r="AV363" s="2" t="s">
        <v>95</v>
      </c>
      <c r="AX363" s="2" t="s">
        <v>116</v>
      </c>
      <c r="AZ363" s="2" t="s">
        <v>342</v>
      </c>
      <c r="BB363" s="2" t="s">
        <v>490</v>
      </c>
      <c r="BC363" s="2" t="s">
        <v>498</v>
      </c>
      <c r="BF363" s="2" t="s">
        <v>1831</v>
      </c>
      <c r="BG363" s="2" t="s">
        <v>95</v>
      </c>
      <c r="BH363" s="2" t="s">
        <v>95</v>
      </c>
      <c r="BI363" s="2" t="s">
        <v>95</v>
      </c>
      <c r="BK363" s="2" t="s">
        <v>100</v>
      </c>
      <c r="BM363" s="2">
        <v>6.5</v>
      </c>
      <c r="BN363" s="2">
        <v>1.25</v>
      </c>
      <c r="BP363" s="2">
        <v>10</v>
      </c>
      <c r="CA363" s="2" t="s">
        <v>1832</v>
      </c>
      <c r="CB363" s="2" t="s">
        <v>116</v>
      </c>
      <c r="CL363" s="2" t="s">
        <v>95</v>
      </c>
      <c r="CM363" s="2" t="s">
        <v>95</v>
      </c>
      <c r="CN363" s="2" t="s">
        <v>230</v>
      </c>
      <c r="CO363" s="3">
        <v>39744</v>
      </c>
      <c r="CP363" s="3">
        <v>43634</v>
      </c>
    </row>
    <row r="364" spans="1:94" x14ac:dyDescent="0.25">
      <c r="A364" s="2" t="s">
        <v>1840</v>
      </c>
      <c r="B364" s="2" t="str">
        <f xml:space="preserve"> "" &amp; 844349020110</f>
        <v>844349020110</v>
      </c>
      <c r="C364" s="2" t="s">
        <v>990</v>
      </c>
      <c r="D364" s="2" t="s">
        <v>1841</v>
      </c>
      <c r="E364" s="2" t="s">
        <v>1835</v>
      </c>
      <c r="F364" s="2" t="s">
        <v>658</v>
      </c>
      <c r="G364" s="2">
        <v>1</v>
      </c>
      <c r="H364" s="2">
        <v>1</v>
      </c>
      <c r="I364" s="2" t="s">
        <v>94</v>
      </c>
      <c r="J364" s="6">
        <v>45</v>
      </c>
      <c r="K364" s="6">
        <v>135</v>
      </c>
      <c r="L364" s="2">
        <v>0</v>
      </c>
      <c r="N364" s="2">
        <v>0</v>
      </c>
      <c r="O364" s="2" t="s">
        <v>96</v>
      </c>
      <c r="P364" s="6">
        <v>94.95</v>
      </c>
      <c r="Q364" s="6"/>
      <c r="R364" s="7"/>
      <c r="S364" s="2">
        <v>7.75</v>
      </c>
      <c r="U364" s="2">
        <v>5.75</v>
      </c>
      <c r="V364" s="2">
        <v>8.75</v>
      </c>
      <c r="W364" s="2">
        <v>1.74</v>
      </c>
      <c r="X364" s="2">
        <v>1</v>
      </c>
      <c r="Y364" s="2">
        <v>8</v>
      </c>
      <c r="Z364" s="2">
        <v>15</v>
      </c>
      <c r="AA364" s="2">
        <v>10</v>
      </c>
      <c r="AB364" s="2">
        <v>0.69399999999999995</v>
      </c>
      <c r="AC364" s="2">
        <v>3.01</v>
      </c>
      <c r="AE364" s="2">
        <v>1</v>
      </c>
      <c r="AF364" s="2" t="s">
        <v>1836</v>
      </c>
      <c r="AG364" s="2">
        <v>60</v>
      </c>
      <c r="AK364" s="2" t="s">
        <v>95</v>
      </c>
      <c r="AL364" s="2">
        <v>1</v>
      </c>
      <c r="AM364" s="2" t="s">
        <v>95</v>
      </c>
      <c r="AN364" s="2" t="s">
        <v>95</v>
      </c>
      <c r="AO364" s="2" t="s">
        <v>96</v>
      </c>
      <c r="AP364" s="2" t="s">
        <v>97</v>
      </c>
      <c r="AQ364" s="2" t="s">
        <v>98</v>
      </c>
      <c r="AV364" s="2" t="s">
        <v>95</v>
      </c>
      <c r="AX364" s="2" t="s">
        <v>395</v>
      </c>
      <c r="AZ364" s="2" t="s">
        <v>483</v>
      </c>
      <c r="BB364" s="2" t="s">
        <v>329</v>
      </c>
      <c r="BC364" s="2" t="s">
        <v>1837</v>
      </c>
      <c r="BF364" s="2" t="s">
        <v>1842</v>
      </c>
      <c r="BG364" s="2" t="s">
        <v>95</v>
      </c>
      <c r="BH364" s="2" t="s">
        <v>95</v>
      </c>
      <c r="BI364" s="2" t="s">
        <v>95</v>
      </c>
      <c r="BK364" s="2" t="s">
        <v>414</v>
      </c>
      <c r="BL364" s="2" t="s">
        <v>993</v>
      </c>
      <c r="BR364" s="2">
        <v>7</v>
      </c>
      <c r="BT364" s="2">
        <v>5</v>
      </c>
      <c r="CA364" s="2" t="s">
        <v>1843</v>
      </c>
      <c r="CB364" s="2" t="s">
        <v>395</v>
      </c>
      <c r="CL364" s="2" t="s">
        <v>96</v>
      </c>
      <c r="CM364" s="2" t="s">
        <v>95</v>
      </c>
      <c r="CN364" s="2" t="s">
        <v>460</v>
      </c>
      <c r="CO364" s="3">
        <v>42325</v>
      </c>
      <c r="CP364" s="3">
        <v>43634</v>
      </c>
    </row>
    <row r="365" spans="1:94" x14ac:dyDescent="0.25">
      <c r="A365" s="2" t="s">
        <v>1844</v>
      </c>
      <c r="B365" s="2" t="str">
        <f xml:space="preserve"> "" &amp; 844349020127</f>
        <v>844349020127</v>
      </c>
      <c r="C365" s="2" t="s">
        <v>996</v>
      </c>
      <c r="D365" s="2" t="s">
        <v>1845</v>
      </c>
      <c r="E365" s="2" t="s">
        <v>1835</v>
      </c>
      <c r="F365" s="2" t="s">
        <v>658</v>
      </c>
      <c r="G365" s="2">
        <v>1</v>
      </c>
      <c r="H365" s="2">
        <v>1</v>
      </c>
      <c r="I365" s="2" t="s">
        <v>94</v>
      </c>
      <c r="J365" s="6">
        <v>64</v>
      </c>
      <c r="K365" s="6">
        <v>192</v>
      </c>
      <c r="L365" s="2">
        <v>0</v>
      </c>
      <c r="N365" s="2">
        <v>0</v>
      </c>
      <c r="O365" s="2" t="s">
        <v>96</v>
      </c>
      <c r="P365" s="6">
        <v>134.94999999999999</v>
      </c>
      <c r="Q365" s="6"/>
      <c r="R365" s="7"/>
      <c r="S365" s="2">
        <v>8.25</v>
      </c>
      <c r="U365" s="2">
        <v>15.5</v>
      </c>
      <c r="V365" s="2">
        <v>7.75</v>
      </c>
      <c r="W365" s="2">
        <v>2.82</v>
      </c>
      <c r="X365" s="2">
        <v>1</v>
      </c>
      <c r="Y365" s="2">
        <v>9.25</v>
      </c>
      <c r="Z365" s="2">
        <v>25.25</v>
      </c>
      <c r="AA365" s="2">
        <v>10</v>
      </c>
      <c r="AB365" s="2">
        <v>1.3520000000000001</v>
      </c>
      <c r="AC365" s="2">
        <v>4.74</v>
      </c>
      <c r="AE365" s="2">
        <v>2</v>
      </c>
      <c r="AF365" s="2" t="s">
        <v>1846</v>
      </c>
      <c r="AG365" s="2">
        <v>60</v>
      </c>
      <c r="AK365" s="2" t="s">
        <v>95</v>
      </c>
      <c r="AL365" s="2">
        <v>2</v>
      </c>
      <c r="AM365" s="2" t="s">
        <v>95</v>
      </c>
      <c r="AN365" s="2" t="s">
        <v>95</v>
      </c>
      <c r="AO365" s="2" t="s">
        <v>96</v>
      </c>
      <c r="AP365" s="2" t="s">
        <v>97</v>
      </c>
      <c r="AQ365" s="2" t="s">
        <v>98</v>
      </c>
      <c r="AV365" s="2" t="s">
        <v>95</v>
      </c>
      <c r="AX365" s="2" t="s">
        <v>395</v>
      </c>
      <c r="AZ365" s="2" t="s">
        <v>483</v>
      </c>
      <c r="BB365" s="2" t="s">
        <v>329</v>
      </c>
      <c r="BC365" s="2" t="s">
        <v>1837</v>
      </c>
      <c r="BF365" s="2" t="s">
        <v>1847</v>
      </c>
      <c r="BG365" s="2" t="s">
        <v>95</v>
      </c>
      <c r="BH365" s="2" t="s">
        <v>95</v>
      </c>
      <c r="BI365" s="2" t="s">
        <v>95</v>
      </c>
      <c r="BK365" s="2" t="s">
        <v>414</v>
      </c>
      <c r="BL365" s="2" t="s">
        <v>993</v>
      </c>
      <c r="BR365" s="2">
        <v>5</v>
      </c>
      <c r="BT365" s="2">
        <v>7</v>
      </c>
      <c r="CA365" s="2" t="s">
        <v>1848</v>
      </c>
      <c r="CB365" s="2" t="s">
        <v>395</v>
      </c>
      <c r="CL365" s="2" t="s">
        <v>96</v>
      </c>
      <c r="CM365" s="2" t="s">
        <v>95</v>
      </c>
      <c r="CN365" s="2" t="s">
        <v>460</v>
      </c>
      <c r="CO365" s="3">
        <v>42325</v>
      </c>
      <c r="CP365" s="3">
        <v>43634</v>
      </c>
    </row>
    <row r="366" spans="1:94" x14ac:dyDescent="0.25">
      <c r="A366" s="2" t="s">
        <v>1849</v>
      </c>
      <c r="B366" s="2" t="str">
        <f xml:space="preserve"> "" &amp; 844349020134</f>
        <v>844349020134</v>
      </c>
      <c r="C366" s="2" t="s">
        <v>1001</v>
      </c>
      <c r="D366" s="2" t="s">
        <v>1850</v>
      </c>
      <c r="E366" s="2" t="s">
        <v>1835</v>
      </c>
      <c r="F366" s="2" t="s">
        <v>658</v>
      </c>
      <c r="G366" s="2">
        <v>1</v>
      </c>
      <c r="H366" s="2">
        <v>1</v>
      </c>
      <c r="I366" s="2" t="s">
        <v>94</v>
      </c>
      <c r="J366" s="6">
        <v>77</v>
      </c>
      <c r="K366" s="6">
        <v>231</v>
      </c>
      <c r="L366" s="2">
        <v>0</v>
      </c>
      <c r="N366" s="2">
        <v>0</v>
      </c>
      <c r="O366" s="2" t="s">
        <v>96</v>
      </c>
      <c r="P366" s="6">
        <v>161.94999999999999</v>
      </c>
      <c r="Q366" s="6"/>
      <c r="R366" s="7"/>
      <c r="S366" s="2">
        <v>8.5</v>
      </c>
      <c r="U366" s="2">
        <v>21.75</v>
      </c>
      <c r="V366" s="2">
        <v>9.5</v>
      </c>
      <c r="W366" s="2">
        <v>4.2300000000000004</v>
      </c>
      <c r="X366" s="2">
        <v>1</v>
      </c>
      <c r="Y366" s="2">
        <v>9.25</v>
      </c>
      <c r="Z366" s="2">
        <v>30.75</v>
      </c>
      <c r="AA366" s="2">
        <v>12.25</v>
      </c>
      <c r="AB366" s="2">
        <v>2.016</v>
      </c>
      <c r="AC366" s="2">
        <v>6.94</v>
      </c>
      <c r="AE366" s="2">
        <v>3</v>
      </c>
      <c r="AF366" s="2" t="s">
        <v>1851</v>
      </c>
      <c r="AG366" s="2">
        <v>60</v>
      </c>
      <c r="AK366" s="2" t="s">
        <v>95</v>
      </c>
      <c r="AL366" s="2">
        <v>3</v>
      </c>
      <c r="AM366" s="2" t="s">
        <v>95</v>
      </c>
      <c r="AN366" s="2" t="s">
        <v>95</v>
      </c>
      <c r="AO366" s="2" t="s">
        <v>96</v>
      </c>
      <c r="AP366" s="2" t="s">
        <v>97</v>
      </c>
      <c r="AQ366" s="2" t="s">
        <v>98</v>
      </c>
      <c r="AV366" s="2" t="s">
        <v>95</v>
      </c>
      <c r="AX366" s="2" t="s">
        <v>395</v>
      </c>
      <c r="AZ366" s="2" t="s">
        <v>483</v>
      </c>
      <c r="BB366" s="2" t="s">
        <v>329</v>
      </c>
      <c r="BC366" s="2" t="s">
        <v>1852</v>
      </c>
      <c r="BF366" s="2" t="s">
        <v>1853</v>
      </c>
      <c r="BG366" s="2" t="s">
        <v>95</v>
      </c>
      <c r="BH366" s="2" t="s">
        <v>95</v>
      </c>
      <c r="BI366" s="2" t="s">
        <v>95</v>
      </c>
      <c r="BK366" s="2" t="s">
        <v>414</v>
      </c>
      <c r="BL366" s="2" t="s">
        <v>993</v>
      </c>
      <c r="BR366" s="2">
        <v>5</v>
      </c>
      <c r="BT366" s="2">
        <v>7</v>
      </c>
      <c r="CA366" s="2" t="s">
        <v>1854</v>
      </c>
      <c r="CB366" s="2" t="s">
        <v>395</v>
      </c>
      <c r="CL366" s="2" t="s">
        <v>96</v>
      </c>
      <c r="CM366" s="2" t="s">
        <v>95</v>
      </c>
      <c r="CN366" s="2" t="s">
        <v>460</v>
      </c>
      <c r="CO366" s="3">
        <v>42325</v>
      </c>
      <c r="CP366" s="3">
        <v>43634</v>
      </c>
    </row>
    <row r="367" spans="1:94" x14ac:dyDescent="0.25">
      <c r="A367" s="2" t="s">
        <v>1855</v>
      </c>
      <c r="B367" s="2" t="str">
        <f xml:space="preserve"> "" &amp; 844349020141</f>
        <v>844349020141</v>
      </c>
      <c r="C367" s="2" t="s">
        <v>1006</v>
      </c>
      <c r="D367" s="2" t="s">
        <v>1856</v>
      </c>
      <c r="E367" s="2" t="s">
        <v>1835</v>
      </c>
      <c r="F367" s="2" t="s">
        <v>658</v>
      </c>
      <c r="G367" s="2">
        <v>1</v>
      </c>
      <c r="H367" s="2">
        <v>1</v>
      </c>
      <c r="I367" s="2" t="s">
        <v>94</v>
      </c>
      <c r="J367" s="6">
        <v>89</v>
      </c>
      <c r="K367" s="6">
        <v>267</v>
      </c>
      <c r="L367" s="2">
        <v>0</v>
      </c>
      <c r="N367" s="2">
        <v>0</v>
      </c>
      <c r="O367" s="2" t="s">
        <v>96</v>
      </c>
      <c r="P367" s="6">
        <v>186.95</v>
      </c>
      <c r="Q367" s="6"/>
      <c r="R367" s="7"/>
      <c r="S367" s="2">
        <v>8.5</v>
      </c>
      <c r="U367" s="2">
        <v>27</v>
      </c>
      <c r="V367" s="2">
        <v>9.5</v>
      </c>
      <c r="W367" s="2">
        <v>5.09</v>
      </c>
      <c r="X367" s="2">
        <v>1</v>
      </c>
      <c r="Y367" s="2">
        <v>14</v>
      </c>
      <c r="Z367" s="2">
        <v>28.75</v>
      </c>
      <c r="AA367" s="2">
        <v>9.85</v>
      </c>
      <c r="AB367" s="2">
        <v>2.294</v>
      </c>
      <c r="AC367" s="2">
        <v>8.02</v>
      </c>
      <c r="AE367" s="2">
        <v>4</v>
      </c>
      <c r="AF367" s="2" t="s">
        <v>1836</v>
      </c>
      <c r="AG367" s="2">
        <v>60</v>
      </c>
      <c r="AK367" s="2" t="s">
        <v>95</v>
      </c>
      <c r="AL367" s="2">
        <v>4</v>
      </c>
      <c r="AM367" s="2" t="s">
        <v>95</v>
      </c>
      <c r="AN367" s="2" t="s">
        <v>95</v>
      </c>
      <c r="AO367" s="2" t="s">
        <v>96</v>
      </c>
      <c r="AP367" s="2" t="s">
        <v>97</v>
      </c>
      <c r="AQ367" s="2" t="s">
        <v>98</v>
      </c>
      <c r="AV367" s="2" t="s">
        <v>95</v>
      </c>
      <c r="AX367" s="2" t="s">
        <v>395</v>
      </c>
      <c r="AZ367" s="2" t="s">
        <v>483</v>
      </c>
      <c r="BB367" s="2" t="s">
        <v>329</v>
      </c>
      <c r="BC367" s="2" t="s">
        <v>1837</v>
      </c>
      <c r="BF367" s="2" t="s">
        <v>1857</v>
      </c>
      <c r="BG367" s="2" t="s">
        <v>95</v>
      </c>
      <c r="BH367" s="2" t="s">
        <v>95</v>
      </c>
      <c r="BI367" s="2" t="s">
        <v>95</v>
      </c>
      <c r="BK367" s="2" t="s">
        <v>414</v>
      </c>
      <c r="BL367" s="2" t="s">
        <v>993</v>
      </c>
      <c r="BR367" s="2">
        <v>5</v>
      </c>
      <c r="BT367" s="2">
        <v>7</v>
      </c>
      <c r="CA367" s="2" t="s">
        <v>1858</v>
      </c>
      <c r="CB367" s="2" t="s">
        <v>395</v>
      </c>
      <c r="CL367" s="2" t="s">
        <v>96</v>
      </c>
      <c r="CM367" s="2" t="s">
        <v>95</v>
      </c>
      <c r="CN367" s="2" t="s">
        <v>460</v>
      </c>
      <c r="CO367" s="3">
        <v>42325</v>
      </c>
      <c r="CP367" s="3">
        <v>43634</v>
      </c>
    </row>
    <row r="368" spans="1:94" x14ac:dyDescent="0.25">
      <c r="A368" s="2" t="s">
        <v>1859</v>
      </c>
      <c r="B368" s="2" t="str">
        <f xml:space="preserve"> "" &amp; 844349020158</f>
        <v>844349020158</v>
      </c>
      <c r="C368" s="2" t="s">
        <v>1860</v>
      </c>
      <c r="D368" s="2" t="s">
        <v>1861</v>
      </c>
      <c r="E368" s="2" t="s">
        <v>1835</v>
      </c>
      <c r="F368" s="2" t="s">
        <v>412</v>
      </c>
      <c r="G368" s="2">
        <v>1</v>
      </c>
      <c r="H368" s="2">
        <v>1</v>
      </c>
      <c r="I368" s="2" t="s">
        <v>94</v>
      </c>
      <c r="J368" s="6">
        <v>112</v>
      </c>
      <c r="K368" s="6">
        <v>336</v>
      </c>
      <c r="L368" s="2">
        <v>0</v>
      </c>
      <c r="N368" s="2">
        <v>0</v>
      </c>
      <c r="O368" s="2" t="s">
        <v>96</v>
      </c>
      <c r="P368" s="6">
        <v>234.95</v>
      </c>
      <c r="Q368" s="6"/>
      <c r="R368" s="7"/>
      <c r="S368" s="2">
        <v>12.25</v>
      </c>
      <c r="T368" s="2">
        <v>19.25</v>
      </c>
      <c r="U368" s="2">
        <v>19.25</v>
      </c>
      <c r="W368" s="2">
        <v>4.43</v>
      </c>
      <c r="X368" s="2">
        <v>1</v>
      </c>
      <c r="Y368" s="2">
        <v>11.63</v>
      </c>
      <c r="Z368" s="2">
        <v>16.13</v>
      </c>
      <c r="AA368" s="2">
        <v>16.13</v>
      </c>
      <c r="AB368" s="2">
        <v>1.7509999999999999</v>
      </c>
      <c r="AC368" s="2">
        <v>6.99</v>
      </c>
      <c r="AE368" s="2">
        <v>4</v>
      </c>
      <c r="AF368" s="2" t="s">
        <v>1836</v>
      </c>
      <c r="AG368" s="2">
        <v>60</v>
      </c>
      <c r="AK368" s="2" t="s">
        <v>95</v>
      </c>
      <c r="AL368" s="2">
        <v>4</v>
      </c>
      <c r="AM368" s="2" t="s">
        <v>95</v>
      </c>
      <c r="AN368" s="2" t="s">
        <v>95</v>
      </c>
      <c r="AO368" s="2" t="s">
        <v>96</v>
      </c>
      <c r="AP368" s="2" t="s">
        <v>97</v>
      </c>
      <c r="AQ368" s="2" t="s">
        <v>98</v>
      </c>
      <c r="AV368" s="2" t="s">
        <v>95</v>
      </c>
      <c r="AX368" s="2" t="s">
        <v>395</v>
      </c>
      <c r="AZ368" s="2" t="s">
        <v>483</v>
      </c>
      <c r="BB368" s="2" t="s">
        <v>329</v>
      </c>
      <c r="BC368" s="2" t="s">
        <v>1852</v>
      </c>
      <c r="BF368" s="2" t="s">
        <v>1862</v>
      </c>
      <c r="BG368" s="2" t="s">
        <v>95</v>
      </c>
      <c r="BH368" s="2" t="s">
        <v>95</v>
      </c>
      <c r="BI368" s="2" t="s">
        <v>95</v>
      </c>
      <c r="BK368" s="2" t="s">
        <v>414</v>
      </c>
      <c r="BR368" s="2">
        <v>0.63</v>
      </c>
      <c r="BT368" s="2">
        <v>5</v>
      </c>
      <c r="CA368" s="2" t="s">
        <v>1863</v>
      </c>
      <c r="CB368" s="2" t="s">
        <v>395</v>
      </c>
      <c r="CL368" s="2" t="s">
        <v>96</v>
      </c>
      <c r="CM368" s="2" t="s">
        <v>95</v>
      </c>
      <c r="CN368" s="2" t="s">
        <v>460</v>
      </c>
      <c r="CO368" s="3">
        <v>42325</v>
      </c>
      <c r="CP368" s="3">
        <v>43634</v>
      </c>
    </row>
    <row r="369" spans="1:94" x14ac:dyDescent="0.25">
      <c r="A369" s="2" t="s">
        <v>1864</v>
      </c>
      <c r="B369" s="2" t="str">
        <f xml:space="preserve"> "" &amp; 844349020172</f>
        <v>844349020172</v>
      </c>
      <c r="C369" s="2" t="s">
        <v>1168</v>
      </c>
      <c r="D369" s="2" t="s">
        <v>1865</v>
      </c>
      <c r="E369" s="2" t="s">
        <v>1835</v>
      </c>
      <c r="F369" s="2" t="s">
        <v>1126</v>
      </c>
      <c r="G369" s="2">
        <v>1</v>
      </c>
      <c r="H369" s="2">
        <v>1</v>
      </c>
      <c r="I369" s="2" t="s">
        <v>94</v>
      </c>
      <c r="J369" s="6">
        <v>175</v>
      </c>
      <c r="K369" s="6">
        <v>525</v>
      </c>
      <c r="L369" s="2">
        <v>0</v>
      </c>
      <c r="N369" s="2">
        <v>0</v>
      </c>
      <c r="O369" s="2" t="s">
        <v>96</v>
      </c>
      <c r="P369" s="6">
        <v>367.95</v>
      </c>
      <c r="Q369" s="6"/>
      <c r="R369" s="7"/>
      <c r="S369" s="2">
        <v>18</v>
      </c>
      <c r="T369" s="2">
        <v>23.25</v>
      </c>
      <c r="U369" s="2">
        <v>23.25</v>
      </c>
      <c r="W369" s="2">
        <v>10.210000000000001</v>
      </c>
      <c r="X369" s="2">
        <v>1</v>
      </c>
      <c r="Y369" s="2">
        <v>20</v>
      </c>
      <c r="Z369" s="2">
        <v>19</v>
      </c>
      <c r="AA369" s="2">
        <v>19</v>
      </c>
      <c r="AB369" s="2">
        <v>4.1779999999999999</v>
      </c>
      <c r="AC369" s="2">
        <v>15.06</v>
      </c>
      <c r="AE369" s="2">
        <v>9</v>
      </c>
      <c r="AF369" s="2" t="s">
        <v>1836</v>
      </c>
      <c r="AG369" s="2">
        <v>60</v>
      </c>
      <c r="AK369" s="2" t="s">
        <v>95</v>
      </c>
      <c r="AM369" s="2" t="s">
        <v>95</v>
      </c>
      <c r="AN369" s="2" t="s">
        <v>95</v>
      </c>
      <c r="AO369" s="2" t="s">
        <v>96</v>
      </c>
      <c r="AP369" s="2" t="s">
        <v>97</v>
      </c>
      <c r="AQ369" s="2" t="s">
        <v>98</v>
      </c>
      <c r="AV369" s="2" t="s">
        <v>95</v>
      </c>
      <c r="AX369" s="2" t="s">
        <v>395</v>
      </c>
      <c r="AZ369" s="2" t="s">
        <v>483</v>
      </c>
      <c r="BB369" s="2" t="s">
        <v>329</v>
      </c>
      <c r="BC369" s="2" t="s">
        <v>1852</v>
      </c>
      <c r="BF369" s="2" t="s">
        <v>1866</v>
      </c>
      <c r="BG369" s="2" t="s">
        <v>95</v>
      </c>
      <c r="BH369" s="2" t="s">
        <v>95</v>
      </c>
      <c r="BI369" s="2" t="s">
        <v>95</v>
      </c>
      <c r="BK369" s="2" t="s">
        <v>100</v>
      </c>
      <c r="BR369" s="2">
        <v>0.75</v>
      </c>
      <c r="BT369" s="2">
        <v>4.75</v>
      </c>
      <c r="CA369" s="2" t="s">
        <v>1867</v>
      </c>
      <c r="CB369" s="2" t="s">
        <v>395</v>
      </c>
      <c r="CL369" s="2" t="s">
        <v>96</v>
      </c>
      <c r="CM369" s="2" t="s">
        <v>96</v>
      </c>
      <c r="CN369" s="2" t="s">
        <v>460</v>
      </c>
      <c r="CP369" s="3">
        <v>43634</v>
      </c>
    </row>
    <row r="370" spans="1:94" x14ac:dyDescent="0.25">
      <c r="A370" s="2" t="s">
        <v>1868</v>
      </c>
      <c r="B370" s="2" t="str">
        <f xml:space="preserve"> "" &amp; 844349020431</f>
        <v>844349020431</v>
      </c>
      <c r="C370" s="2" t="s">
        <v>1869</v>
      </c>
      <c r="D370" s="2" t="s">
        <v>1870</v>
      </c>
      <c r="E370" s="2" t="s">
        <v>613</v>
      </c>
      <c r="F370" s="2" t="s">
        <v>1126</v>
      </c>
      <c r="G370" s="2">
        <v>1</v>
      </c>
      <c r="H370" s="2">
        <v>1</v>
      </c>
      <c r="I370" s="2" t="s">
        <v>94</v>
      </c>
      <c r="J370" s="6">
        <v>245</v>
      </c>
      <c r="K370" s="6">
        <v>735</v>
      </c>
      <c r="L370" s="2">
        <v>0</v>
      </c>
      <c r="N370" s="2">
        <v>0</v>
      </c>
      <c r="O370" s="2" t="s">
        <v>96</v>
      </c>
      <c r="P370" s="6">
        <v>514.95000000000005</v>
      </c>
      <c r="Q370" s="6"/>
      <c r="R370" s="7"/>
      <c r="S370" s="2">
        <v>9</v>
      </c>
      <c r="T370" s="2">
        <v>18</v>
      </c>
      <c r="U370" s="2">
        <v>18</v>
      </c>
      <c r="W370" s="2">
        <v>7.05</v>
      </c>
      <c r="X370" s="2">
        <v>1</v>
      </c>
      <c r="Y370" s="2">
        <v>12.38</v>
      </c>
      <c r="Z370" s="2">
        <v>16.88</v>
      </c>
      <c r="AA370" s="2">
        <v>16.88</v>
      </c>
      <c r="AB370" s="2">
        <v>2.0409999999999999</v>
      </c>
      <c r="AC370" s="2">
        <v>12.24</v>
      </c>
      <c r="AE370" s="2">
        <v>4</v>
      </c>
      <c r="AF370" s="2" t="s">
        <v>1871</v>
      </c>
      <c r="AG370" s="2">
        <v>11</v>
      </c>
      <c r="AK370" s="2" t="s">
        <v>96</v>
      </c>
      <c r="AL370" s="2">
        <v>4</v>
      </c>
      <c r="AM370" s="2" t="s">
        <v>95</v>
      </c>
      <c r="AN370" s="2" t="s">
        <v>96</v>
      </c>
      <c r="AO370" s="2" t="s">
        <v>95</v>
      </c>
      <c r="AP370" s="2" t="s">
        <v>97</v>
      </c>
      <c r="AQ370" s="2" t="s">
        <v>98</v>
      </c>
      <c r="AV370" s="2" t="s">
        <v>95</v>
      </c>
      <c r="AX370" s="2" t="s">
        <v>116</v>
      </c>
      <c r="AZ370" s="2" t="s">
        <v>483</v>
      </c>
      <c r="BB370" s="2" t="s">
        <v>329</v>
      </c>
      <c r="BC370" s="2" t="s">
        <v>976</v>
      </c>
      <c r="BF370" s="2" t="s">
        <v>1872</v>
      </c>
      <c r="BG370" s="2" t="s">
        <v>95</v>
      </c>
      <c r="BH370" s="2" t="s">
        <v>95</v>
      </c>
      <c r="BI370" s="2" t="s">
        <v>95</v>
      </c>
      <c r="BK370" s="2" t="s">
        <v>100</v>
      </c>
      <c r="BQ370" s="2">
        <v>4.88</v>
      </c>
      <c r="BR370" s="2">
        <v>1</v>
      </c>
      <c r="BS370" s="2">
        <v>4.88</v>
      </c>
      <c r="BT370" s="2">
        <v>4.88</v>
      </c>
      <c r="CA370" s="2" t="s">
        <v>1873</v>
      </c>
      <c r="CB370" s="2" t="s">
        <v>116</v>
      </c>
      <c r="CG370" s="2">
        <v>3000</v>
      </c>
      <c r="CH370" s="2">
        <v>91</v>
      </c>
      <c r="CI370" s="2">
        <v>3346</v>
      </c>
      <c r="CJ370" s="2">
        <v>2220</v>
      </c>
      <c r="CK370" s="2">
        <v>30000</v>
      </c>
      <c r="CL370" s="2" t="s">
        <v>96</v>
      </c>
      <c r="CM370" s="2" t="s">
        <v>96</v>
      </c>
      <c r="CN370" s="2" t="s">
        <v>454</v>
      </c>
      <c r="CO370" s="3">
        <v>42389</v>
      </c>
      <c r="CP370" s="3">
        <v>43634</v>
      </c>
    </row>
    <row r="371" spans="1:94" x14ac:dyDescent="0.25">
      <c r="A371" s="2" t="s">
        <v>1874</v>
      </c>
      <c r="B371" s="2" t="str">
        <f xml:space="preserve"> "" &amp; 844349020448</f>
        <v>844349020448</v>
      </c>
      <c r="C371" s="2" t="s">
        <v>1875</v>
      </c>
      <c r="D371" s="2" t="s">
        <v>1870</v>
      </c>
      <c r="E371" s="2" t="s">
        <v>613</v>
      </c>
      <c r="F371" s="2" t="s">
        <v>1126</v>
      </c>
      <c r="G371" s="2">
        <v>1</v>
      </c>
      <c r="H371" s="2">
        <v>1</v>
      </c>
      <c r="I371" s="2" t="s">
        <v>94</v>
      </c>
      <c r="J371" s="6">
        <v>362</v>
      </c>
      <c r="K371" s="6">
        <v>1086</v>
      </c>
      <c r="L371" s="2">
        <v>0</v>
      </c>
      <c r="N371" s="2">
        <v>0</v>
      </c>
      <c r="O371" s="2" t="s">
        <v>96</v>
      </c>
      <c r="P371" s="6">
        <v>759.95</v>
      </c>
      <c r="Q371" s="6"/>
      <c r="R371" s="7"/>
      <c r="S371" s="2">
        <v>19.75</v>
      </c>
      <c r="T371" s="2">
        <v>30</v>
      </c>
      <c r="U371" s="2">
        <v>30</v>
      </c>
      <c r="W371" s="2">
        <v>12.13</v>
      </c>
      <c r="X371" s="2">
        <v>1</v>
      </c>
      <c r="Y371" s="2">
        <v>11.5</v>
      </c>
      <c r="Z371" s="2">
        <v>35.25</v>
      </c>
      <c r="AA371" s="2">
        <v>32</v>
      </c>
      <c r="AB371" s="2">
        <v>7.5069999999999997</v>
      </c>
      <c r="AC371" s="2">
        <v>20.39</v>
      </c>
      <c r="AE371" s="2">
        <v>6</v>
      </c>
      <c r="AF371" s="2" t="s">
        <v>1876</v>
      </c>
      <c r="AG371" s="2">
        <v>11</v>
      </c>
      <c r="AK371" s="2" t="s">
        <v>96</v>
      </c>
      <c r="AL371" s="2">
        <v>6</v>
      </c>
      <c r="AM371" s="2" t="s">
        <v>95</v>
      </c>
      <c r="AN371" s="2" t="s">
        <v>96</v>
      </c>
      <c r="AO371" s="2" t="s">
        <v>95</v>
      </c>
      <c r="AP371" s="2" t="s">
        <v>97</v>
      </c>
      <c r="AQ371" s="2" t="s">
        <v>98</v>
      </c>
      <c r="AV371" s="2" t="s">
        <v>95</v>
      </c>
      <c r="AX371" s="2" t="s">
        <v>116</v>
      </c>
      <c r="AZ371" s="2" t="s">
        <v>483</v>
      </c>
      <c r="BB371" s="2" t="s">
        <v>329</v>
      </c>
      <c r="BC371" s="2" t="s">
        <v>593</v>
      </c>
      <c r="BF371" s="2" t="s">
        <v>1877</v>
      </c>
      <c r="BG371" s="2" t="s">
        <v>95</v>
      </c>
      <c r="BH371" s="2" t="s">
        <v>95</v>
      </c>
      <c r="BI371" s="2" t="s">
        <v>95</v>
      </c>
      <c r="BK371" s="2" t="s">
        <v>100</v>
      </c>
      <c r="BQ371" s="2">
        <v>4.88</v>
      </c>
      <c r="BR371" s="2">
        <v>1</v>
      </c>
      <c r="BS371" s="2">
        <v>4.88</v>
      </c>
      <c r="BT371" s="2">
        <v>4.88</v>
      </c>
      <c r="CA371" s="2" t="s">
        <v>1878</v>
      </c>
      <c r="CB371" s="2" t="s">
        <v>116</v>
      </c>
      <c r="CG371" s="2">
        <v>3000</v>
      </c>
      <c r="CH371" s="2">
        <v>91</v>
      </c>
      <c r="CI371" s="2">
        <v>4631</v>
      </c>
      <c r="CJ371" s="2">
        <v>3299</v>
      </c>
      <c r="CK371" s="2">
        <v>30000</v>
      </c>
      <c r="CL371" s="2" t="s">
        <v>96</v>
      </c>
      <c r="CM371" s="2" t="s">
        <v>96</v>
      </c>
      <c r="CN371" s="2" t="s">
        <v>1224</v>
      </c>
      <c r="CO371" s="3">
        <v>42389</v>
      </c>
      <c r="CP371" s="3">
        <v>43634</v>
      </c>
    </row>
    <row r="372" spans="1:94" x14ac:dyDescent="0.25">
      <c r="A372" s="2" t="s">
        <v>1879</v>
      </c>
      <c r="B372" s="2" t="str">
        <f xml:space="preserve"> "" &amp; 844349020455</f>
        <v>844349020455</v>
      </c>
      <c r="C372" s="2" t="s">
        <v>1880</v>
      </c>
      <c r="D372" s="2" t="s">
        <v>1881</v>
      </c>
      <c r="E372" s="2" t="s">
        <v>613</v>
      </c>
      <c r="F372" s="2" t="s">
        <v>614</v>
      </c>
      <c r="G372" s="2">
        <v>1</v>
      </c>
      <c r="H372" s="2">
        <v>1</v>
      </c>
      <c r="I372" s="2" t="s">
        <v>94</v>
      </c>
      <c r="J372" s="6">
        <v>363</v>
      </c>
      <c r="K372" s="6">
        <v>1089</v>
      </c>
      <c r="L372" s="2">
        <v>0</v>
      </c>
      <c r="N372" s="2">
        <v>0</v>
      </c>
      <c r="O372" s="2" t="s">
        <v>96</v>
      </c>
      <c r="P372" s="6">
        <v>759.95</v>
      </c>
      <c r="Q372" s="6"/>
      <c r="R372" s="7"/>
      <c r="S372" s="2">
        <v>19.75</v>
      </c>
      <c r="T372" s="2">
        <v>40</v>
      </c>
      <c r="U372" s="2">
        <v>19</v>
      </c>
      <c r="V372" s="2">
        <v>19</v>
      </c>
      <c r="W372" s="2">
        <v>12.1</v>
      </c>
      <c r="X372" s="2">
        <v>1</v>
      </c>
      <c r="Y372" s="2">
        <v>11.5</v>
      </c>
      <c r="Z372" s="2">
        <v>44.88</v>
      </c>
      <c r="AA372" s="2">
        <v>24</v>
      </c>
      <c r="AB372" s="2">
        <v>7.1680000000000001</v>
      </c>
      <c r="AC372" s="2">
        <v>20.39</v>
      </c>
      <c r="AE372" s="2">
        <v>6</v>
      </c>
      <c r="AF372" s="2" t="s">
        <v>1876</v>
      </c>
      <c r="AG372" s="2">
        <v>11</v>
      </c>
      <c r="AK372" s="2" t="s">
        <v>96</v>
      </c>
      <c r="AL372" s="2">
        <v>6</v>
      </c>
      <c r="AM372" s="2" t="s">
        <v>95</v>
      </c>
      <c r="AN372" s="2" t="s">
        <v>96</v>
      </c>
      <c r="AO372" s="2" t="s">
        <v>95</v>
      </c>
      <c r="AP372" s="2" t="s">
        <v>97</v>
      </c>
      <c r="AQ372" s="2" t="s">
        <v>98</v>
      </c>
      <c r="AV372" s="2" t="s">
        <v>95</v>
      </c>
      <c r="AX372" s="2" t="s">
        <v>116</v>
      </c>
      <c r="AZ372" s="2" t="s">
        <v>483</v>
      </c>
      <c r="BB372" s="2" t="s">
        <v>329</v>
      </c>
      <c r="BC372" s="2" t="s">
        <v>976</v>
      </c>
      <c r="BF372" s="2" t="s">
        <v>1882</v>
      </c>
      <c r="BG372" s="2" t="s">
        <v>95</v>
      </c>
      <c r="BH372" s="2" t="s">
        <v>95</v>
      </c>
      <c r="BI372" s="2" t="s">
        <v>95</v>
      </c>
      <c r="BK372" s="2" t="s">
        <v>100</v>
      </c>
      <c r="BQ372" s="2">
        <v>4.88</v>
      </c>
      <c r="BR372" s="2">
        <v>1</v>
      </c>
      <c r="BS372" s="2">
        <v>4.88</v>
      </c>
      <c r="BT372" s="2">
        <v>4.88</v>
      </c>
      <c r="CA372" s="2" t="s">
        <v>1883</v>
      </c>
      <c r="CB372" s="2" t="s">
        <v>116</v>
      </c>
      <c r="CG372" s="2">
        <v>3000</v>
      </c>
      <c r="CH372" s="2">
        <v>91</v>
      </c>
      <c r="CI372" s="2">
        <v>4649</v>
      </c>
      <c r="CJ372" s="2">
        <v>3395</v>
      </c>
      <c r="CK372" s="2">
        <v>30000</v>
      </c>
      <c r="CL372" s="2" t="s">
        <v>96</v>
      </c>
      <c r="CM372" s="2" t="s">
        <v>96</v>
      </c>
      <c r="CN372" s="2" t="s">
        <v>1224</v>
      </c>
      <c r="CO372" s="3">
        <v>42389</v>
      </c>
      <c r="CP372" s="3">
        <v>43634</v>
      </c>
    </row>
    <row r="373" spans="1:94" x14ac:dyDescent="0.25">
      <c r="A373" s="2" t="s">
        <v>1884</v>
      </c>
      <c r="B373" s="2" t="str">
        <f xml:space="preserve"> "" &amp; 844349020462</f>
        <v>844349020462</v>
      </c>
      <c r="C373" s="2" t="s">
        <v>1885</v>
      </c>
      <c r="D373" s="2" t="s">
        <v>1870</v>
      </c>
      <c r="E373" s="2" t="s">
        <v>613</v>
      </c>
      <c r="F373" s="2" t="s">
        <v>1126</v>
      </c>
      <c r="G373" s="2">
        <v>1</v>
      </c>
      <c r="H373" s="2">
        <v>1</v>
      </c>
      <c r="I373" s="2" t="s">
        <v>94</v>
      </c>
      <c r="J373" s="6">
        <v>479</v>
      </c>
      <c r="K373" s="6">
        <v>1437</v>
      </c>
      <c r="L373" s="2">
        <v>0</v>
      </c>
      <c r="N373" s="2">
        <v>0</v>
      </c>
      <c r="O373" s="2" t="s">
        <v>96</v>
      </c>
      <c r="P373" s="6">
        <v>999.95</v>
      </c>
      <c r="Q373" s="6"/>
      <c r="R373" s="7"/>
      <c r="S373" s="2">
        <v>22.75</v>
      </c>
      <c r="U373" s="2">
        <v>38</v>
      </c>
      <c r="W373" s="2">
        <v>16.309999999999999</v>
      </c>
      <c r="X373" s="2">
        <v>1</v>
      </c>
      <c r="Y373" s="2">
        <v>11.5</v>
      </c>
      <c r="Z373" s="2">
        <v>39.5</v>
      </c>
      <c r="AA373" s="2">
        <v>39.5</v>
      </c>
      <c r="AB373" s="2">
        <v>10.384</v>
      </c>
      <c r="AC373" s="2">
        <v>28.88</v>
      </c>
      <c r="AE373" s="2">
        <v>8</v>
      </c>
      <c r="AF373" s="2" t="s">
        <v>1876</v>
      </c>
      <c r="AG373" s="2">
        <v>11</v>
      </c>
      <c r="AK373" s="2" t="s">
        <v>96</v>
      </c>
      <c r="AL373" s="2">
        <v>8</v>
      </c>
      <c r="AM373" s="2" t="s">
        <v>95</v>
      </c>
      <c r="AN373" s="2" t="s">
        <v>96</v>
      </c>
      <c r="AO373" s="2" t="s">
        <v>95</v>
      </c>
      <c r="AP373" s="2" t="s">
        <v>97</v>
      </c>
      <c r="AQ373" s="2" t="s">
        <v>98</v>
      </c>
      <c r="AV373" s="2" t="s">
        <v>95</v>
      </c>
      <c r="AX373" s="2" t="s">
        <v>116</v>
      </c>
      <c r="AZ373" s="2" t="s">
        <v>483</v>
      </c>
      <c r="BB373" s="2" t="s">
        <v>329</v>
      </c>
      <c r="BC373" s="2" t="s">
        <v>976</v>
      </c>
      <c r="BF373" s="2" t="s">
        <v>1886</v>
      </c>
      <c r="BG373" s="2" t="s">
        <v>95</v>
      </c>
      <c r="BH373" s="2" t="s">
        <v>95</v>
      </c>
      <c r="BI373" s="2" t="s">
        <v>95</v>
      </c>
      <c r="BK373" s="2" t="s">
        <v>100</v>
      </c>
      <c r="BQ373" s="2">
        <v>4.88</v>
      </c>
      <c r="BR373" s="2">
        <v>1</v>
      </c>
      <c r="BS373" s="2">
        <v>4.88</v>
      </c>
      <c r="BT373" s="2">
        <v>4.88</v>
      </c>
      <c r="CA373" s="2" t="s">
        <v>1887</v>
      </c>
      <c r="CB373" s="2" t="s">
        <v>116</v>
      </c>
      <c r="CG373" s="2">
        <v>3000</v>
      </c>
      <c r="CH373" s="2">
        <v>92</v>
      </c>
      <c r="CI373" s="2">
        <v>6087</v>
      </c>
      <c r="CJ373" s="2">
        <v>4276</v>
      </c>
      <c r="CK373" s="2">
        <v>30000</v>
      </c>
      <c r="CL373" s="2" t="s">
        <v>96</v>
      </c>
      <c r="CM373" s="2" t="s">
        <v>96</v>
      </c>
      <c r="CN373" s="2" t="s">
        <v>1224</v>
      </c>
      <c r="CO373" s="3">
        <v>42389</v>
      </c>
      <c r="CP373" s="3">
        <v>43634</v>
      </c>
    </row>
    <row r="374" spans="1:94" x14ac:dyDescent="0.25">
      <c r="A374" s="2" t="s">
        <v>1888</v>
      </c>
      <c r="B374" s="2" t="str">
        <f xml:space="preserve"> "" &amp; 870540000477</f>
        <v>870540000477</v>
      </c>
      <c r="C374" s="2" t="s">
        <v>1889</v>
      </c>
      <c r="D374" s="2" t="s">
        <v>1890</v>
      </c>
      <c r="F374" s="2" t="s">
        <v>426</v>
      </c>
      <c r="G374" s="2">
        <v>1</v>
      </c>
      <c r="H374" s="2">
        <v>1</v>
      </c>
      <c r="I374" s="2" t="s">
        <v>94</v>
      </c>
      <c r="J374" s="6">
        <v>145</v>
      </c>
      <c r="K374" s="6">
        <v>435</v>
      </c>
      <c r="L374" s="2">
        <v>0</v>
      </c>
      <c r="N374" s="2">
        <v>0</v>
      </c>
      <c r="O374" s="2" t="s">
        <v>96</v>
      </c>
      <c r="P374" s="6">
        <v>304.95</v>
      </c>
      <c r="Q374" s="6"/>
      <c r="R374" s="7"/>
      <c r="S374" s="2">
        <v>62</v>
      </c>
      <c r="T374" s="2">
        <v>19</v>
      </c>
      <c r="U374" s="2">
        <v>12</v>
      </c>
      <c r="W374" s="2">
        <v>11.9</v>
      </c>
      <c r="X374" s="2">
        <v>1</v>
      </c>
      <c r="Y374" s="2">
        <v>15.5</v>
      </c>
      <c r="Z374" s="2">
        <v>32.630000000000003</v>
      </c>
      <c r="AA374" s="2">
        <v>13.25</v>
      </c>
      <c r="AB374" s="2">
        <v>3.8780000000000001</v>
      </c>
      <c r="AC374" s="2">
        <v>17.64</v>
      </c>
      <c r="AE374" s="2">
        <v>2</v>
      </c>
      <c r="AF374" s="2" t="s">
        <v>1430</v>
      </c>
      <c r="AG374" s="2">
        <v>10</v>
      </c>
      <c r="AK374" s="2" t="s">
        <v>96</v>
      </c>
      <c r="AM374" s="2" t="s">
        <v>95</v>
      </c>
      <c r="AN374" s="2" t="s">
        <v>96</v>
      </c>
      <c r="AO374" s="2" t="s">
        <v>95</v>
      </c>
      <c r="AP374" s="2" t="s">
        <v>97</v>
      </c>
      <c r="AQ374" s="2" t="s">
        <v>98</v>
      </c>
      <c r="AV374" s="2" t="s">
        <v>95</v>
      </c>
      <c r="AX374" s="2" t="s">
        <v>116</v>
      </c>
      <c r="AZ374" s="2" t="s">
        <v>342</v>
      </c>
      <c r="BB374" s="2" t="s">
        <v>490</v>
      </c>
      <c r="BC374" s="2" t="s">
        <v>498</v>
      </c>
      <c r="BF374" s="2" t="s">
        <v>1891</v>
      </c>
      <c r="BG374" s="2" t="s">
        <v>95</v>
      </c>
      <c r="BH374" s="2" t="s">
        <v>95</v>
      </c>
      <c r="BI374" s="2" t="s">
        <v>95</v>
      </c>
      <c r="BK374" s="2" t="s">
        <v>100</v>
      </c>
      <c r="BM374" s="2">
        <v>9</v>
      </c>
      <c r="BN374" s="2">
        <v>1.25</v>
      </c>
      <c r="BP374" s="2">
        <v>12</v>
      </c>
      <c r="CA374" s="2" t="s">
        <v>1892</v>
      </c>
      <c r="CB374" s="2" t="s">
        <v>116</v>
      </c>
      <c r="CL374" s="2" t="s">
        <v>95</v>
      </c>
      <c r="CM374" s="2" t="s">
        <v>95</v>
      </c>
      <c r="CN374" s="2" t="s">
        <v>230</v>
      </c>
      <c r="CO374" s="3">
        <v>39744</v>
      </c>
      <c r="CP374" s="3">
        <v>43634</v>
      </c>
    </row>
    <row r="375" spans="1:94" x14ac:dyDescent="0.25">
      <c r="A375" s="2" t="s">
        <v>1893</v>
      </c>
      <c r="B375" s="2" t="str">
        <f xml:space="preserve"> "" &amp; 844349016144</f>
        <v>844349016144</v>
      </c>
      <c r="C375" s="2" t="s">
        <v>467</v>
      </c>
      <c r="D375" s="2" t="s">
        <v>1894</v>
      </c>
      <c r="E375" s="2" t="s">
        <v>1895</v>
      </c>
      <c r="F375" s="2" t="s">
        <v>393</v>
      </c>
      <c r="G375" s="2">
        <v>1</v>
      </c>
      <c r="H375" s="2">
        <v>1</v>
      </c>
      <c r="I375" s="2" t="s">
        <v>94</v>
      </c>
      <c r="J375" s="6">
        <v>285</v>
      </c>
      <c r="K375" s="6">
        <v>855</v>
      </c>
      <c r="L375" s="2">
        <v>0</v>
      </c>
      <c r="N375" s="2">
        <v>0</v>
      </c>
      <c r="O375" s="2" t="s">
        <v>96</v>
      </c>
      <c r="P375" s="6">
        <v>599.95000000000005</v>
      </c>
      <c r="Q375" s="6"/>
      <c r="R375" s="7"/>
      <c r="S375" s="2">
        <v>1.75</v>
      </c>
      <c r="T375" s="2">
        <v>25</v>
      </c>
      <c r="U375" s="2">
        <v>25</v>
      </c>
      <c r="W375" s="2">
        <v>16.09</v>
      </c>
      <c r="X375" s="2">
        <v>1</v>
      </c>
      <c r="Y375" s="2">
        <v>6.75</v>
      </c>
      <c r="Z375" s="2">
        <v>28.75</v>
      </c>
      <c r="AA375" s="2">
        <v>28.75</v>
      </c>
      <c r="AB375" s="2">
        <v>3.2290000000000001</v>
      </c>
      <c r="AC375" s="2">
        <v>21.61</v>
      </c>
      <c r="AE375" s="2">
        <v>1</v>
      </c>
      <c r="AF375" s="2" t="s">
        <v>1038</v>
      </c>
      <c r="AG375" s="2">
        <v>40</v>
      </c>
      <c r="AK375" s="2" t="s">
        <v>96</v>
      </c>
      <c r="AM375" s="2" t="s">
        <v>95</v>
      </c>
      <c r="AN375" s="2" t="s">
        <v>96</v>
      </c>
      <c r="AO375" s="2" t="s">
        <v>95</v>
      </c>
      <c r="AP375" s="2" t="s">
        <v>97</v>
      </c>
      <c r="AQ375" s="2" t="s">
        <v>98</v>
      </c>
      <c r="AV375" s="2" t="s">
        <v>95</v>
      </c>
      <c r="AX375" s="2" t="s">
        <v>395</v>
      </c>
      <c r="AZ375" s="2" t="s">
        <v>342</v>
      </c>
      <c r="BB375" s="2" t="s">
        <v>54</v>
      </c>
      <c r="BC375" s="2" t="s">
        <v>659</v>
      </c>
      <c r="BF375" s="2" t="s">
        <v>1896</v>
      </c>
      <c r="BG375" s="2" t="s">
        <v>95</v>
      </c>
      <c r="BH375" s="2" t="s">
        <v>95</v>
      </c>
      <c r="BI375" s="2" t="s">
        <v>95</v>
      </c>
      <c r="BK375" s="2" t="s">
        <v>100</v>
      </c>
      <c r="BR375" s="2">
        <v>1.75</v>
      </c>
      <c r="BT375" s="2">
        <v>8.25</v>
      </c>
      <c r="CA375" s="2" t="s">
        <v>1897</v>
      </c>
      <c r="CB375" s="2" t="s">
        <v>395</v>
      </c>
      <c r="CG375" s="2">
        <v>3000</v>
      </c>
      <c r="CH375" s="2">
        <v>90</v>
      </c>
      <c r="CI375" s="2">
        <v>2277.7800000000002</v>
      </c>
      <c r="CJ375" s="2">
        <v>1224.0899999999999</v>
      </c>
      <c r="CK375" s="2">
        <v>30000</v>
      </c>
      <c r="CL375" s="2" t="s">
        <v>96</v>
      </c>
      <c r="CM375" s="2" t="s">
        <v>95</v>
      </c>
      <c r="CN375" s="2" t="s">
        <v>1898</v>
      </c>
      <c r="CO375" s="3">
        <v>41702</v>
      </c>
      <c r="CP375" s="3">
        <v>43634</v>
      </c>
    </row>
    <row r="376" spans="1:94" x14ac:dyDescent="0.25">
      <c r="A376" s="2" t="s">
        <v>1899</v>
      </c>
      <c r="B376" s="2" t="str">
        <f xml:space="preserve"> "" &amp; 844349016168</f>
        <v>844349016168</v>
      </c>
      <c r="C376" s="2" t="s">
        <v>625</v>
      </c>
      <c r="D376" s="2" t="s">
        <v>1900</v>
      </c>
      <c r="E376" s="2" t="s">
        <v>1895</v>
      </c>
      <c r="F376" s="2" t="s">
        <v>614</v>
      </c>
      <c r="G376" s="2">
        <v>1</v>
      </c>
      <c r="H376" s="2">
        <v>1</v>
      </c>
      <c r="I376" s="2" t="s">
        <v>94</v>
      </c>
      <c r="J376" s="6">
        <v>210</v>
      </c>
      <c r="K376" s="6">
        <v>630</v>
      </c>
      <c r="L376" s="2">
        <v>0</v>
      </c>
      <c r="N376" s="2">
        <v>0</v>
      </c>
      <c r="O376" s="2" t="s">
        <v>96</v>
      </c>
      <c r="P376" s="6">
        <v>439.95</v>
      </c>
      <c r="Q376" s="6"/>
      <c r="R376" s="7"/>
      <c r="S376" s="2">
        <v>2.5</v>
      </c>
      <c r="U376" s="2">
        <v>46</v>
      </c>
      <c r="V376" s="2">
        <v>3</v>
      </c>
      <c r="W376" s="2">
        <v>13.43</v>
      </c>
      <c r="X376" s="2">
        <v>1</v>
      </c>
      <c r="Y376" s="2">
        <v>5.5</v>
      </c>
      <c r="Z376" s="2">
        <v>49.63</v>
      </c>
      <c r="AA376" s="2">
        <v>15.38</v>
      </c>
      <c r="AB376" s="2">
        <v>2.4300000000000002</v>
      </c>
      <c r="AC376" s="2">
        <v>17.53</v>
      </c>
      <c r="AE376" s="2">
        <v>1</v>
      </c>
      <c r="AF376" s="2" t="s">
        <v>1901</v>
      </c>
      <c r="AG376" s="2">
        <v>40</v>
      </c>
      <c r="AK376" s="2" t="s">
        <v>96</v>
      </c>
      <c r="AM376" s="2" t="s">
        <v>95</v>
      </c>
      <c r="AN376" s="2" t="s">
        <v>96</v>
      </c>
      <c r="AO376" s="2" t="s">
        <v>95</v>
      </c>
      <c r="AP376" s="2" t="s">
        <v>97</v>
      </c>
      <c r="AQ376" s="2" t="s">
        <v>98</v>
      </c>
      <c r="AV376" s="2" t="s">
        <v>95</v>
      </c>
      <c r="AX376" s="2" t="s">
        <v>395</v>
      </c>
      <c r="AZ376" s="2" t="s">
        <v>342</v>
      </c>
      <c r="BB376" s="2" t="s">
        <v>54</v>
      </c>
      <c r="BC376" s="2" t="s">
        <v>1902</v>
      </c>
      <c r="BF376" s="2" t="s">
        <v>1903</v>
      </c>
      <c r="BG376" s="2" t="s">
        <v>95</v>
      </c>
      <c r="BH376" s="2" t="s">
        <v>95</v>
      </c>
      <c r="BI376" s="2" t="s">
        <v>95</v>
      </c>
      <c r="BK376" s="2" t="s">
        <v>100</v>
      </c>
      <c r="BR376" s="2">
        <v>2</v>
      </c>
      <c r="BT376" s="2">
        <v>13.75</v>
      </c>
      <c r="CA376" s="2" t="s">
        <v>1904</v>
      </c>
      <c r="CB376" s="2" t="s">
        <v>395</v>
      </c>
      <c r="CG376" s="2">
        <v>3000</v>
      </c>
      <c r="CH376" s="2">
        <v>90</v>
      </c>
      <c r="CI376" s="2">
        <v>2270.67</v>
      </c>
      <c r="CJ376" s="2">
        <v>1343.63</v>
      </c>
      <c r="CK376" s="2">
        <v>30000</v>
      </c>
      <c r="CL376" s="2" t="s">
        <v>96</v>
      </c>
      <c r="CM376" s="2" t="s">
        <v>95</v>
      </c>
      <c r="CN376" s="2" t="s">
        <v>1905</v>
      </c>
      <c r="CO376" s="3">
        <v>41702</v>
      </c>
      <c r="CP376" s="3">
        <v>43634</v>
      </c>
    </row>
    <row r="377" spans="1:94" x14ac:dyDescent="0.25">
      <c r="A377" s="2" t="s">
        <v>1906</v>
      </c>
      <c r="B377" s="2" t="str">
        <f xml:space="preserve"> "" &amp; 844349009474</f>
        <v>844349009474</v>
      </c>
      <c r="C377" s="2" t="s">
        <v>439</v>
      </c>
      <c r="D377" s="2" t="s">
        <v>3658</v>
      </c>
      <c r="E377" s="2" t="s">
        <v>776</v>
      </c>
      <c r="F377" s="2" t="s">
        <v>393</v>
      </c>
      <c r="G377" s="2">
        <v>1</v>
      </c>
      <c r="H377" s="2">
        <v>1</v>
      </c>
      <c r="I377" s="2" t="s">
        <v>94</v>
      </c>
      <c r="J377" s="6">
        <v>165</v>
      </c>
      <c r="K377" s="6">
        <v>495</v>
      </c>
      <c r="L377" s="2">
        <v>0</v>
      </c>
      <c r="N377" s="2">
        <v>0</v>
      </c>
      <c r="O377" s="2" t="s">
        <v>96</v>
      </c>
      <c r="P377" s="6">
        <v>346.95</v>
      </c>
      <c r="Q377" s="6"/>
      <c r="R377" s="7"/>
      <c r="S377" s="2">
        <v>8.75</v>
      </c>
      <c r="U377" s="2">
        <v>18.25</v>
      </c>
      <c r="W377" s="2">
        <v>8.4</v>
      </c>
      <c r="X377" s="2">
        <v>1</v>
      </c>
      <c r="Y377" s="2">
        <v>11.75</v>
      </c>
      <c r="Z377" s="2">
        <v>20</v>
      </c>
      <c r="AA377" s="2">
        <v>20</v>
      </c>
      <c r="AB377" s="2">
        <v>2.72</v>
      </c>
      <c r="AC377" s="2">
        <v>11.95</v>
      </c>
      <c r="AE377" s="2">
        <v>3</v>
      </c>
      <c r="AF377" s="2" t="s">
        <v>1791</v>
      </c>
      <c r="AG377" s="2">
        <v>100</v>
      </c>
      <c r="AK377" s="2" t="s">
        <v>95</v>
      </c>
      <c r="AM377" s="2" t="s">
        <v>95</v>
      </c>
      <c r="AN377" s="2" t="s">
        <v>96</v>
      </c>
      <c r="AO377" s="2" t="s">
        <v>95</v>
      </c>
      <c r="AP377" s="2" t="s">
        <v>97</v>
      </c>
      <c r="AQ377" s="2" t="s">
        <v>98</v>
      </c>
      <c r="AV377" s="2" t="s">
        <v>95</v>
      </c>
      <c r="AX377" s="2" t="s">
        <v>116</v>
      </c>
      <c r="AZ377" s="2" t="s">
        <v>342</v>
      </c>
      <c r="BB377" s="2" t="s">
        <v>490</v>
      </c>
      <c r="BC377" s="2" t="s">
        <v>379</v>
      </c>
      <c r="BF377" s="2" t="s">
        <v>1907</v>
      </c>
      <c r="BG377" s="2" t="s">
        <v>95</v>
      </c>
      <c r="BH377" s="2" t="s">
        <v>95</v>
      </c>
      <c r="BI377" s="2" t="s">
        <v>95</v>
      </c>
      <c r="BK377" s="2" t="s">
        <v>100</v>
      </c>
      <c r="BR377" s="2">
        <v>1</v>
      </c>
      <c r="BT377" s="2">
        <v>5.5</v>
      </c>
      <c r="CA377" s="2" t="s">
        <v>1908</v>
      </c>
      <c r="CB377" s="2" t="s">
        <v>116</v>
      </c>
      <c r="CL377" s="2" t="s">
        <v>96</v>
      </c>
      <c r="CM377" s="2" t="s">
        <v>95</v>
      </c>
      <c r="CN377" s="2" t="s">
        <v>1909</v>
      </c>
      <c r="CO377" s="3">
        <v>40558</v>
      </c>
      <c r="CP377" s="3">
        <v>43634</v>
      </c>
    </row>
    <row r="378" spans="1:94" x14ac:dyDescent="0.25">
      <c r="A378" s="2" t="s">
        <v>1910</v>
      </c>
      <c r="B378" s="2" t="str">
        <f xml:space="preserve"> "" &amp; 844349009467</f>
        <v>844349009467</v>
      </c>
      <c r="C378" s="2" t="s">
        <v>417</v>
      </c>
      <c r="D378" s="2" t="s">
        <v>3657</v>
      </c>
      <c r="E378" s="2" t="s">
        <v>776</v>
      </c>
      <c r="F378" s="2" t="s">
        <v>418</v>
      </c>
      <c r="G378" s="2">
        <v>1</v>
      </c>
      <c r="H378" s="2">
        <v>1</v>
      </c>
      <c r="I378" s="2" t="s">
        <v>94</v>
      </c>
      <c r="J378" s="6">
        <v>68</v>
      </c>
      <c r="K378" s="6">
        <v>204</v>
      </c>
      <c r="L378" s="2">
        <v>0</v>
      </c>
      <c r="N378" s="2">
        <v>0</v>
      </c>
      <c r="O378" s="2" t="s">
        <v>96</v>
      </c>
      <c r="P378" s="6">
        <v>141.94999999999999</v>
      </c>
      <c r="Q378" s="6"/>
      <c r="R378" s="7"/>
      <c r="S378" s="2">
        <v>10.5</v>
      </c>
      <c r="T378" s="2">
        <v>12.75</v>
      </c>
      <c r="U378" s="2">
        <v>6.5</v>
      </c>
      <c r="V378" s="2">
        <v>3.5</v>
      </c>
      <c r="W378" s="2">
        <v>2.73</v>
      </c>
      <c r="X378" s="2">
        <v>1</v>
      </c>
      <c r="Y378" s="2">
        <v>8</v>
      </c>
      <c r="Z378" s="2">
        <v>12.75</v>
      </c>
      <c r="AA378" s="2">
        <v>9</v>
      </c>
      <c r="AB378" s="2">
        <v>0.53100000000000003</v>
      </c>
      <c r="AC378" s="2">
        <v>3.62</v>
      </c>
      <c r="AE378" s="2">
        <v>1</v>
      </c>
      <c r="AF378" s="2" t="s">
        <v>394</v>
      </c>
      <c r="AG378" s="2">
        <v>60</v>
      </c>
      <c r="AK378" s="2" t="s">
        <v>95</v>
      </c>
      <c r="AM378" s="2" t="s">
        <v>95</v>
      </c>
      <c r="AN378" s="2" t="s">
        <v>96</v>
      </c>
      <c r="AO378" s="2" t="s">
        <v>95</v>
      </c>
      <c r="AP378" s="2" t="s">
        <v>97</v>
      </c>
      <c r="AQ378" s="2" t="s">
        <v>98</v>
      </c>
      <c r="AV378" s="2" t="s">
        <v>95</v>
      </c>
      <c r="AX378" s="2" t="s">
        <v>116</v>
      </c>
      <c r="AZ378" s="2" t="s">
        <v>342</v>
      </c>
      <c r="BB378" s="2" t="s">
        <v>54</v>
      </c>
      <c r="BC378" s="2" t="s">
        <v>865</v>
      </c>
      <c r="BF378" s="2" t="s">
        <v>1911</v>
      </c>
      <c r="BG378" s="2" t="s">
        <v>95</v>
      </c>
      <c r="BH378" s="2" t="s">
        <v>96</v>
      </c>
      <c r="BI378" s="2" t="s">
        <v>95</v>
      </c>
      <c r="BK378" s="2" t="s">
        <v>414</v>
      </c>
      <c r="BL378" s="2" t="s">
        <v>421</v>
      </c>
      <c r="BR378" s="2">
        <v>10</v>
      </c>
      <c r="BT378" s="2">
        <v>6.5</v>
      </c>
      <c r="CA378" s="2" t="s">
        <v>1912</v>
      </c>
      <c r="CB378" s="2" t="s">
        <v>116</v>
      </c>
      <c r="CL378" s="2" t="s">
        <v>96</v>
      </c>
      <c r="CM378" s="2" t="s">
        <v>95</v>
      </c>
      <c r="CN378" s="2" t="s">
        <v>1404</v>
      </c>
      <c r="CO378" s="3">
        <v>40558</v>
      </c>
      <c r="CP378" s="3">
        <v>43634</v>
      </c>
    </row>
    <row r="379" spans="1:94" x14ac:dyDescent="0.25">
      <c r="A379" s="2" t="s">
        <v>1913</v>
      </c>
      <c r="B379" s="2" t="str">
        <f xml:space="preserve"> "" &amp; 844349009481</f>
        <v>844349009481</v>
      </c>
      <c r="C379" s="2" t="s">
        <v>391</v>
      </c>
      <c r="D379" s="2" t="s">
        <v>3656</v>
      </c>
      <c r="E379" s="2" t="s">
        <v>776</v>
      </c>
      <c r="F379" s="2" t="s">
        <v>393</v>
      </c>
      <c r="G379" s="2">
        <v>1</v>
      </c>
      <c r="H379" s="2">
        <v>1</v>
      </c>
      <c r="I379" s="2" t="s">
        <v>94</v>
      </c>
      <c r="J379" s="6">
        <v>62</v>
      </c>
      <c r="K379" s="6">
        <v>186</v>
      </c>
      <c r="L379" s="2">
        <v>0</v>
      </c>
      <c r="N379" s="2">
        <v>0</v>
      </c>
      <c r="O379" s="2" t="s">
        <v>96</v>
      </c>
      <c r="P379" s="6">
        <v>129.94999999999999</v>
      </c>
      <c r="Q379" s="6"/>
      <c r="R379" s="7"/>
      <c r="S379" s="2">
        <v>7.25</v>
      </c>
      <c r="T379" s="2">
        <v>16</v>
      </c>
      <c r="U379" s="2">
        <v>3.5</v>
      </c>
      <c r="W379" s="2">
        <v>2.73</v>
      </c>
      <c r="X379" s="2">
        <v>1</v>
      </c>
      <c r="Y379" s="2">
        <v>8.25</v>
      </c>
      <c r="Z379" s="2">
        <v>16</v>
      </c>
      <c r="AA379" s="2">
        <v>6.25</v>
      </c>
      <c r="AB379" s="2">
        <v>0.47699999999999998</v>
      </c>
      <c r="AC379" s="2">
        <v>3.59</v>
      </c>
      <c r="AE379" s="2">
        <v>1</v>
      </c>
      <c r="AF379" s="2" t="s">
        <v>394</v>
      </c>
      <c r="AG379" s="2">
        <v>100</v>
      </c>
      <c r="AK379" s="2" t="s">
        <v>95</v>
      </c>
      <c r="AM379" s="2" t="s">
        <v>95</v>
      </c>
      <c r="AN379" s="2" t="s">
        <v>96</v>
      </c>
      <c r="AO379" s="2" t="s">
        <v>95</v>
      </c>
      <c r="AP379" s="2" t="s">
        <v>97</v>
      </c>
      <c r="AQ379" s="2" t="s">
        <v>98</v>
      </c>
      <c r="AV379" s="2" t="s">
        <v>95</v>
      </c>
      <c r="AX379" s="2" t="s">
        <v>116</v>
      </c>
      <c r="AZ379" s="2" t="s">
        <v>342</v>
      </c>
      <c r="BB379" s="2" t="s">
        <v>54</v>
      </c>
      <c r="BC379" s="2" t="s">
        <v>865</v>
      </c>
      <c r="BF379" s="2" t="s">
        <v>1914</v>
      </c>
      <c r="BG379" s="2" t="s">
        <v>95</v>
      </c>
      <c r="BH379" s="2" t="s">
        <v>95</v>
      </c>
      <c r="BI379" s="2" t="s">
        <v>95</v>
      </c>
      <c r="BK379" s="2" t="s">
        <v>100</v>
      </c>
      <c r="BQ379" s="2">
        <v>5.5</v>
      </c>
      <c r="BR379" s="2">
        <v>1</v>
      </c>
      <c r="CA379" s="2" t="s">
        <v>1915</v>
      </c>
      <c r="CB379" s="2" t="s">
        <v>116</v>
      </c>
      <c r="CL379" s="2" t="s">
        <v>96</v>
      </c>
      <c r="CM379" s="2" t="s">
        <v>96</v>
      </c>
      <c r="CN379" s="2" t="s">
        <v>1404</v>
      </c>
      <c r="CO379" s="3">
        <v>40558</v>
      </c>
      <c r="CP379" s="3">
        <v>43634</v>
      </c>
    </row>
    <row r="380" spans="1:94" x14ac:dyDescent="0.25">
      <c r="A380" s="2" t="s">
        <v>1916</v>
      </c>
      <c r="B380" s="2" t="str">
        <f xml:space="preserve"> "" &amp; 844349010807</f>
        <v>844349010807</v>
      </c>
      <c r="C380" s="2" t="s">
        <v>1738</v>
      </c>
      <c r="D380" s="2" t="s">
        <v>3660</v>
      </c>
      <c r="E380" s="2" t="s">
        <v>776</v>
      </c>
      <c r="F380" s="2" t="s">
        <v>393</v>
      </c>
      <c r="G380" s="2">
        <v>1</v>
      </c>
      <c r="H380" s="2">
        <v>1</v>
      </c>
      <c r="I380" s="2" t="s">
        <v>94</v>
      </c>
      <c r="J380" s="6">
        <v>225</v>
      </c>
      <c r="K380" s="6">
        <v>675</v>
      </c>
      <c r="L380" s="2">
        <v>0</v>
      </c>
      <c r="N380" s="2">
        <v>0</v>
      </c>
      <c r="O380" s="2" t="s">
        <v>96</v>
      </c>
      <c r="P380" s="6">
        <v>473.95</v>
      </c>
      <c r="Q380" s="6"/>
      <c r="R380" s="7"/>
      <c r="S380" s="2">
        <v>8</v>
      </c>
      <c r="T380" s="2">
        <v>24</v>
      </c>
      <c r="U380" s="2">
        <v>24</v>
      </c>
      <c r="W380" s="2">
        <v>12.92</v>
      </c>
      <c r="X380" s="2">
        <v>1</v>
      </c>
      <c r="Y380" s="2">
        <v>12.75</v>
      </c>
      <c r="Z380" s="2">
        <v>26.75</v>
      </c>
      <c r="AA380" s="2">
        <v>26.75</v>
      </c>
      <c r="AB380" s="2">
        <v>5.28</v>
      </c>
      <c r="AC380" s="2">
        <v>18.52</v>
      </c>
      <c r="AE380" s="2">
        <v>4</v>
      </c>
      <c r="AF380" s="2" t="s">
        <v>440</v>
      </c>
      <c r="AG380" s="2">
        <v>100</v>
      </c>
      <c r="AK380" s="2" t="s">
        <v>95</v>
      </c>
      <c r="AM380" s="2" t="s">
        <v>95</v>
      </c>
      <c r="AN380" s="2" t="s">
        <v>96</v>
      </c>
      <c r="AO380" s="2" t="s">
        <v>95</v>
      </c>
      <c r="AP380" s="2" t="s">
        <v>97</v>
      </c>
      <c r="AQ380" s="2" t="s">
        <v>98</v>
      </c>
      <c r="AV380" s="2" t="s">
        <v>95</v>
      </c>
      <c r="AX380" s="2" t="s">
        <v>116</v>
      </c>
      <c r="AZ380" s="2" t="s">
        <v>342</v>
      </c>
      <c r="BB380" s="2" t="s">
        <v>1447</v>
      </c>
      <c r="BC380" s="2" t="s">
        <v>498</v>
      </c>
      <c r="BF380" s="2" t="s">
        <v>1917</v>
      </c>
      <c r="BG380" s="2" t="s">
        <v>95</v>
      </c>
      <c r="BH380" s="2" t="s">
        <v>95</v>
      </c>
      <c r="BI380" s="2" t="s">
        <v>95</v>
      </c>
      <c r="BK380" s="2" t="s">
        <v>100</v>
      </c>
      <c r="BQ380" s="2">
        <v>5.5</v>
      </c>
      <c r="BR380" s="2">
        <v>1</v>
      </c>
      <c r="BS380" s="2">
        <v>5.5</v>
      </c>
      <c r="BT380" s="2">
        <v>5.5</v>
      </c>
      <c r="CA380" s="2" t="s">
        <v>1918</v>
      </c>
      <c r="CB380" s="2" t="s">
        <v>116</v>
      </c>
      <c r="CL380" s="2" t="s">
        <v>96</v>
      </c>
      <c r="CM380" s="2" t="s">
        <v>96</v>
      </c>
      <c r="CN380" s="2" t="s">
        <v>1919</v>
      </c>
      <c r="CO380" s="3">
        <v>40905</v>
      </c>
      <c r="CP380" s="3">
        <v>43634</v>
      </c>
    </row>
    <row r="381" spans="1:94" x14ac:dyDescent="0.25">
      <c r="A381" s="2" t="s">
        <v>1920</v>
      </c>
      <c r="B381" s="2" t="str">
        <f xml:space="preserve"> "" &amp; 844349023517</f>
        <v>844349023517</v>
      </c>
      <c r="C381" s="2" t="s">
        <v>406</v>
      </c>
      <c r="D381" s="2" t="s">
        <v>3660</v>
      </c>
      <c r="E381" s="2" t="s">
        <v>776</v>
      </c>
      <c r="F381" s="2" t="s">
        <v>393</v>
      </c>
      <c r="G381" s="2">
        <v>1</v>
      </c>
      <c r="H381" s="2">
        <v>1</v>
      </c>
      <c r="I381" s="2" t="s">
        <v>94</v>
      </c>
      <c r="J381" s="6">
        <v>225</v>
      </c>
      <c r="K381" s="6">
        <v>675</v>
      </c>
      <c r="L381" s="2">
        <v>0</v>
      </c>
      <c r="N381" s="2">
        <v>0</v>
      </c>
      <c r="O381" s="2" t="s">
        <v>96</v>
      </c>
      <c r="P381" s="6">
        <v>473.95</v>
      </c>
      <c r="Q381" s="6"/>
      <c r="R381" s="7"/>
      <c r="S381" s="2">
        <v>8</v>
      </c>
      <c r="T381" s="2">
        <v>24</v>
      </c>
      <c r="U381" s="2">
        <v>24</v>
      </c>
      <c r="W381" s="2">
        <v>12.92</v>
      </c>
      <c r="X381" s="2">
        <v>1</v>
      </c>
      <c r="Y381" s="2">
        <v>12.75</v>
      </c>
      <c r="Z381" s="2">
        <v>26.75</v>
      </c>
      <c r="AA381" s="2">
        <v>26.75</v>
      </c>
      <c r="AB381" s="2">
        <v>5.28</v>
      </c>
      <c r="AC381" s="2">
        <v>20.149999999999999</v>
      </c>
      <c r="AE381" s="2">
        <v>4</v>
      </c>
      <c r="AF381" s="2" t="s">
        <v>519</v>
      </c>
      <c r="AG381" s="2">
        <v>100</v>
      </c>
      <c r="AK381" s="2" t="s">
        <v>95</v>
      </c>
      <c r="AM381" s="2" t="s">
        <v>95</v>
      </c>
      <c r="AN381" s="2" t="s">
        <v>96</v>
      </c>
      <c r="AO381" s="2" t="s">
        <v>95</v>
      </c>
      <c r="AP381" s="2" t="s">
        <v>97</v>
      </c>
      <c r="AQ381" s="2" t="s">
        <v>98</v>
      </c>
      <c r="AV381" s="2" t="s">
        <v>95</v>
      </c>
      <c r="AX381" s="2" t="s">
        <v>1688</v>
      </c>
      <c r="AZ381" s="2" t="s">
        <v>449</v>
      </c>
      <c r="BB381" s="2" t="s">
        <v>490</v>
      </c>
      <c r="BC381" s="2" t="s">
        <v>379</v>
      </c>
      <c r="BF381" s="2" t="s">
        <v>1921</v>
      </c>
      <c r="BG381" s="2" t="s">
        <v>95</v>
      </c>
      <c r="BH381" s="2" t="s">
        <v>95</v>
      </c>
      <c r="BI381" s="2" t="s">
        <v>95</v>
      </c>
      <c r="BK381" s="2" t="s">
        <v>100</v>
      </c>
      <c r="BR381" s="2">
        <v>1</v>
      </c>
      <c r="BS381" s="2">
        <v>5.5</v>
      </c>
      <c r="BT381" s="2">
        <v>5.5</v>
      </c>
      <c r="CA381" s="2" t="s">
        <v>1918</v>
      </c>
      <c r="CB381" s="2" t="s">
        <v>1688</v>
      </c>
      <c r="CL381" s="2" t="s">
        <v>96</v>
      </c>
      <c r="CM381" s="2" t="s">
        <v>96</v>
      </c>
      <c r="CN381" s="2" t="s">
        <v>494</v>
      </c>
      <c r="CO381" s="3">
        <v>42951</v>
      </c>
      <c r="CP381" s="3">
        <v>43634</v>
      </c>
    </row>
    <row r="382" spans="1:94" x14ac:dyDescent="0.25">
      <c r="A382" s="2" t="s">
        <v>1922</v>
      </c>
      <c r="B382" s="2" t="str">
        <f xml:space="preserve"> "" &amp; 844349010814</f>
        <v>844349010814</v>
      </c>
      <c r="C382" s="2" t="s">
        <v>411</v>
      </c>
      <c r="D382" s="2" t="s">
        <v>3659</v>
      </c>
      <c r="E382" s="2" t="s">
        <v>776</v>
      </c>
      <c r="F382" s="2" t="s">
        <v>102</v>
      </c>
      <c r="G382" s="2">
        <v>1</v>
      </c>
      <c r="H382" s="2">
        <v>1</v>
      </c>
      <c r="I382" s="2" t="s">
        <v>94</v>
      </c>
      <c r="J382" s="6">
        <v>139</v>
      </c>
      <c r="K382" s="6">
        <v>417</v>
      </c>
      <c r="L382" s="2">
        <v>0</v>
      </c>
      <c r="N382" s="2">
        <v>0</v>
      </c>
      <c r="O382" s="2" t="s">
        <v>96</v>
      </c>
      <c r="P382" s="6">
        <v>291.95</v>
      </c>
      <c r="Q382" s="6"/>
      <c r="R382" s="7"/>
      <c r="S382" s="2">
        <v>10</v>
      </c>
      <c r="U382" s="2">
        <v>15</v>
      </c>
      <c r="W382" s="2">
        <v>8.25</v>
      </c>
      <c r="X382" s="2">
        <v>1</v>
      </c>
      <c r="Y382" s="2">
        <v>8</v>
      </c>
      <c r="Z382" s="2">
        <v>17.5</v>
      </c>
      <c r="AA382" s="2">
        <v>17.5</v>
      </c>
      <c r="AB382" s="2">
        <v>1.4179999999999999</v>
      </c>
      <c r="AC382" s="2">
        <v>11.55</v>
      </c>
      <c r="AE382" s="2">
        <v>3</v>
      </c>
      <c r="AF382" s="2" t="s">
        <v>1740</v>
      </c>
      <c r="AG382" s="2">
        <v>100</v>
      </c>
      <c r="AK382" s="2" t="s">
        <v>95</v>
      </c>
      <c r="AM382" s="2" t="s">
        <v>95</v>
      </c>
      <c r="AN382" s="2" t="s">
        <v>96</v>
      </c>
      <c r="AO382" s="2" t="s">
        <v>95</v>
      </c>
      <c r="AP382" s="2" t="s">
        <v>97</v>
      </c>
      <c r="AQ382" s="2" t="s">
        <v>98</v>
      </c>
      <c r="AV382" s="2" t="s">
        <v>95</v>
      </c>
      <c r="AX382" s="2" t="s">
        <v>116</v>
      </c>
      <c r="AZ382" s="2" t="s">
        <v>342</v>
      </c>
      <c r="BB382" s="2" t="s">
        <v>54</v>
      </c>
      <c r="BC382" s="2" t="s">
        <v>865</v>
      </c>
      <c r="BF382" s="2" t="s">
        <v>1923</v>
      </c>
      <c r="BG382" s="2" t="s">
        <v>95</v>
      </c>
      <c r="BH382" s="2" t="s">
        <v>95</v>
      </c>
      <c r="BI382" s="2" t="s">
        <v>95</v>
      </c>
      <c r="BK382" s="2" t="s">
        <v>414</v>
      </c>
      <c r="BQ382" s="2">
        <v>5.5</v>
      </c>
      <c r="BR382" s="2">
        <v>1</v>
      </c>
      <c r="CA382" s="2" t="s">
        <v>1924</v>
      </c>
      <c r="CB382" s="2" t="s">
        <v>116</v>
      </c>
      <c r="CL382" s="2" t="s">
        <v>96</v>
      </c>
      <c r="CM382" s="2" t="s">
        <v>95</v>
      </c>
      <c r="CN382" s="2" t="s">
        <v>460</v>
      </c>
      <c r="CO382" s="3">
        <v>40905</v>
      </c>
      <c r="CP382" s="3">
        <v>43634</v>
      </c>
    </row>
    <row r="383" spans="1:94" x14ac:dyDescent="0.25">
      <c r="A383" s="2" t="s">
        <v>1925</v>
      </c>
      <c r="B383" s="2" t="str">
        <f xml:space="preserve"> "" &amp; 844349028444</f>
        <v>844349028444</v>
      </c>
      <c r="C383" s="2" t="s">
        <v>1374</v>
      </c>
      <c r="D383" s="2" t="s">
        <v>1926</v>
      </c>
      <c r="E383" s="2" t="s">
        <v>1927</v>
      </c>
      <c r="F383" s="2" t="s">
        <v>340</v>
      </c>
      <c r="G383" s="2">
        <v>1</v>
      </c>
      <c r="H383" s="2">
        <v>1</v>
      </c>
      <c r="I383" s="2" t="s">
        <v>94</v>
      </c>
      <c r="J383" s="6">
        <v>75</v>
      </c>
      <c r="K383" s="6">
        <v>225</v>
      </c>
      <c r="L383" s="2">
        <v>0</v>
      </c>
      <c r="N383" s="2">
        <v>0</v>
      </c>
      <c r="O383" s="2" t="s">
        <v>96</v>
      </c>
      <c r="P383" s="6">
        <v>159.94999999999999</v>
      </c>
      <c r="Q383" s="6"/>
      <c r="R383" s="7"/>
      <c r="S383" s="2">
        <v>9.5</v>
      </c>
      <c r="T383" s="2">
        <v>4</v>
      </c>
      <c r="U383" s="2">
        <v>4</v>
      </c>
      <c r="W383" s="2">
        <v>2.25</v>
      </c>
      <c r="X383" s="2">
        <v>1</v>
      </c>
      <c r="Y383" s="2">
        <v>14.25</v>
      </c>
      <c r="Z383" s="2">
        <v>6.75</v>
      </c>
      <c r="AA383" s="2">
        <v>6.75</v>
      </c>
      <c r="AB383" s="2">
        <v>0.376</v>
      </c>
      <c r="AC383" s="2">
        <v>3.13</v>
      </c>
      <c r="AE383" s="2">
        <v>1</v>
      </c>
      <c r="AF383" s="2" t="s">
        <v>347</v>
      </c>
      <c r="AG383" s="2">
        <v>7</v>
      </c>
      <c r="AK383" s="2" t="s">
        <v>96</v>
      </c>
      <c r="AM383" s="2" t="s">
        <v>95</v>
      </c>
      <c r="AN383" s="2" t="s">
        <v>96</v>
      </c>
      <c r="AO383" s="2" t="s">
        <v>95</v>
      </c>
      <c r="AP383" s="2" t="s">
        <v>97</v>
      </c>
      <c r="AQ383" s="2" t="s">
        <v>98</v>
      </c>
      <c r="AV383" s="2" t="s">
        <v>95</v>
      </c>
      <c r="AX383" s="2" t="s">
        <v>395</v>
      </c>
      <c r="AZ383" s="2" t="s">
        <v>483</v>
      </c>
      <c r="BC383" s="2" t="s">
        <v>451</v>
      </c>
      <c r="BF383" s="2" t="s">
        <v>1928</v>
      </c>
      <c r="BG383" s="2" t="s">
        <v>95</v>
      </c>
      <c r="BH383" s="2" t="s">
        <v>95</v>
      </c>
      <c r="BI383" s="2" t="s">
        <v>95</v>
      </c>
      <c r="BK383" s="2" t="s">
        <v>414</v>
      </c>
      <c r="BQ383" s="2">
        <v>5.25</v>
      </c>
      <c r="BR383" s="2">
        <v>1.75</v>
      </c>
      <c r="BS383" s="2">
        <v>5.25</v>
      </c>
      <c r="BT383" s="2">
        <v>5.25</v>
      </c>
      <c r="CA383" s="2" t="s">
        <v>1929</v>
      </c>
      <c r="CB383" s="2" t="s">
        <v>395</v>
      </c>
      <c r="CG383" s="2">
        <v>3000</v>
      </c>
      <c r="CH383" s="2">
        <v>92</v>
      </c>
      <c r="CI383" s="2">
        <v>379</v>
      </c>
      <c r="CJ383" s="2">
        <v>334</v>
      </c>
      <c r="CK383" s="2">
        <v>25000</v>
      </c>
      <c r="CL383" s="2" t="s">
        <v>96</v>
      </c>
      <c r="CM383" s="2" t="s">
        <v>96</v>
      </c>
      <c r="CN383" s="2" t="s">
        <v>1930</v>
      </c>
      <c r="CO383" s="3">
        <v>43537</v>
      </c>
      <c r="CP383" s="3">
        <v>43634</v>
      </c>
    </row>
    <row r="384" spans="1:94" x14ac:dyDescent="0.25">
      <c r="A384" s="2" t="s">
        <v>1931</v>
      </c>
      <c r="B384" s="2" t="str">
        <f xml:space="preserve"> "" &amp; 844349025092</f>
        <v>844349025092</v>
      </c>
      <c r="C384" s="2" t="s">
        <v>535</v>
      </c>
      <c r="D384" s="2" t="s">
        <v>1932</v>
      </c>
      <c r="E384" s="2" t="s">
        <v>1933</v>
      </c>
      <c r="F384" s="2" t="s">
        <v>340</v>
      </c>
      <c r="G384" s="2">
        <v>1</v>
      </c>
      <c r="H384" s="2">
        <v>1</v>
      </c>
      <c r="I384" s="2" t="s">
        <v>94</v>
      </c>
      <c r="J384" s="6">
        <v>395</v>
      </c>
      <c r="K384" s="6">
        <v>1185</v>
      </c>
      <c r="L384" s="2">
        <v>0</v>
      </c>
      <c r="N384" s="2">
        <v>0</v>
      </c>
      <c r="O384" s="2" t="s">
        <v>96</v>
      </c>
      <c r="P384" s="6">
        <v>829.99</v>
      </c>
      <c r="Q384" s="6"/>
      <c r="R384" s="7"/>
      <c r="S384" s="2">
        <v>2.75</v>
      </c>
      <c r="T384" s="2">
        <v>22.5</v>
      </c>
      <c r="U384" s="2">
        <v>22.5</v>
      </c>
      <c r="W384" s="2">
        <v>17.989999999999998</v>
      </c>
      <c r="X384" s="2">
        <v>1</v>
      </c>
      <c r="Y384" s="2">
        <v>5.7</v>
      </c>
      <c r="Z384" s="2">
        <v>25</v>
      </c>
      <c r="AA384" s="2">
        <v>25</v>
      </c>
      <c r="AB384" s="2">
        <v>2.0619999999999998</v>
      </c>
      <c r="AC384" s="2">
        <v>22.58</v>
      </c>
      <c r="AE384" s="2">
        <v>1</v>
      </c>
      <c r="AF384" s="2" t="s">
        <v>347</v>
      </c>
      <c r="AG384" s="2">
        <v>47</v>
      </c>
      <c r="AK384" s="2" t="s">
        <v>96</v>
      </c>
      <c r="AM384" s="2" t="s">
        <v>95</v>
      </c>
      <c r="AN384" s="2" t="s">
        <v>96</v>
      </c>
      <c r="AO384" s="2" t="s">
        <v>95</v>
      </c>
      <c r="AP384" s="2" t="s">
        <v>97</v>
      </c>
      <c r="AQ384" s="2" t="s">
        <v>98</v>
      </c>
      <c r="AV384" s="2" t="s">
        <v>95</v>
      </c>
      <c r="AX384" s="2" t="s">
        <v>634</v>
      </c>
      <c r="AZ384" s="2" t="s">
        <v>177</v>
      </c>
      <c r="BF384" s="2" t="s">
        <v>1934</v>
      </c>
      <c r="BG384" s="2" t="s">
        <v>95</v>
      </c>
      <c r="BH384" s="2" t="s">
        <v>95</v>
      </c>
      <c r="BI384" s="2" t="s">
        <v>95</v>
      </c>
      <c r="BK384" s="2" t="s">
        <v>100</v>
      </c>
      <c r="BM384" s="2">
        <v>22.5</v>
      </c>
      <c r="BN384" s="2">
        <v>2.75</v>
      </c>
      <c r="CA384" s="2" t="s">
        <v>1935</v>
      </c>
      <c r="CB384" s="2" t="s">
        <v>634</v>
      </c>
      <c r="CG384" s="2">
        <v>3000</v>
      </c>
      <c r="CH384" s="2">
        <v>92</v>
      </c>
      <c r="CI384" s="2">
        <v>2472</v>
      </c>
      <c r="CJ384" s="2">
        <v>2700</v>
      </c>
      <c r="CK384" s="2">
        <v>50000</v>
      </c>
      <c r="CL384" s="2" t="s">
        <v>96</v>
      </c>
      <c r="CM384" s="2" t="s">
        <v>95</v>
      </c>
      <c r="CN384" s="2" t="s">
        <v>630</v>
      </c>
      <c r="CO384" s="3">
        <v>43090</v>
      </c>
      <c r="CP384" s="3">
        <v>43634</v>
      </c>
    </row>
    <row r="385" spans="1:94" x14ac:dyDescent="0.25">
      <c r="A385" s="2" t="s">
        <v>1936</v>
      </c>
      <c r="B385" s="2" t="str">
        <f xml:space="preserve"> "" &amp; 844349025108</f>
        <v>844349025108</v>
      </c>
      <c r="C385" s="2" t="s">
        <v>535</v>
      </c>
      <c r="D385" s="2" t="s">
        <v>1937</v>
      </c>
      <c r="E385" s="2" t="s">
        <v>1933</v>
      </c>
      <c r="F385" s="2" t="s">
        <v>340</v>
      </c>
      <c r="G385" s="2">
        <v>1</v>
      </c>
      <c r="H385" s="2">
        <v>1</v>
      </c>
      <c r="I385" s="2" t="s">
        <v>94</v>
      </c>
      <c r="J385" s="6">
        <v>539</v>
      </c>
      <c r="K385" s="6">
        <v>1617</v>
      </c>
      <c r="L385" s="2">
        <v>0</v>
      </c>
      <c r="N385" s="2">
        <v>0</v>
      </c>
      <c r="O385" s="2" t="s">
        <v>96</v>
      </c>
      <c r="P385" s="6">
        <v>1134.95</v>
      </c>
      <c r="Q385" s="6"/>
      <c r="R385" s="7"/>
      <c r="S385" s="2">
        <v>2.75</v>
      </c>
      <c r="T385" s="2">
        <v>28.5</v>
      </c>
      <c r="U385" s="2">
        <v>28.5</v>
      </c>
      <c r="W385" s="2">
        <v>25.51</v>
      </c>
      <c r="X385" s="2">
        <v>1</v>
      </c>
      <c r="Y385" s="2">
        <v>5.75</v>
      </c>
      <c r="Z385" s="2">
        <v>30.75</v>
      </c>
      <c r="AA385" s="2">
        <v>30.75</v>
      </c>
      <c r="AB385" s="2">
        <v>3.1459999999999999</v>
      </c>
      <c r="AC385" s="2">
        <v>32.58</v>
      </c>
      <c r="AE385" s="2">
        <v>1</v>
      </c>
      <c r="AF385" s="2" t="s">
        <v>347</v>
      </c>
      <c r="AG385" s="2">
        <v>71</v>
      </c>
      <c r="AK385" s="2" t="s">
        <v>96</v>
      </c>
      <c r="AM385" s="2" t="s">
        <v>95</v>
      </c>
      <c r="AN385" s="2" t="s">
        <v>96</v>
      </c>
      <c r="AO385" s="2" t="s">
        <v>95</v>
      </c>
      <c r="AP385" s="2" t="s">
        <v>97</v>
      </c>
      <c r="AQ385" s="2" t="s">
        <v>98</v>
      </c>
      <c r="AV385" s="2" t="s">
        <v>95</v>
      </c>
      <c r="AX385" s="2" t="s">
        <v>634</v>
      </c>
      <c r="AZ385" s="2" t="s">
        <v>177</v>
      </c>
      <c r="BF385" s="2" t="s">
        <v>1938</v>
      </c>
      <c r="BG385" s="2" t="s">
        <v>95</v>
      </c>
      <c r="BH385" s="2" t="s">
        <v>95</v>
      </c>
      <c r="BI385" s="2" t="s">
        <v>95</v>
      </c>
      <c r="BK385" s="2" t="s">
        <v>100</v>
      </c>
      <c r="BM385" s="2">
        <v>28.38</v>
      </c>
      <c r="BN385" s="2">
        <v>2.75</v>
      </c>
      <c r="CA385" s="2" t="s">
        <v>1939</v>
      </c>
      <c r="CB385" s="2" t="s">
        <v>634</v>
      </c>
      <c r="CG385" s="2">
        <v>3000</v>
      </c>
      <c r="CH385" s="2">
        <v>90</v>
      </c>
      <c r="CI385" s="2">
        <v>3248.6</v>
      </c>
      <c r="CJ385" s="2">
        <v>2707</v>
      </c>
      <c r="CK385" s="2">
        <v>50000</v>
      </c>
      <c r="CL385" s="2" t="s">
        <v>96</v>
      </c>
      <c r="CM385" s="2" t="s">
        <v>95</v>
      </c>
      <c r="CN385" s="2" t="s">
        <v>630</v>
      </c>
      <c r="CO385" s="3">
        <v>43090</v>
      </c>
      <c r="CP385" s="3">
        <v>43634</v>
      </c>
    </row>
    <row r="386" spans="1:94" x14ac:dyDescent="0.25">
      <c r="A386" s="2" t="s">
        <v>1940</v>
      </c>
      <c r="B386" s="2" t="str">
        <f xml:space="preserve"> "" &amp; 844349025115</f>
        <v>844349025115</v>
      </c>
      <c r="C386" s="2" t="s">
        <v>535</v>
      </c>
      <c r="D386" s="2" t="s">
        <v>1941</v>
      </c>
      <c r="E386" s="2" t="s">
        <v>1933</v>
      </c>
      <c r="F386" s="2" t="s">
        <v>340</v>
      </c>
      <c r="G386" s="2">
        <v>1</v>
      </c>
      <c r="H386" s="2">
        <v>1</v>
      </c>
      <c r="I386" s="2" t="s">
        <v>94</v>
      </c>
      <c r="J386" s="6">
        <v>675</v>
      </c>
      <c r="K386" s="6">
        <v>2025</v>
      </c>
      <c r="L386" s="2">
        <v>0</v>
      </c>
      <c r="N386" s="2">
        <v>0</v>
      </c>
      <c r="O386" s="2" t="s">
        <v>96</v>
      </c>
      <c r="P386" s="6">
        <v>1419.95</v>
      </c>
      <c r="Q386" s="6"/>
      <c r="R386" s="7"/>
      <c r="S386" s="2">
        <v>2.75</v>
      </c>
      <c r="T386" s="2">
        <v>32.25</v>
      </c>
      <c r="U386" s="2">
        <v>32.25</v>
      </c>
      <c r="W386" s="2">
        <v>31.83</v>
      </c>
      <c r="X386" s="2">
        <v>1</v>
      </c>
      <c r="Y386" s="2">
        <v>5.75</v>
      </c>
      <c r="Z386" s="2">
        <v>34.75</v>
      </c>
      <c r="AA386" s="2">
        <v>34.75</v>
      </c>
      <c r="AB386" s="2">
        <v>4.0179999999999998</v>
      </c>
      <c r="AC386" s="2">
        <v>40.76</v>
      </c>
      <c r="AE386" s="2">
        <v>1</v>
      </c>
      <c r="AF386" s="2" t="s">
        <v>347</v>
      </c>
      <c r="AG386" s="2">
        <v>78</v>
      </c>
      <c r="AK386" s="2" t="s">
        <v>96</v>
      </c>
      <c r="AM386" s="2" t="s">
        <v>95</v>
      </c>
      <c r="AN386" s="2" t="s">
        <v>96</v>
      </c>
      <c r="AO386" s="2" t="s">
        <v>95</v>
      </c>
      <c r="AP386" s="2" t="s">
        <v>97</v>
      </c>
      <c r="AQ386" s="2" t="s">
        <v>98</v>
      </c>
      <c r="AV386" s="2" t="s">
        <v>95</v>
      </c>
      <c r="AX386" s="2" t="s">
        <v>634</v>
      </c>
      <c r="AZ386" s="2" t="s">
        <v>177</v>
      </c>
      <c r="BF386" s="2" t="s">
        <v>1942</v>
      </c>
      <c r="BG386" s="2" t="s">
        <v>95</v>
      </c>
      <c r="BH386" s="2" t="s">
        <v>95</v>
      </c>
      <c r="BI386" s="2" t="s">
        <v>95</v>
      </c>
      <c r="BK386" s="2" t="s">
        <v>100</v>
      </c>
      <c r="BM386" s="2">
        <v>32.25</v>
      </c>
      <c r="BN386" s="2">
        <v>2.75</v>
      </c>
      <c r="CA386" s="2" t="s">
        <v>1943</v>
      </c>
      <c r="CB386" s="2" t="s">
        <v>634</v>
      </c>
      <c r="CG386" s="2">
        <v>3000</v>
      </c>
      <c r="CH386" s="2">
        <v>90</v>
      </c>
      <c r="CI386" s="2">
        <v>3429.6</v>
      </c>
      <c r="CJ386" s="2">
        <v>3259</v>
      </c>
      <c r="CK386" s="2">
        <v>50000</v>
      </c>
      <c r="CL386" s="2" t="s">
        <v>96</v>
      </c>
      <c r="CM386" s="2" t="s">
        <v>95</v>
      </c>
      <c r="CN386" s="2" t="s">
        <v>630</v>
      </c>
      <c r="CO386" s="3">
        <v>43090</v>
      </c>
      <c r="CP386" s="3">
        <v>43634</v>
      </c>
    </row>
    <row r="387" spans="1:94" x14ac:dyDescent="0.25">
      <c r="A387" s="2" t="s">
        <v>1944</v>
      </c>
      <c r="B387" s="2" t="str">
        <f xml:space="preserve"> "" &amp; 844349028390</f>
        <v>844349028390</v>
      </c>
      <c r="C387" s="2" t="s">
        <v>535</v>
      </c>
      <c r="D387" s="2" t="s">
        <v>1945</v>
      </c>
      <c r="E387" s="2" t="s">
        <v>1946</v>
      </c>
      <c r="F387" s="2" t="s">
        <v>340</v>
      </c>
      <c r="G387" s="2">
        <v>1</v>
      </c>
      <c r="H387" s="2">
        <v>1</v>
      </c>
      <c r="I387" s="2" t="s">
        <v>94</v>
      </c>
      <c r="J387" s="6">
        <v>85</v>
      </c>
      <c r="K387" s="6">
        <v>255</v>
      </c>
      <c r="L387" s="2">
        <v>0</v>
      </c>
      <c r="N387" s="2">
        <v>0</v>
      </c>
      <c r="O387" s="2" t="s">
        <v>96</v>
      </c>
      <c r="P387" s="6">
        <v>181.95</v>
      </c>
      <c r="Q387" s="6"/>
      <c r="R387" s="7"/>
      <c r="S387" s="2">
        <v>3</v>
      </c>
      <c r="T387" s="2">
        <v>14</v>
      </c>
      <c r="U387" s="2">
        <v>14</v>
      </c>
      <c r="W387" s="2">
        <v>3.92</v>
      </c>
      <c r="X387" s="2">
        <v>1</v>
      </c>
      <c r="Y387" s="2">
        <v>4.75</v>
      </c>
      <c r="Z387" s="2">
        <v>16</v>
      </c>
      <c r="AA387" s="2">
        <v>16</v>
      </c>
      <c r="AB387" s="2">
        <v>0.70399999999999996</v>
      </c>
      <c r="AC387" s="2">
        <v>5.34</v>
      </c>
      <c r="AE387" s="2">
        <v>1</v>
      </c>
      <c r="AF387" s="2" t="s">
        <v>1947</v>
      </c>
      <c r="AG387" s="2">
        <v>42</v>
      </c>
      <c r="AK387" s="2" t="s">
        <v>96</v>
      </c>
      <c r="AM387" s="2" t="s">
        <v>95</v>
      </c>
      <c r="AN387" s="2" t="s">
        <v>96</v>
      </c>
      <c r="AO387" s="2" t="s">
        <v>95</v>
      </c>
      <c r="AP387" s="2" t="s">
        <v>97</v>
      </c>
      <c r="AQ387" s="2" t="s">
        <v>98</v>
      </c>
      <c r="AV387" s="2" t="s">
        <v>95</v>
      </c>
      <c r="AX387" s="2" t="s">
        <v>379</v>
      </c>
      <c r="AZ387" s="2" t="s">
        <v>483</v>
      </c>
      <c r="BB387" s="2" t="s">
        <v>1948</v>
      </c>
      <c r="BC387" s="2" t="s">
        <v>1949</v>
      </c>
      <c r="BF387" s="2" t="s">
        <v>1950</v>
      </c>
      <c r="BG387" s="2" t="s">
        <v>95</v>
      </c>
      <c r="BH387" s="2" t="s">
        <v>95</v>
      </c>
      <c r="BI387" s="2" t="s">
        <v>95</v>
      </c>
      <c r="BK387" s="2" t="s">
        <v>414</v>
      </c>
      <c r="BR387" s="2">
        <v>2.25</v>
      </c>
      <c r="BT387" s="2">
        <v>9</v>
      </c>
      <c r="CA387" s="2" t="s">
        <v>1951</v>
      </c>
      <c r="CB387" s="2" t="s">
        <v>379</v>
      </c>
      <c r="CG387" s="2">
        <v>3000</v>
      </c>
      <c r="CH387" s="2">
        <v>93</v>
      </c>
      <c r="CI387" s="2">
        <v>2930</v>
      </c>
      <c r="CJ387" s="2">
        <v>1632</v>
      </c>
      <c r="CK387" s="2">
        <v>30000</v>
      </c>
      <c r="CL387" s="2" t="s">
        <v>96</v>
      </c>
      <c r="CM387" s="2" t="s">
        <v>95</v>
      </c>
      <c r="CN387" s="2" t="s">
        <v>1293</v>
      </c>
      <c r="CO387" s="3">
        <v>43537</v>
      </c>
      <c r="CP387" s="3">
        <v>43634</v>
      </c>
    </row>
    <row r="388" spans="1:94" x14ac:dyDescent="0.25">
      <c r="A388" s="2" t="s">
        <v>1952</v>
      </c>
      <c r="B388" s="2" t="str">
        <f xml:space="preserve"> "" &amp; 844349028406</f>
        <v>844349028406</v>
      </c>
      <c r="C388" s="2" t="s">
        <v>535</v>
      </c>
      <c r="D388" s="2" t="s">
        <v>1953</v>
      </c>
      <c r="E388" s="2" t="s">
        <v>1954</v>
      </c>
      <c r="F388" s="2" t="s">
        <v>340</v>
      </c>
      <c r="G388" s="2">
        <v>1</v>
      </c>
      <c r="H388" s="2">
        <v>1</v>
      </c>
      <c r="I388" s="2" t="s">
        <v>94</v>
      </c>
      <c r="J388" s="6">
        <v>115</v>
      </c>
      <c r="K388" s="6">
        <v>345</v>
      </c>
      <c r="L388" s="2">
        <v>0</v>
      </c>
      <c r="N388" s="2">
        <v>0</v>
      </c>
      <c r="O388" s="2" t="s">
        <v>96</v>
      </c>
      <c r="P388" s="6">
        <v>241.95</v>
      </c>
      <c r="Q388" s="6"/>
      <c r="R388" s="7"/>
      <c r="S388" s="2">
        <v>4</v>
      </c>
      <c r="T388" s="2">
        <v>14</v>
      </c>
      <c r="U388" s="2">
        <v>14</v>
      </c>
      <c r="W388" s="2">
        <v>4.1900000000000004</v>
      </c>
      <c r="X388" s="2">
        <v>1</v>
      </c>
      <c r="Y388" s="2">
        <v>7.5</v>
      </c>
      <c r="Z388" s="2">
        <v>16</v>
      </c>
      <c r="AA388" s="2">
        <v>16</v>
      </c>
      <c r="AB388" s="2">
        <v>1.111</v>
      </c>
      <c r="AC388" s="2">
        <v>5.73</v>
      </c>
      <c r="AE388" s="2">
        <v>1</v>
      </c>
      <c r="AF388" s="2" t="s">
        <v>763</v>
      </c>
      <c r="AG388" s="2">
        <v>24</v>
      </c>
      <c r="AK388" s="2" t="s">
        <v>96</v>
      </c>
      <c r="AM388" s="2" t="s">
        <v>95</v>
      </c>
      <c r="AN388" s="2" t="s">
        <v>96</v>
      </c>
      <c r="AO388" s="2" t="s">
        <v>95</v>
      </c>
      <c r="AP388" s="2" t="s">
        <v>97</v>
      </c>
      <c r="AQ388" s="2" t="s">
        <v>98</v>
      </c>
      <c r="AV388" s="2" t="s">
        <v>95</v>
      </c>
      <c r="AX388" s="2" t="s">
        <v>529</v>
      </c>
      <c r="AZ388" s="2" t="s">
        <v>483</v>
      </c>
      <c r="BC388" s="2" t="s">
        <v>976</v>
      </c>
      <c r="BF388" s="2" t="s">
        <v>1955</v>
      </c>
      <c r="BG388" s="2" t="s">
        <v>95</v>
      </c>
      <c r="BH388" s="2" t="s">
        <v>95</v>
      </c>
      <c r="BI388" s="2" t="s">
        <v>95</v>
      </c>
      <c r="BK388" s="2" t="s">
        <v>414</v>
      </c>
      <c r="BR388" s="2">
        <v>1.5</v>
      </c>
      <c r="BT388" s="2">
        <v>10.5</v>
      </c>
      <c r="CA388" s="2" t="s">
        <v>1956</v>
      </c>
      <c r="CB388" s="2" t="s">
        <v>529</v>
      </c>
      <c r="CG388" s="2">
        <v>3000</v>
      </c>
      <c r="CH388" s="2">
        <v>92</v>
      </c>
      <c r="CI388" s="2">
        <v>2127</v>
      </c>
      <c r="CJ388" s="2">
        <v>1217.5</v>
      </c>
      <c r="CK388" s="2">
        <v>30000</v>
      </c>
      <c r="CL388" s="2" t="s">
        <v>96</v>
      </c>
      <c r="CM388" s="2" t="s">
        <v>95</v>
      </c>
      <c r="CN388" s="2" t="s">
        <v>460</v>
      </c>
      <c r="CO388" s="3">
        <v>43537</v>
      </c>
      <c r="CP388" s="3">
        <v>43634</v>
      </c>
    </row>
    <row r="389" spans="1:94" x14ac:dyDescent="0.25">
      <c r="A389" s="2" t="s">
        <v>1965</v>
      </c>
      <c r="B389" s="2" t="str">
        <f xml:space="preserve"> "" &amp; 870540000781</f>
        <v>870540000781</v>
      </c>
      <c r="C389" s="2" t="s">
        <v>1966</v>
      </c>
      <c r="D389" s="2" t="s">
        <v>3701</v>
      </c>
      <c r="E389" s="2" t="s">
        <v>3069</v>
      </c>
      <c r="F389" s="2" t="s">
        <v>418</v>
      </c>
      <c r="G389" s="2">
        <v>1</v>
      </c>
      <c r="H389" s="2">
        <v>1</v>
      </c>
      <c r="I389" s="2" t="s">
        <v>94</v>
      </c>
      <c r="J389" s="6">
        <v>63</v>
      </c>
      <c r="K389" s="6">
        <v>189</v>
      </c>
      <c r="L389" s="2">
        <v>0</v>
      </c>
      <c r="N389" s="2">
        <v>0</v>
      </c>
      <c r="O389" s="2" t="s">
        <v>96</v>
      </c>
      <c r="P389" s="6">
        <v>131.94999999999999</v>
      </c>
      <c r="Q389" s="6"/>
      <c r="R389" s="7"/>
      <c r="S389" s="2">
        <v>26</v>
      </c>
      <c r="T389" s="2">
        <v>6.375</v>
      </c>
      <c r="U389" s="2">
        <v>4.5</v>
      </c>
      <c r="V389" s="2">
        <v>7</v>
      </c>
      <c r="W389" s="2">
        <v>3.17</v>
      </c>
      <c r="X389" s="2">
        <v>1</v>
      </c>
      <c r="Y389" s="2">
        <v>25</v>
      </c>
      <c r="Z389" s="2">
        <v>6.375</v>
      </c>
      <c r="AA389" s="2">
        <v>4.875</v>
      </c>
      <c r="AB389" s="2">
        <v>0.45</v>
      </c>
      <c r="AC389" s="2">
        <v>4.1900000000000004</v>
      </c>
      <c r="AE389" s="2">
        <v>1</v>
      </c>
      <c r="AF389" s="2" t="s">
        <v>1967</v>
      </c>
      <c r="AG389" s="2">
        <v>6</v>
      </c>
      <c r="AH389" s="2">
        <v>0</v>
      </c>
      <c r="AJ389" s="2">
        <v>0</v>
      </c>
      <c r="AK389" s="2" t="s">
        <v>96</v>
      </c>
      <c r="AL389" s="2">
        <v>1</v>
      </c>
      <c r="AM389" s="2" t="s">
        <v>95</v>
      </c>
      <c r="AN389" s="2" t="s">
        <v>95</v>
      </c>
      <c r="AO389" s="2" t="s">
        <v>96</v>
      </c>
      <c r="AP389" s="2" t="s">
        <v>97</v>
      </c>
      <c r="AQ389" s="2" t="s">
        <v>98</v>
      </c>
      <c r="AV389" s="2" t="s">
        <v>95</v>
      </c>
      <c r="AX389" s="2" t="s">
        <v>116</v>
      </c>
      <c r="AZ389" s="2" t="s">
        <v>342</v>
      </c>
      <c r="BB389" s="2" t="s">
        <v>329</v>
      </c>
      <c r="BC389" s="2" t="s">
        <v>1968</v>
      </c>
      <c r="BF389" s="2" t="s">
        <v>1969</v>
      </c>
      <c r="BG389" s="2" t="s">
        <v>95</v>
      </c>
      <c r="BH389" s="2" t="s">
        <v>95</v>
      </c>
      <c r="BI389" s="2" t="s">
        <v>95</v>
      </c>
      <c r="BK389" s="2" t="s">
        <v>100</v>
      </c>
      <c r="BL389" s="2" t="s">
        <v>617</v>
      </c>
      <c r="BR389" s="2">
        <v>4.38</v>
      </c>
      <c r="BT389" s="2">
        <v>4.38</v>
      </c>
      <c r="CA389" s="2" t="s">
        <v>1970</v>
      </c>
      <c r="CB389" s="2" t="s">
        <v>116</v>
      </c>
      <c r="CG389" s="2">
        <v>3000</v>
      </c>
      <c r="CK389" s="2">
        <v>25000</v>
      </c>
      <c r="CL389" s="2" t="s">
        <v>96</v>
      </c>
      <c r="CM389" s="2" t="s">
        <v>95</v>
      </c>
      <c r="CN389" s="2" t="s">
        <v>230</v>
      </c>
      <c r="CO389" s="3">
        <v>37605</v>
      </c>
      <c r="CP389" s="3">
        <v>43634</v>
      </c>
    </row>
    <row r="390" spans="1:94" x14ac:dyDescent="0.25">
      <c r="A390" s="2" t="s">
        <v>1957</v>
      </c>
      <c r="B390" s="2" t="str">
        <f xml:space="preserve"> "" &amp; 844349028338</f>
        <v>844349028338</v>
      </c>
      <c r="C390" s="2" t="s">
        <v>1958</v>
      </c>
      <c r="D390" s="2" t="s">
        <v>1959</v>
      </c>
      <c r="E390" s="2" t="s">
        <v>1960</v>
      </c>
      <c r="F390" s="2" t="s">
        <v>340</v>
      </c>
      <c r="G390" s="2">
        <v>1</v>
      </c>
      <c r="H390" s="2">
        <v>1</v>
      </c>
      <c r="I390" s="2" t="s">
        <v>94</v>
      </c>
      <c r="J390" s="6">
        <v>75</v>
      </c>
      <c r="K390" s="6">
        <v>225</v>
      </c>
      <c r="L390" s="2">
        <v>0</v>
      </c>
      <c r="N390" s="2">
        <v>0</v>
      </c>
      <c r="O390" s="2" t="s">
        <v>96</v>
      </c>
      <c r="P390" s="6">
        <v>159.94999999999999</v>
      </c>
      <c r="Q390" s="6"/>
      <c r="R390" s="7"/>
      <c r="S390" s="2">
        <v>16</v>
      </c>
      <c r="T390" s="2">
        <v>6.5</v>
      </c>
      <c r="U390" s="2">
        <v>6.5</v>
      </c>
      <c r="W390" s="2">
        <v>2.4300000000000002</v>
      </c>
      <c r="X390" s="2">
        <v>1</v>
      </c>
      <c r="Y390" s="2">
        <v>9.6300000000000008</v>
      </c>
      <c r="Z390" s="2">
        <v>19.25</v>
      </c>
      <c r="AA390" s="2">
        <v>11.75</v>
      </c>
      <c r="AB390" s="2">
        <v>1.2609999999999999</v>
      </c>
      <c r="AC390" s="2">
        <v>4.41</v>
      </c>
      <c r="AE390" s="2">
        <v>1</v>
      </c>
      <c r="AF390" s="2" t="s">
        <v>1961</v>
      </c>
      <c r="AG390" s="2">
        <v>6</v>
      </c>
      <c r="AK390" s="2" t="s">
        <v>96</v>
      </c>
      <c r="AM390" s="2" t="s">
        <v>95</v>
      </c>
      <c r="AN390" s="2" t="s">
        <v>96</v>
      </c>
      <c r="AO390" s="2" t="s">
        <v>95</v>
      </c>
      <c r="AP390" s="2" t="s">
        <v>97</v>
      </c>
      <c r="AQ390" s="2" t="s">
        <v>98</v>
      </c>
      <c r="AV390" s="2" t="s">
        <v>95</v>
      </c>
      <c r="AX390" s="2" t="s">
        <v>395</v>
      </c>
      <c r="AZ390" s="2" t="s">
        <v>483</v>
      </c>
      <c r="BC390" s="2" t="s">
        <v>451</v>
      </c>
      <c r="BF390" s="2" t="s">
        <v>1962</v>
      </c>
      <c r="BG390" s="2" t="s">
        <v>95</v>
      </c>
      <c r="BH390" s="2" t="s">
        <v>95</v>
      </c>
      <c r="BI390" s="2" t="s">
        <v>95</v>
      </c>
      <c r="BK390" s="2" t="s">
        <v>414</v>
      </c>
      <c r="BQ390" s="2">
        <v>5.5</v>
      </c>
      <c r="BR390" s="2">
        <v>2</v>
      </c>
      <c r="BS390" s="2">
        <v>5.5</v>
      </c>
      <c r="BT390" s="2">
        <v>5.5</v>
      </c>
      <c r="CA390" s="2" t="s">
        <v>1963</v>
      </c>
      <c r="CB390" s="2" t="s">
        <v>395</v>
      </c>
      <c r="CG390" s="2">
        <v>3000</v>
      </c>
      <c r="CH390" s="2">
        <v>91</v>
      </c>
      <c r="CI390" s="2">
        <v>585</v>
      </c>
      <c r="CJ390" s="2">
        <v>525</v>
      </c>
      <c r="CK390" s="2">
        <v>30000</v>
      </c>
      <c r="CL390" s="2" t="s">
        <v>96</v>
      </c>
      <c r="CM390" s="2" t="s">
        <v>95</v>
      </c>
      <c r="CN390" s="2" t="s">
        <v>1964</v>
      </c>
      <c r="CO390" s="3">
        <v>43537</v>
      </c>
      <c r="CP390" s="3">
        <v>43634</v>
      </c>
    </row>
    <row r="391" spans="1:94" x14ac:dyDescent="0.25">
      <c r="A391" s="2" t="s">
        <v>1971</v>
      </c>
      <c r="B391" s="2" t="str">
        <f xml:space="preserve"> "" &amp; 844349028369</f>
        <v>844349028369</v>
      </c>
      <c r="C391" s="2" t="s">
        <v>1812</v>
      </c>
      <c r="D391" s="2" t="s">
        <v>1972</v>
      </c>
      <c r="E391" s="2" t="s">
        <v>1973</v>
      </c>
      <c r="F391" s="2" t="s">
        <v>393</v>
      </c>
      <c r="G391" s="2">
        <v>1</v>
      </c>
      <c r="H391" s="2">
        <v>1</v>
      </c>
      <c r="I391" s="2" t="s">
        <v>94</v>
      </c>
      <c r="J391" s="6">
        <v>75</v>
      </c>
      <c r="K391" s="6">
        <v>225</v>
      </c>
      <c r="L391" s="2">
        <v>0</v>
      </c>
      <c r="N391" s="2">
        <v>0</v>
      </c>
      <c r="O391" s="2" t="s">
        <v>96</v>
      </c>
      <c r="P391" s="6">
        <v>159.94999999999999</v>
      </c>
      <c r="Q391" s="6"/>
      <c r="R391" s="7"/>
      <c r="S391" s="2">
        <v>14</v>
      </c>
      <c r="T391" s="2">
        <v>7</v>
      </c>
      <c r="U391" s="2">
        <v>7</v>
      </c>
      <c r="W391" s="2">
        <v>3.88</v>
      </c>
      <c r="X391" s="2">
        <v>1</v>
      </c>
      <c r="Y391" s="2">
        <v>9.25</v>
      </c>
      <c r="Z391" s="2">
        <v>16.5</v>
      </c>
      <c r="AA391" s="2">
        <v>15.25</v>
      </c>
      <c r="AB391" s="2">
        <v>1.347</v>
      </c>
      <c r="AC391" s="2">
        <v>5.67</v>
      </c>
      <c r="AE391" s="2">
        <v>1</v>
      </c>
      <c r="AF391" s="2" t="s">
        <v>1618</v>
      </c>
      <c r="AG391" s="2">
        <v>60</v>
      </c>
      <c r="AK391" s="2" t="s">
        <v>95</v>
      </c>
      <c r="AM391" s="2" t="s">
        <v>95</v>
      </c>
      <c r="AN391" s="2" t="s">
        <v>96</v>
      </c>
      <c r="AO391" s="2" t="s">
        <v>95</v>
      </c>
      <c r="AP391" s="2" t="s">
        <v>97</v>
      </c>
      <c r="AQ391" s="2" t="s">
        <v>98</v>
      </c>
      <c r="AV391" s="2" t="s">
        <v>95</v>
      </c>
      <c r="AX391" s="2" t="s">
        <v>116</v>
      </c>
      <c r="BC391" s="2" t="s">
        <v>1974</v>
      </c>
      <c r="BF391" s="2" t="s">
        <v>1975</v>
      </c>
      <c r="BG391" s="2" t="s">
        <v>95</v>
      </c>
      <c r="BH391" s="2" t="s">
        <v>95</v>
      </c>
      <c r="BI391" s="2" t="s">
        <v>95</v>
      </c>
      <c r="BK391" s="2" t="s">
        <v>414</v>
      </c>
      <c r="BR391" s="2">
        <v>0.75</v>
      </c>
      <c r="BT391" s="2">
        <v>5</v>
      </c>
      <c r="CA391" s="2" t="s">
        <v>1976</v>
      </c>
      <c r="CB391" s="2" t="s">
        <v>116</v>
      </c>
      <c r="CL391" s="2" t="s">
        <v>96</v>
      </c>
      <c r="CM391" s="2" t="s">
        <v>96</v>
      </c>
      <c r="CN391" s="2" t="s">
        <v>1404</v>
      </c>
      <c r="CO391" s="3">
        <v>43537</v>
      </c>
      <c r="CP391" s="3">
        <v>43634</v>
      </c>
    </row>
    <row r="392" spans="1:94" x14ac:dyDescent="0.25">
      <c r="A392" s="2" t="s">
        <v>1977</v>
      </c>
      <c r="B392" s="2" t="str">
        <f xml:space="preserve"> "" &amp; 870540003690</f>
        <v>870540003690</v>
      </c>
      <c r="C392" s="2" t="s">
        <v>1978</v>
      </c>
      <c r="D392" s="2" t="s">
        <v>3681</v>
      </c>
      <c r="E392" s="2" t="s">
        <v>425</v>
      </c>
      <c r="F392" s="2" t="s">
        <v>418</v>
      </c>
      <c r="G392" s="2">
        <v>1</v>
      </c>
      <c r="H392" s="2">
        <v>1</v>
      </c>
      <c r="I392" s="2" t="s">
        <v>94</v>
      </c>
      <c r="J392" s="6">
        <v>69</v>
      </c>
      <c r="K392" s="6">
        <v>207</v>
      </c>
      <c r="L392" s="2">
        <v>0</v>
      </c>
      <c r="N392" s="2">
        <v>0</v>
      </c>
      <c r="O392" s="2" t="s">
        <v>96</v>
      </c>
      <c r="P392" s="6">
        <v>144.94999999999999</v>
      </c>
      <c r="Q392" s="6"/>
      <c r="R392" s="7"/>
      <c r="S392" s="2">
        <v>23.5</v>
      </c>
      <c r="T392" s="2">
        <v>5</v>
      </c>
      <c r="U392" s="2">
        <v>5</v>
      </c>
      <c r="V392" s="2">
        <v>21.5</v>
      </c>
      <c r="W392" s="2">
        <v>2.76</v>
      </c>
      <c r="X392" s="2">
        <v>1</v>
      </c>
      <c r="Y392" s="2">
        <v>15</v>
      </c>
      <c r="Z392" s="2">
        <v>8.25</v>
      </c>
      <c r="AA392" s="2">
        <v>6.13</v>
      </c>
      <c r="AB392" s="2">
        <v>0.439</v>
      </c>
      <c r="AC392" s="2">
        <v>3.53</v>
      </c>
      <c r="AE392" s="2">
        <v>1</v>
      </c>
      <c r="AF392" s="2" t="s">
        <v>1979</v>
      </c>
      <c r="AG392" s="2">
        <v>7</v>
      </c>
      <c r="AK392" s="2" t="s">
        <v>96</v>
      </c>
      <c r="AL392" s="2">
        <v>1</v>
      </c>
      <c r="AM392" s="2" t="s">
        <v>95</v>
      </c>
      <c r="AN392" s="2" t="s">
        <v>96</v>
      </c>
      <c r="AO392" s="2" t="s">
        <v>95</v>
      </c>
      <c r="AP392" s="2" t="s">
        <v>97</v>
      </c>
      <c r="AQ392" s="2" t="s">
        <v>98</v>
      </c>
      <c r="AV392" s="2" t="s">
        <v>95</v>
      </c>
      <c r="AX392" s="2" t="s">
        <v>116</v>
      </c>
      <c r="AZ392" s="2" t="s">
        <v>342</v>
      </c>
      <c r="BB392" s="2" t="s">
        <v>230</v>
      </c>
      <c r="BC392" s="2" t="s">
        <v>116</v>
      </c>
      <c r="BF392" s="2" t="s">
        <v>1980</v>
      </c>
      <c r="BG392" s="2" t="s">
        <v>95</v>
      </c>
      <c r="BH392" s="2" t="s">
        <v>95</v>
      </c>
      <c r="BI392" s="2" t="s">
        <v>95</v>
      </c>
      <c r="BK392" s="2" t="s">
        <v>100</v>
      </c>
      <c r="BL392" s="2" t="s">
        <v>617</v>
      </c>
      <c r="BM392" s="2">
        <v>5</v>
      </c>
      <c r="BN392" s="2">
        <v>1.25</v>
      </c>
      <c r="CA392" s="2" t="s">
        <v>1981</v>
      </c>
      <c r="CB392" s="2" t="s">
        <v>116</v>
      </c>
      <c r="CL392" s="2" t="s">
        <v>95</v>
      </c>
      <c r="CM392" s="2" t="s">
        <v>95</v>
      </c>
      <c r="CN392" s="2" t="s">
        <v>230</v>
      </c>
      <c r="CO392" s="3">
        <v>37510</v>
      </c>
      <c r="CP392" s="3">
        <v>43634</v>
      </c>
    </row>
    <row r="393" spans="1:94" x14ac:dyDescent="0.25">
      <c r="A393" s="2" t="s">
        <v>1982</v>
      </c>
      <c r="B393" s="2" t="str">
        <f xml:space="preserve"> "" &amp; 870540003706</f>
        <v>870540003706</v>
      </c>
      <c r="C393" s="2" t="s">
        <v>1983</v>
      </c>
      <c r="D393" s="2" t="s">
        <v>3673</v>
      </c>
      <c r="E393" s="2" t="s">
        <v>425</v>
      </c>
      <c r="F393" s="2" t="s">
        <v>426</v>
      </c>
      <c r="G393" s="2">
        <v>1</v>
      </c>
      <c r="H393" s="2">
        <v>1</v>
      </c>
      <c r="I393" s="2" t="s">
        <v>94</v>
      </c>
      <c r="J393" s="6">
        <v>79</v>
      </c>
      <c r="K393" s="6">
        <v>237</v>
      </c>
      <c r="L393" s="2">
        <v>0</v>
      </c>
      <c r="N393" s="2">
        <v>0</v>
      </c>
      <c r="O393" s="2" t="s">
        <v>96</v>
      </c>
      <c r="P393" s="6">
        <v>165.95</v>
      </c>
      <c r="Q393" s="6"/>
      <c r="R393" s="7"/>
      <c r="S393" s="2">
        <v>58</v>
      </c>
      <c r="T393" s="2">
        <v>12.75</v>
      </c>
      <c r="U393" s="2">
        <v>10</v>
      </c>
      <c r="V393" s="2">
        <v>16</v>
      </c>
      <c r="W393" s="2">
        <v>8.6</v>
      </c>
      <c r="X393" s="2">
        <v>1</v>
      </c>
      <c r="Y393" s="2">
        <v>20.5</v>
      </c>
      <c r="Z393" s="2">
        <v>12.75</v>
      </c>
      <c r="AA393" s="2">
        <v>6</v>
      </c>
      <c r="AB393" s="2">
        <v>0.90800000000000003</v>
      </c>
      <c r="AC393" s="2">
        <v>17.2</v>
      </c>
      <c r="AE393" s="2">
        <v>1</v>
      </c>
      <c r="AF393" s="2" t="s">
        <v>1979</v>
      </c>
      <c r="AG393" s="2">
        <v>7</v>
      </c>
      <c r="AK393" s="2" t="s">
        <v>96</v>
      </c>
      <c r="AM393" s="2" t="s">
        <v>95</v>
      </c>
      <c r="AN393" s="2" t="s">
        <v>96</v>
      </c>
      <c r="AO393" s="2" t="s">
        <v>95</v>
      </c>
      <c r="AP393" s="2" t="s">
        <v>97</v>
      </c>
      <c r="AQ393" s="2" t="s">
        <v>98</v>
      </c>
      <c r="AV393" s="2" t="s">
        <v>95</v>
      </c>
      <c r="AX393" s="2" t="s">
        <v>116</v>
      </c>
      <c r="AZ393" s="2" t="s">
        <v>342</v>
      </c>
      <c r="BB393" s="2" t="s">
        <v>329</v>
      </c>
      <c r="BC393" s="2" t="s">
        <v>1984</v>
      </c>
      <c r="BF393" s="2" t="s">
        <v>1985</v>
      </c>
      <c r="BG393" s="2" t="s">
        <v>95</v>
      </c>
      <c r="BH393" s="2" t="s">
        <v>95</v>
      </c>
      <c r="BI393" s="2" t="s">
        <v>95</v>
      </c>
      <c r="BK393" s="2" t="s">
        <v>100</v>
      </c>
      <c r="CA393" s="2" t="s">
        <v>1986</v>
      </c>
      <c r="CB393" s="2" t="s">
        <v>116</v>
      </c>
      <c r="CL393" s="2" t="s">
        <v>95</v>
      </c>
      <c r="CM393" s="2" t="s">
        <v>95</v>
      </c>
      <c r="CN393" s="2" t="s">
        <v>212</v>
      </c>
      <c r="CO393" s="3">
        <v>37510</v>
      </c>
      <c r="CP393" s="3">
        <v>43634</v>
      </c>
    </row>
    <row r="394" spans="1:94" x14ac:dyDescent="0.25">
      <c r="A394" s="2" t="s">
        <v>1987</v>
      </c>
      <c r="B394" s="2" t="str">
        <f xml:space="preserve"> "" &amp; 870540003713</f>
        <v>870540003713</v>
      </c>
      <c r="C394" s="2" t="s">
        <v>1988</v>
      </c>
      <c r="D394" s="2" t="s">
        <v>3683</v>
      </c>
      <c r="E394" s="2" t="s">
        <v>425</v>
      </c>
      <c r="F394" s="2" t="s">
        <v>1989</v>
      </c>
      <c r="G394" s="2">
        <v>1</v>
      </c>
      <c r="H394" s="2">
        <v>1</v>
      </c>
      <c r="I394" s="2" t="s">
        <v>94</v>
      </c>
      <c r="J394" s="6">
        <v>129</v>
      </c>
      <c r="K394" s="6">
        <v>387</v>
      </c>
      <c r="L394" s="2">
        <v>0</v>
      </c>
      <c r="N394" s="2">
        <v>0</v>
      </c>
      <c r="O394" s="2" t="s">
        <v>96</v>
      </c>
      <c r="P394" s="6">
        <v>270.95</v>
      </c>
      <c r="Q394" s="6"/>
      <c r="R394" s="7"/>
      <c r="S394" s="2">
        <v>72.5</v>
      </c>
      <c r="T394" s="2">
        <v>13.5</v>
      </c>
      <c r="U394" s="2">
        <v>12</v>
      </c>
      <c r="W394" s="2">
        <v>20.41</v>
      </c>
      <c r="X394" s="2">
        <v>1</v>
      </c>
      <c r="Y394" s="2">
        <v>39.5</v>
      </c>
      <c r="Z394" s="2">
        <v>16</v>
      </c>
      <c r="AA394" s="2">
        <v>6.5</v>
      </c>
      <c r="AB394" s="2">
        <v>2.3769999999999998</v>
      </c>
      <c r="AC394" s="2">
        <v>25.02</v>
      </c>
      <c r="AE394" s="2">
        <v>1</v>
      </c>
      <c r="AF394" s="2" t="s">
        <v>1430</v>
      </c>
      <c r="AG394" s="2">
        <v>10</v>
      </c>
      <c r="AH394" s="2">
        <v>1</v>
      </c>
      <c r="AI394" s="2" t="s">
        <v>1979</v>
      </c>
      <c r="AJ394" s="2">
        <v>7</v>
      </c>
      <c r="AK394" s="2" t="s">
        <v>96</v>
      </c>
      <c r="AM394" s="2" t="s">
        <v>95</v>
      </c>
      <c r="AN394" s="2" t="s">
        <v>96</v>
      </c>
      <c r="AO394" s="2" t="s">
        <v>95</v>
      </c>
      <c r="AP394" s="2" t="s">
        <v>97</v>
      </c>
      <c r="AQ394" s="2" t="s">
        <v>98</v>
      </c>
      <c r="AV394" s="2" t="s">
        <v>95</v>
      </c>
      <c r="AX394" s="2" t="s">
        <v>116</v>
      </c>
      <c r="AZ394" s="2" t="s">
        <v>342</v>
      </c>
      <c r="BB394" s="2" t="s">
        <v>329</v>
      </c>
      <c r="BC394" s="2" t="s">
        <v>1990</v>
      </c>
      <c r="BF394" s="2" t="s">
        <v>1991</v>
      </c>
      <c r="BG394" s="2" t="s">
        <v>95</v>
      </c>
      <c r="BH394" s="2" t="s">
        <v>95</v>
      </c>
      <c r="BI394" s="2" t="s">
        <v>95</v>
      </c>
      <c r="BK394" s="2" t="s">
        <v>100</v>
      </c>
      <c r="BN394" s="2">
        <v>2.25</v>
      </c>
      <c r="BP394" s="2">
        <v>12</v>
      </c>
      <c r="CA394" s="2" t="s">
        <v>1992</v>
      </c>
      <c r="CB394" s="2" t="s">
        <v>116</v>
      </c>
      <c r="CL394" s="2" t="s">
        <v>95</v>
      </c>
      <c r="CM394" s="2" t="s">
        <v>95</v>
      </c>
      <c r="CN394" s="2" t="s">
        <v>230</v>
      </c>
      <c r="CO394" s="3">
        <v>37510</v>
      </c>
      <c r="CP394" s="3">
        <v>43634</v>
      </c>
    </row>
    <row r="395" spans="1:94" x14ac:dyDescent="0.25">
      <c r="A395" s="2" t="s">
        <v>1993</v>
      </c>
      <c r="B395" s="2" t="str">
        <f xml:space="preserve"> "" &amp; 844349017622</f>
        <v>844349017622</v>
      </c>
      <c r="C395" s="2" t="s">
        <v>1994</v>
      </c>
      <c r="D395" s="2" t="s">
        <v>3713</v>
      </c>
      <c r="E395" s="2" t="s">
        <v>3714</v>
      </c>
      <c r="F395" s="2" t="s">
        <v>418</v>
      </c>
      <c r="G395" s="2">
        <v>1</v>
      </c>
      <c r="H395" s="2">
        <v>1</v>
      </c>
      <c r="I395" s="2" t="s">
        <v>94</v>
      </c>
      <c r="J395" s="6">
        <v>112</v>
      </c>
      <c r="K395" s="6">
        <v>336</v>
      </c>
      <c r="L395" s="2">
        <v>0</v>
      </c>
      <c r="N395" s="2">
        <v>0</v>
      </c>
      <c r="O395" s="2" t="s">
        <v>96</v>
      </c>
      <c r="P395" s="6">
        <v>234.94</v>
      </c>
      <c r="Q395" s="6"/>
      <c r="R395" s="7"/>
      <c r="S395" s="2">
        <v>6</v>
      </c>
      <c r="U395" s="2">
        <v>35.5</v>
      </c>
      <c r="V395" s="2">
        <v>3</v>
      </c>
      <c r="W395" s="2">
        <v>3.48</v>
      </c>
      <c r="X395" s="2">
        <v>1</v>
      </c>
      <c r="Y395" s="2">
        <v>5.5</v>
      </c>
      <c r="Z395" s="2">
        <v>19.63</v>
      </c>
      <c r="AA395" s="2">
        <v>10.5</v>
      </c>
      <c r="AB395" s="2">
        <v>0.65600000000000003</v>
      </c>
      <c r="AC395" s="2">
        <v>4.7</v>
      </c>
      <c r="AE395" s="2">
        <v>1</v>
      </c>
      <c r="AF395" s="2" t="s">
        <v>347</v>
      </c>
      <c r="AG395" s="2">
        <v>13</v>
      </c>
      <c r="AK395" s="2" t="s">
        <v>96</v>
      </c>
      <c r="AM395" s="2" t="s">
        <v>95</v>
      </c>
      <c r="AN395" s="2" t="s">
        <v>96</v>
      </c>
      <c r="AO395" s="2" t="s">
        <v>95</v>
      </c>
      <c r="AP395" s="2" t="s">
        <v>97</v>
      </c>
      <c r="AQ395" s="2" t="s">
        <v>98</v>
      </c>
      <c r="AV395" s="2" t="s">
        <v>95</v>
      </c>
      <c r="AX395" s="2" t="s">
        <v>116</v>
      </c>
      <c r="AZ395" s="2" t="s">
        <v>342</v>
      </c>
      <c r="BB395" s="2" t="s">
        <v>1995</v>
      </c>
      <c r="BC395" s="2" t="s">
        <v>135</v>
      </c>
      <c r="BF395" s="2" t="s">
        <v>1996</v>
      </c>
      <c r="BG395" s="2" t="s">
        <v>95</v>
      </c>
      <c r="BH395" s="2" t="s">
        <v>95</v>
      </c>
      <c r="BI395" s="2" t="s">
        <v>95</v>
      </c>
      <c r="BK395" s="2" t="s">
        <v>100</v>
      </c>
      <c r="BM395" s="2">
        <v>5.25</v>
      </c>
      <c r="BN395" s="2">
        <v>6.25</v>
      </c>
      <c r="CA395" s="2" t="s">
        <v>1997</v>
      </c>
      <c r="CB395" s="2" t="s">
        <v>116</v>
      </c>
      <c r="CG395" s="2">
        <v>3000</v>
      </c>
      <c r="CH395" s="2">
        <v>98</v>
      </c>
      <c r="CI395" s="2">
        <v>569.9</v>
      </c>
      <c r="CJ395" s="2">
        <v>498</v>
      </c>
      <c r="CK395" s="2">
        <v>30000</v>
      </c>
      <c r="CL395" s="2" t="s">
        <v>96</v>
      </c>
      <c r="CM395" s="2" t="s">
        <v>95</v>
      </c>
      <c r="CN395" s="2" t="s">
        <v>460</v>
      </c>
      <c r="CO395" s="3">
        <v>42021</v>
      </c>
      <c r="CP395" s="3">
        <v>43584</v>
      </c>
    </row>
    <row r="396" spans="1:94" x14ac:dyDescent="0.25">
      <c r="A396" s="2" t="s">
        <v>1998</v>
      </c>
      <c r="B396" s="2" t="str">
        <f xml:space="preserve"> "" &amp; 844349003823</f>
        <v>844349003823</v>
      </c>
      <c r="C396" s="2" t="s">
        <v>1691</v>
      </c>
      <c r="D396" s="2" t="s">
        <v>1691</v>
      </c>
      <c r="F396" s="2" t="s">
        <v>418</v>
      </c>
      <c r="G396" s="2">
        <v>1</v>
      </c>
      <c r="H396" s="2">
        <v>1</v>
      </c>
      <c r="I396" s="2" t="s">
        <v>94</v>
      </c>
      <c r="J396" s="6">
        <v>155</v>
      </c>
      <c r="K396" s="6">
        <v>465</v>
      </c>
      <c r="L396" s="2">
        <v>0</v>
      </c>
      <c r="N396" s="2">
        <v>0</v>
      </c>
      <c r="O396" s="2" t="s">
        <v>96</v>
      </c>
      <c r="P396" s="6">
        <v>324.95</v>
      </c>
      <c r="Q396" s="6"/>
      <c r="R396" s="7"/>
      <c r="S396" s="2">
        <v>23.25</v>
      </c>
      <c r="U396" s="2">
        <v>18.5</v>
      </c>
      <c r="V396" s="2">
        <v>8</v>
      </c>
      <c r="W396" s="2">
        <v>5.67</v>
      </c>
      <c r="X396" s="2">
        <v>1</v>
      </c>
      <c r="Y396" s="2">
        <v>14.5</v>
      </c>
      <c r="Z396" s="2">
        <v>20.5</v>
      </c>
      <c r="AA396" s="2">
        <v>11.5</v>
      </c>
      <c r="AB396" s="2">
        <v>1.978</v>
      </c>
      <c r="AC396" s="2">
        <v>9.1199999999999992</v>
      </c>
      <c r="AE396" s="2">
        <v>2</v>
      </c>
      <c r="AF396" s="2" t="s">
        <v>394</v>
      </c>
      <c r="AG396" s="2">
        <v>60</v>
      </c>
      <c r="AH396" s="2">
        <v>0</v>
      </c>
      <c r="AJ396" s="2">
        <v>0</v>
      </c>
      <c r="AK396" s="2" t="s">
        <v>95</v>
      </c>
      <c r="AL396" s="2">
        <v>2</v>
      </c>
      <c r="AM396" s="2" t="s">
        <v>95</v>
      </c>
      <c r="AN396" s="2" t="s">
        <v>95</v>
      </c>
      <c r="AO396" s="2" t="s">
        <v>95</v>
      </c>
      <c r="AP396" s="2" t="s">
        <v>97</v>
      </c>
      <c r="AQ396" s="2" t="s">
        <v>98</v>
      </c>
      <c r="AV396" s="2" t="s">
        <v>95</v>
      </c>
      <c r="AX396" s="2" t="s">
        <v>1999</v>
      </c>
      <c r="AZ396" s="2" t="s">
        <v>342</v>
      </c>
      <c r="BB396" s="2" t="s">
        <v>490</v>
      </c>
      <c r="BC396" s="2" t="s">
        <v>2000</v>
      </c>
      <c r="BF396" s="2" t="s">
        <v>2001</v>
      </c>
      <c r="BG396" s="2" t="s">
        <v>95</v>
      </c>
      <c r="BH396" s="2" t="s">
        <v>95</v>
      </c>
      <c r="BI396" s="2" t="s">
        <v>95</v>
      </c>
      <c r="BK396" s="2" t="s">
        <v>100</v>
      </c>
      <c r="BL396" s="2" t="s">
        <v>476</v>
      </c>
      <c r="BR396" s="2">
        <v>6.25</v>
      </c>
      <c r="BT396" s="2">
        <v>4.75</v>
      </c>
      <c r="CA396" s="2" t="s">
        <v>2002</v>
      </c>
      <c r="CB396" s="2" t="s">
        <v>1999</v>
      </c>
      <c r="CL396" s="2" t="s">
        <v>96</v>
      </c>
      <c r="CM396" s="2" t="s">
        <v>95</v>
      </c>
      <c r="CN396" s="2" t="s">
        <v>2003</v>
      </c>
      <c r="CO396" s="3">
        <v>39559</v>
      </c>
      <c r="CP396" s="3">
        <v>43634</v>
      </c>
    </row>
    <row r="397" spans="1:94" x14ac:dyDescent="0.25">
      <c r="A397" s="2" t="s">
        <v>2004</v>
      </c>
      <c r="B397" s="2" t="str">
        <f xml:space="preserve"> "" &amp; 844349019794</f>
        <v>844349019794</v>
      </c>
      <c r="C397" s="2" t="s">
        <v>1805</v>
      </c>
      <c r="D397" s="2" t="s">
        <v>3680</v>
      </c>
      <c r="E397" s="2" t="s">
        <v>425</v>
      </c>
      <c r="F397" s="2" t="s">
        <v>1429</v>
      </c>
      <c r="G397" s="2">
        <v>1</v>
      </c>
      <c r="H397" s="2">
        <v>1</v>
      </c>
      <c r="I397" s="2" t="s">
        <v>94</v>
      </c>
      <c r="J397" s="6">
        <v>99</v>
      </c>
      <c r="K397" s="6">
        <v>297</v>
      </c>
      <c r="L397" s="2">
        <v>0</v>
      </c>
      <c r="N397" s="2">
        <v>0</v>
      </c>
      <c r="O397" s="2" t="s">
        <v>96</v>
      </c>
      <c r="P397" s="6">
        <v>207.95</v>
      </c>
      <c r="Q397" s="6"/>
      <c r="R397" s="7"/>
      <c r="S397" s="2">
        <v>1</v>
      </c>
      <c r="T397" s="2">
        <v>13.25</v>
      </c>
      <c r="U397" s="2">
        <v>7</v>
      </c>
      <c r="W397" s="2">
        <v>6.5</v>
      </c>
      <c r="X397" s="2">
        <v>1</v>
      </c>
      <c r="Y397" s="2">
        <v>9.3800000000000008</v>
      </c>
      <c r="Z397" s="2">
        <v>26.5</v>
      </c>
      <c r="AA397" s="2">
        <v>9.3800000000000008</v>
      </c>
      <c r="AB397" s="2">
        <v>1.349</v>
      </c>
      <c r="AC397" s="2">
        <v>8.2200000000000006</v>
      </c>
      <c r="AE397" s="2">
        <v>1</v>
      </c>
      <c r="AF397" s="2" t="s">
        <v>2005</v>
      </c>
      <c r="AG397" s="2">
        <v>8</v>
      </c>
      <c r="AK397" s="2" t="s">
        <v>96</v>
      </c>
      <c r="AM397" s="2" t="s">
        <v>95</v>
      </c>
      <c r="AN397" s="2" t="s">
        <v>96</v>
      </c>
      <c r="AO397" s="2" t="s">
        <v>95</v>
      </c>
      <c r="AP397" s="2" t="s">
        <v>97</v>
      </c>
      <c r="AQ397" s="2" t="s">
        <v>98</v>
      </c>
      <c r="AV397" s="2" t="s">
        <v>95</v>
      </c>
      <c r="AX397" s="2" t="s">
        <v>116</v>
      </c>
      <c r="AZ397" s="2" t="s">
        <v>483</v>
      </c>
      <c r="BB397" s="2" t="s">
        <v>910</v>
      </c>
      <c r="BC397" s="2" t="s">
        <v>116</v>
      </c>
      <c r="BF397" s="2" t="s">
        <v>2006</v>
      </c>
      <c r="BG397" s="2" t="s">
        <v>95</v>
      </c>
      <c r="BH397" s="2" t="s">
        <v>95</v>
      </c>
      <c r="BI397" s="2" t="s">
        <v>95</v>
      </c>
      <c r="BK397" s="2" t="s">
        <v>100</v>
      </c>
      <c r="BR397" s="2">
        <v>1.25</v>
      </c>
      <c r="BT397" s="2">
        <v>7</v>
      </c>
      <c r="CA397" s="2" t="s">
        <v>2007</v>
      </c>
      <c r="CB397" s="2" t="s">
        <v>116</v>
      </c>
      <c r="CG397" s="2">
        <v>3000</v>
      </c>
      <c r="CH397" s="2">
        <v>83</v>
      </c>
      <c r="CI397" s="2">
        <v>590</v>
      </c>
      <c r="CJ397" s="2">
        <v>447</v>
      </c>
      <c r="CK397" s="2">
        <v>30000</v>
      </c>
      <c r="CL397" s="2" t="s">
        <v>96</v>
      </c>
      <c r="CM397" s="2" t="s">
        <v>95</v>
      </c>
      <c r="CN397" s="2" t="s">
        <v>2008</v>
      </c>
      <c r="CO397" s="3">
        <v>41379</v>
      </c>
      <c r="CP397" s="3">
        <v>43634</v>
      </c>
    </row>
    <row r="398" spans="1:94" x14ac:dyDescent="0.25">
      <c r="A398" s="2" t="s">
        <v>2009</v>
      </c>
      <c r="B398" s="2" t="str">
        <f xml:space="preserve"> "" &amp; 844349017318</f>
        <v>844349017318</v>
      </c>
      <c r="C398" s="2" t="s">
        <v>1466</v>
      </c>
      <c r="D398" s="2" t="s">
        <v>2010</v>
      </c>
      <c r="F398" s="2" t="s">
        <v>1429</v>
      </c>
      <c r="G398" s="2">
        <v>1</v>
      </c>
      <c r="H398" s="2">
        <v>1</v>
      </c>
      <c r="I398" s="2" t="s">
        <v>94</v>
      </c>
      <c r="J398" s="6">
        <v>79</v>
      </c>
      <c r="K398" s="6">
        <v>237</v>
      </c>
      <c r="L398" s="2">
        <v>0</v>
      </c>
      <c r="N398" s="2">
        <v>0</v>
      </c>
      <c r="O398" s="2" t="s">
        <v>96</v>
      </c>
      <c r="P398" s="6">
        <v>165.95</v>
      </c>
      <c r="Q398" s="6"/>
      <c r="R398" s="7"/>
      <c r="S398" s="2">
        <v>18.5</v>
      </c>
      <c r="U398" s="2">
        <v>16.5</v>
      </c>
      <c r="V398" s="2">
        <v>7</v>
      </c>
      <c r="W398" s="2">
        <v>4.3899999999999997</v>
      </c>
      <c r="X398" s="2">
        <v>1</v>
      </c>
      <c r="Y398" s="2">
        <v>18.38</v>
      </c>
      <c r="Z398" s="2">
        <v>8.8000000000000007</v>
      </c>
      <c r="AA398" s="2">
        <v>6.13</v>
      </c>
      <c r="AB398" s="2">
        <v>0.57399999999999995</v>
      </c>
      <c r="AC398" s="2">
        <v>5.4</v>
      </c>
      <c r="AE398" s="2">
        <v>1</v>
      </c>
      <c r="AF398" s="2" t="s">
        <v>347</v>
      </c>
      <c r="AG398" s="2">
        <v>7</v>
      </c>
      <c r="AK398" s="2" t="s">
        <v>96</v>
      </c>
      <c r="AM398" s="2" t="s">
        <v>95</v>
      </c>
      <c r="AN398" s="2" t="s">
        <v>96</v>
      </c>
      <c r="AO398" s="2" t="s">
        <v>95</v>
      </c>
      <c r="AP398" s="2" t="s">
        <v>97</v>
      </c>
      <c r="AQ398" s="2" t="s">
        <v>98</v>
      </c>
      <c r="AV398" s="2" t="s">
        <v>95</v>
      </c>
      <c r="AX398" s="2" t="s">
        <v>395</v>
      </c>
      <c r="AZ398" s="2" t="s">
        <v>342</v>
      </c>
      <c r="BB398" s="2" t="s">
        <v>910</v>
      </c>
      <c r="BF398" s="2" t="s">
        <v>2011</v>
      </c>
      <c r="BG398" s="2" t="s">
        <v>95</v>
      </c>
      <c r="BH398" s="2" t="s">
        <v>95</v>
      </c>
      <c r="BI398" s="2" t="s">
        <v>95</v>
      </c>
      <c r="BK398" s="2" t="s">
        <v>100</v>
      </c>
      <c r="CA398" s="2" t="s">
        <v>2012</v>
      </c>
      <c r="CB398" s="2" t="s">
        <v>395</v>
      </c>
      <c r="CG398" s="2">
        <v>3000</v>
      </c>
      <c r="CH398" s="2">
        <v>84</v>
      </c>
      <c r="CI398" s="2">
        <v>432.2</v>
      </c>
      <c r="CJ398" s="2">
        <v>480.43</v>
      </c>
      <c r="CK398" s="2">
        <v>30000</v>
      </c>
      <c r="CL398" s="2" t="s">
        <v>96</v>
      </c>
      <c r="CM398" s="2" t="s">
        <v>95</v>
      </c>
      <c r="CN398" s="2" t="s">
        <v>2013</v>
      </c>
      <c r="CO398" s="3">
        <v>42068</v>
      </c>
      <c r="CP398" s="3">
        <v>43634</v>
      </c>
    </row>
    <row r="399" spans="1:94" x14ac:dyDescent="0.25">
      <c r="A399" s="2" t="s">
        <v>2014</v>
      </c>
      <c r="B399" s="2" t="str">
        <f xml:space="preserve"> "" &amp; 844349017325</f>
        <v>844349017325</v>
      </c>
      <c r="C399" s="2" t="s">
        <v>1666</v>
      </c>
      <c r="D399" s="2" t="s">
        <v>1666</v>
      </c>
      <c r="F399" s="2" t="s">
        <v>426</v>
      </c>
      <c r="G399" s="2">
        <v>1</v>
      </c>
      <c r="H399" s="2">
        <v>1</v>
      </c>
      <c r="I399" s="2" t="s">
        <v>94</v>
      </c>
      <c r="J399" s="6">
        <v>89</v>
      </c>
      <c r="K399" s="6">
        <v>267</v>
      </c>
      <c r="L399" s="2">
        <v>0</v>
      </c>
      <c r="N399" s="2">
        <v>0</v>
      </c>
      <c r="O399" s="2" t="s">
        <v>96</v>
      </c>
      <c r="P399" s="6">
        <v>186.95</v>
      </c>
      <c r="Q399" s="6"/>
      <c r="R399" s="7"/>
      <c r="S399" s="2">
        <v>50.25</v>
      </c>
      <c r="U399" s="2">
        <v>18.5</v>
      </c>
      <c r="V399" s="2">
        <v>8</v>
      </c>
      <c r="W399" s="2">
        <v>5.1100000000000003</v>
      </c>
      <c r="X399" s="2">
        <v>1</v>
      </c>
      <c r="Y399" s="2">
        <v>35.5</v>
      </c>
      <c r="Z399" s="2">
        <v>10</v>
      </c>
      <c r="AA399" s="2">
        <v>5.38</v>
      </c>
      <c r="AB399" s="2">
        <v>1.105</v>
      </c>
      <c r="AC399" s="2">
        <v>7.76</v>
      </c>
      <c r="AE399" s="2">
        <v>1</v>
      </c>
      <c r="AF399" s="2" t="s">
        <v>347</v>
      </c>
      <c r="AG399" s="2">
        <v>7</v>
      </c>
      <c r="AK399" s="2" t="s">
        <v>96</v>
      </c>
      <c r="AM399" s="2" t="s">
        <v>95</v>
      </c>
      <c r="AN399" s="2" t="s">
        <v>96</v>
      </c>
      <c r="AO399" s="2" t="s">
        <v>95</v>
      </c>
      <c r="AP399" s="2" t="s">
        <v>97</v>
      </c>
      <c r="AQ399" s="2" t="s">
        <v>98</v>
      </c>
      <c r="AV399" s="2" t="s">
        <v>95</v>
      </c>
      <c r="AX399" s="2" t="s">
        <v>395</v>
      </c>
      <c r="AZ399" s="2" t="s">
        <v>342</v>
      </c>
      <c r="BB399" s="2" t="s">
        <v>910</v>
      </c>
      <c r="BF399" s="2" t="s">
        <v>2015</v>
      </c>
      <c r="BG399" s="2" t="s">
        <v>95</v>
      </c>
      <c r="BH399" s="2" t="s">
        <v>95</v>
      </c>
      <c r="BI399" s="2" t="s">
        <v>95</v>
      </c>
      <c r="BK399" s="2" t="s">
        <v>100</v>
      </c>
      <c r="CA399" s="2" t="s">
        <v>2012</v>
      </c>
      <c r="CB399" s="2" t="s">
        <v>395</v>
      </c>
      <c r="CG399" s="2">
        <v>3000</v>
      </c>
      <c r="CH399" s="2">
        <v>84</v>
      </c>
      <c r="CI399" s="2">
        <v>432.2</v>
      </c>
      <c r="CJ399" s="2">
        <v>480.43</v>
      </c>
      <c r="CK399" s="2">
        <v>30000</v>
      </c>
      <c r="CL399" s="2" t="s">
        <v>96</v>
      </c>
      <c r="CM399" s="2" t="s">
        <v>95</v>
      </c>
      <c r="CN399" s="2" t="s">
        <v>2016</v>
      </c>
      <c r="CO399" s="3">
        <v>42068</v>
      </c>
      <c r="CP399" s="3">
        <v>43634</v>
      </c>
    </row>
    <row r="400" spans="1:94" x14ac:dyDescent="0.25">
      <c r="A400" s="2" t="s">
        <v>2017</v>
      </c>
      <c r="B400" s="2" t="str">
        <f xml:space="preserve"> "" &amp; 844349017332</f>
        <v>844349017332</v>
      </c>
      <c r="C400" s="2" t="s">
        <v>1466</v>
      </c>
      <c r="D400" s="2" t="s">
        <v>1466</v>
      </c>
      <c r="F400" s="2" t="s">
        <v>1429</v>
      </c>
      <c r="G400" s="2">
        <v>1</v>
      </c>
      <c r="H400" s="2">
        <v>1</v>
      </c>
      <c r="I400" s="2" t="s">
        <v>94</v>
      </c>
      <c r="J400" s="6">
        <v>99</v>
      </c>
      <c r="K400" s="6">
        <v>297</v>
      </c>
      <c r="L400" s="2">
        <v>0</v>
      </c>
      <c r="N400" s="2">
        <v>0</v>
      </c>
      <c r="O400" s="2" t="s">
        <v>96</v>
      </c>
      <c r="P400" s="6">
        <v>207.95</v>
      </c>
      <c r="Q400" s="6"/>
      <c r="R400" s="7"/>
      <c r="S400" s="2">
        <v>24.5</v>
      </c>
      <c r="U400" s="2">
        <v>35</v>
      </c>
      <c r="V400" s="2">
        <v>9</v>
      </c>
      <c r="W400" s="2">
        <v>14.11</v>
      </c>
      <c r="X400" s="2">
        <v>1</v>
      </c>
      <c r="Y400" s="2">
        <v>29.13</v>
      </c>
      <c r="Z400" s="2">
        <v>13.25</v>
      </c>
      <c r="AA400" s="2">
        <v>5.13</v>
      </c>
      <c r="AB400" s="2">
        <v>1.1459999999999999</v>
      </c>
      <c r="AC400" s="2">
        <v>16.71</v>
      </c>
      <c r="AE400" s="2">
        <v>1</v>
      </c>
      <c r="AF400" s="2" t="s">
        <v>347</v>
      </c>
      <c r="AG400" s="2">
        <v>13</v>
      </c>
      <c r="AK400" s="2" t="s">
        <v>96</v>
      </c>
      <c r="AM400" s="2" t="s">
        <v>95</v>
      </c>
      <c r="AN400" s="2" t="s">
        <v>96</v>
      </c>
      <c r="AO400" s="2" t="s">
        <v>95</v>
      </c>
      <c r="AP400" s="2" t="s">
        <v>97</v>
      </c>
      <c r="AQ400" s="2" t="s">
        <v>98</v>
      </c>
      <c r="AV400" s="2" t="s">
        <v>95</v>
      </c>
      <c r="AX400" s="2" t="s">
        <v>395</v>
      </c>
      <c r="AZ400" s="2" t="s">
        <v>342</v>
      </c>
      <c r="BB400" s="2" t="s">
        <v>212</v>
      </c>
      <c r="BF400" s="2" t="s">
        <v>2018</v>
      </c>
      <c r="BG400" s="2" t="s">
        <v>95</v>
      </c>
      <c r="BH400" s="2" t="s">
        <v>95</v>
      </c>
      <c r="BI400" s="2" t="s">
        <v>95</v>
      </c>
      <c r="BK400" s="2" t="s">
        <v>100</v>
      </c>
      <c r="CA400" s="2" t="s">
        <v>2019</v>
      </c>
      <c r="CB400" s="2" t="s">
        <v>395</v>
      </c>
      <c r="CG400" s="2">
        <v>3000</v>
      </c>
      <c r="CH400" s="2">
        <v>83</v>
      </c>
      <c r="CI400" s="2">
        <v>988.9</v>
      </c>
      <c r="CJ400" s="2">
        <v>660.36</v>
      </c>
      <c r="CK400" s="2">
        <v>30000</v>
      </c>
      <c r="CL400" s="2" t="s">
        <v>96</v>
      </c>
      <c r="CM400" s="2" t="s">
        <v>95</v>
      </c>
      <c r="CN400" s="2" t="s">
        <v>2020</v>
      </c>
      <c r="CO400" s="3">
        <v>42068</v>
      </c>
      <c r="CP400" s="3">
        <v>43634</v>
      </c>
    </row>
    <row r="401" spans="1:94" x14ac:dyDescent="0.25">
      <c r="A401" s="2" t="s">
        <v>2021</v>
      </c>
      <c r="B401" s="2" t="str">
        <f xml:space="preserve"> "" &amp; 844349017349</f>
        <v>844349017349</v>
      </c>
      <c r="C401" s="2" t="s">
        <v>2022</v>
      </c>
      <c r="D401" s="2" t="s">
        <v>2010</v>
      </c>
      <c r="F401" s="2" t="s">
        <v>1429</v>
      </c>
      <c r="G401" s="2">
        <v>1</v>
      </c>
      <c r="H401" s="2">
        <v>1</v>
      </c>
      <c r="I401" s="2" t="s">
        <v>94</v>
      </c>
      <c r="J401" s="6">
        <v>79</v>
      </c>
      <c r="K401" s="6">
        <v>237</v>
      </c>
      <c r="L401" s="2">
        <v>0</v>
      </c>
      <c r="N401" s="2">
        <v>0</v>
      </c>
      <c r="O401" s="2" t="s">
        <v>96</v>
      </c>
      <c r="P401" s="6">
        <v>165.95</v>
      </c>
      <c r="Q401" s="6"/>
      <c r="R401" s="7"/>
      <c r="S401" s="2">
        <v>24.75</v>
      </c>
      <c r="T401" s="2">
        <v>13.25</v>
      </c>
      <c r="U401" s="2">
        <v>31.75</v>
      </c>
      <c r="V401" s="2">
        <v>5.75</v>
      </c>
      <c r="W401" s="2">
        <v>3.97</v>
      </c>
      <c r="X401" s="2">
        <v>1</v>
      </c>
      <c r="Y401" s="2">
        <v>29.13</v>
      </c>
      <c r="Z401" s="2">
        <v>13.25</v>
      </c>
      <c r="AA401" s="2">
        <v>4.38</v>
      </c>
      <c r="AB401" s="2">
        <v>0.97799999999999998</v>
      </c>
      <c r="AC401" s="2">
        <v>6.13</v>
      </c>
      <c r="AE401" s="2">
        <v>1</v>
      </c>
      <c r="AF401" s="2" t="s">
        <v>347</v>
      </c>
      <c r="AG401" s="2">
        <v>13</v>
      </c>
      <c r="AK401" s="2" t="s">
        <v>96</v>
      </c>
      <c r="AM401" s="2" t="s">
        <v>95</v>
      </c>
      <c r="AN401" s="2" t="s">
        <v>96</v>
      </c>
      <c r="AO401" s="2" t="s">
        <v>95</v>
      </c>
      <c r="AP401" s="2" t="s">
        <v>97</v>
      </c>
      <c r="AQ401" s="2" t="s">
        <v>98</v>
      </c>
      <c r="AV401" s="2" t="s">
        <v>95</v>
      </c>
      <c r="AX401" s="2" t="s">
        <v>395</v>
      </c>
      <c r="AZ401" s="2" t="s">
        <v>342</v>
      </c>
      <c r="BB401" s="2" t="s">
        <v>212</v>
      </c>
      <c r="BF401" s="2" t="s">
        <v>2023</v>
      </c>
      <c r="BG401" s="2" t="s">
        <v>95</v>
      </c>
      <c r="BH401" s="2" t="s">
        <v>95</v>
      </c>
      <c r="BI401" s="2" t="s">
        <v>95</v>
      </c>
      <c r="BK401" s="2" t="s">
        <v>100</v>
      </c>
      <c r="CA401" s="2" t="s">
        <v>2019</v>
      </c>
      <c r="CB401" s="2" t="s">
        <v>395</v>
      </c>
      <c r="CG401" s="2">
        <v>3000</v>
      </c>
      <c r="CH401" s="2">
        <v>83</v>
      </c>
      <c r="CI401" s="2">
        <v>988.9</v>
      </c>
      <c r="CJ401" s="2">
        <v>660.36</v>
      </c>
      <c r="CK401" s="2">
        <v>30000</v>
      </c>
      <c r="CL401" s="2" t="s">
        <v>96</v>
      </c>
      <c r="CM401" s="2" t="s">
        <v>95</v>
      </c>
      <c r="CN401" s="2" t="s">
        <v>2020</v>
      </c>
      <c r="CO401" s="3">
        <v>42068</v>
      </c>
      <c r="CP401" s="3">
        <v>43634</v>
      </c>
    </row>
    <row r="402" spans="1:94" x14ac:dyDescent="0.25">
      <c r="A402" s="2" t="s">
        <v>2024</v>
      </c>
      <c r="B402" s="2" t="str">
        <f xml:space="preserve"> "" &amp; 844349020486</f>
        <v>844349020486</v>
      </c>
      <c r="C402" s="2" t="s">
        <v>1466</v>
      </c>
      <c r="D402" s="2" t="s">
        <v>2025</v>
      </c>
      <c r="F402" s="2" t="s">
        <v>1429</v>
      </c>
      <c r="G402" s="2">
        <v>1</v>
      </c>
      <c r="H402" s="2">
        <v>1</v>
      </c>
      <c r="I402" s="2" t="s">
        <v>94</v>
      </c>
      <c r="J402" s="6">
        <v>115</v>
      </c>
      <c r="K402" s="6">
        <v>345</v>
      </c>
      <c r="L402" s="2">
        <v>0</v>
      </c>
      <c r="N402" s="2">
        <v>0</v>
      </c>
      <c r="O402" s="2" t="s">
        <v>96</v>
      </c>
      <c r="P402" s="6">
        <v>239.95</v>
      </c>
      <c r="Q402" s="6"/>
      <c r="R402" s="7"/>
      <c r="S402" s="2">
        <v>28.75</v>
      </c>
      <c r="T402" s="2">
        <v>9</v>
      </c>
      <c r="U402" s="2">
        <v>7.75</v>
      </c>
      <c r="V402" s="2">
        <v>7.25</v>
      </c>
      <c r="W402" s="2">
        <v>6.39</v>
      </c>
      <c r="X402" s="2">
        <v>1</v>
      </c>
      <c r="Y402" s="2">
        <v>21.5</v>
      </c>
      <c r="Z402" s="2">
        <v>9</v>
      </c>
      <c r="AA402" s="2">
        <v>3</v>
      </c>
      <c r="AB402" s="2">
        <v>0.33600000000000002</v>
      </c>
      <c r="AC402" s="2">
        <v>7.41</v>
      </c>
      <c r="AE402" s="2">
        <v>1</v>
      </c>
      <c r="AF402" s="2" t="s">
        <v>2026</v>
      </c>
      <c r="AG402" s="2">
        <v>12</v>
      </c>
      <c r="AK402" s="2" t="s">
        <v>96</v>
      </c>
      <c r="AM402" s="2" t="s">
        <v>95</v>
      </c>
      <c r="AN402" s="2" t="s">
        <v>96</v>
      </c>
      <c r="AO402" s="2" t="s">
        <v>95</v>
      </c>
      <c r="AP402" s="2" t="s">
        <v>97</v>
      </c>
      <c r="AQ402" s="2" t="s">
        <v>98</v>
      </c>
      <c r="AV402" s="2" t="s">
        <v>95</v>
      </c>
      <c r="AX402" s="2" t="s">
        <v>379</v>
      </c>
      <c r="AZ402" s="2" t="s">
        <v>483</v>
      </c>
      <c r="BB402" s="2" t="s">
        <v>348</v>
      </c>
      <c r="BF402" s="2" t="s">
        <v>2027</v>
      </c>
      <c r="BG402" s="2" t="s">
        <v>95</v>
      </c>
      <c r="BH402" s="2" t="s">
        <v>95</v>
      </c>
      <c r="BI402" s="2" t="s">
        <v>95</v>
      </c>
      <c r="BK402" s="2" t="s">
        <v>100</v>
      </c>
      <c r="CA402" s="2" t="s">
        <v>2028</v>
      </c>
      <c r="CB402" s="2" t="s">
        <v>379</v>
      </c>
      <c r="CG402" s="2">
        <v>3000</v>
      </c>
      <c r="CH402" s="2">
        <v>83</v>
      </c>
      <c r="CI402" s="2">
        <v>830.3</v>
      </c>
      <c r="CJ402" s="2">
        <v>747.79</v>
      </c>
      <c r="CK402" s="2">
        <v>30000</v>
      </c>
      <c r="CL402" s="2" t="s">
        <v>96</v>
      </c>
      <c r="CM402" s="2" t="s">
        <v>95</v>
      </c>
      <c r="CN402" s="2" t="s">
        <v>2029</v>
      </c>
      <c r="CO402" s="3">
        <v>42440</v>
      </c>
      <c r="CP402" s="3">
        <v>43634</v>
      </c>
    </row>
    <row r="403" spans="1:94" x14ac:dyDescent="0.25">
      <c r="A403" s="2" t="s">
        <v>2030</v>
      </c>
      <c r="B403" s="2" t="str">
        <f xml:space="preserve"> "" &amp; 844349017387</f>
        <v>844349017387</v>
      </c>
      <c r="C403" s="2" t="s">
        <v>1466</v>
      </c>
      <c r="D403" s="2" t="s">
        <v>2025</v>
      </c>
      <c r="F403" s="2" t="s">
        <v>1429</v>
      </c>
      <c r="G403" s="2">
        <v>1</v>
      </c>
      <c r="H403" s="2">
        <v>1</v>
      </c>
      <c r="I403" s="2" t="s">
        <v>94</v>
      </c>
      <c r="J403" s="6">
        <v>115</v>
      </c>
      <c r="K403" s="6">
        <v>345</v>
      </c>
      <c r="L403" s="2">
        <v>0</v>
      </c>
      <c r="N403" s="2">
        <v>0</v>
      </c>
      <c r="O403" s="2" t="s">
        <v>96</v>
      </c>
      <c r="P403" s="6">
        <v>241.95</v>
      </c>
      <c r="Q403" s="6"/>
      <c r="R403" s="7"/>
      <c r="S403" s="2">
        <v>28.75</v>
      </c>
      <c r="U403" s="2">
        <v>7.75</v>
      </c>
      <c r="V403" s="2">
        <v>7.25</v>
      </c>
      <c r="W403" s="2">
        <v>6.39</v>
      </c>
      <c r="X403" s="2">
        <v>1</v>
      </c>
      <c r="Y403" s="2">
        <v>9.8800000000000008</v>
      </c>
      <c r="Z403" s="2">
        <v>22</v>
      </c>
      <c r="AA403" s="2">
        <v>6.5</v>
      </c>
      <c r="AB403" s="2">
        <v>0.81799999999999995</v>
      </c>
      <c r="AC403" s="2">
        <v>7.41</v>
      </c>
      <c r="AE403" s="2">
        <v>1</v>
      </c>
      <c r="AF403" s="2" t="s">
        <v>2031</v>
      </c>
      <c r="AG403" s="2">
        <v>12</v>
      </c>
      <c r="AK403" s="2" t="s">
        <v>96</v>
      </c>
      <c r="AM403" s="2" t="s">
        <v>95</v>
      </c>
      <c r="AN403" s="2" t="s">
        <v>96</v>
      </c>
      <c r="AO403" s="2" t="s">
        <v>95</v>
      </c>
      <c r="AP403" s="2" t="s">
        <v>97</v>
      </c>
      <c r="AQ403" s="2" t="s">
        <v>98</v>
      </c>
      <c r="AV403" s="2" t="s">
        <v>95</v>
      </c>
      <c r="AX403" s="2" t="s">
        <v>2032</v>
      </c>
      <c r="AZ403" s="2" t="s">
        <v>342</v>
      </c>
      <c r="BB403" s="2" t="s">
        <v>348</v>
      </c>
      <c r="BF403" s="2" t="s">
        <v>2033</v>
      </c>
      <c r="BG403" s="2" t="s">
        <v>95</v>
      </c>
      <c r="BH403" s="2" t="s">
        <v>95</v>
      </c>
      <c r="BI403" s="2" t="s">
        <v>95</v>
      </c>
      <c r="BK403" s="2" t="s">
        <v>100</v>
      </c>
      <c r="CA403" s="2" t="s">
        <v>2028</v>
      </c>
      <c r="CB403" s="2" t="s">
        <v>2032</v>
      </c>
      <c r="CG403" s="2">
        <v>3000</v>
      </c>
      <c r="CH403" s="2">
        <v>83</v>
      </c>
      <c r="CI403" s="2">
        <v>830.3</v>
      </c>
      <c r="CJ403" s="2">
        <v>747.79</v>
      </c>
      <c r="CK403" s="2">
        <v>30000</v>
      </c>
      <c r="CL403" s="2" t="s">
        <v>96</v>
      </c>
      <c r="CM403" s="2" t="s">
        <v>95</v>
      </c>
      <c r="CN403" s="2" t="s">
        <v>2016</v>
      </c>
      <c r="CO403" s="3">
        <v>42066</v>
      </c>
      <c r="CP403" s="3">
        <v>43634</v>
      </c>
    </row>
    <row r="404" spans="1:94" x14ac:dyDescent="0.25">
      <c r="A404" s="2" t="s">
        <v>2034</v>
      </c>
      <c r="B404" s="2" t="str">
        <f xml:space="preserve"> "" &amp; 844349020493</f>
        <v>844349020493</v>
      </c>
      <c r="C404" s="2" t="s">
        <v>1666</v>
      </c>
      <c r="D404" s="2" t="s">
        <v>2035</v>
      </c>
      <c r="F404" s="2" t="s">
        <v>426</v>
      </c>
      <c r="G404" s="2">
        <v>1</v>
      </c>
      <c r="H404" s="2">
        <v>1</v>
      </c>
      <c r="I404" s="2" t="s">
        <v>94</v>
      </c>
      <c r="J404" s="6">
        <v>145</v>
      </c>
      <c r="K404" s="6">
        <v>435</v>
      </c>
      <c r="L404" s="2">
        <v>0</v>
      </c>
      <c r="N404" s="2">
        <v>0</v>
      </c>
      <c r="O404" s="2" t="s">
        <v>96</v>
      </c>
      <c r="P404" s="6">
        <v>304.95</v>
      </c>
      <c r="Q404" s="6"/>
      <c r="R404" s="7"/>
      <c r="S404" s="2">
        <v>65.5</v>
      </c>
      <c r="U404" s="2">
        <v>8.25</v>
      </c>
      <c r="V404" s="2">
        <v>8.75</v>
      </c>
      <c r="W404" s="2">
        <v>8.82</v>
      </c>
      <c r="X404" s="2">
        <v>1</v>
      </c>
      <c r="Y404" s="2">
        <v>53.38</v>
      </c>
      <c r="Z404" s="2">
        <v>11</v>
      </c>
      <c r="AA404" s="2">
        <v>4.13</v>
      </c>
      <c r="AB404" s="2">
        <v>1.403</v>
      </c>
      <c r="AC404" s="2">
        <v>11.79</v>
      </c>
      <c r="AE404" s="2">
        <v>1</v>
      </c>
      <c r="AF404" s="2" t="s">
        <v>347</v>
      </c>
      <c r="AG404" s="2">
        <v>12</v>
      </c>
      <c r="AK404" s="2" t="s">
        <v>96</v>
      </c>
      <c r="AM404" s="2" t="s">
        <v>95</v>
      </c>
      <c r="AN404" s="2" t="s">
        <v>96</v>
      </c>
      <c r="AO404" s="2" t="s">
        <v>95</v>
      </c>
      <c r="AP404" s="2" t="s">
        <v>97</v>
      </c>
      <c r="AQ404" s="2" t="s">
        <v>98</v>
      </c>
      <c r="AV404" s="2" t="s">
        <v>95</v>
      </c>
      <c r="AX404" s="2" t="s">
        <v>379</v>
      </c>
      <c r="AZ404" s="2" t="s">
        <v>483</v>
      </c>
      <c r="BB404" s="2" t="s">
        <v>348</v>
      </c>
      <c r="BF404" s="2" t="s">
        <v>2036</v>
      </c>
      <c r="BG404" s="2" t="s">
        <v>95</v>
      </c>
      <c r="BH404" s="2" t="s">
        <v>95</v>
      </c>
      <c r="BI404" s="2" t="s">
        <v>95</v>
      </c>
      <c r="BK404" s="2" t="s">
        <v>100</v>
      </c>
      <c r="CA404" s="2" t="s">
        <v>2028</v>
      </c>
      <c r="CB404" s="2" t="s">
        <v>379</v>
      </c>
      <c r="CG404" s="2">
        <v>3000</v>
      </c>
      <c r="CH404" s="2">
        <v>83</v>
      </c>
      <c r="CI404" s="2">
        <v>830.3</v>
      </c>
      <c r="CJ404" s="2">
        <v>747.79</v>
      </c>
      <c r="CK404" s="2">
        <v>30000</v>
      </c>
      <c r="CL404" s="2" t="s">
        <v>96</v>
      </c>
      <c r="CM404" s="2" t="s">
        <v>95</v>
      </c>
      <c r="CN404" s="2" t="s">
        <v>2016</v>
      </c>
      <c r="CO404" s="3">
        <v>42440</v>
      </c>
      <c r="CP404" s="3">
        <v>43634</v>
      </c>
    </row>
    <row r="405" spans="1:94" x14ac:dyDescent="0.25">
      <c r="A405" s="2" t="s">
        <v>2037</v>
      </c>
      <c r="B405" s="2" t="str">
        <f xml:space="preserve"> "" &amp; 844349017370</f>
        <v>844349017370</v>
      </c>
      <c r="C405" s="2" t="s">
        <v>1666</v>
      </c>
      <c r="D405" s="2" t="s">
        <v>2035</v>
      </c>
      <c r="F405" s="2" t="s">
        <v>426</v>
      </c>
      <c r="G405" s="2">
        <v>1</v>
      </c>
      <c r="H405" s="2">
        <v>1</v>
      </c>
      <c r="I405" s="2" t="s">
        <v>94</v>
      </c>
      <c r="J405" s="6">
        <v>145</v>
      </c>
      <c r="K405" s="6">
        <v>435</v>
      </c>
      <c r="L405" s="2">
        <v>0</v>
      </c>
      <c r="N405" s="2">
        <v>0</v>
      </c>
      <c r="O405" s="2" t="s">
        <v>96</v>
      </c>
      <c r="P405" s="6">
        <v>304.95</v>
      </c>
      <c r="Q405" s="6"/>
      <c r="R405" s="7"/>
      <c r="S405" s="2">
        <v>65.5</v>
      </c>
      <c r="U405" s="2">
        <v>8.25</v>
      </c>
      <c r="V405" s="2">
        <v>8.75</v>
      </c>
      <c r="W405" s="2">
        <v>8.82</v>
      </c>
      <c r="X405" s="2">
        <v>1</v>
      </c>
      <c r="Y405" s="2">
        <v>53.38</v>
      </c>
      <c r="Z405" s="2">
        <v>11</v>
      </c>
      <c r="AA405" s="2">
        <v>4.13</v>
      </c>
      <c r="AB405" s="2">
        <v>1.403</v>
      </c>
      <c r="AC405" s="2">
        <v>11.79</v>
      </c>
      <c r="AE405" s="2">
        <v>1</v>
      </c>
      <c r="AF405" s="2" t="s">
        <v>347</v>
      </c>
      <c r="AG405" s="2">
        <v>12</v>
      </c>
      <c r="AK405" s="2" t="s">
        <v>96</v>
      </c>
      <c r="AM405" s="2" t="s">
        <v>95</v>
      </c>
      <c r="AN405" s="2" t="s">
        <v>96</v>
      </c>
      <c r="AO405" s="2" t="s">
        <v>95</v>
      </c>
      <c r="AP405" s="2" t="s">
        <v>97</v>
      </c>
      <c r="AQ405" s="2" t="s">
        <v>98</v>
      </c>
      <c r="AV405" s="2" t="s">
        <v>95</v>
      </c>
      <c r="AX405" s="2" t="s">
        <v>2032</v>
      </c>
      <c r="AZ405" s="2" t="s">
        <v>342</v>
      </c>
      <c r="BB405" s="2" t="s">
        <v>212</v>
      </c>
      <c r="BF405" s="2" t="s">
        <v>2038</v>
      </c>
      <c r="BG405" s="2" t="s">
        <v>95</v>
      </c>
      <c r="BH405" s="2" t="s">
        <v>95</v>
      </c>
      <c r="BI405" s="2" t="s">
        <v>95</v>
      </c>
      <c r="BK405" s="2" t="s">
        <v>100</v>
      </c>
      <c r="CA405" s="2" t="s">
        <v>2028</v>
      </c>
      <c r="CB405" s="2" t="s">
        <v>2032</v>
      </c>
      <c r="CG405" s="2">
        <v>3000</v>
      </c>
      <c r="CH405" s="2">
        <v>82</v>
      </c>
      <c r="CI405" s="2">
        <v>830.3</v>
      </c>
      <c r="CJ405" s="2">
        <v>747.79</v>
      </c>
      <c r="CK405" s="2">
        <v>30000</v>
      </c>
      <c r="CL405" s="2" t="s">
        <v>96</v>
      </c>
      <c r="CM405" s="2" t="s">
        <v>95</v>
      </c>
      <c r="CN405" s="2" t="s">
        <v>2016</v>
      </c>
      <c r="CO405" s="3">
        <v>42066</v>
      </c>
      <c r="CP405" s="3">
        <v>43634</v>
      </c>
    </row>
    <row r="406" spans="1:94" x14ac:dyDescent="0.25">
      <c r="A406" s="2" t="s">
        <v>2039</v>
      </c>
      <c r="B406" s="2" t="str">
        <f xml:space="preserve"> "" &amp; 844349017363</f>
        <v>844349017363</v>
      </c>
      <c r="C406" s="2" t="s">
        <v>2040</v>
      </c>
      <c r="D406" s="2" t="s">
        <v>2035</v>
      </c>
      <c r="F406" s="2" t="s">
        <v>426</v>
      </c>
      <c r="G406" s="2">
        <v>1</v>
      </c>
      <c r="H406" s="2">
        <v>1</v>
      </c>
      <c r="I406" s="2" t="s">
        <v>94</v>
      </c>
      <c r="J406" s="6">
        <v>279</v>
      </c>
      <c r="K406" s="6">
        <v>837</v>
      </c>
      <c r="L406" s="2">
        <v>0</v>
      </c>
      <c r="N406" s="2">
        <v>0</v>
      </c>
      <c r="O406" s="2" t="s">
        <v>96</v>
      </c>
      <c r="P406" s="6">
        <v>584.95000000000005</v>
      </c>
      <c r="Q406" s="6"/>
      <c r="R406" s="7"/>
      <c r="S406" s="2">
        <v>71</v>
      </c>
      <c r="U406" s="2">
        <v>16</v>
      </c>
      <c r="V406" s="2">
        <v>10</v>
      </c>
      <c r="W406" s="2">
        <v>14.62</v>
      </c>
      <c r="X406" s="2">
        <v>1</v>
      </c>
      <c r="Y406" s="2">
        <v>43.38</v>
      </c>
      <c r="Z406" s="2">
        <v>13</v>
      </c>
      <c r="AA406" s="2">
        <v>7.25</v>
      </c>
      <c r="AB406" s="2">
        <v>2.3660000000000001</v>
      </c>
      <c r="AC406" s="2">
        <v>18.23</v>
      </c>
      <c r="AE406" s="2">
        <v>1</v>
      </c>
      <c r="AF406" s="2" t="s">
        <v>2041</v>
      </c>
      <c r="AG406" s="2">
        <v>15</v>
      </c>
      <c r="AH406" s="2">
        <v>1</v>
      </c>
      <c r="AI406" s="2" t="s">
        <v>1961</v>
      </c>
      <c r="AJ406" s="2">
        <v>6</v>
      </c>
      <c r="AK406" s="2" t="s">
        <v>96</v>
      </c>
      <c r="AM406" s="2" t="s">
        <v>95</v>
      </c>
      <c r="AN406" s="2" t="s">
        <v>96</v>
      </c>
      <c r="AO406" s="2" t="s">
        <v>95</v>
      </c>
      <c r="AP406" s="2" t="s">
        <v>97</v>
      </c>
      <c r="AQ406" s="2" t="s">
        <v>98</v>
      </c>
      <c r="AV406" s="2" t="s">
        <v>95</v>
      </c>
      <c r="AX406" s="2" t="s">
        <v>2032</v>
      </c>
      <c r="AZ406" s="2" t="s">
        <v>342</v>
      </c>
      <c r="BB406" s="2" t="s">
        <v>348</v>
      </c>
      <c r="BF406" s="2" t="s">
        <v>2042</v>
      </c>
      <c r="BG406" s="2" t="s">
        <v>95</v>
      </c>
      <c r="BH406" s="2" t="s">
        <v>95</v>
      </c>
      <c r="BI406" s="2" t="s">
        <v>95</v>
      </c>
      <c r="BK406" s="2" t="s">
        <v>100</v>
      </c>
      <c r="CA406" s="2" t="s">
        <v>2028</v>
      </c>
      <c r="CB406" s="2" t="s">
        <v>2032</v>
      </c>
      <c r="CG406" s="2">
        <v>3000</v>
      </c>
      <c r="CH406" s="2">
        <v>82</v>
      </c>
      <c r="CI406" s="2">
        <v>2135.1</v>
      </c>
      <c r="CJ406" s="2">
        <v>1819.4</v>
      </c>
      <c r="CK406" s="2">
        <v>30000</v>
      </c>
      <c r="CL406" s="2" t="s">
        <v>96</v>
      </c>
      <c r="CM406" s="2" t="s">
        <v>95</v>
      </c>
      <c r="CN406" s="2" t="s">
        <v>2016</v>
      </c>
      <c r="CO406" s="3">
        <v>42066</v>
      </c>
      <c r="CP406" s="3">
        <v>43634</v>
      </c>
    </row>
    <row r="407" spans="1:94" x14ac:dyDescent="0.25">
      <c r="A407" s="2" t="s">
        <v>2043</v>
      </c>
      <c r="B407" s="2" t="str">
        <f xml:space="preserve"> "" &amp; 844349020523</f>
        <v>844349020523</v>
      </c>
      <c r="C407" s="2" t="s">
        <v>1666</v>
      </c>
      <c r="D407" s="2" t="s">
        <v>2035</v>
      </c>
      <c r="F407" s="2" t="s">
        <v>426</v>
      </c>
      <c r="G407" s="2">
        <v>1</v>
      </c>
      <c r="H407" s="2">
        <v>1</v>
      </c>
      <c r="I407" s="2" t="s">
        <v>94</v>
      </c>
      <c r="J407" s="6">
        <v>259</v>
      </c>
      <c r="K407" s="6">
        <v>777</v>
      </c>
      <c r="L407" s="2">
        <v>0</v>
      </c>
      <c r="N407" s="2">
        <v>0</v>
      </c>
      <c r="O407" s="2" t="s">
        <v>96</v>
      </c>
      <c r="P407" s="6">
        <v>543.95000000000005</v>
      </c>
      <c r="Q407" s="6"/>
      <c r="R407" s="7"/>
      <c r="S407" s="2">
        <v>70</v>
      </c>
      <c r="U407" s="2">
        <v>23</v>
      </c>
      <c r="V407" s="2">
        <v>10</v>
      </c>
      <c r="W407" s="2">
        <v>14.46</v>
      </c>
      <c r="X407" s="2">
        <v>1</v>
      </c>
      <c r="Y407" s="2">
        <v>44.5</v>
      </c>
      <c r="Z407" s="2">
        <v>12.75</v>
      </c>
      <c r="AA407" s="2">
        <v>7.25</v>
      </c>
      <c r="AB407" s="2">
        <v>2.38</v>
      </c>
      <c r="AC407" s="2">
        <v>18.649999999999999</v>
      </c>
      <c r="AE407" s="2">
        <v>1</v>
      </c>
      <c r="AF407" s="2" t="s">
        <v>2044</v>
      </c>
      <c r="AG407" s="2">
        <v>25</v>
      </c>
      <c r="AK407" s="2" t="s">
        <v>96</v>
      </c>
      <c r="AM407" s="2" t="s">
        <v>95</v>
      </c>
      <c r="AN407" s="2" t="s">
        <v>96</v>
      </c>
      <c r="AO407" s="2" t="s">
        <v>95</v>
      </c>
      <c r="AP407" s="2" t="s">
        <v>97</v>
      </c>
      <c r="AQ407" s="2" t="s">
        <v>98</v>
      </c>
      <c r="AV407" s="2" t="s">
        <v>95</v>
      </c>
      <c r="AX407" s="2" t="s">
        <v>379</v>
      </c>
      <c r="AZ407" s="2" t="s">
        <v>483</v>
      </c>
      <c r="BB407" s="2" t="s">
        <v>348</v>
      </c>
      <c r="BF407" s="2" t="s">
        <v>2045</v>
      </c>
      <c r="BG407" s="2" t="s">
        <v>95</v>
      </c>
      <c r="BH407" s="2" t="s">
        <v>95</v>
      </c>
      <c r="BI407" s="2" t="s">
        <v>95</v>
      </c>
      <c r="BK407" s="2" t="s">
        <v>100</v>
      </c>
      <c r="CA407" s="2" t="s">
        <v>2028</v>
      </c>
      <c r="CB407" s="2" t="s">
        <v>379</v>
      </c>
      <c r="CG407" s="2">
        <v>3000</v>
      </c>
      <c r="CH407" s="2">
        <v>82</v>
      </c>
      <c r="CI407" s="2">
        <v>2252.9</v>
      </c>
      <c r="CJ407" s="2">
        <v>1810</v>
      </c>
      <c r="CK407" s="2">
        <v>30000</v>
      </c>
      <c r="CL407" s="2" t="s">
        <v>96</v>
      </c>
      <c r="CM407" s="2" t="s">
        <v>95</v>
      </c>
      <c r="CN407" s="2" t="s">
        <v>2020</v>
      </c>
      <c r="CO407" s="3">
        <v>42396</v>
      </c>
      <c r="CP407" s="3">
        <v>43634</v>
      </c>
    </row>
    <row r="408" spans="1:94" x14ac:dyDescent="0.25">
      <c r="A408" s="2" t="s">
        <v>2046</v>
      </c>
      <c r="B408" s="2" t="str">
        <f xml:space="preserve"> "" &amp; 844349020516</f>
        <v>844349020516</v>
      </c>
      <c r="C408" s="2" t="s">
        <v>1666</v>
      </c>
      <c r="D408" s="2" t="s">
        <v>2035</v>
      </c>
      <c r="F408" s="2" t="s">
        <v>426</v>
      </c>
      <c r="G408" s="2">
        <v>1</v>
      </c>
      <c r="H408" s="2">
        <v>1</v>
      </c>
      <c r="I408" s="2" t="s">
        <v>94</v>
      </c>
      <c r="J408" s="6">
        <v>259</v>
      </c>
      <c r="K408" s="6">
        <v>777</v>
      </c>
      <c r="L408" s="2">
        <v>0</v>
      </c>
      <c r="N408" s="2">
        <v>0</v>
      </c>
      <c r="O408" s="2" t="s">
        <v>96</v>
      </c>
      <c r="P408" s="6">
        <v>543.95000000000005</v>
      </c>
      <c r="Q408" s="6"/>
      <c r="R408" s="7"/>
      <c r="S408" s="2">
        <v>70</v>
      </c>
      <c r="U408" s="2">
        <v>23</v>
      </c>
      <c r="V408" s="2">
        <v>10</v>
      </c>
      <c r="W408" s="2">
        <v>14.46</v>
      </c>
      <c r="X408" s="2">
        <v>1</v>
      </c>
      <c r="Y408" s="2">
        <v>44.5</v>
      </c>
      <c r="Z408" s="2">
        <v>12.75</v>
      </c>
      <c r="AA408" s="2">
        <v>7.25</v>
      </c>
      <c r="AB408" s="2">
        <v>2.38</v>
      </c>
      <c r="AC408" s="2">
        <v>18.649999999999999</v>
      </c>
      <c r="AE408" s="2">
        <v>1</v>
      </c>
      <c r="AF408" s="2" t="s">
        <v>2044</v>
      </c>
      <c r="AG408" s="2">
        <v>25</v>
      </c>
      <c r="AK408" s="2" t="s">
        <v>96</v>
      </c>
      <c r="AM408" s="2" t="s">
        <v>95</v>
      </c>
      <c r="AN408" s="2" t="s">
        <v>96</v>
      </c>
      <c r="AO408" s="2" t="s">
        <v>95</v>
      </c>
      <c r="AP408" s="2" t="s">
        <v>97</v>
      </c>
      <c r="AQ408" s="2" t="s">
        <v>98</v>
      </c>
      <c r="AV408" s="2" t="s">
        <v>95</v>
      </c>
      <c r="AX408" s="2" t="s">
        <v>2032</v>
      </c>
      <c r="AZ408" s="2" t="s">
        <v>483</v>
      </c>
      <c r="BB408" s="2" t="s">
        <v>348</v>
      </c>
      <c r="BF408" s="2" t="s">
        <v>2047</v>
      </c>
      <c r="BG408" s="2" t="s">
        <v>95</v>
      </c>
      <c r="BH408" s="2" t="s">
        <v>95</v>
      </c>
      <c r="BI408" s="2" t="s">
        <v>95</v>
      </c>
      <c r="BK408" s="2" t="s">
        <v>100</v>
      </c>
      <c r="CA408" s="2" t="s">
        <v>2028</v>
      </c>
      <c r="CB408" s="2" t="s">
        <v>2032</v>
      </c>
      <c r="CG408" s="2">
        <v>3000</v>
      </c>
      <c r="CH408" s="2">
        <v>82</v>
      </c>
      <c r="CI408" s="2">
        <v>2252.9</v>
      </c>
      <c r="CJ408" s="2">
        <v>1810</v>
      </c>
      <c r="CK408" s="2">
        <v>30000</v>
      </c>
      <c r="CL408" s="2" t="s">
        <v>96</v>
      </c>
      <c r="CM408" s="2" t="s">
        <v>95</v>
      </c>
      <c r="CN408" s="2" t="s">
        <v>2016</v>
      </c>
      <c r="CO408" s="3">
        <v>42408</v>
      </c>
      <c r="CP408" s="3">
        <v>43634</v>
      </c>
    </row>
    <row r="409" spans="1:94" x14ac:dyDescent="0.25">
      <c r="A409" s="2" t="s">
        <v>2048</v>
      </c>
      <c r="B409" s="2" t="str">
        <f xml:space="preserve"> "" &amp; 844349023500</f>
        <v>844349023500</v>
      </c>
      <c r="C409" s="2" t="s">
        <v>1666</v>
      </c>
      <c r="D409" s="2" t="s">
        <v>2049</v>
      </c>
      <c r="F409" s="2" t="s">
        <v>340</v>
      </c>
      <c r="G409" s="2">
        <v>1</v>
      </c>
      <c r="H409" s="2">
        <v>1</v>
      </c>
      <c r="I409" s="2" t="s">
        <v>94</v>
      </c>
      <c r="J409" s="6">
        <v>325</v>
      </c>
      <c r="K409" s="6">
        <v>975</v>
      </c>
      <c r="L409" s="2">
        <v>0</v>
      </c>
      <c r="N409" s="2">
        <v>0</v>
      </c>
      <c r="O409" s="2" t="s">
        <v>96</v>
      </c>
      <c r="P409" s="6">
        <v>682.95</v>
      </c>
      <c r="Q409" s="6"/>
      <c r="R409" s="7"/>
      <c r="S409" s="2">
        <v>71</v>
      </c>
      <c r="U409" s="2">
        <v>16.5</v>
      </c>
      <c r="V409" s="2">
        <v>10</v>
      </c>
      <c r="W409" s="2">
        <v>17.350000000000001</v>
      </c>
      <c r="X409" s="2">
        <v>1</v>
      </c>
      <c r="Y409" s="2">
        <v>43.3</v>
      </c>
      <c r="Z409" s="2">
        <v>12.99</v>
      </c>
      <c r="AA409" s="2">
        <v>7.28</v>
      </c>
      <c r="AB409" s="2">
        <v>2.37</v>
      </c>
      <c r="AC409" s="2">
        <v>20.7</v>
      </c>
      <c r="AE409" s="2">
        <v>1</v>
      </c>
      <c r="AF409" s="2" t="s">
        <v>347</v>
      </c>
      <c r="AG409" s="2">
        <v>25</v>
      </c>
      <c r="AH409" s="2">
        <v>1</v>
      </c>
      <c r="AI409" s="2" t="s">
        <v>347</v>
      </c>
      <c r="AJ409" s="2">
        <v>8</v>
      </c>
      <c r="AK409" s="2" t="s">
        <v>96</v>
      </c>
      <c r="AM409" s="2" t="s">
        <v>95</v>
      </c>
      <c r="AN409" s="2" t="s">
        <v>96</v>
      </c>
      <c r="AO409" s="2" t="s">
        <v>95</v>
      </c>
      <c r="AP409" s="2" t="s">
        <v>97</v>
      </c>
      <c r="AQ409" s="2" t="s">
        <v>98</v>
      </c>
      <c r="AV409" s="2" t="s">
        <v>95</v>
      </c>
      <c r="AX409" s="2" t="s">
        <v>2032</v>
      </c>
      <c r="AZ409" s="2" t="s">
        <v>449</v>
      </c>
      <c r="BB409" s="2" t="s">
        <v>348</v>
      </c>
      <c r="BF409" s="2" t="s">
        <v>2050</v>
      </c>
      <c r="BG409" s="2" t="s">
        <v>95</v>
      </c>
      <c r="BH409" s="2" t="s">
        <v>95</v>
      </c>
      <c r="BI409" s="2" t="s">
        <v>95</v>
      </c>
      <c r="BK409" s="2" t="s">
        <v>100</v>
      </c>
      <c r="CA409" s="2" t="s">
        <v>2028</v>
      </c>
      <c r="CB409" s="2" t="s">
        <v>2032</v>
      </c>
      <c r="CG409" s="2">
        <v>3000</v>
      </c>
      <c r="CH409" s="2">
        <v>82</v>
      </c>
      <c r="CI409" s="2">
        <v>3539.9</v>
      </c>
      <c r="CJ409" s="2">
        <v>2733.3</v>
      </c>
      <c r="CK409" s="2">
        <v>30000</v>
      </c>
      <c r="CL409" s="2" t="s">
        <v>96</v>
      </c>
      <c r="CM409" s="2" t="s">
        <v>95</v>
      </c>
      <c r="CN409" s="2" t="s">
        <v>2051</v>
      </c>
      <c r="CO409" s="3">
        <v>42951</v>
      </c>
      <c r="CP409" s="3">
        <v>43634</v>
      </c>
    </row>
    <row r="410" spans="1:94" x14ac:dyDescent="0.25">
      <c r="A410" s="2" t="s">
        <v>2052</v>
      </c>
      <c r="B410" s="2" t="str">
        <f xml:space="preserve"> "" &amp; 844349017394</f>
        <v>844349017394</v>
      </c>
      <c r="C410" s="2" t="s">
        <v>1466</v>
      </c>
      <c r="D410" s="2" t="s">
        <v>2010</v>
      </c>
      <c r="F410" s="2" t="s">
        <v>1429</v>
      </c>
      <c r="G410" s="2">
        <v>1</v>
      </c>
      <c r="H410" s="2">
        <v>1</v>
      </c>
      <c r="I410" s="2" t="s">
        <v>94</v>
      </c>
      <c r="J410" s="6">
        <v>99</v>
      </c>
      <c r="K410" s="6">
        <v>297</v>
      </c>
      <c r="L410" s="2">
        <v>0</v>
      </c>
      <c r="N410" s="2">
        <v>0</v>
      </c>
      <c r="O410" s="2" t="s">
        <v>96</v>
      </c>
      <c r="P410" s="6">
        <v>207.95</v>
      </c>
      <c r="Q410" s="6"/>
      <c r="R410" s="7"/>
      <c r="S410" s="2">
        <v>33</v>
      </c>
      <c r="U410" s="2">
        <v>9.75</v>
      </c>
      <c r="V410" s="2">
        <v>8</v>
      </c>
      <c r="W410" s="2">
        <v>9.3699999999999992</v>
      </c>
      <c r="X410" s="2">
        <v>1</v>
      </c>
      <c r="Y410" s="2">
        <v>24</v>
      </c>
      <c r="Z410" s="2">
        <v>10.88</v>
      </c>
      <c r="AA410" s="2">
        <v>9.6300000000000008</v>
      </c>
      <c r="AB410" s="2">
        <v>1.4550000000000001</v>
      </c>
      <c r="AC410" s="2">
        <v>18.739999999999998</v>
      </c>
      <c r="AE410" s="2">
        <v>1</v>
      </c>
      <c r="AF410" s="2" t="s">
        <v>347</v>
      </c>
      <c r="AG410" s="2">
        <v>10</v>
      </c>
      <c r="AK410" s="2" t="s">
        <v>96</v>
      </c>
      <c r="AM410" s="2" t="s">
        <v>95</v>
      </c>
      <c r="AN410" s="2" t="s">
        <v>96</v>
      </c>
      <c r="AO410" s="2" t="s">
        <v>95</v>
      </c>
      <c r="AP410" s="2" t="s">
        <v>97</v>
      </c>
      <c r="AQ410" s="2" t="s">
        <v>98</v>
      </c>
      <c r="AV410" s="2" t="s">
        <v>95</v>
      </c>
      <c r="AX410" s="2" t="s">
        <v>395</v>
      </c>
      <c r="AZ410" s="2" t="s">
        <v>342</v>
      </c>
      <c r="BB410" s="2" t="s">
        <v>212</v>
      </c>
      <c r="BC410" s="2" t="s">
        <v>2053</v>
      </c>
      <c r="BF410" s="2" t="s">
        <v>2054</v>
      </c>
      <c r="BG410" s="2" t="s">
        <v>95</v>
      </c>
      <c r="BH410" s="2" t="s">
        <v>95</v>
      </c>
      <c r="BI410" s="2" t="s">
        <v>95</v>
      </c>
      <c r="BK410" s="2" t="s">
        <v>100</v>
      </c>
      <c r="CA410" s="2" t="s">
        <v>2055</v>
      </c>
      <c r="CB410" s="2" t="s">
        <v>395</v>
      </c>
      <c r="CG410" s="2">
        <v>3000</v>
      </c>
      <c r="CH410" s="2">
        <v>83</v>
      </c>
      <c r="CI410" s="2">
        <v>573.72</v>
      </c>
      <c r="CJ410" s="2">
        <v>433.4</v>
      </c>
      <c r="CK410" s="2">
        <v>30000</v>
      </c>
      <c r="CL410" s="2" t="s">
        <v>96</v>
      </c>
      <c r="CM410" s="2" t="s">
        <v>95</v>
      </c>
      <c r="CN410" s="2" t="s">
        <v>2016</v>
      </c>
      <c r="CO410" s="3">
        <v>42066</v>
      </c>
      <c r="CP410" s="3">
        <v>43634</v>
      </c>
    </row>
    <row r="411" spans="1:94" x14ac:dyDescent="0.25">
      <c r="A411" s="2" t="s">
        <v>2056</v>
      </c>
      <c r="B411" s="2" t="str">
        <f xml:space="preserve"> "" &amp; 844349017400</f>
        <v>844349017400</v>
      </c>
      <c r="C411" s="2" t="s">
        <v>1666</v>
      </c>
      <c r="D411" s="2" t="s">
        <v>1666</v>
      </c>
      <c r="F411" s="2" t="s">
        <v>426</v>
      </c>
      <c r="G411" s="2">
        <v>1</v>
      </c>
      <c r="H411" s="2">
        <v>1</v>
      </c>
      <c r="I411" s="2" t="s">
        <v>94</v>
      </c>
      <c r="J411" s="6">
        <v>119</v>
      </c>
      <c r="K411" s="6">
        <v>357</v>
      </c>
      <c r="L411" s="2">
        <v>0</v>
      </c>
      <c r="N411" s="2">
        <v>0</v>
      </c>
      <c r="O411" s="2" t="s">
        <v>96</v>
      </c>
      <c r="P411" s="6">
        <v>249.95</v>
      </c>
      <c r="Q411" s="6"/>
      <c r="R411" s="7"/>
      <c r="S411" s="2">
        <v>50</v>
      </c>
      <c r="U411" s="2">
        <v>11.75</v>
      </c>
      <c r="V411" s="2">
        <v>9</v>
      </c>
      <c r="W411" s="2">
        <v>10.93</v>
      </c>
      <c r="X411" s="2">
        <v>1</v>
      </c>
      <c r="Y411" s="2">
        <v>35.25</v>
      </c>
      <c r="Z411" s="2">
        <v>11.25</v>
      </c>
      <c r="AA411" s="2">
        <v>4.5</v>
      </c>
      <c r="AB411" s="2">
        <v>1.0329999999999999</v>
      </c>
      <c r="AC411" s="2">
        <v>13.23</v>
      </c>
      <c r="AE411" s="2">
        <v>1</v>
      </c>
      <c r="AF411" s="2" t="s">
        <v>347</v>
      </c>
      <c r="AG411" s="2">
        <v>10</v>
      </c>
      <c r="AK411" s="2" t="s">
        <v>96</v>
      </c>
      <c r="AM411" s="2" t="s">
        <v>95</v>
      </c>
      <c r="AN411" s="2" t="s">
        <v>96</v>
      </c>
      <c r="AO411" s="2" t="s">
        <v>95</v>
      </c>
      <c r="AP411" s="2" t="s">
        <v>97</v>
      </c>
      <c r="AQ411" s="2" t="s">
        <v>98</v>
      </c>
      <c r="AV411" s="2" t="s">
        <v>95</v>
      </c>
      <c r="AX411" s="2" t="s">
        <v>395</v>
      </c>
      <c r="AZ411" s="2" t="s">
        <v>342</v>
      </c>
      <c r="BB411" s="2" t="s">
        <v>212</v>
      </c>
      <c r="BC411" s="2" t="s">
        <v>2053</v>
      </c>
      <c r="BF411" s="2" t="s">
        <v>2057</v>
      </c>
      <c r="BG411" s="2" t="s">
        <v>95</v>
      </c>
      <c r="BH411" s="2" t="s">
        <v>95</v>
      </c>
      <c r="BI411" s="2" t="s">
        <v>95</v>
      </c>
      <c r="BK411" s="2" t="s">
        <v>100</v>
      </c>
      <c r="CA411" s="2" t="s">
        <v>2058</v>
      </c>
      <c r="CB411" s="2" t="s">
        <v>395</v>
      </c>
      <c r="CG411" s="2">
        <v>3000</v>
      </c>
      <c r="CH411" s="2">
        <v>83</v>
      </c>
      <c r="CI411" s="2">
        <v>610.70000000000005</v>
      </c>
      <c r="CJ411" s="2">
        <v>573.72</v>
      </c>
      <c r="CK411" s="2">
        <v>30000</v>
      </c>
      <c r="CL411" s="2" t="s">
        <v>96</v>
      </c>
      <c r="CM411" s="2" t="s">
        <v>95</v>
      </c>
      <c r="CN411" s="2" t="s">
        <v>2016</v>
      </c>
      <c r="CO411" s="3">
        <v>42066</v>
      </c>
      <c r="CP411" s="3">
        <v>43634</v>
      </c>
    </row>
    <row r="412" spans="1:94" x14ac:dyDescent="0.25">
      <c r="A412" s="2" t="s">
        <v>2059</v>
      </c>
      <c r="B412" s="2" t="str">
        <f xml:space="preserve"> "" &amp; 874944001672</f>
        <v>874944001672</v>
      </c>
      <c r="C412" s="2" t="s">
        <v>439</v>
      </c>
      <c r="D412" s="2" t="s">
        <v>3670</v>
      </c>
      <c r="E412" s="2" t="s">
        <v>3708</v>
      </c>
      <c r="F412" s="2" t="s">
        <v>393</v>
      </c>
      <c r="G412" s="2">
        <v>1</v>
      </c>
      <c r="H412" s="2">
        <v>1</v>
      </c>
      <c r="I412" s="2" t="s">
        <v>94</v>
      </c>
      <c r="J412" s="6">
        <v>219</v>
      </c>
      <c r="K412" s="6">
        <v>657</v>
      </c>
      <c r="L412" s="2">
        <v>0</v>
      </c>
      <c r="N412" s="2">
        <v>0</v>
      </c>
      <c r="O412" s="2" t="s">
        <v>96</v>
      </c>
      <c r="P412" s="6">
        <v>459.95</v>
      </c>
      <c r="Q412" s="6"/>
      <c r="R412" s="7"/>
      <c r="S412" s="2">
        <v>8.75</v>
      </c>
      <c r="U412" s="2">
        <v>25.25</v>
      </c>
      <c r="W412" s="2">
        <v>16.309999999999999</v>
      </c>
      <c r="X412" s="2">
        <v>1</v>
      </c>
      <c r="Y412" s="2">
        <v>13.75</v>
      </c>
      <c r="Z412" s="2">
        <v>28.25</v>
      </c>
      <c r="AA412" s="2">
        <v>28.25</v>
      </c>
      <c r="AB412" s="2">
        <v>6.35</v>
      </c>
      <c r="AC412" s="2">
        <v>27.45</v>
      </c>
      <c r="AE412" s="2">
        <v>3</v>
      </c>
      <c r="AF412" s="2" t="s">
        <v>394</v>
      </c>
      <c r="AG412" s="2">
        <v>100</v>
      </c>
      <c r="AH412" s="2">
        <v>0</v>
      </c>
      <c r="AJ412" s="2">
        <v>0</v>
      </c>
      <c r="AK412" s="2" t="s">
        <v>95</v>
      </c>
      <c r="AM412" s="2" t="s">
        <v>95</v>
      </c>
      <c r="AN412" s="2" t="s">
        <v>95</v>
      </c>
      <c r="AO412" s="2" t="s">
        <v>96</v>
      </c>
      <c r="AP412" s="2" t="s">
        <v>97</v>
      </c>
      <c r="AQ412" s="2" t="s">
        <v>98</v>
      </c>
      <c r="AV412" s="2" t="s">
        <v>95</v>
      </c>
      <c r="AX412" s="2" t="s">
        <v>395</v>
      </c>
      <c r="AZ412" s="2" t="s">
        <v>342</v>
      </c>
      <c r="BB412" s="2" t="s">
        <v>2060</v>
      </c>
      <c r="BC412" s="2" t="s">
        <v>2061</v>
      </c>
      <c r="BF412" s="2" t="s">
        <v>2062</v>
      </c>
      <c r="BG412" s="2" t="s">
        <v>95</v>
      </c>
      <c r="BH412" s="2" t="s">
        <v>95</v>
      </c>
      <c r="BI412" s="2" t="s">
        <v>95</v>
      </c>
      <c r="BK412" s="2" t="s">
        <v>100</v>
      </c>
      <c r="BQ412" s="2">
        <v>7.25</v>
      </c>
      <c r="CA412" s="2" t="s">
        <v>2063</v>
      </c>
      <c r="CB412" s="2" t="s">
        <v>395</v>
      </c>
      <c r="CL412" s="2" t="s">
        <v>96</v>
      </c>
      <c r="CM412" s="2" t="s">
        <v>96</v>
      </c>
      <c r="CN412" s="2" t="s">
        <v>2064</v>
      </c>
      <c r="CO412" s="3">
        <v>39687</v>
      </c>
      <c r="CP412" s="3">
        <v>43634</v>
      </c>
    </row>
    <row r="413" spans="1:94" x14ac:dyDescent="0.25">
      <c r="A413" s="2" t="s">
        <v>2065</v>
      </c>
      <c r="B413" s="2" t="str">
        <f xml:space="preserve"> "" &amp; 844349021438</f>
        <v>844349021438</v>
      </c>
      <c r="C413" s="2" t="s">
        <v>2066</v>
      </c>
      <c r="D413" s="2" t="s">
        <v>3700</v>
      </c>
      <c r="E413" s="2" t="s">
        <v>2067</v>
      </c>
      <c r="F413" s="2" t="s">
        <v>1429</v>
      </c>
      <c r="G413" s="2">
        <v>1</v>
      </c>
      <c r="H413" s="2">
        <v>1</v>
      </c>
      <c r="I413" s="2" t="s">
        <v>94</v>
      </c>
      <c r="J413" s="6">
        <v>89</v>
      </c>
      <c r="K413" s="6">
        <v>267</v>
      </c>
      <c r="L413" s="2">
        <v>0</v>
      </c>
      <c r="N413" s="2">
        <v>0</v>
      </c>
      <c r="O413" s="2" t="s">
        <v>96</v>
      </c>
      <c r="P413" s="6">
        <v>186.95</v>
      </c>
      <c r="Q413" s="6"/>
      <c r="R413" s="7"/>
      <c r="S413" s="2">
        <v>19.5</v>
      </c>
      <c r="T413" s="2">
        <v>13.5</v>
      </c>
      <c r="U413" s="2">
        <v>10</v>
      </c>
      <c r="W413" s="2">
        <v>6.28</v>
      </c>
      <c r="X413" s="2">
        <v>1</v>
      </c>
      <c r="Y413" s="2">
        <v>11.5</v>
      </c>
      <c r="Z413" s="2">
        <v>22</v>
      </c>
      <c r="AA413" s="2">
        <v>11.5</v>
      </c>
      <c r="AB413" s="2">
        <v>1.6839999999999999</v>
      </c>
      <c r="AC413" s="2">
        <v>9.48</v>
      </c>
      <c r="AE413" s="2">
        <v>1</v>
      </c>
      <c r="AF413" s="2" t="s">
        <v>1430</v>
      </c>
      <c r="AG413" s="2">
        <v>10</v>
      </c>
      <c r="AK413" s="2" t="s">
        <v>96</v>
      </c>
      <c r="AM413" s="2" t="s">
        <v>95</v>
      </c>
      <c r="AN413" s="2" t="s">
        <v>96</v>
      </c>
      <c r="AO413" s="2" t="s">
        <v>95</v>
      </c>
      <c r="AP413" s="2" t="s">
        <v>97</v>
      </c>
      <c r="AQ413" s="2" t="s">
        <v>98</v>
      </c>
      <c r="AV413" s="2" t="s">
        <v>95</v>
      </c>
      <c r="AX413" s="2" t="s">
        <v>116</v>
      </c>
      <c r="AZ413" s="2" t="s">
        <v>449</v>
      </c>
      <c r="BB413" s="2" t="s">
        <v>2068</v>
      </c>
      <c r="BC413" s="2" t="s">
        <v>379</v>
      </c>
      <c r="BF413" s="2" t="s">
        <v>2069</v>
      </c>
      <c r="BG413" s="2" t="s">
        <v>95</v>
      </c>
      <c r="BH413" s="2" t="s">
        <v>95</v>
      </c>
      <c r="BI413" s="2" t="s">
        <v>95</v>
      </c>
      <c r="BK413" s="2" t="s">
        <v>100</v>
      </c>
      <c r="CA413" s="2" t="s">
        <v>2070</v>
      </c>
      <c r="CB413" s="2" t="s">
        <v>116</v>
      </c>
      <c r="CL413" s="2" t="s">
        <v>96</v>
      </c>
      <c r="CM413" s="2" t="s">
        <v>95</v>
      </c>
      <c r="CN413" s="2" t="s">
        <v>2071</v>
      </c>
      <c r="CO413" s="3">
        <v>42464</v>
      </c>
      <c r="CP413" s="3">
        <v>43634</v>
      </c>
    </row>
    <row r="414" spans="1:94" x14ac:dyDescent="0.25">
      <c r="A414" s="2" t="s">
        <v>2072</v>
      </c>
      <c r="B414" s="2" t="str">
        <f xml:space="preserve"> "" &amp; 844349010920</f>
        <v>844349010920</v>
      </c>
      <c r="C414" s="2" t="s">
        <v>2073</v>
      </c>
      <c r="D414" s="2" t="s">
        <v>3707</v>
      </c>
      <c r="E414" s="2" t="s">
        <v>2074</v>
      </c>
      <c r="F414" s="2" t="s">
        <v>1989</v>
      </c>
      <c r="G414" s="2">
        <v>1</v>
      </c>
      <c r="H414" s="2">
        <v>1</v>
      </c>
      <c r="I414" s="2" t="s">
        <v>94</v>
      </c>
      <c r="J414" s="6">
        <v>550</v>
      </c>
      <c r="K414" s="6">
        <v>1650</v>
      </c>
      <c r="L414" s="2">
        <v>0</v>
      </c>
      <c r="N414" s="2">
        <v>0</v>
      </c>
      <c r="Q414" s="6"/>
      <c r="R414" s="7"/>
      <c r="S414" s="2">
        <v>70</v>
      </c>
      <c r="U414" s="2">
        <v>16</v>
      </c>
      <c r="W414" s="2">
        <v>41</v>
      </c>
      <c r="X414" s="2">
        <v>2</v>
      </c>
      <c r="Y414" s="2">
        <v>23</v>
      </c>
      <c r="Z414" s="2">
        <v>27</v>
      </c>
      <c r="AA414" s="2">
        <v>27</v>
      </c>
      <c r="AB414" s="2">
        <v>9.7029999999999994</v>
      </c>
      <c r="AC414" s="2">
        <v>41</v>
      </c>
      <c r="AK414" s="2" t="s">
        <v>95</v>
      </c>
      <c r="AM414" s="2" t="s">
        <v>95</v>
      </c>
      <c r="AN414" s="2" t="s">
        <v>95</v>
      </c>
      <c r="AO414" s="2" t="s">
        <v>95</v>
      </c>
      <c r="AP414" s="2" t="s">
        <v>97</v>
      </c>
      <c r="AV414" s="2" t="s">
        <v>95</v>
      </c>
      <c r="AX414" s="2" t="s">
        <v>395</v>
      </c>
      <c r="AZ414" s="2" t="s">
        <v>342</v>
      </c>
      <c r="BF414" s="2" t="s">
        <v>2075</v>
      </c>
      <c r="BG414" s="2" t="s">
        <v>95</v>
      </c>
      <c r="BH414" s="2" t="s">
        <v>95</v>
      </c>
      <c r="BI414" s="2" t="s">
        <v>95</v>
      </c>
      <c r="BK414" s="2" t="s">
        <v>100</v>
      </c>
      <c r="CB414" s="2" t="s">
        <v>395</v>
      </c>
      <c r="CL414" s="2" t="s">
        <v>95</v>
      </c>
      <c r="CM414" s="2" t="s">
        <v>95</v>
      </c>
      <c r="CN414" s="2" t="s">
        <v>937</v>
      </c>
      <c r="CP414" s="3">
        <v>43634</v>
      </c>
    </row>
    <row r="415" spans="1:94" x14ac:dyDescent="0.25">
      <c r="A415" s="2" t="s">
        <v>2076</v>
      </c>
      <c r="B415" s="2" t="str">
        <f xml:space="preserve"> "" &amp; 844349018988</f>
        <v>844349018988</v>
      </c>
      <c r="C415" s="2" t="s">
        <v>2073</v>
      </c>
      <c r="D415" s="2" t="s">
        <v>3707</v>
      </c>
      <c r="E415" s="2" t="s">
        <v>2074</v>
      </c>
      <c r="F415" s="2" t="s">
        <v>1989</v>
      </c>
      <c r="G415" s="2">
        <v>1</v>
      </c>
      <c r="H415" s="2">
        <v>1</v>
      </c>
      <c r="I415" s="2" t="s">
        <v>94</v>
      </c>
      <c r="J415" s="6">
        <v>476</v>
      </c>
      <c r="K415" s="6">
        <v>1428</v>
      </c>
      <c r="L415" s="2">
        <v>0</v>
      </c>
      <c r="N415" s="2">
        <v>0</v>
      </c>
      <c r="O415" s="2" t="s">
        <v>96</v>
      </c>
      <c r="P415" s="6">
        <v>999.95</v>
      </c>
      <c r="Q415" s="6"/>
      <c r="R415" s="7"/>
      <c r="S415" s="2">
        <v>68</v>
      </c>
      <c r="U415" s="2">
        <v>17</v>
      </c>
      <c r="W415" s="2">
        <v>41</v>
      </c>
      <c r="X415" s="2">
        <v>2</v>
      </c>
      <c r="Y415" s="2">
        <v>14</v>
      </c>
      <c r="Z415" s="2">
        <v>27</v>
      </c>
      <c r="AA415" s="2">
        <v>27</v>
      </c>
      <c r="AB415" s="2">
        <v>5.9059999999999997</v>
      </c>
      <c r="AC415" s="2">
        <v>41</v>
      </c>
      <c r="AE415" s="2">
        <v>1</v>
      </c>
      <c r="AF415" s="2" t="s">
        <v>474</v>
      </c>
      <c r="AG415" s="2">
        <v>100</v>
      </c>
      <c r="AH415" s="2">
        <v>1</v>
      </c>
      <c r="AI415" s="2" t="s">
        <v>2077</v>
      </c>
      <c r="AJ415" s="2">
        <v>13</v>
      </c>
      <c r="AK415" s="2" t="s">
        <v>95</v>
      </c>
      <c r="AM415" s="2" t="s">
        <v>95</v>
      </c>
      <c r="AN415" s="2" t="s">
        <v>95</v>
      </c>
      <c r="AO415" s="2" t="s">
        <v>95</v>
      </c>
      <c r="AP415" s="2" t="s">
        <v>97</v>
      </c>
      <c r="AQ415" s="2" t="s">
        <v>98</v>
      </c>
      <c r="AV415" s="2" t="s">
        <v>95</v>
      </c>
      <c r="AX415" s="2" t="s">
        <v>395</v>
      </c>
      <c r="AZ415" s="2" t="s">
        <v>342</v>
      </c>
      <c r="BC415" s="2" t="s">
        <v>2078</v>
      </c>
      <c r="BF415" s="2" t="s">
        <v>2079</v>
      </c>
      <c r="BG415" s="2" t="s">
        <v>95</v>
      </c>
      <c r="BH415" s="2" t="s">
        <v>95</v>
      </c>
      <c r="BI415" s="2" t="s">
        <v>95</v>
      </c>
      <c r="CA415" s="2" t="s">
        <v>2080</v>
      </c>
      <c r="CB415" s="2" t="s">
        <v>395</v>
      </c>
      <c r="CL415" s="2" t="s">
        <v>95</v>
      </c>
      <c r="CM415" s="2" t="s">
        <v>95</v>
      </c>
      <c r="CN415" s="2" t="s">
        <v>2081</v>
      </c>
      <c r="CO415" s="3">
        <v>42037</v>
      </c>
      <c r="CP415" s="3">
        <v>43634</v>
      </c>
    </row>
    <row r="416" spans="1:94" x14ac:dyDescent="0.25">
      <c r="A416" s="2" t="s">
        <v>2082</v>
      </c>
      <c r="B416" s="2" t="str">
        <f xml:space="preserve"> "" &amp; 870540001375</f>
        <v>870540001375</v>
      </c>
      <c r="C416" s="2" t="s">
        <v>2083</v>
      </c>
      <c r="D416" s="2" t="s">
        <v>3705</v>
      </c>
      <c r="E416" s="2" t="s">
        <v>2074</v>
      </c>
      <c r="F416" s="2" t="s">
        <v>1989</v>
      </c>
      <c r="G416" s="2">
        <v>1</v>
      </c>
      <c r="H416" s="2">
        <v>1</v>
      </c>
      <c r="I416" s="2" t="s">
        <v>94</v>
      </c>
      <c r="J416" s="6">
        <v>450</v>
      </c>
      <c r="K416" s="6">
        <v>1350</v>
      </c>
      <c r="L416" s="2">
        <v>0</v>
      </c>
      <c r="N416" s="2">
        <v>0</v>
      </c>
      <c r="Q416" s="6"/>
      <c r="R416" s="7"/>
      <c r="S416" s="2">
        <v>68</v>
      </c>
      <c r="U416" s="2">
        <v>17</v>
      </c>
      <c r="W416" s="2">
        <v>28.2</v>
      </c>
      <c r="X416" s="2">
        <v>2</v>
      </c>
      <c r="Y416" s="2">
        <v>14</v>
      </c>
      <c r="Z416" s="2">
        <v>27</v>
      </c>
      <c r="AA416" s="2">
        <v>27</v>
      </c>
      <c r="AB416" s="2">
        <v>5.9059999999999997</v>
      </c>
      <c r="AC416" s="2">
        <v>97.68</v>
      </c>
      <c r="AE416" s="2">
        <v>1</v>
      </c>
      <c r="AF416" s="2" t="s">
        <v>474</v>
      </c>
      <c r="AG416" s="2">
        <v>100</v>
      </c>
      <c r="AH416" s="2">
        <v>1</v>
      </c>
      <c r="AI416" s="2" t="s">
        <v>2077</v>
      </c>
      <c r="AJ416" s="2">
        <v>13</v>
      </c>
      <c r="AK416" s="2" t="s">
        <v>95</v>
      </c>
      <c r="AM416" s="2" t="s">
        <v>95</v>
      </c>
      <c r="AN416" s="2" t="s">
        <v>95</v>
      </c>
      <c r="AO416" s="2" t="s">
        <v>96</v>
      </c>
      <c r="AP416" s="2" t="s">
        <v>428</v>
      </c>
      <c r="AQ416" s="2" t="s">
        <v>98</v>
      </c>
      <c r="AV416" s="2" t="s">
        <v>95</v>
      </c>
      <c r="AX416" s="2" t="s">
        <v>395</v>
      </c>
      <c r="AZ416" s="2" t="s">
        <v>483</v>
      </c>
      <c r="BB416" s="2" t="s">
        <v>54</v>
      </c>
      <c r="BF416" s="2" t="s">
        <v>2084</v>
      </c>
      <c r="BG416" s="2" t="s">
        <v>95</v>
      </c>
      <c r="BH416" s="2" t="s">
        <v>95</v>
      </c>
      <c r="BI416" s="2" t="s">
        <v>95</v>
      </c>
      <c r="BK416" s="2" t="s">
        <v>100</v>
      </c>
      <c r="CA416" s="2" t="s">
        <v>2085</v>
      </c>
      <c r="CB416" s="2" t="s">
        <v>395</v>
      </c>
      <c r="CL416" s="2" t="s">
        <v>95</v>
      </c>
      <c r="CM416" s="2" t="s">
        <v>95</v>
      </c>
      <c r="CN416" s="2" t="s">
        <v>937</v>
      </c>
      <c r="CO416" s="3">
        <v>37959</v>
      </c>
      <c r="CP416" s="3">
        <v>43634</v>
      </c>
    </row>
    <row r="417" spans="1:94" x14ac:dyDescent="0.25">
      <c r="A417" s="2" t="s">
        <v>2086</v>
      </c>
      <c r="B417" s="2" t="str">
        <f xml:space="preserve"> "" &amp; 844349014935</f>
        <v>844349014935</v>
      </c>
      <c r="C417" s="2" t="s">
        <v>515</v>
      </c>
      <c r="D417" s="2" t="s">
        <v>3704</v>
      </c>
      <c r="E417" s="2" t="s">
        <v>2074</v>
      </c>
      <c r="F417" s="2" t="s">
        <v>1429</v>
      </c>
      <c r="G417" s="2">
        <v>1</v>
      </c>
      <c r="H417" s="2">
        <v>1</v>
      </c>
      <c r="I417" s="2" t="s">
        <v>94</v>
      </c>
      <c r="J417" s="6">
        <v>395</v>
      </c>
      <c r="K417" s="6">
        <v>1185</v>
      </c>
      <c r="L417" s="2">
        <v>0</v>
      </c>
      <c r="N417" s="2">
        <v>0</v>
      </c>
      <c r="Q417" s="6"/>
      <c r="R417" s="7"/>
      <c r="S417" s="2">
        <v>18</v>
      </c>
      <c r="U417" s="2">
        <v>16</v>
      </c>
      <c r="W417" s="2">
        <v>22</v>
      </c>
      <c r="X417" s="2">
        <v>1</v>
      </c>
      <c r="Y417" s="2">
        <v>23</v>
      </c>
      <c r="Z417" s="2">
        <v>27</v>
      </c>
      <c r="AA417" s="2">
        <v>27</v>
      </c>
      <c r="AB417" s="2">
        <v>9.7029999999999994</v>
      </c>
      <c r="AC417" s="2">
        <v>22</v>
      </c>
      <c r="AE417" s="2">
        <v>1</v>
      </c>
      <c r="AF417" s="2" t="s">
        <v>2087</v>
      </c>
      <c r="AG417" s="2">
        <v>100</v>
      </c>
      <c r="AK417" s="2" t="s">
        <v>95</v>
      </c>
      <c r="AM417" s="2" t="s">
        <v>95</v>
      </c>
      <c r="AN417" s="2" t="s">
        <v>95</v>
      </c>
      <c r="AO417" s="2" t="s">
        <v>95</v>
      </c>
      <c r="AP417" s="2" t="s">
        <v>97</v>
      </c>
      <c r="AQ417" s="2" t="s">
        <v>98</v>
      </c>
      <c r="AV417" s="2" t="s">
        <v>95</v>
      </c>
      <c r="AX417" s="2" t="s">
        <v>395</v>
      </c>
      <c r="AZ417" s="2" t="s">
        <v>342</v>
      </c>
      <c r="BF417" s="2" t="s">
        <v>2088</v>
      </c>
      <c r="BG417" s="2" t="s">
        <v>95</v>
      </c>
      <c r="BH417" s="2" t="s">
        <v>95</v>
      </c>
      <c r="BI417" s="2" t="s">
        <v>95</v>
      </c>
      <c r="BK417" s="2" t="s">
        <v>100</v>
      </c>
      <c r="CA417" s="2" t="s">
        <v>2089</v>
      </c>
      <c r="CB417" s="2" t="s">
        <v>395</v>
      </c>
      <c r="CL417" s="2" t="s">
        <v>95</v>
      </c>
      <c r="CM417" s="2" t="s">
        <v>95</v>
      </c>
      <c r="CN417" s="2" t="s">
        <v>2081</v>
      </c>
      <c r="CP417" s="3">
        <v>43634</v>
      </c>
    </row>
    <row r="418" spans="1:94" x14ac:dyDescent="0.25">
      <c r="A418" s="2" t="s">
        <v>2090</v>
      </c>
      <c r="B418" s="2" t="str">
        <f xml:space="preserve"> "" &amp; 844349014928</f>
        <v>844349014928</v>
      </c>
      <c r="C418" s="2" t="s">
        <v>2073</v>
      </c>
      <c r="D418" s="2" t="s">
        <v>3705</v>
      </c>
      <c r="E418" s="2" t="s">
        <v>2074</v>
      </c>
      <c r="F418" s="2" t="s">
        <v>1989</v>
      </c>
      <c r="G418" s="2">
        <v>1</v>
      </c>
      <c r="H418" s="2">
        <v>1</v>
      </c>
      <c r="I418" s="2" t="s">
        <v>94</v>
      </c>
      <c r="J418" s="6">
        <v>616</v>
      </c>
      <c r="K418" s="6">
        <v>1848</v>
      </c>
      <c r="L418" s="2">
        <v>0</v>
      </c>
      <c r="N418" s="2">
        <v>0</v>
      </c>
      <c r="O418" s="2" t="s">
        <v>96</v>
      </c>
      <c r="P418" s="6">
        <v>1294.95</v>
      </c>
      <c r="Q418" s="6"/>
      <c r="R418" s="7"/>
      <c r="S418" s="2">
        <v>70</v>
      </c>
      <c r="U418" s="2">
        <v>16</v>
      </c>
      <c r="W418" s="2">
        <v>41</v>
      </c>
      <c r="X418" s="2">
        <v>2</v>
      </c>
      <c r="Y418" s="2">
        <v>14</v>
      </c>
      <c r="Z418" s="2">
        <v>27</v>
      </c>
      <c r="AA418" s="2">
        <v>27</v>
      </c>
      <c r="AB418" s="2">
        <v>5.9059999999999997</v>
      </c>
      <c r="AC418" s="2">
        <v>41</v>
      </c>
      <c r="AE418" s="2">
        <v>1</v>
      </c>
      <c r="AF418" s="2" t="s">
        <v>474</v>
      </c>
      <c r="AG418" s="2">
        <v>100</v>
      </c>
      <c r="AK418" s="2" t="s">
        <v>95</v>
      </c>
      <c r="AM418" s="2" t="s">
        <v>95</v>
      </c>
      <c r="AN418" s="2" t="s">
        <v>95</v>
      </c>
      <c r="AO418" s="2" t="s">
        <v>95</v>
      </c>
      <c r="AP418" s="2" t="s">
        <v>97</v>
      </c>
      <c r="AQ418" s="2" t="s">
        <v>98</v>
      </c>
      <c r="AV418" s="2" t="s">
        <v>95</v>
      </c>
      <c r="AX418" s="2" t="s">
        <v>395</v>
      </c>
      <c r="AZ418" s="2" t="s">
        <v>342</v>
      </c>
      <c r="BF418" s="2" t="s">
        <v>2091</v>
      </c>
      <c r="BG418" s="2" t="s">
        <v>95</v>
      </c>
      <c r="BH418" s="2" t="s">
        <v>95</v>
      </c>
      <c r="BI418" s="2" t="s">
        <v>95</v>
      </c>
      <c r="BK418" s="2" t="s">
        <v>100</v>
      </c>
      <c r="CA418" s="2" t="s">
        <v>2092</v>
      </c>
      <c r="CB418" s="2" t="s">
        <v>395</v>
      </c>
      <c r="CL418" s="2" t="s">
        <v>95</v>
      </c>
      <c r="CM418" s="2" t="s">
        <v>95</v>
      </c>
      <c r="CN418" s="2" t="s">
        <v>2081</v>
      </c>
      <c r="CP418" s="3">
        <v>43634</v>
      </c>
    </row>
    <row r="419" spans="1:94" x14ac:dyDescent="0.25">
      <c r="A419" s="2" t="s">
        <v>2093</v>
      </c>
      <c r="B419" s="2" t="str">
        <f xml:space="preserve"> "" &amp; 844349014911</f>
        <v>844349014911</v>
      </c>
      <c r="C419" s="2" t="s">
        <v>1812</v>
      </c>
      <c r="D419" s="2" t="s">
        <v>3703</v>
      </c>
      <c r="E419" s="2" t="s">
        <v>2074</v>
      </c>
      <c r="F419" s="2" t="s">
        <v>393</v>
      </c>
      <c r="G419" s="2">
        <v>1</v>
      </c>
      <c r="H419" s="2">
        <v>1</v>
      </c>
      <c r="I419" s="2" t="s">
        <v>94</v>
      </c>
      <c r="J419" s="6">
        <v>375</v>
      </c>
      <c r="K419" s="6">
        <v>1125</v>
      </c>
      <c r="L419" s="2">
        <v>0</v>
      </c>
      <c r="N419" s="2">
        <v>0</v>
      </c>
      <c r="Q419" s="6"/>
      <c r="R419" s="7"/>
      <c r="S419" s="2">
        <v>17</v>
      </c>
      <c r="U419" s="2">
        <v>16</v>
      </c>
      <c r="W419" s="2">
        <v>23</v>
      </c>
      <c r="X419" s="2">
        <v>1</v>
      </c>
      <c r="Y419" s="2">
        <v>23</v>
      </c>
      <c r="Z419" s="2">
        <v>27</v>
      </c>
      <c r="AA419" s="2">
        <v>27</v>
      </c>
      <c r="AB419" s="2">
        <v>9.7029999999999994</v>
      </c>
      <c r="AC419" s="2">
        <v>23</v>
      </c>
      <c r="AE419" s="2">
        <v>1</v>
      </c>
      <c r="AF419" s="2" t="s">
        <v>474</v>
      </c>
      <c r="AG419" s="2">
        <v>100</v>
      </c>
      <c r="AK419" s="2" t="s">
        <v>95</v>
      </c>
      <c r="AM419" s="2" t="s">
        <v>95</v>
      </c>
      <c r="AN419" s="2" t="s">
        <v>95</v>
      </c>
      <c r="AO419" s="2" t="s">
        <v>95</v>
      </c>
      <c r="AP419" s="2" t="s">
        <v>97</v>
      </c>
      <c r="AV419" s="2" t="s">
        <v>95</v>
      </c>
      <c r="AX419" s="2" t="s">
        <v>395</v>
      </c>
      <c r="AZ419" s="2" t="s">
        <v>342</v>
      </c>
      <c r="BB419" s="2" t="s">
        <v>329</v>
      </c>
      <c r="BC419" s="2" t="s">
        <v>451</v>
      </c>
      <c r="BF419" s="2" t="s">
        <v>2094</v>
      </c>
      <c r="BG419" s="2" t="s">
        <v>95</v>
      </c>
      <c r="BH419" s="2" t="s">
        <v>95</v>
      </c>
      <c r="BI419" s="2" t="s">
        <v>95</v>
      </c>
      <c r="BK419" s="2" t="s">
        <v>100</v>
      </c>
      <c r="CA419" s="2" t="s">
        <v>2095</v>
      </c>
      <c r="CB419" s="2" t="s">
        <v>395</v>
      </c>
      <c r="CL419" s="2" t="s">
        <v>95</v>
      </c>
      <c r="CM419" s="2" t="s">
        <v>95</v>
      </c>
      <c r="CN419" s="2" t="s">
        <v>2081</v>
      </c>
      <c r="CP419" s="3">
        <v>43634</v>
      </c>
    </row>
    <row r="420" spans="1:94" x14ac:dyDescent="0.25">
      <c r="A420" s="2" t="s">
        <v>2096</v>
      </c>
      <c r="B420" s="2" t="str">
        <f xml:space="preserve"> "" &amp; 844349012146</f>
        <v>844349012146</v>
      </c>
      <c r="C420" s="2" t="s">
        <v>1812</v>
      </c>
      <c r="D420" s="2" t="s">
        <v>3706</v>
      </c>
      <c r="E420" s="2" t="s">
        <v>2074</v>
      </c>
      <c r="F420" s="2" t="s">
        <v>393</v>
      </c>
      <c r="G420" s="2">
        <v>1</v>
      </c>
      <c r="H420" s="2">
        <v>1</v>
      </c>
      <c r="I420" s="2" t="s">
        <v>94</v>
      </c>
      <c r="J420" s="6">
        <v>420</v>
      </c>
      <c r="K420" s="6">
        <v>1260</v>
      </c>
      <c r="L420" s="2">
        <v>0</v>
      </c>
      <c r="N420" s="2">
        <v>0</v>
      </c>
      <c r="O420" s="2" t="s">
        <v>96</v>
      </c>
      <c r="P420" s="6">
        <v>879.95</v>
      </c>
      <c r="Q420" s="6"/>
      <c r="R420" s="7"/>
      <c r="S420" s="2">
        <v>17</v>
      </c>
      <c r="U420" s="2">
        <v>16</v>
      </c>
      <c r="W420" s="2">
        <v>22</v>
      </c>
      <c r="X420" s="2">
        <v>1</v>
      </c>
      <c r="Y420" s="2">
        <v>23</v>
      </c>
      <c r="Z420" s="2">
        <v>27</v>
      </c>
      <c r="AA420" s="2">
        <v>27</v>
      </c>
      <c r="AB420" s="2">
        <v>9.7029999999999994</v>
      </c>
      <c r="AC420" s="2">
        <v>22</v>
      </c>
      <c r="AE420" s="2">
        <v>1</v>
      </c>
      <c r="AF420" s="2" t="s">
        <v>474</v>
      </c>
      <c r="AG420" s="2">
        <v>100</v>
      </c>
      <c r="AK420" s="2" t="s">
        <v>95</v>
      </c>
      <c r="AM420" s="2" t="s">
        <v>95</v>
      </c>
      <c r="AN420" s="2" t="s">
        <v>95</v>
      </c>
      <c r="AO420" s="2" t="s">
        <v>95</v>
      </c>
      <c r="AP420" s="2" t="s">
        <v>97</v>
      </c>
      <c r="AV420" s="2" t="s">
        <v>95</v>
      </c>
      <c r="AX420" s="2" t="s">
        <v>395</v>
      </c>
      <c r="AZ420" s="2" t="s">
        <v>342</v>
      </c>
      <c r="BB420" s="2" t="s">
        <v>329</v>
      </c>
      <c r="BC420" s="2" t="s">
        <v>451</v>
      </c>
      <c r="BF420" s="2" t="s">
        <v>2097</v>
      </c>
      <c r="BG420" s="2" t="s">
        <v>95</v>
      </c>
      <c r="BH420" s="2" t="s">
        <v>95</v>
      </c>
      <c r="BI420" s="2" t="s">
        <v>95</v>
      </c>
      <c r="BK420" s="2" t="s">
        <v>100</v>
      </c>
      <c r="CB420" s="2" t="s">
        <v>395</v>
      </c>
      <c r="CL420" s="2" t="s">
        <v>95</v>
      </c>
      <c r="CM420" s="2" t="s">
        <v>95</v>
      </c>
      <c r="CN420" s="2" t="s">
        <v>2081</v>
      </c>
      <c r="CP420" s="3">
        <v>43634</v>
      </c>
    </row>
    <row r="421" spans="1:94" x14ac:dyDescent="0.25">
      <c r="A421" s="2" t="s">
        <v>2098</v>
      </c>
      <c r="B421" s="2" t="str">
        <f xml:space="preserve"> "" &amp; 870540001429</f>
        <v>870540001429</v>
      </c>
      <c r="C421" s="2" t="s">
        <v>1812</v>
      </c>
      <c r="D421" s="2" t="s">
        <v>3703</v>
      </c>
      <c r="E421" s="2" t="s">
        <v>2074</v>
      </c>
      <c r="F421" s="2" t="s">
        <v>393</v>
      </c>
      <c r="G421" s="2">
        <v>1</v>
      </c>
      <c r="H421" s="2">
        <v>1</v>
      </c>
      <c r="I421" s="2" t="s">
        <v>94</v>
      </c>
      <c r="J421" s="6">
        <v>336</v>
      </c>
      <c r="K421" s="6">
        <v>1008</v>
      </c>
      <c r="L421" s="2">
        <v>0</v>
      </c>
      <c r="N421" s="2">
        <v>0</v>
      </c>
      <c r="O421" s="2" t="s">
        <v>96</v>
      </c>
      <c r="P421" s="6">
        <v>699.95</v>
      </c>
      <c r="Q421" s="6"/>
      <c r="R421" s="7"/>
      <c r="S421" s="2">
        <v>9.25</v>
      </c>
      <c r="U421" s="2">
        <v>17</v>
      </c>
      <c r="W421" s="2">
        <v>5.63</v>
      </c>
      <c r="X421" s="2">
        <v>1</v>
      </c>
      <c r="Y421" s="2">
        <v>23</v>
      </c>
      <c r="Z421" s="2">
        <v>27</v>
      </c>
      <c r="AA421" s="2">
        <v>27</v>
      </c>
      <c r="AB421" s="2">
        <v>9.7029999999999994</v>
      </c>
      <c r="AC421" s="2">
        <v>5.63</v>
      </c>
      <c r="AE421" s="2">
        <v>1</v>
      </c>
      <c r="AF421" s="2" t="s">
        <v>2099</v>
      </c>
      <c r="AG421" s="2">
        <v>100</v>
      </c>
      <c r="AK421" s="2" t="s">
        <v>95</v>
      </c>
      <c r="AM421" s="2" t="s">
        <v>95</v>
      </c>
      <c r="AN421" s="2" t="s">
        <v>95</v>
      </c>
      <c r="AO421" s="2" t="s">
        <v>95</v>
      </c>
      <c r="AP421" s="2" t="s">
        <v>97</v>
      </c>
      <c r="AV421" s="2" t="s">
        <v>95</v>
      </c>
      <c r="AX421" s="2" t="s">
        <v>395</v>
      </c>
      <c r="AZ421" s="2" t="s">
        <v>342</v>
      </c>
      <c r="BB421" s="2" t="s">
        <v>329</v>
      </c>
      <c r="BC421" s="2" t="s">
        <v>2100</v>
      </c>
      <c r="BF421" s="2" t="s">
        <v>2101</v>
      </c>
      <c r="BG421" s="2" t="s">
        <v>95</v>
      </c>
      <c r="BH421" s="2" t="s">
        <v>95</v>
      </c>
      <c r="BI421" s="2" t="s">
        <v>95</v>
      </c>
      <c r="BK421" s="2" t="s">
        <v>100</v>
      </c>
      <c r="CA421" s="2" t="s">
        <v>2102</v>
      </c>
      <c r="CB421" s="2" t="s">
        <v>395</v>
      </c>
      <c r="CL421" s="2" t="s">
        <v>95</v>
      </c>
      <c r="CM421" s="2" t="s">
        <v>95</v>
      </c>
      <c r="CN421" s="2" t="s">
        <v>460</v>
      </c>
      <c r="CP421" s="3">
        <v>43634</v>
      </c>
    </row>
    <row r="422" spans="1:94" x14ac:dyDescent="0.25">
      <c r="A422" s="2" t="s">
        <v>2103</v>
      </c>
      <c r="B422" s="2" t="str">
        <f xml:space="preserve"> "" &amp; 870540001436</f>
        <v>870540001436</v>
      </c>
      <c r="C422" s="2" t="s">
        <v>1812</v>
      </c>
      <c r="D422" s="2" t="s">
        <v>3703</v>
      </c>
      <c r="E422" s="2" t="s">
        <v>2074</v>
      </c>
      <c r="F422" s="2" t="s">
        <v>393</v>
      </c>
      <c r="G422" s="2">
        <v>1</v>
      </c>
      <c r="H422" s="2">
        <v>1</v>
      </c>
      <c r="I422" s="2" t="s">
        <v>94</v>
      </c>
      <c r="J422" s="6">
        <v>336</v>
      </c>
      <c r="K422" s="6">
        <v>1008</v>
      </c>
      <c r="L422" s="2">
        <v>0</v>
      </c>
      <c r="N422" s="2">
        <v>0</v>
      </c>
      <c r="O422" s="2" t="s">
        <v>96</v>
      </c>
      <c r="P422" s="6">
        <v>699.95</v>
      </c>
      <c r="Q422" s="6"/>
      <c r="R422" s="7"/>
      <c r="S422" s="2">
        <v>9.25</v>
      </c>
      <c r="U422" s="2">
        <v>17</v>
      </c>
      <c r="W422" s="2">
        <v>5.63</v>
      </c>
      <c r="X422" s="2">
        <v>1</v>
      </c>
      <c r="Y422" s="2">
        <v>23</v>
      </c>
      <c r="Z422" s="2">
        <v>27</v>
      </c>
      <c r="AA422" s="2">
        <v>27</v>
      </c>
      <c r="AB422" s="2">
        <v>9.7029999999999994</v>
      </c>
      <c r="AC422" s="2">
        <v>5.63</v>
      </c>
      <c r="AE422" s="2">
        <v>1</v>
      </c>
      <c r="AF422" s="2" t="s">
        <v>474</v>
      </c>
      <c r="AG422" s="2">
        <v>100</v>
      </c>
      <c r="AK422" s="2" t="s">
        <v>95</v>
      </c>
      <c r="AM422" s="2" t="s">
        <v>95</v>
      </c>
      <c r="AN422" s="2" t="s">
        <v>95</v>
      </c>
      <c r="AO422" s="2" t="s">
        <v>95</v>
      </c>
      <c r="AP422" s="2" t="s">
        <v>97</v>
      </c>
      <c r="AV422" s="2" t="s">
        <v>95</v>
      </c>
      <c r="AX422" s="2" t="s">
        <v>395</v>
      </c>
      <c r="AZ422" s="2" t="s">
        <v>342</v>
      </c>
      <c r="BB422" s="2" t="s">
        <v>329</v>
      </c>
      <c r="BC422" s="2" t="s">
        <v>451</v>
      </c>
      <c r="BF422" s="2" t="s">
        <v>2104</v>
      </c>
      <c r="BG422" s="2" t="s">
        <v>95</v>
      </c>
      <c r="BH422" s="2" t="s">
        <v>95</v>
      </c>
      <c r="BI422" s="2" t="s">
        <v>95</v>
      </c>
      <c r="BK422" s="2" t="s">
        <v>100</v>
      </c>
      <c r="CB422" s="2" t="s">
        <v>395</v>
      </c>
      <c r="CL422" s="2" t="s">
        <v>95</v>
      </c>
      <c r="CM422" s="2" t="s">
        <v>95</v>
      </c>
      <c r="CN422" s="2" t="s">
        <v>937</v>
      </c>
      <c r="CP422" s="3">
        <v>43634</v>
      </c>
    </row>
    <row r="423" spans="1:94" x14ac:dyDescent="0.25">
      <c r="A423" s="2" t="s">
        <v>2105</v>
      </c>
      <c r="B423" s="2" t="str">
        <f xml:space="preserve"> "" &amp; 870540001443</f>
        <v>870540001443</v>
      </c>
      <c r="C423" s="2" t="s">
        <v>1812</v>
      </c>
      <c r="D423" s="2" t="s">
        <v>3703</v>
      </c>
      <c r="E423" s="2" t="s">
        <v>2074</v>
      </c>
      <c r="F423" s="2" t="s">
        <v>393</v>
      </c>
      <c r="G423" s="2">
        <v>1</v>
      </c>
      <c r="H423" s="2">
        <v>1</v>
      </c>
      <c r="I423" s="2" t="s">
        <v>94</v>
      </c>
      <c r="J423" s="6">
        <v>336</v>
      </c>
      <c r="K423" s="6">
        <v>1008</v>
      </c>
      <c r="L423" s="2">
        <v>0</v>
      </c>
      <c r="N423" s="2">
        <v>0</v>
      </c>
      <c r="O423" s="2" t="s">
        <v>96</v>
      </c>
      <c r="P423" s="6">
        <v>699.95</v>
      </c>
      <c r="Q423" s="6"/>
      <c r="R423" s="7"/>
      <c r="S423" s="2">
        <v>10.25</v>
      </c>
      <c r="U423" s="2">
        <v>17</v>
      </c>
      <c r="W423" s="2">
        <v>5.63</v>
      </c>
      <c r="X423" s="2">
        <v>1</v>
      </c>
      <c r="Y423" s="2">
        <v>23</v>
      </c>
      <c r="Z423" s="2">
        <v>27</v>
      </c>
      <c r="AA423" s="2">
        <v>27</v>
      </c>
      <c r="AB423" s="2">
        <v>9.7029999999999994</v>
      </c>
      <c r="AC423" s="2">
        <v>5.63</v>
      </c>
      <c r="AE423" s="2">
        <v>1</v>
      </c>
      <c r="AF423" s="2" t="s">
        <v>474</v>
      </c>
      <c r="AG423" s="2">
        <v>100</v>
      </c>
      <c r="AK423" s="2" t="s">
        <v>95</v>
      </c>
      <c r="AM423" s="2" t="s">
        <v>95</v>
      </c>
      <c r="AN423" s="2" t="s">
        <v>95</v>
      </c>
      <c r="AO423" s="2" t="s">
        <v>95</v>
      </c>
      <c r="AP423" s="2" t="s">
        <v>428</v>
      </c>
      <c r="AV423" s="2" t="s">
        <v>95</v>
      </c>
      <c r="AX423" s="2" t="s">
        <v>395</v>
      </c>
      <c r="AZ423" s="2" t="s">
        <v>342</v>
      </c>
      <c r="BB423" s="2" t="s">
        <v>329</v>
      </c>
      <c r="BC423" s="2" t="s">
        <v>451</v>
      </c>
      <c r="BF423" s="2" t="s">
        <v>2106</v>
      </c>
      <c r="BG423" s="2" t="s">
        <v>95</v>
      </c>
      <c r="BH423" s="2" t="s">
        <v>95</v>
      </c>
      <c r="BI423" s="2" t="s">
        <v>95</v>
      </c>
      <c r="BK423" s="2" t="s">
        <v>100</v>
      </c>
      <c r="CB423" s="2" t="s">
        <v>395</v>
      </c>
      <c r="CL423" s="2" t="s">
        <v>95</v>
      </c>
      <c r="CM423" s="2" t="s">
        <v>95</v>
      </c>
      <c r="CN423" s="2" t="s">
        <v>460</v>
      </c>
      <c r="CP423" s="3">
        <v>43634</v>
      </c>
    </row>
    <row r="424" spans="1:94" x14ac:dyDescent="0.25">
      <c r="A424" s="2" t="s">
        <v>2107</v>
      </c>
      <c r="B424" s="2" t="str">
        <f xml:space="preserve"> "" &amp; 844349028536</f>
        <v>844349028536</v>
      </c>
      <c r="C424" s="2" t="s">
        <v>2108</v>
      </c>
      <c r="D424" s="2" t="s">
        <v>2109</v>
      </c>
      <c r="E424" s="2" t="s">
        <v>125</v>
      </c>
      <c r="F424" s="2" t="s">
        <v>282</v>
      </c>
      <c r="G424" s="2">
        <v>1</v>
      </c>
      <c r="H424" s="2">
        <v>1</v>
      </c>
      <c r="I424" s="2" t="s">
        <v>94</v>
      </c>
      <c r="J424" s="6">
        <v>230</v>
      </c>
      <c r="K424" s="6">
        <v>690</v>
      </c>
      <c r="L424" s="2">
        <v>0</v>
      </c>
      <c r="N424" s="2">
        <v>0</v>
      </c>
      <c r="O424" s="2" t="s">
        <v>96</v>
      </c>
      <c r="P424" s="6">
        <v>484.95</v>
      </c>
      <c r="Q424" s="6"/>
      <c r="R424" s="7"/>
      <c r="S424" s="2">
        <v>10.5</v>
      </c>
      <c r="U424" s="2">
        <v>120</v>
      </c>
      <c r="V424" s="2">
        <v>5</v>
      </c>
      <c r="W424" s="2">
        <v>8.8000000000000007</v>
      </c>
      <c r="X424" s="2">
        <v>1</v>
      </c>
      <c r="Y424" s="2">
        <v>11.75</v>
      </c>
      <c r="Z424" s="2">
        <v>42.63</v>
      </c>
      <c r="AA424" s="2">
        <v>9.1300000000000008</v>
      </c>
      <c r="AB424" s="2">
        <v>2.6469999999999998</v>
      </c>
      <c r="AC424" s="2">
        <v>12.1</v>
      </c>
      <c r="AE424" s="2">
        <v>5</v>
      </c>
      <c r="AG424" s="2">
        <v>60</v>
      </c>
      <c r="AK424" s="2" t="s">
        <v>95</v>
      </c>
      <c r="AM424" s="2" t="s">
        <v>95</v>
      </c>
      <c r="AN424" s="2" t="s">
        <v>95</v>
      </c>
      <c r="AO424" s="2" t="s">
        <v>95</v>
      </c>
      <c r="AP424" s="2" t="s">
        <v>97</v>
      </c>
      <c r="AQ424" s="2" t="s">
        <v>98</v>
      </c>
      <c r="AV424" s="2" t="s">
        <v>95</v>
      </c>
      <c r="AX424" s="2" t="s">
        <v>116</v>
      </c>
      <c r="BF424" s="2" t="s">
        <v>2110</v>
      </c>
      <c r="BG424" s="2" t="s">
        <v>95</v>
      </c>
      <c r="BH424" s="2" t="s">
        <v>95</v>
      </c>
      <c r="BI424" s="2" t="s">
        <v>95</v>
      </c>
      <c r="CA424" s="2" t="s">
        <v>2111</v>
      </c>
      <c r="CB424" s="2" t="s">
        <v>116</v>
      </c>
      <c r="CL424" s="2" t="s">
        <v>95</v>
      </c>
      <c r="CM424" s="2" t="s">
        <v>95</v>
      </c>
      <c r="CO424" s="3">
        <v>43563</v>
      </c>
      <c r="CP424" s="3">
        <v>43634</v>
      </c>
    </row>
    <row r="425" spans="1:94" x14ac:dyDescent="0.25">
      <c r="A425" s="2" t="s">
        <v>2112</v>
      </c>
      <c r="B425" s="2" t="str">
        <f xml:space="preserve"> "" &amp; 844349028543</f>
        <v>844349028543</v>
      </c>
      <c r="C425" s="2" t="s">
        <v>2108</v>
      </c>
      <c r="D425" s="2" t="s">
        <v>2109</v>
      </c>
      <c r="E425" s="2" t="s">
        <v>125</v>
      </c>
      <c r="F425" s="2" t="s">
        <v>282</v>
      </c>
      <c r="G425" s="2">
        <v>1</v>
      </c>
      <c r="H425" s="2">
        <v>1</v>
      </c>
      <c r="I425" s="2" t="s">
        <v>94</v>
      </c>
      <c r="J425" s="6">
        <v>230</v>
      </c>
      <c r="K425" s="6">
        <v>690</v>
      </c>
      <c r="L425" s="2">
        <v>0</v>
      </c>
      <c r="N425" s="2">
        <v>0</v>
      </c>
      <c r="O425" s="2" t="s">
        <v>96</v>
      </c>
      <c r="P425" s="6">
        <v>484.95</v>
      </c>
      <c r="Q425" s="6"/>
      <c r="R425" s="7"/>
      <c r="S425" s="2">
        <v>10.5</v>
      </c>
      <c r="U425" s="2">
        <v>120</v>
      </c>
      <c r="V425" s="2">
        <v>5</v>
      </c>
      <c r="W425" s="2">
        <v>8.8000000000000007</v>
      </c>
      <c r="X425" s="2">
        <v>1</v>
      </c>
      <c r="Y425" s="2">
        <v>11.75</v>
      </c>
      <c r="Z425" s="2">
        <v>42.63</v>
      </c>
      <c r="AA425" s="2">
        <v>9.1300000000000008</v>
      </c>
      <c r="AB425" s="2">
        <v>2.6469999999999998</v>
      </c>
      <c r="AC425" s="2">
        <v>12.1</v>
      </c>
      <c r="AE425" s="2">
        <v>5</v>
      </c>
      <c r="AG425" s="2">
        <v>60</v>
      </c>
      <c r="AK425" s="2" t="s">
        <v>95</v>
      </c>
      <c r="AM425" s="2" t="s">
        <v>95</v>
      </c>
      <c r="AN425" s="2" t="s">
        <v>95</v>
      </c>
      <c r="AO425" s="2" t="s">
        <v>95</v>
      </c>
      <c r="AP425" s="2" t="s">
        <v>97</v>
      </c>
      <c r="AQ425" s="2" t="s">
        <v>98</v>
      </c>
      <c r="AV425" s="2" t="s">
        <v>95</v>
      </c>
      <c r="AX425" s="2" t="s">
        <v>120</v>
      </c>
      <c r="BF425" s="2" t="s">
        <v>2113</v>
      </c>
      <c r="BG425" s="2" t="s">
        <v>95</v>
      </c>
      <c r="BH425" s="2" t="s">
        <v>95</v>
      </c>
      <c r="BI425" s="2" t="s">
        <v>95</v>
      </c>
      <c r="CA425" s="2" t="s">
        <v>2114</v>
      </c>
      <c r="CB425" s="2" t="s">
        <v>120</v>
      </c>
      <c r="CL425" s="2" t="s">
        <v>95</v>
      </c>
      <c r="CM425" s="2" t="s">
        <v>95</v>
      </c>
      <c r="CO425" s="3">
        <v>43563</v>
      </c>
      <c r="CP425" s="3">
        <v>43634</v>
      </c>
    </row>
    <row r="426" spans="1:94" x14ac:dyDescent="0.25">
      <c r="A426" s="2" t="s">
        <v>2115</v>
      </c>
      <c r="B426" s="2" t="str">
        <f xml:space="preserve"> "" &amp; 844349028499</f>
        <v>844349028499</v>
      </c>
      <c r="C426" s="2" t="s">
        <v>2116</v>
      </c>
      <c r="D426" s="2" t="s">
        <v>2109</v>
      </c>
      <c r="E426" s="2" t="s">
        <v>125</v>
      </c>
      <c r="F426" s="2" t="s">
        <v>282</v>
      </c>
      <c r="G426" s="2">
        <v>1</v>
      </c>
      <c r="H426" s="2">
        <v>1</v>
      </c>
      <c r="I426" s="2" t="s">
        <v>94</v>
      </c>
      <c r="J426" s="6">
        <v>230</v>
      </c>
      <c r="K426" s="6">
        <v>690</v>
      </c>
      <c r="L426" s="2">
        <v>0</v>
      </c>
      <c r="N426" s="2">
        <v>0</v>
      </c>
      <c r="O426" s="2" t="s">
        <v>96</v>
      </c>
      <c r="P426" s="6">
        <v>484.95</v>
      </c>
      <c r="Q426" s="6"/>
      <c r="R426" s="7"/>
      <c r="S426" s="2">
        <v>5.25</v>
      </c>
      <c r="T426" s="2">
        <v>120</v>
      </c>
      <c r="U426" s="2">
        <v>1</v>
      </c>
      <c r="W426" s="2">
        <v>8.8000000000000007</v>
      </c>
      <c r="X426" s="2">
        <v>1</v>
      </c>
      <c r="Y426" s="2">
        <v>11.75</v>
      </c>
      <c r="Z426" s="2">
        <v>42.63</v>
      </c>
      <c r="AA426" s="2">
        <v>9.1300000000000008</v>
      </c>
      <c r="AB426" s="2">
        <v>2.6469999999999998</v>
      </c>
      <c r="AC426" s="2">
        <v>12.1</v>
      </c>
      <c r="AK426" s="2" t="s">
        <v>95</v>
      </c>
      <c r="AM426" s="2" t="s">
        <v>95</v>
      </c>
      <c r="AN426" s="2" t="s">
        <v>95</v>
      </c>
      <c r="AO426" s="2" t="s">
        <v>95</v>
      </c>
      <c r="AP426" s="2" t="s">
        <v>97</v>
      </c>
      <c r="AQ426" s="2" t="s">
        <v>98</v>
      </c>
      <c r="AV426" s="2" t="s">
        <v>95</v>
      </c>
      <c r="AX426" s="2" t="s">
        <v>116</v>
      </c>
      <c r="BF426" s="2" t="s">
        <v>2117</v>
      </c>
      <c r="BG426" s="2" t="s">
        <v>95</v>
      </c>
      <c r="BH426" s="2" t="s">
        <v>95</v>
      </c>
      <c r="BI426" s="2" t="s">
        <v>95</v>
      </c>
      <c r="BQ426" s="2">
        <v>5</v>
      </c>
      <c r="BS426" s="2">
        <v>5</v>
      </c>
      <c r="BT426" s="2">
        <v>5</v>
      </c>
      <c r="CA426" s="2" t="s">
        <v>2118</v>
      </c>
      <c r="CB426" s="2" t="s">
        <v>116</v>
      </c>
      <c r="CL426" s="2" t="s">
        <v>95</v>
      </c>
      <c r="CM426" s="2" t="s">
        <v>95</v>
      </c>
      <c r="CO426" s="3">
        <v>43537</v>
      </c>
      <c r="CP426" s="3">
        <v>43634</v>
      </c>
    </row>
    <row r="427" spans="1:94" x14ac:dyDescent="0.25">
      <c r="A427" s="2" t="s">
        <v>2119</v>
      </c>
      <c r="B427" s="2" t="str">
        <f xml:space="preserve"> "" &amp; 844349028505</f>
        <v>844349028505</v>
      </c>
      <c r="C427" s="2" t="s">
        <v>2116</v>
      </c>
      <c r="D427" s="2" t="s">
        <v>2109</v>
      </c>
      <c r="E427" s="2" t="s">
        <v>125</v>
      </c>
      <c r="F427" s="2" t="s">
        <v>282</v>
      </c>
      <c r="G427" s="2">
        <v>1</v>
      </c>
      <c r="H427" s="2">
        <v>1</v>
      </c>
      <c r="I427" s="2" t="s">
        <v>94</v>
      </c>
      <c r="J427" s="6">
        <v>230</v>
      </c>
      <c r="K427" s="6">
        <v>690</v>
      </c>
      <c r="L427" s="2">
        <v>0</v>
      </c>
      <c r="N427" s="2">
        <v>0</v>
      </c>
      <c r="O427" s="2" t="s">
        <v>96</v>
      </c>
      <c r="P427" s="6">
        <v>484.95</v>
      </c>
      <c r="Q427" s="6"/>
      <c r="R427" s="7"/>
      <c r="S427" s="2">
        <v>5.25</v>
      </c>
      <c r="T427" s="2">
        <v>120</v>
      </c>
      <c r="U427" s="2">
        <v>1</v>
      </c>
      <c r="W427" s="2">
        <v>8.8000000000000007</v>
      </c>
      <c r="X427" s="2">
        <v>1</v>
      </c>
      <c r="Y427" s="2">
        <v>11.75</v>
      </c>
      <c r="Z427" s="2">
        <v>42.63</v>
      </c>
      <c r="AA427" s="2">
        <v>9.1300000000000008</v>
      </c>
      <c r="AB427" s="2">
        <v>2.6469999999999998</v>
      </c>
      <c r="AC427" s="2">
        <v>12.1</v>
      </c>
      <c r="AK427" s="2" t="s">
        <v>95</v>
      </c>
      <c r="AM427" s="2" t="s">
        <v>95</v>
      </c>
      <c r="AN427" s="2" t="s">
        <v>95</v>
      </c>
      <c r="AO427" s="2" t="s">
        <v>95</v>
      </c>
      <c r="AP427" s="2" t="s">
        <v>97</v>
      </c>
      <c r="AQ427" s="2" t="s">
        <v>98</v>
      </c>
      <c r="AV427" s="2" t="s">
        <v>95</v>
      </c>
      <c r="AX427" s="2" t="s">
        <v>120</v>
      </c>
      <c r="BF427" s="2" t="s">
        <v>2120</v>
      </c>
      <c r="BG427" s="2" t="s">
        <v>95</v>
      </c>
      <c r="BH427" s="2" t="s">
        <v>95</v>
      </c>
      <c r="BI427" s="2" t="s">
        <v>95</v>
      </c>
      <c r="BQ427" s="2">
        <v>5</v>
      </c>
      <c r="BS427" s="2">
        <v>5</v>
      </c>
      <c r="BT427" s="2">
        <v>5</v>
      </c>
      <c r="CA427" s="2" t="s">
        <v>2118</v>
      </c>
      <c r="CB427" s="2" t="s">
        <v>120</v>
      </c>
      <c r="CL427" s="2" t="s">
        <v>95</v>
      </c>
      <c r="CM427" s="2" t="s">
        <v>95</v>
      </c>
      <c r="CO427" s="3">
        <v>43537</v>
      </c>
      <c r="CP427" s="3">
        <v>43634</v>
      </c>
    </row>
    <row r="428" spans="1:94" x14ac:dyDescent="0.25">
      <c r="A428" s="2" t="s">
        <v>2121</v>
      </c>
      <c r="B428" s="2" t="str">
        <f xml:space="preserve"> "" &amp; 844349009795</f>
        <v>844349009795</v>
      </c>
      <c r="C428" s="2" t="s">
        <v>439</v>
      </c>
      <c r="D428" s="2" t="s">
        <v>402</v>
      </c>
      <c r="F428" s="2" t="s">
        <v>393</v>
      </c>
      <c r="G428" s="2">
        <v>1</v>
      </c>
      <c r="H428" s="2">
        <v>1</v>
      </c>
      <c r="I428" s="2" t="s">
        <v>94</v>
      </c>
      <c r="J428" s="6">
        <v>185</v>
      </c>
      <c r="K428" s="6">
        <v>555</v>
      </c>
      <c r="L428" s="2">
        <v>0</v>
      </c>
      <c r="N428" s="2">
        <v>0</v>
      </c>
      <c r="O428" s="2" t="s">
        <v>96</v>
      </c>
      <c r="P428" s="6">
        <v>389.95</v>
      </c>
      <c r="Q428" s="6"/>
      <c r="R428" s="7"/>
      <c r="S428" s="2">
        <v>22.5</v>
      </c>
      <c r="U428" s="2">
        <v>22</v>
      </c>
      <c r="W428" s="2">
        <v>12.19</v>
      </c>
      <c r="X428" s="2">
        <v>2</v>
      </c>
      <c r="Y428" s="2">
        <v>13.25</v>
      </c>
      <c r="Z428" s="2">
        <v>21.5</v>
      </c>
      <c r="AA428" s="2">
        <v>14.5</v>
      </c>
      <c r="AB428" s="2">
        <v>2.39</v>
      </c>
      <c r="AC428" s="2">
        <v>20.440000000000001</v>
      </c>
      <c r="AE428" s="2">
        <v>3</v>
      </c>
      <c r="AF428" s="2" t="s">
        <v>394</v>
      </c>
      <c r="AG428" s="2">
        <v>100</v>
      </c>
      <c r="AK428" s="2" t="s">
        <v>95</v>
      </c>
      <c r="AM428" s="2" t="s">
        <v>95</v>
      </c>
      <c r="AN428" s="2" t="s">
        <v>96</v>
      </c>
      <c r="AO428" s="2" t="s">
        <v>95</v>
      </c>
      <c r="AP428" s="2" t="s">
        <v>97</v>
      </c>
      <c r="AQ428" s="2" t="s">
        <v>98</v>
      </c>
      <c r="AV428" s="2" t="s">
        <v>95</v>
      </c>
      <c r="AX428" s="2" t="s">
        <v>529</v>
      </c>
      <c r="AZ428" s="2" t="s">
        <v>342</v>
      </c>
      <c r="BB428" s="2" t="s">
        <v>2122</v>
      </c>
      <c r="BC428" s="2" t="s">
        <v>379</v>
      </c>
      <c r="BF428" s="2" t="s">
        <v>2123</v>
      </c>
      <c r="BG428" s="2" t="s">
        <v>95</v>
      </c>
      <c r="BH428" s="2" t="s">
        <v>95</v>
      </c>
      <c r="BI428" s="2" t="s">
        <v>95</v>
      </c>
      <c r="BK428" s="2" t="s">
        <v>100</v>
      </c>
      <c r="BQ428" s="2">
        <v>5</v>
      </c>
      <c r="BR428" s="2">
        <v>1</v>
      </c>
      <c r="CA428" s="2" t="s">
        <v>2124</v>
      </c>
      <c r="CB428" s="2" t="s">
        <v>529</v>
      </c>
      <c r="CL428" s="2" t="s">
        <v>96</v>
      </c>
      <c r="CM428" s="2" t="s">
        <v>96</v>
      </c>
      <c r="CN428" s="2" t="s">
        <v>230</v>
      </c>
      <c r="CO428" s="3">
        <v>40593</v>
      </c>
      <c r="CP428" s="3">
        <v>43634</v>
      </c>
    </row>
    <row r="429" spans="1:94" x14ac:dyDescent="0.25">
      <c r="A429" s="2" t="s">
        <v>2125</v>
      </c>
      <c r="B429" s="2" t="str">
        <f xml:space="preserve"> "" &amp; 870540007278</f>
        <v>870540007278</v>
      </c>
      <c r="C429" s="2" t="s">
        <v>2126</v>
      </c>
      <c r="D429" s="2" t="s">
        <v>125</v>
      </c>
      <c r="E429" s="2" t="s">
        <v>125</v>
      </c>
      <c r="F429" s="2" t="s">
        <v>282</v>
      </c>
      <c r="G429" s="2">
        <v>1</v>
      </c>
      <c r="H429" s="2">
        <v>1</v>
      </c>
      <c r="I429" s="2" t="s">
        <v>94</v>
      </c>
      <c r="J429" s="6">
        <v>165</v>
      </c>
      <c r="K429" s="6">
        <v>495</v>
      </c>
      <c r="L429" s="2">
        <v>0</v>
      </c>
      <c r="N429" s="2">
        <v>0</v>
      </c>
      <c r="O429" s="2" t="s">
        <v>96</v>
      </c>
      <c r="P429" s="6">
        <v>346.5</v>
      </c>
      <c r="Q429" s="6"/>
      <c r="R429" s="7"/>
      <c r="S429" s="2">
        <v>1</v>
      </c>
      <c r="T429" s="2">
        <v>120</v>
      </c>
      <c r="U429" s="2">
        <v>1</v>
      </c>
      <c r="W429" s="2">
        <v>6.33</v>
      </c>
      <c r="X429" s="2">
        <v>1</v>
      </c>
      <c r="Y429" s="2">
        <v>10</v>
      </c>
      <c r="Z429" s="2">
        <v>41.25</v>
      </c>
      <c r="AA429" s="2">
        <v>6</v>
      </c>
      <c r="AB429" s="2">
        <v>1.4319999999999999</v>
      </c>
      <c r="AC429" s="2">
        <v>9.02</v>
      </c>
      <c r="AE429" s="2">
        <v>5</v>
      </c>
      <c r="AF429" s="2" t="s">
        <v>2127</v>
      </c>
      <c r="AG429" s="2">
        <v>20</v>
      </c>
      <c r="AK429" s="2" t="s">
        <v>95</v>
      </c>
      <c r="AM429" s="2" t="s">
        <v>95</v>
      </c>
      <c r="AN429" s="2" t="s">
        <v>96</v>
      </c>
      <c r="AO429" s="2" t="s">
        <v>95</v>
      </c>
      <c r="AP429" s="2" t="s">
        <v>97</v>
      </c>
      <c r="AQ429" s="2" t="s">
        <v>98</v>
      </c>
      <c r="AV429" s="2" t="s">
        <v>95</v>
      </c>
      <c r="AX429" s="2" t="s">
        <v>116</v>
      </c>
      <c r="AZ429" s="2" t="s">
        <v>342</v>
      </c>
      <c r="BB429" s="2" t="s">
        <v>329</v>
      </c>
      <c r="BC429" s="2" t="s">
        <v>2128</v>
      </c>
      <c r="BF429" s="2" t="s">
        <v>2129</v>
      </c>
      <c r="BG429" s="2" t="s">
        <v>95</v>
      </c>
      <c r="BH429" s="2" t="s">
        <v>95</v>
      </c>
      <c r="BI429" s="2" t="s">
        <v>95</v>
      </c>
      <c r="BK429" s="2" t="s">
        <v>100</v>
      </c>
      <c r="BQ429" s="2">
        <v>5</v>
      </c>
      <c r="CA429" s="2" t="s">
        <v>2130</v>
      </c>
      <c r="CB429" s="2" t="s">
        <v>116</v>
      </c>
      <c r="CL429" s="2" t="s">
        <v>95</v>
      </c>
      <c r="CM429" s="2" t="s">
        <v>95</v>
      </c>
      <c r="CN429" s="2" t="s">
        <v>460</v>
      </c>
      <c r="CO429" s="3">
        <v>39417</v>
      </c>
      <c r="CP429" s="3">
        <v>43634</v>
      </c>
    </row>
    <row r="430" spans="1:94" x14ac:dyDescent="0.25">
      <c r="A430" s="2" t="s">
        <v>2131</v>
      </c>
      <c r="B430" s="2" t="str">
        <f xml:space="preserve"> "" &amp; 870540007292</f>
        <v>870540007292</v>
      </c>
      <c r="C430" s="2" t="s">
        <v>2132</v>
      </c>
      <c r="D430" s="2" t="s">
        <v>125</v>
      </c>
      <c r="E430" s="2" t="s">
        <v>125</v>
      </c>
      <c r="F430" s="2" t="s">
        <v>282</v>
      </c>
      <c r="G430" s="2">
        <v>1</v>
      </c>
      <c r="H430" s="2">
        <v>1</v>
      </c>
      <c r="I430" s="2" t="s">
        <v>94</v>
      </c>
      <c r="J430" s="6">
        <v>165</v>
      </c>
      <c r="K430" s="6">
        <v>495</v>
      </c>
      <c r="L430" s="2">
        <v>0</v>
      </c>
      <c r="N430" s="2">
        <v>0</v>
      </c>
      <c r="O430" s="2" t="s">
        <v>96</v>
      </c>
      <c r="P430" s="6">
        <v>346.5</v>
      </c>
      <c r="Q430" s="6"/>
      <c r="R430" s="7"/>
      <c r="S430" s="2">
        <v>1</v>
      </c>
      <c r="T430" s="2">
        <v>120</v>
      </c>
      <c r="U430" s="2">
        <v>1</v>
      </c>
      <c r="W430" s="2">
        <v>5.22</v>
      </c>
      <c r="X430" s="2">
        <v>1</v>
      </c>
      <c r="Y430" s="2">
        <v>10</v>
      </c>
      <c r="Z430" s="2">
        <v>41.25</v>
      </c>
      <c r="AA430" s="2">
        <v>6</v>
      </c>
      <c r="AB430" s="2">
        <v>1.4319999999999999</v>
      </c>
      <c r="AC430" s="2">
        <v>9.48</v>
      </c>
      <c r="AE430" s="2">
        <v>5</v>
      </c>
      <c r="AF430" s="2" t="s">
        <v>2133</v>
      </c>
      <c r="AG430" s="2">
        <v>20</v>
      </c>
      <c r="AK430" s="2" t="s">
        <v>95</v>
      </c>
      <c r="AM430" s="2" t="s">
        <v>95</v>
      </c>
      <c r="AN430" s="2" t="s">
        <v>96</v>
      </c>
      <c r="AO430" s="2" t="s">
        <v>95</v>
      </c>
      <c r="AP430" s="2" t="s">
        <v>97</v>
      </c>
      <c r="AQ430" s="2" t="s">
        <v>98</v>
      </c>
      <c r="AV430" s="2" t="s">
        <v>95</v>
      </c>
      <c r="AX430" s="2" t="s">
        <v>116</v>
      </c>
      <c r="AZ430" s="2" t="s">
        <v>342</v>
      </c>
      <c r="BB430" s="2" t="s">
        <v>126</v>
      </c>
      <c r="BF430" s="2" t="s">
        <v>2134</v>
      </c>
      <c r="BG430" s="2" t="s">
        <v>95</v>
      </c>
      <c r="BH430" s="2" t="s">
        <v>95</v>
      </c>
      <c r="BI430" s="2" t="s">
        <v>95</v>
      </c>
      <c r="BK430" s="2" t="s">
        <v>100</v>
      </c>
      <c r="CA430" s="2" t="s">
        <v>2135</v>
      </c>
      <c r="CB430" s="2" t="s">
        <v>116</v>
      </c>
      <c r="CL430" s="2" t="s">
        <v>95</v>
      </c>
      <c r="CM430" s="2" t="s">
        <v>95</v>
      </c>
      <c r="CN430" s="2" t="s">
        <v>230</v>
      </c>
      <c r="CO430" s="3">
        <v>39417</v>
      </c>
      <c r="CP430" s="3">
        <v>43634</v>
      </c>
    </row>
    <row r="431" spans="1:94" x14ac:dyDescent="0.25">
      <c r="A431" s="2" t="s">
        <v>2136</v>
      </c>
      <c r="B431" s="2" t="str">
        <f xml:space="preserve"> "" &amp; 844349018780</f>
        <v>844349018780</v>
      </c>
      <c r="C431" s="2" t="s">
        <v>2132</v>
      </c>
      <c r="D431" s="2" t="s">
        <v>2137</v>
      </c>
      <c r="E431" s="2" t="s">
        <v>125</v>
      </c>
      <c r="F431" s="2" t="s">
        <v>282</v>
      </c>
      <c r="G431" s="2">
        <v>1</v>
      </c>
      <c r="H431" s="2">
        <v>1</v>
      </c>
      <c r="I431" s="2" t="s">
        <v>94</v>
      </c>
      <c r="J431" s="6">
        <v>79</v>
      </c>
      <c r="K431" s="6">
        <v>237</v>
      </c>
      <c r="L431" s="2">
        <v>0</v>
      </c>
      <c r="N431" s="2">
        <v>0</v>
      </c>
      <c r="Q431" s="6"/>
      <c r="R431" s="7"/>
      <c r="S431" s="2">
        <v>1</v>
      </c>
      <c r="T431" s="2">
        <v>1</v>
      </c>
      <c r="U431" s="2">
        <v>1</v>
      </c>
      <c r="W431" s="2">
        <v>1</v>
      </c>
      <c r="X431" s="2">
        <v>1</v>
      </c>
      <c r="AK431" s="2" t="s">
        <v>95</v>
      </c>
      <c r="AM431" s="2" t="s">
        <v>95</v>
      </c>
      <c r="AN431" s="2" t="s">
        <v>95</v>
      </c>
      <c r="AO431" s="2" t="s">
        <v>95</v>
      </c>
      <c r="AP431" s="2" t="s">
        <v>97</v>
      </c>
      <c r="AV431" s="2" t="s">
        <v>95</v>
      </c>
      <c r="AX431" s="2" t="s">
        <v>120</v>
      </c>
      <c r="BF431" s="2" t="s">
        <v>2138</v>
      </c>
      <c r="BG431" s="2" t="s">
        <v>95</v>
      </c>
      <c r="BH431" s="2" t="s">
        <v>95</v>
      </c>
      <c r="BI431" s="2" t="s">
        <v>95</v>
      </c>
      <c r="CB431" s="2" t="s">
        <v>120</v>
      </c>
      <c r="CL431" s="2" t="s">
        <v>95</v>
      </c>
      <c r="CM431" s="2" t="s">
        <v>95</v>
      </c>
      <c r="CP431" s="3">
        <v>43634</v>
      </c>
    </row>
    <row r="432" spans="1:94" x14ac:dyDescent="0.25">
      <c r="A432" s="2" t="s">
        <v>2139</v>
      </c>
      <c r="B432" s="2" t="str">
        <f xml:space="preserve"> "" &amp; 844349018766</f>
        <v>844349018766</v>
      </c>
      <c r="C432" s="2" t="s">
        <v>2132</v>
      </c>
      <c r="D432" s="2" t="s">
        <v>2137</v>
      </c>
      <c r="E432" s="2" t="s">
        <v>125</v>
      </c>
      <c r="F432" s="2" t="s">
        <v>282</v>
      </c>
      <c r="G432" s="2">
        <v>1</v>
      </c>
      <c r="H432" s="2">
        <v>1</v>
      </c>
      <c r="I432" s="2" t="s">
        <v>94</v>
      </c>
      <c r="J432" s="6">
        <v>79</v>
      </c>
      <c r="K432" s="6">
        <v>237</v>
      </c>
      <c r="L432" s="2">
        <v>0</v>
      </c>
      <c r="N432" s="2">
        <v>0</v>
      </c>
      <c r="Q432" s="6"/>
      <c r="R432" s="7"/>
      <c r="S432" s="2">
        <v>1</v>
      </c>
      <c r="T432" s="2">
        <v>1</v>
      </c>
      <c r="U432" s="2">
        <v>1</v>
      </c>
      <c r="W432" s="2">
        <v>1</v>
      </c>
      <c r="X432" s="2">
        <v>1</v>
      </c>
      <c r="AK432" s="2" t="s">
        <v>95</v>
      </c>
      <c r="AM432" s="2" t="s">
        <v>95</v>
      </c>
      <c r="AN432" s="2" t="s">
        <v>95</v>
      </c>
      <c r="AO432" s="2" t="s">
        <v>95</v>
      </c>
      <c r="AP432" s="2" t="s">
        <v>97</v>
      </c>
      <c r="AV432" s="2" t="s">
        <v>95</v>
      </c>
      <c r="AX432" s="2" t="s">
        <v>120</v>
      </c>
      <c r="BF432" s="2" t="s">
        <v>2140</v>
      </c>
      <c r="BG432" s="2" t="s">
        <v>95</v>
      </c>
      <c r="BH432" s="2" t="s">
        <v>95</v>
      </c>
      <c r="BI432" s="2" t="s">
        <v>95</v>
      </c>
      <c r="CB432" s="2" t="s">
        <v>120</v>
      </c>
      <c r="CL432" s="2" t="s">
        <v>95</v>
      </c>
      <c r="CM432" s="2" t="s">
        <v>95</v>
      </c>
      <c r="CP432" s="3">
        <v>43634</v>
      </c>
    </row>
    <row r="433" spans="1:94" x14ac:dyDescent="0.25">
      <c r="A433" s="2" t="s">
        <v>2141</v>
      </c>
      <c r="B433" s="2" t="str">
        <f xml:space="preserve"> "" &amp; 844349018773</f>
        <v>844349018773</v>
      </c>
      <c r="C433" s="2" t="s">
        <v>2132</v>
      </c>
      <c r="D433" s="2" t="s">
        <v>2137</v>
      </c>
      <c r="E433" s="2" t="s">
        <v>125</v>
      </c>
      <c r="F433" s="2" t="s">
        <v>282</v>
      </c>
      <c r="G433" s="2">
        <v>1</v>
      </c>
      <c r="H433" s="2">
        <v>1</v>
      </c>
      <c r="I433" s="2" t="s">
        <v>94</v>
      </c>
      <c r="J433" s="6">
        <v>79</v>
      </c>
      <c r="K433" s="6">
        <v>237</v>
      </c>
      <c r="L433" s="2">
        <v>0</v>
      </c>
      <c r="N433" s="2">
        <v>0</v>
      </c>
      <c r="Q433" s="6"/>
      <c r="R433" s="7"/>
      <c r="S433" s="2">
        <v>1</v>
      </c>
      <c r="T433" s="2">
        <v>1</v>
      </c>
      <c r="U433" s="2">
        <v>1</v>
      </c>
      <c r="W433" s="2">
        <v>1</v>
      </c>
      <c r="X433" s="2">
        <v>1</v>
      </c>
      <c r="AK433" s="2" t="s">
        <v>95</v>
      </c>
      <c r="AM433" s="2" t="s">
        <v>95</v>
      </c>
      <c r="AN433" s="2" t="s">
        <v>95</v>
      </c>
      <c r="AO433" s="2" t="s">
        <v>95</v>
      </c>
      <c r="AP433" s="2" t="s">
        <v>97</v>
      </c>
      <c r="AV433" s="2" t="s">
        <v>95</v>
      </c>
      <c r="AX433" s="2" t="s">
        <v>120</v>
      </c>
      <c r="BF433" s="2" t="s">
        <v>2142</v>
      </c>
      <c r="BG433" s="2" t="s">
        <v>95</v>
      </c>
      <c r="BH433" s="2" t="s">
        <v>95</v>
      </c>
      <c r="BI433" s="2" t="s">
        <v>95</v>
      </c>
      <c r="CB433" s="2" t="s">
        <v>120</v>
      </c>
      <c r="CL433" s="2" t="s">
        <v>95</v>
      </c>
      <c r="CM433" s="2" t="s">
        <v>95</v>
      </c>
      <c r="CP433" s="3">
        <v>43634</v>
      </c>
    </row>
    <row r="434" spans="1:94" x14ac:dyDescent="0.25">
      <c r="A434" s="2" t="s">
        <v>2143</v>
      </c>
      <c r="B434" s="2" t="str">
        <f xml:space="preserve"> "" &amp; 874944008022</f>
        <v>874944008022</v>
      </c>
      <c r="C434" s="2" t="s">
        <v>2144</v>
      </c>
      <c r="D434" s="2" t="s">
        <v>125</v>
      </c>
      <c r="E434" s="2" t="s">
        <v>125</v>
      </c>
      <c r="F434" s="2" t="s">
        <v>282</v>
      </c>
      <c r="G434" s="2">
        <v>1</v>
      </c>
      <c r="H434" s="2">
        <v>1</v>
      </c>
      <c r="I434" s="2" t="s">
        <v>94</v>
      </c>
      <c r="J434" s="6">
        <v>125</v>
      </c>
      <c r="K434" s="6">
        <v>375</v>
      </c>
      <c r="L434" s="2">
        <v>0</v>
      </c>
      <c r="N434" s="2">
        <v>0</v>
      </c>
      <c r="O434" s="2" t="s">
        <v>96</v>
      </c>
      <c r="P434" s="6">
        <v>262.95</v>
      </c>
      <c r="Q434" s="6"/>
      <c r="R434" s="7"/>
      <c r="S434" s="2">
        <v>11.5</v>
      </c>
      <c r="T434" s="2">
        <v>192</v>
      </c>
      <c r="U434" s="2">
        <v>5.13</v>
      </c>
      <c r="W434" s="2">
        <v>7.36</v>
      </c>
      <c r="X434" s="2">
        <v>1</v>
      </c>
      <c r="Y434" s="2">
        <v>49.25</v>
      </c>
      <c r="Z434" s="2">
        <v>6.13</v>
      </c>
      <c r="AA434" s="2">
        <v>5.13</v>
      </c>
      <c r="AB434" s="2">
        <v>0.89600000000000002</v>
      </c>
      <c r="AC434" s="2">
        <v>14.73</v>
      </c>
      <c r="AE434" s="2">
        <v>5</v>
      </c>
      <c r="AF434" s="2" t="s">
        <v>324</v>
      </c>
      <c r="AG434" s="2">
        <v>50</v>
      </c>
      <c r="AK434" s="2" t="s">
        <v>95</v>
      </c>
      <c r="AM434" s="2" t="s">
        <v>96</v>
      </c>
      <c r="AN434" s="2" t="s">
        <v>95</v>
      </c>
      <c r="AO434" s="2" t="s">
        <v>95</v>
      </c>
      <c r="AP434" s="2" t="s">
        <v>97</v>
      </c>
      <c r="AQ434" s="2" t="s">
        <v>98</v>
      </c>
      <c r="AV434" s="2" t="s">
        <v>95</v>
      </c>
      <c r="AX434" s="2" t="s">
        <v>130</v>
      </c>
      <c r="AZ434" s="2" t="s">
        <v>342</v>
      </c>
      <c r="BF434" s="2" t="s">
        <v>2145</v>
      </c>
      <c r="BG434" s="2" t="s">
        <v>95</v>
      </c>
      <c r="BH434" s="2" t="s">
        <v>95</v>
      </c>
      <c r="BI434" s="2" t="s">
        <v>95</v>
      </c>
      <c r="BK434" s="2" t="s">
        <v>100</v>
      </c>
      <c r="CA434" s="2" t="s">
        <v>2146</v>
      </c>
      <c r="CB434" s="2" t="s">
        <v>130</v>
      </c>
      <c r="CL434" s="2" t="s">
        <v>96</v>
      </c>
      <c r="CM434" s="2" t="s">
        <v>95</v>
      </c>
      <c r="CN434" s="2" t="s">
        <v>2147</v>
      </c>
      <c r="CO434" s="3">
        <v>39291</v>
      </c>
      <c r="CP434" s="3">
        <v>43634</v>
      </c>
    </row>
    <row r="435" spans="1:94" x14ac:dyDescent="0.25">
      <c r="A435" s="2" t="s">
        <v>2148</v>
      </c>
      <c r="B435" s="2" t="str">
        <f xml:space="preserve"> "" &amp; 874944008039</f>
        <v>874944008039</v>
      </c>
      <c r="C435" s="2" t="s">
        <v>2144</v>
      </c>
      <c r="D435" s="2" t="s">
        <v>125</v>
      </c>
      <c r="E435" s="2" t="s">
        <v>125</v>
      </c>
      <c r="F435" s="2" t="s">
        <v>282</v>
      </c>
      <c r="G435" s="2">
        <v>1</v>
      </c>
      <c r="H435" s="2">
        <v>1</v>
      </c>
      <c r="I435" s="2" t="s">
        <v>94</v>
      </c>
      <c r="J435" s="6">
        <v>135</v>
      </c>
      <c r="K435" s="6">
        <v>405</v>
      </c>
      <c r="L435" s="2">
        <v>0</v>
      </c>
      <c r="N435" s="2">
        <v>0</v>
      </c>
      <c r="O435" s="2" t="s">
        <v>96</v>
      </c>
      <c r="P435" s="6">
        <v>283.95</v>
      </c>
      <c r="Q435" s="6"/>
      <c r="R435" s="7"/>
      <c r="S435" s="2">
        <v>11.75</v>
      </c>
      <c r="T435" s="2">
        <v>192</v>
      </c>
      <c r="U435" s="2">
        <v>4.75</v>
      </c>
      <c r="W435" s="2">
        <v>8.3800000000000008</v>
      </c>
      <c r="X435" s="2">
        <v>1</v>
      </c>
      <c r="Y435" s="2">
        <v>49.25</v>
      </c>
      <c r="Z435" s="2">
        <v>6.13</v>
      </c>
      <c r="AA435" s="2">
        <v>5.13</v>
      </c>
      <c r="AB435" s="2">
        <v>0.89600000000000002</v>
      </c>
      <c r="AC435" s="2">
        <v>16.760000000000002</v>
      </c>
      <c r="AE435" s="2">
        <v>5</v>
      </c>
      <c r="AF435" s="2" t="s">
        <v>324</v>
      </c>
      <c r="AG435" s="2">
        <v>50</v>
      </c>
      <c r="AK435" s="2" t="s">
        <v>95</v>
      </c>
      <c r="AM435" s="2" t="s">
        <v>96</v>
      </c>
      <c r="AN435" s="2" t="s">
        <v>95</v>
      </c>
      <c r="AO435" s="2" t="s">
        <v>95</v>
      </c>
      <c r="AP435" s="2" t="s">
        <v>97</v>
      </c>
      <c r="AQ435" s="2" t="s">
        <v>98</v>
      </c>
      <c r="AV435" s="2" t="s">
        <v>95</v>
      </c>
      <c r="AX435" s="2" t="s">
        <v>120</v>
      </c>
      <c r="AZ435" s="2" t="s">
        <v>342</v>
      </c>
      <c r="BB435" s="2" t="s">
        <v>54</v>
      </c>
      <c r="BC435" s="2" t="s">
        <v>330</v>
      </c>
      <c r="BF435" s="2" t="s">
        <v>2149</v>
      </c>
      <c r="BG435" s="2" t="s">
        <v>95</v>
      </c>
      <c r="BH435" s="2" t="s">
        <v>95</v>
      </c>
      <c r="BI435" s="2" t="s">
        <v>95</v>
      </c>
      <c r="BK435" s="2" t="s">
        <v>100</v>
      </c>
      <c r="BR435" s="2">
        <v>1.05</v>
      </c>
      <c r="BT435" s="2">
        <v>4.75</v>
      </c>
      <c r="CA435" s="2" t="s">
        <v>2150</v>
      </c>
      <c r="CB435" s="2" t="s">
        <v>120</v>
      </c>
      <c r="CL435" s="2" t="s">
        <v>96</v>
      </c>
      <c r="CM435" s="2" t="s">
        <v>95</v>
      </c>
      <c r="CN435" s="2" t="s">
        <v>2151</v>
      </c>
      <c r="CO435" s="3">
        <v>39291</v>
      </c>
      <c r="CP435" s="3">
        <v>43634</v>
      </c>
    </row>
    <row r="436" spans="1:94" x14ac:dyDescent="0.25">
      <c r="A436" s="2" t="s">
        <v>2152</v>
      </c>
      <c r="B436" s="2" t="str">
        <f xml:space="preserve"> "" &amp; 844349009900</f>
        <v>844349009900</v>
      </c>
      <c r="C436" s="2" t="s">
        <v>2144</v>
      </c>
      <c r="D436" s="2" t="s">
        <v>125</v>
      </c>
      <c r="E436" s="2" t="s">
        <v>125</v>
      </c>
      <c r="F436" s="2" t="s">
        <v>282</v>
      </c>
      <c r="G436" s="2">
        <v>1</v>
      </c>
      <c r="H436" s="2">
        <v>1</v>
      </c>
      <c r="I436" s="2" t="s">
        <v>94</v>
      </c>
      <c r="J436" s="6">
        <v>135</v>
      </c>
      <c r="K436" s="6">
        <v>405</v>
      </c>
      <c r="L436" s="2">
        <v>0</v>
      </c>
      <c r="N436" s="2">
        <v>0</v>
      </c>
      <c r="O436" s="2" t="s">
        <v>96</v>
      </c>
      <c r="P436" s="6">
        <v>283.95</v>
      </c>
      <c r="Q436" s="6"/>
      <c r="R436" s="7"/>
      <c r="S436" s="2">
        <v>11.75</v>
      </c>
      <c r="T436" s="2">
        <v>192</v>
      </c>
      <c r="U436" s="2">
        <v>4.75</v>
      </c>
      <c r="W436" s="2">
        <v>8.6</v>
      </c>
      <c r="X436" s="2">
        <v>1</v>
      </c>
      <c r="Y436" s="2">
        <v>49.2</v>
      </c>
      <c r="Z436" s="2">
        <v>6.13</v>
      </c>
      <c r="AA436" s="2">
        <v>5.13</v>
      </c>
      <c r="AB436" s="2">
        <v>0.89500000000000002</v>
      </c>
      <c r="AC436" s="2">
        <v>10.87</v>
      </c>
      <c r="AE436" s="2">
        <v>5</v>
      </c>
      <c r="AF436" s="2" t="s">
        <v>324</v>
      </c>
      <c r="AG436" s="2">
        <v>50</v>
      </c>
      <c r="AK436" s="2" t="s">
        <v>95</v>
      </c>
      <c r="AM436" s="2" t="s">
        <v>96</v>
      </c>
      <c r="AN436" s="2" t="s">
        <v>95</v>
      </c>
      <c r="AO436" s="2" t="s">
        <v>95</v>
      </c>
      <c r="AP436" s="2" t="s">
        <v>97</v>
      </c>
      <c r="AQ436" s="2" t="s">
        <v>98</v>
      </c>
      <c r="AV436" s="2" t="s">
        <v>95</v>
      </c>
      <c r="AX436" s="2" t="s">
        <v>130</v>
      </c>
      <c r="AZ436" s="2" t="s">
        <v>342</v>
      </c>
      <c r="BB436" s="2" t="s">
        <v>329</v>
      </c>
      <c r="BC436" s="2" t="s">
        <v>593</v>
      </c>
      <c r="BF436" s="2" t="s">
        <v>2153</v>
      </c>
      <c r="BG436" s="2" t="s">
        <v>95</v>
      </c>
      <c r="BH436" s="2" t="s">
        <v>95</v>
      </c>
      <c r="BI436" s="2" t="s">
        <v>95</v>
      </c>
      <c r="BK436" s="2" t="s">
        <v>100</v>
      </c>
      <c r="CA436" s="2" t="s">
        <v>2150</v>
      </c>
      <c r="CB436" s="2" t="s">
        <v>130</v>
      </c>
      <c r="CL436" s="2" t="s">
        <v>96</v>
      </c>
      <c r="CM436" s="2" t="s">
        <v>95</v>
      </c>
      <c r="CN436" s="2" t="s">
        <v>2154</v>
      </c>
      <c r="CO436" s="3">
        <v>40938</v>
      </c>
      <c r="CP436" s="3">
        <v>43634</v>
      </c>
    </row>
    <row r="437" spans="1:94" x14ac:dyDescent="0.25">
      <c r="A437" s="2" t="s">
        <v>2155</v>
      </c>
      <c r="B437" s="2" t="str">
        <f xml:space="preserve"> "" &amp; 844349011538</f>
        <v>844349011538</v>
      </c>
      <c r="C437" s="2" t="s">
        <v>2156</v>
      </c>
      <c r="D437" s="2" t="s">
        <v>3675</v>
      </c>
      <c r="E437" s="2" t="s">
        <v>425</v>
      </c>
      <c r="F437" s="2" t="s">
        <v>426</v>
      </c>
      <c r="G437" s="2">
        <v>1</v>
      </c>
      <c r="H437" s="2">
        <v>1</v>
      </c>
      <c r="I437" s="2" t="s">
        <v>94</v>
      </c>
      <c r="J437" s="6">
        <v>175</v>
      </c>
      <c r="K437" s="6">
        <v>525</v>
      </c>
      <c r="L437" s="2">
        <v>0</v>
      </c>
      <c r="N437" s="2">
        <v>0</v>
      </c>
      <c r="O437" s="2" t="s">
        <v>96</v>
      </c>
      <c r="P437" s="6">
        <v>367.95</v>
      </c>
      <c r="Q437" s="6"/>
      <c r="R437" s="7"/>
      <c r="S437" s="2">
        <v>49.75</v>
      </c>
      <c r="T437" s="2">
        <v>55</v>
      </c>
      <c r="U437" s="2">
        <v>8.25</v>
      </c>
      <c r="W437" s="2">
        <v>12.52</v>
      </c>
      <c r="X437" s="2">
        <v>1</v>
      </c>
      <c r="Y437" s="2">
        <v>11</v>
      </c>
      <c r="Z437" s="2">
        <v>55</v>
      </c>
      <c r="AA437" s="2">
        <v>11</v>
      </c>
      <c r="AB437" s="2">
        <v>3.851</v>
      </c>
      <c r="AC437" s="2">
        <v>19.18</v>
      </c>
      <c r="AE437" s="2">
        <v>1</v>
      </c>
      <c r="AF437" s="2" t="s">
        <v>2005</v>
      </c>
      <c r="AG437" s="2">
        <v>8</v>
      </c>
      <c r="AK437" s="2" t="s">
        <v>96</v>
      </c>
      <c r="AM437" s="2" t="s">
        <v>95</v>
      </c>
      <c r="AN437" s="2" t="s">
        <v>96</v>
      </c>
      <c r="AO437" s="2" t="s">
        <v>95</v>
      </c>
      <c r="AP437" s="2" t="s">
        <v>97</v>
      </c>
      <c r="AQ437" s="2" t="s">
        <v>98</v>
      </c>
      <c r="AV437" s="2" t="s">
        <v>95</v>
      </c>
      <c r="AX437" s="2" t="s">
        <v>395</v>
      </c>
      <c r="AZ437" s="2" t="s">
        <v>342</v>
      </c>
      <c r="BB437" s="2" t="s">
        <v>2157</v>
      </c>
      <c r="BC437" s="2" t="s">
        <v>397</v>
      </c>
      <c r="BF437" s="2" t="s">
        <v>2158</v>
      </c>
      <c r="BG437" s="2" t="s">
        <v>95</v>
      </c>
      <c r="BH437" s="2" t="s">
        <v>95</v>
      </c>
      <c r="BI437" s="2" t="s">
        <v>95</v>
      </c>
      <c r="BK437" s="2" t="s">
        <v>100</v>
      </c>
      <c r="BR437" s="2">
        <v>1</v>
      </c>
      <c r="BS437" s="2">
        <v>8.25</v>
      </c>
      <c r="BT437" s="2">
        <v>8.25</v>
      </c>
      <c r="CA437" s="2" t="s">
        <v>2159</v>
      </c>
      <c r="CB437" s="2" t="s">
        <v>395</v>
      </c>
      <c r="CG437" s="2">
        <v>3000</v>
      </c>
      <c r="CH437" s="2">
        <v>84</v>
      </c>
      <c r="CI437" s="2">
        <v>590</v>
      </c>
      <c r="CJ437" s="2">
        <v>442</v>
      </c>
      <c r="CK437" s="2">
        <v>30000</v>
      </c>
      <c r="CL437" s="2" t="s">
        <v>96</v>
      </c>
      <c r="CM437" s="2" t="s">
        <v>95</v>
      </c>
      <c r="CN437" s="2" t="s">
        <v>2160</v>
      </c>
      <c r="CO437" s="3">
        <v>40850</v>
      </c>
      <c r="CP437" s="3">
        <v>43634</v>
      </c>
    </row>
    <row r="438" spans="1:94" x14ac:dyDescent="0.25">
      <c r="A438" s="2" t="s">
        <v>2161</v>
      </c>
      <c r="B438" s="2" t="str">
        <f xml:space="preserve"> "" &amp; 844349011569</f>
        <v>844349011569</v>
      </c>
      <c r="C438" s="2" t="s">
        <v>2156</v>
      </c>
      <c r="D438" s="2" t="s">
        <v>3675</v>
      </c>
      <c r="E438" s="2" t="s">
        <v>425</v>
      </c>
      <c r="F438" s="2" t="s">
        <v>426</v>
      </c>
      <c r="G438" s="2">
        <v>1</v>
      </c>
      <c r="H438" s="2">
        <v>1</v>
      </c>
      <c r="I438" s="2" t="s">
        <v>94</v>
      </c>
      <c r="J438" s="6">
        <v>175</v>
      </c>
      <c r="K438" s="6">
        <v>525</v>
      </c>
      <c r="L438" s="2">
        <v>0</v>
      </c>
      <c r="N438" s="2">
        <v>0</v>
      </c>
      <c r="O438" s="2" t="s">
        <v>96</v>
      </c>
      <c r="P438" s="6">
        <v>367.95</v>
      </c>
      <c r="Q438" s="6"/>
      <c r="R438" s="7"/>
      <c r="S438" s="2">
        <v>49.75</v>
      </c>
      <c r="T438" s="2">
        <v>55</v>
      </c>
      <c r="U438" s="2">
        <v>8.25</v>
      </c>
      <c r="W438" s="2">
        <v>12.52</v>
      </c>
      <c r="X438" s="2">
        <v>1</v>
      </c>
      <c r="Y438" s="2">
        <v>11</v>
      </c>
      <c r="Z438" s="2">
        <v>55</v>
      </c>
      <c r="AA438" s="2">
        <v>11</v>
      </c>
      <c r="AB438" s="2">
        <v>3.851</v>
      </c>
      <c r="AC438" s="2">
        <v>19.18</v>
      </c>
      <c r="AE438" s="2">
        <v>1</v>
      </c>
      <c r="AF438" s="2" t="s">
        <v>2005</v>
      </c>
      <c r="AG438" s="2">
        <v>8</v>
      </c>
      <c r="AK438" s="2" t="s">
        <v>96</v>
      </c>
      <c r="AM438" s="2" t="s">
        <v>95</v>
      </c>
      <c r="AN438" s="2" t="s">
        <v>96</v>
      </c>
      <c r="AO438" s="2" t="s">
        <v>95</v>
      </c>
      <c r="AP438" s="2" t="s">
        <v>97</v>
      </c>
      <c r="AQ438" s="2" t="s">
        <v>98</v>
      </c>
      <c r="AV438" s="2" t="s">
        <v>95</v>
      </c>
      <c r="AX438" s="2" t="s">
        <v>116</v>
      </c>
      <c r="AZ438" s="2" t="s">
        <v>342</v>
      </c>
      <c r="BB438" s="2" t="s">
        <v>2157</v>
      </c>
      <c r="BC438" s="2" t="s">
        <v>135</v>
      </c>
      <c r="BF438" s="2" t="s">
        <v>2162</v>
      </c>
      <c r="BG438" s="2" t="s">
        <v>95</v>
      </c>
      <c r="BH438" s="2" t="s">
        <v>95</v>
      </c>
      <c r="BI438" s="2" t="s">
        <v>95</v>
      </c>
      <c r="BK438" s="2" t="s">
        <v>100</v>
      </c>
      <c r="BR438" s="2">
        <v>1</v>
      </c>
      <c r="BS438" s="2">
        <v>8.25</v>
      </c>
      <c r="BT438" s="2">
        <v>8.25</v>
      </c>
      <c r="CA438" s="2" t="s">
        <v>2159</v>
      </c>
      <c r="CB438" s="2" t="s">
        <v>116</v>
      </c>
      <c r="CG438" s="2">
        <v>3000</v>
      </c>
      <c r="CH438" s="2">
        <v>84</v>
      </c>
      <c r="CI438" s="2">
        <v>590</v>
      </c>
      <c r="CJ438" s="2">
        <v>442</v>
      </c>
      <c r="CK438" s="2">
        <v>30000</v>
      </c>
      <c r="CL438" s="2" t="s">
        <v>96</v>
      </c>
      <c r="CM438" s="2" t="s">
        <v>95</v>
      </c>
      <c r="CN438" s="2" t="s">
        <v>2160</v>
      </c>
      <c r="CO438" s="3">
        <v>40850</v>
      </c>
      <c r="CP438" s="3">
        <v>43634</v>
      </c>
    </row>
    <row r="439" spans="1:94" x14ac:dyDescent="0.25">
      <c r="A439" s="2" t="s">
        <v>2163</v>
      </c>
      <c r="B439" s="2" t="str">
        <f xml:space="preserve"> "" &amp; 844349011521</f>
        <v>844349011521</v>
      </c>
      <c r="C439" s="2" t="s">
        <v>2156</v>
      </c>
      <c r="D439" s="2" t="s">
        <v>3675</v>
      </c>
      <c r="E439" s="2" t="s">
        <v>425</v>
      </c>
      <c r="F439" s="2" t="s">
        <v>426</v>
      </c>
      <c r="G439" s="2">
        <v>1</v>
      </c>
      <c r="H439" s="2">
        <v>1</v>
      </c>
      <c r="I439" s="2" t="s">
        <v>94</v>
      </c>
      <c r="J439" s="6">
        <v>175</v>
      </c>
      <c r="K439" s="6">
        <v>525</v>
      </c>
      <c r="L439" s="2">
        <v>0</v>
      </c>
      <c r="N439" s="2">
        <v>0</v>
      </c>
      <c r="O439" s="2" t="s">
        <v>96</v>
      </c>
      <c r="P439" s="6">
        <v>367.95</v>
      </c>
      <c r="Q439" s="6"/>
      <c r="R439" s="7"/>
      <c r="S439" s="2">
        <v>49.75</v>
      </c>
      <c r="T439" s="2">
        <v>55</v>
      </c>
      <c r="U439" s="2">
        <v>8.25</v>
      </c>
      <c r="W439" s="2">
        <v>12.52</v>
      </c>
      <c r="X439" s="2">
        <v>1</v>
      </c>
      <c r="Y439" s="2">
        <v>11</v>
      </c>
      <c r="Z439" s="2">
        <v>55</v>
      </c>
      <c r="AA439" s="2">
        <v>11</v>
      </c>
      <c r="AB439" s="2">
        <v>3.851</v>
      </c>
      <c r="AC439" s="2">
        <v>19.18</v>
      </c>
      <c r="AE439" s="2">
        <v>1</v>
      </c>
      <c r="AF439" s="2" t="s">
        <v>2005</v>
      </c>
      <c r="AG439" s="2">
        <v>8</v>
      </c>
      <c r="AK439" s="2" t="s">
        <v>96</v>
      </c>
      <c r="AM439" s="2" t="s">
        <v>95</v>
      </c>
      <c r="AN439" s="2" t="s">
        <v>96</v>
      </c>
      <c r="AO439" s="2" t="s">
        <v>95</v>
      </c>
      <c r="AP439" s="2" t="s">
        <v>97</v>
      </c>
      <c r="AQ439" s="2" t="s">
        <v>98</v>
      </c>
      <c r="AV439" s="2" t="s">
        <v>95</v>
      </c>
      <c r="AX439" s="2" t="s">
        <v>1688</v>
      </c>
      <c r="AZ439" s="2" t="s">
        <v>342</v>
      </c>
      <c r="BB439" s="2" t="s">
        <v>2164</v>
      </c>
      <c r="BC439" s="2" t="s">
        <v>1688</v>
      </c>
      <c r="BF439" s="2" t="s">
        <v>2165</v>
      </c>
      <c r="BG439" s="2" t="s">
        <v>95</v>
      </c>
      <c r="BH439" s="2" t="s">
        <v>95</v>
      </c>
      <c r="BI439" s="2" t="s">
        <v>95</v>
      </c>
      <c r="BK439" s="2" t="s">
        <v>100</v>
      </c>
      <c r="BR439" s="2">
        <v>1</v>
      </c>
      <c r="BS439" s="2">
        <v>8.25</v>
      </c>
      <c r="BT439" s="2">
        <v>8.25</v>
      </c>
      <c r="CA439" s="2" t="s">
        <v>2159</v>
      </c>
      <c r="CB439" s="2" t="s">
        <v>1688</v>
      </c>
      <c r="CG439" s="2">
        <v>3000</v>
      </c>
      <c r="CH439" s="2">
        <v>84</v>
      </c>
      <c r="CI439" s="2">
        <v>590</v>
      </c>
      <c r="CJ439" s="2">
        <v>442</v>
      </c>
      <c r="CK439" s="2">
        <v>30000</v>
      </c>
      <c r="CL439" s="2" t="s">
        <v>96</v>
      </c>
      <c r="CM439" s="2" t="s">
        <v>95</v>
      </c>
      <c r="CN439" s="2" t="s">
        <v>2160</v>
      </c>
      <c r="CO439" s="3">
        <v>40850</v>
      </c>
      <c r="CP439" s="3">
        <v>43634</v>
      </c>
    </row>
    <row r="440" spans="1:94" x14ac:dyDescent="0.25">
      <c r="A440" s="2" t="s">
        <v>2166</v>
      </c>
      <c r="B440" s="2" t="str">
        <f xml:space="preserve"> "" &amp; 844349011545</f>
        <v>844349011545</v>
      </c>
      <c r="C440" s="2" t="s">
        <v>2156</v>
      </c>
      <c r="D440" s="2" t="s">
        <v>3675</v>
      </c>
      <c r="E440" s="2" t="s">
        <v>425</v>
      </c>
      <c r="F440" s="2" t="s">
        <v>426</v>
      </c>
      <c r="G440" s="2">
        <v>1</v>
      </c>
      <c r="H440" s="2">
        <v>1</v>
      </c>
      <c r="I440" s="2" t="s">
        <v>94</v>
      </c>
      <c r="J440" s="6">
        <v>175</v>
      </c>
      <c r="K440" s="6">
        <v>525</v>
      </c>
      <c r="L440" s="2">
        <v>0</v>
      </c>
      <c r="N440" s="2">
        <v>0</v>
      </c>
      <c r="O440" s="2" t="s">
        <v>96</v>
      </c>
      <c r="P440" s="6">
        <v>367.5</v>
      </c>
      <c r="Q440" s="6"/>
      <c r="R440" s="7"/>
      <c r="S440" s="2">
        <v>49.75</v>
      </c>
      <c r="T440" s="2">
        <v>55</v>
      </c>
      <c r="U440" s="2">
        <v>8.25</v>
      </c>
      <c r="W440" s="2">
        <v>12.52</v>
      </c>
      <c r="X440" s="2">
        <v>1</v>
      </c>
      <c r="Y440" s="2">
        <v>11</v>
      </c>
      <c r="Z440" s="2">
        <v>55</v>
      </c>
      <c r="AA440" s="2">
        <v>11</v>
      </c>
      <c r="AB440" s="2">
        <v>3.851</v>
      </c>
      <c r="AC440" s="2">
        <v>19.18</v>
      </c>
      <c r="AE440" s="2">
        <v>1</v>
      </c>
      <c r="AF440" s="2" t="s">
        <v>2005</v>
      </c>
      <c r="AG440" s="2">
        <v>8</v>
      </c>
      <c r="AK440" s="2" t="s">
        <v>96</v>
      </c>
      <c r="AM440" s="2" t="s">
        <v>95</v>
      </c>
      <c r="AN440" s="2" t="s">
        <v>96</v>
      </c>
      <c r="AO440" s="2" t="s">
        <v>95</v>
      </c>
      <c r="AP440" s="2" t="s">
        <v>97</v>
      </c>
      <c r="AQ440" s="2" t="s">
        <v>98</v>
      </c>
      <c r="AV440" s="2" t="s">
        <v>95</v>
      </c>
      <c r="AX440" s="2" t="s">
        <v>1483</v>
      </c>
      <c r="AZ440" s="2" t="s">
        <v>342</v>
      </c>
      <c r="BB440" s="2" t="s">
        <v>2164</v>
      </c>
      <c r="BC440" s="2" t="s">
        <v>2167</v>
      </c>
      <c r="BF440" s="2" t="s">
        <v>2168</v>
      </c>
      <c r="BG440" s="2" t="s">
        <v>95</v>
      </c>
      <c r="BH440" s="2" t="s">
        <v>95</v>
      </c>
      <c r="BI440" s="2" t="s">
        <v>95</v>
      </c>
      <c r="BK440" s="2" t="s">
        <v>100</v>
      </c>
      <c r="BR440" s="2">
        <v>1</v>
      </c>
      <c r="BS440" s="2">
        <v>8.25</v>
      </c>
      <c r="BT440" s="2">
        <v>8.25</v>
      </c>
      <c r="CA440" s="2" t="s">
        <v>2159</v>
      </c>
      <c r="CB440" s="2" t="s">
        <v>1483</v>
      </c>
      <c r="CG440" s="2">
        <v>3000</v>
      </c>
      <c r="CH440" s="2">
        <v>84</v>
      </c>
      <c r="CI440" s="2">
        <v>590</v>
      </c>
      <c r="CJ440" s="2">
        <v>442</v>
      </c>
      <c r="CK440" s="2">
        <v>30000</v>
      </c>
      <c r="CL440" s="2" t="s">
        <v>96</v>
      </c>
      <c r="CM440" s="2" t="s">
        <v>95</v>
      </c>
      <c r="CN440" s="2" t="s">
        <v>2160</v>
      </c>
      <c r="CO440" s="3">
        <v>40850</v>
      </c>
      <c r="CP440" s="3">
        <v>43634</v>
      </c>
    </row>
    <row r="441" spans="1:94" x14ac:dyDescent="0.25">
      <c r="A441" s="2" t="s">
        <v>2169</v>
      </c>
      <c r="B441" s="2" t="str">
        <f xml:space="preserve"> "" &amp; 844349010722</f>
        <v>844349010722</v>
      </c>
      <c r="C441" s="2" t="s">
        <v>2170</v>
      </c>
      <c r="D441" s="2" t="s">
        <v>2171</v>
      </c>
      <c r="E441" s="2" t="s">
        <v>125</v>
      </c>
      <c r="F441" s="2" t="s">
        <v>282</v>
      </c>
      <c r="G441" s="2">
        <v>1</v>
      </c>
      <c r="H441" s="2">
        <v>1</v>
      </c>
      <c r="I441" s="2" t="s">
        <v>94</v>
      </c>
      <c r="J441" s="6">
        <v>195</v>
      </c>
      <c r="K441" s="6">
        <v>585</v>
      </c>
      <c r="L441" s="2">
        <v>0</v>
      </c>
      <c r="N441" s="2">
        <v>0</v>
      </c>
      <c r="O441" s="2" t="s">
        <v>96</v>
      </c>
      <c r="P441" s="6">
        <v>409.95</v>
      </c>
      <c r="Q441" s="6"/>
      <c r="R441" s="7"/>
      <c r="S441" s="2">
        <v>10</v>
      </c>
      <c r="U441" s="2">
        <v>5</v>
      </c>
      <c r="W441" s="2">
        <v>6.79</v>
      </c>
      <c r="X441" s="2">
        <v>1</v>
      </c>
      <c r="Y441" s="2">
        <v>10</v>
      </c>
      <c r="Z441" s="2">
        <v>41.5</v>
      </c>
      <c r="AA441" s="2">
        <v>6</v>
      </c>
      <c r="AB441" s="2">
        <v>1.4410000000000001</v>
      </c>
      <c r="AC441" s="2">
        <v>10.27</v>
      </c>
      <c r="AE441" s="2">
        <v>5</v>
      </c>
      <c r="AF441" s="2" t="s">
        <v>2172</v>
      </c>
      <c r="AG441" s="2">
        <v>3</v>
      </c>
      <c r="AK441" s="2" t="s">
        <v>96</v>
      </c>
      <c r="AM441" s="2" t="s">
        <v>95</v>
      </c>
      <c r="AN441" s="2" t="s">
        <v>96</v>
      </c>
      <c r="AO441" s="2" t="s">
        <v>95</v>
      </c>
      <c r="AP441" s="2" t="s">
        <v>97</v>
      </c>
      <c r="AQ441" s="2" t="s">
        <v>98</v>
      </c>
      <c r="AV441" s="2" t="s">
        <v>95</v>
      </c>
      <c r="AX441" s="2" t="s">
        <v>116</v>
      </c>
      <c r="AZ441" s="2" t="s">
        <v>342</v>
      </c>
      <c r="BB441" s="2" t="s">
        <v>2173</v>
      </c>
      <c r="BC441" s="2" t="s">
        <v>2174</v>
      </c>
      <c r="BF441" s="2" t="s">
        <v>2175</v>
      </c>
      <c r="BG441" s="2" t="s">
        <v>95</v>
      </c>
      <c r="BH441" s="2" t="s">
        <v>95</v>
      </c>
      <c r="BI441" s="2" t="s">
        <v>95</v>
      </c>
      <c r="BK441" s="2" t="s">
        <v>100</v>
      </c>
      <c r="BQ441" s="2">
        <v>5</v>
      </c>
      <c r="BR441" s="2">
        <v>5</v>
      </c>
      <c r="CA441" s="2">
        <v>4305</v>
      </c>
      <c r="CB441" s="2" t="s">
        <v>116</v>
      </c>
      <c r="CG441" s="2">
        <v>3000</v>
      </c>
      <c r="CH441" s="2">
        <v>78</v>
      </c>
      <c r="CJ441" s="2">
        <v>205</v>
      </c>
      <c r="CK441" s="2">
        <v>30000</v>
      </c>
      <c r="CL441" s="2" t="s">
        <v>96</v>
      </c>
      <c r="CM441" s="2" t="s">
        <v>95</v>
      </c>
      <c r="CN441" s="2" t="s">
        <v>2176</v>
      </c>
      <c r="CO441" s="3">
        <v>40812</v>
      </c>
      <c r="CP441" s="3">
        <v>43634</v>
      </c>
    </row>
    <row r="442" spans="1:94" x14ac:dyDescent="0.25">
      <c r="A442" s="2" t="s">
        <v>2177</v>
      </c>
      <c r="B442" s="2" t="str">
        <f xml:space="preserve"> "" &amp; 844349010739</f>
        <v>844349010739</v>
      </c>
      <c r="C442" s="2" t="s">
        <v>2170</v>
      </c>
      <c r="D442" s="2" t="s">
        <v>2171</v>
      </c>
      <c r="E442" s="2" t="s">
        <v>125</v>
      </c>
      <c r="F442" s="2" t="s">
        <v>282</v>
      </c>
      <c r="G442" s="2">
        <v>1</v>
      </c>
      <c r="H442" s="2">
        <v>1</v>
      </c>
      <c r="I442" s="2" t="s">
        <v>94</v>
      </c>
      <c r="J442" s="6">
        <v>195</v>
      </c>
      <c r="K442" s="6">
        <v>585</v>
      </c>
      <c r="L442" s="2">
        <v>0</v>
      </c>
      <c r="N442" s="2">
        <v>0</v>
      </c>
      <c r="O442" s="2" t="s">
        <v>96</v>
      </c>
      <c r="P442" s="6">
        <v>409.95</v>
      </c>
      <c r="Q442" s="6"/>
      <c r="R442" s="7"/>
      <c r="S442" s="2">
        <v>10</v>
      </c>
      <c r="U442" s="2">
        <v>5</v>
      </c>
      <c r="W442" s="2">
        <v>6.79</v>
      </c>
      <c r="X442" s="2">
        <v>1</v>
      </c>
      <c r="Y442" s="2">
        <v>10</v>
      </c>
      <c r="Z442" s="2">
        <v>41.5</v>
      </c>
      <c r="AA442" s="2">
        <v>6</v>
      </c>
      <c r="AB442" s="2">
        <v>1.4410000000000001</v>
      </c>
      <c r="AC442" s="2">
        <v>10.27</v>
      </c>
      <c r="AE442" s="2">
        <v>5</v>
      </c>
      <c r="AF442" s="2" t="s">
        <v>2172</v>
      </c>
      <c r="AG442" s="2">
        <v>3</v>
      </c>
      <c r="AK442" s="2" t="s">
        <v>96</v>
      </c>
      <c r="AM442" s="2" t="s">
        <v>95</v>
      </c>
      <c r="AN442" s="2" t="s">
        <v>95</v>
      </c>
      <c r="AO442" s="2" t="s">
        <v>95</v>
      </c>
      <c r="AP442" s="2" t="s">
        <v>97</v>
      </c>
      <c r="AQ442" s="2" t="s">
        <v>98</v>
      </c>
      <c r="AV442" s="2" t="s">
        <v>95</v>
      </c>
      <c r="AX442" s="2" t="s">
        <v>120</v>
      </c>
      <c r="AZ442" s="2" t="s">
        <v>342</v>
      </c>
      <c r="BB442" s="2" t="s">
        <v>2173</v>
      </c>
      <c r="BC442" s="2" t="s">
        <v>141</v>
      </c>
      <c r="BF442" s="2" t="s">
        <v>2178</v>
      </c>
      <c r="BG442" s="2" t="s">
        <v>95</v>
      </c>
      <c r="BH442" s="2" t="s">
        <v>95</v>
      </c>
      <c r="BI442" s="2" t="s">
        <v>95</v>
      </c>
      <c r="BK442" s="2" t="s">
        <v>100</v>
      </c>
      <c r="BQ442" s="2">
        <v>5</v>
      </c>
      <c r="BR442" s="2">
        <v>5</v>
      </c>
      <c r="CA442" s="2" t="s">
        <v>2179</v>
      </c>
      <c r="CB442" s="2" t="s">
        <v>120</v>
      </c>
      <c r="CG442" s="2">
        <v>3000</v>
      </c>
      <c r="CH442" s="2">
        <v>78</v>
      </c>
      <c r="CJ442" s="2">
        <v>205</v>
      </c>
      <c r="CK442" s="2">
        <v>30000</v>
      </c>
      <c r="CL442" s="2" t="s">
        <v>96</v>
      </c>
      <c r="CM442" s="2" t="s">
        <v>95</v>
      </c>
      <c r="CN442" s="2" t="s">
        <v>2160</v>
      </c>
      <c r="CO442" s="3">
        <v>40812</v>
      </c>
      <c r="CP442" s="3">
        <v>43634</v>
      </c>
    </row>
    <row r="443" spans="1:94" x14ac:dyDescent="0.25">
      <c r="A443" s="2" t="s">
        <v>2180</v>
      </c>
      <c r="B443" s="2" t="str">
        <f xml:space="preserve"> "" &amp; 844349011583</f>
        <v>844349011583</v>
      </c>
      <c r="C443" s="2" t="s">
        <v>1805</v>
      </c>
      <c r="D443" s="2" t="s">
        <v>3676</v>
      </c>
      <c r="E443" s="2" t="s">
        <v>425</v>
      </c>
      <c r="F443" s="2" t="s">
        <v>1429</v>
      </c>
      <c r="G443" s="2">
        <v>1</v>
      </c>
      <c r="H443" s="2">
        <v>1</v>
      </c>
      <c r="I443" s="2" t="s">
        <v>94</v>
      </c>
      <c r="J443" s="6">
        <v>115</v>
      </c>
      <c r="K443" s="6">
        <v>345</v>
      </c>
      <c r="L443" s="2">
        <v>0</v>
      </c>
      <c r="N443" s="2">
        <v>0</v>
      </c>
      <c r="O443" s="2" t="s">
        <v>96</v>
      </c>
      <c r="P443" s="6">
        <v>239.95</v>
      </c>
      <c r="Q443" s="6"/>
      <c r="R443" s="7"/>
      <c r="S443" s="2">
        <v>18.75</v>
      </c>
      <c r="T443" s="2">
        <v>22</v>
      </c>
      <c r="U443" s="2">
        <v>6.25</v>
      </c>
      <c r="W443" s="2">
        <v>6.86</v>
      </c>
      <c r="X443" s="2">
        <v>1</v>
      </c>
      <c r="Y443" s="2">
        <v>8.5</v>
      </c>
      <c r="Z443" s="2">
        <v>22</v>
      </c>
      <c r="AA443" s="2">
        <v>8.5</v>
      </c>
      <c r="AB443" s="2">
        <v>0.92</v>
      </c>
      <c r="AC443" s="2">
        <v>9.0399999999999991</v>
      </c>
      <c r="AE443" s="2">
        <v>1</v>
      </c>
      <c r="AF443" s="2" t="s">
        <v>2005</v>
      </c>
      <c r="AG443" s="2">
        <v>8</v>
      </c>
      <c r="AK443" s="2" t="s">
        <v>96</v>
      </c>
      <c r="AM443" s="2" t="s">
        <v>95</v>
      </c>
      <c r="AN443" s="2" t="s">
        <v>96</v>
      </c>
      <c r="AO443" s="2" t="s">
        <v>95</v>
      </c>
      <c r="AP443" s="2" t="s">
        <v>97</v>
      </c>
      <c r="AQ443" s="2" t="s">
        <v>98</v>
      </c>
      <c r="AV443" s="2" t="s">
        <v>95</v>
      </c>
      <c r="AX443" s="2" t="s">
        <v>395</v>
      </c>
      <c r="AZ443" s="2" t="s">
        <v>342</v>
      </c>
      <c r="BB443" s="2" t="s">
        <v>2157</v>
      </c>
      <c r="BC443" s="2" t="s">
        <v>397</v>
      </c>
      <c r="BF443" s="2" t="s">
        <v>2181</v>
      </c>
      <c r="BG443" s="2" t="s">
        <v>95</v>
      </c>
      <c r="BH443" s="2" t="s">
        <v>95</v>
      </c>
      <c r="BI443" s="2" t="s">
        <v>95</v>
      </c>
      <c r="BK443" s="2" t="s">
        <v>100</v>
      </c>
      <c r="CA443" s="2" t="s">
        <v>2182</v>
      </c>
      <c r="CB443" s="2" t="s">
        <v>395</v>
      </c>
      <c r="CG443" s="2">
        <v>3000</v>
      </c>
      <c r="CH443" s="2">
        <v>84</v>
      </c>
      <c r="CI443" s="2">
        <v>590</v>
      </c>
      <c r="CJ443" s="2">
        <v>442</v>
      </c>
      <c r="CK443" s="2">
        <v>30000</v>
      </c>
      <c r="CL443" s="2" t="s">
        <v>96</v>
      </c>
      <c r="CM443" s="2" t="s">
        <v>95</v>
      </c>
      <c r="CN443" s="2" t="s">
        <v>2160</v>
      </c>
      <c r="CO443" s="3">
        <v>40854</v>
      </c>
      <c r="CP443" s="3">
        <v>43634</v>
      </c>
    </row>
    <row r="444" spans="1:94" x14ac:dyDescent="0.25">
      <c r="A444" s="2" t="s">
        <v>2183</v>
      </c>
      <c r="B444" s="2" t="str">
        <f xml:space="preserve"> "" &amp; 844349011613</f>
        <v>844349011613</v>
      </c>
      <c r="C444" s="2" t="s">
        <v>1805</v>
      </c>
      <c r="D444" s="2" t="s">
        <v>3676</v>
      </c>
      <c r="E444" s="2" t="s">
        <v>425</v>
      </c>
      <c r="F444" s="2" t="s">
        <v>1429</v>
      </c>
      <c r="G444" s="2">
        <v>1</v>
      </c>
      <c r="H444" s="2">
        <v>1</v>
      </c>
      <c r="I444" s="2" t="s">
        <v>94</v>
      </c>
      <c r="J444" s="6">
        <v>115</v>
      </c>
      <c r="K444" s="6">
        <v>345</v>
      </c>
      <c r="L444" s="2">
        <v>0</v>
      </c>
      <c r="N444" s="2">
        <v>0</v>
      </c>
      <c r="O444" s="2" t="s">
        <v>96</v>
      </c>
      <c r="P444" s="6">
        <v>239.95</v>
      </c>
      <c r="Q444" s="6"/>
      <c r="R444" s="7"/>
      <c r="S444" s="2">
        <v>18.75</v>
      </c>
      <c r="T444" s="2">
        <v>22</v>
      </c>
      <c r="U444" s="2">
        <v>6.25</v>
      </c>
      <c r="W444" s="2">
        <v>6.86</v>
      </c>
      <c r="X444" s="2">
        <v>1</v>
      </c>
      <c r="Y444" s="2">
        <v>8.5</v>
      </c>
      <c r="Z444" s="2">
        <v>22</v>
      </c>
      <c r="AA444" s="2">
        <v>8.5</v>
      </c>
      <c r="AB444" s="2">
        <v>0.92</v>
      </c>
      <c r="AC444" s="2">
        <v>9.0399999999999991</v>
      </c>
      <c r="AE444" s="2">
        <v>1</v>
      </c>
      <c r="AF444" s="2" t="s">
        <v>2005</v>
      </c>
      <c r="AG444" s="2">
        <v>8</v>
      </c>
      <c r="AK444" s="2" t="s">
        <v>96</v>
      </c>
      <c r="AM444" s="2" t="s">
        <v>95</v>
      </c>
      <c r="AN444" s="2" t="s">
        <v>96</v>
      </c>
      <c r="AO444" s="2" t="s">
        <v>95</v>
      </c>
      <c r="AP444" s="2" t="s">
        <v>97</v>
      </c>
      <c r="AQ444" s="2" t="s">
        <v>98</v>
      </c>
      <c r="AV444" s="2" t="s">
        <v>95</v>
      </c>
      <c r="AX444" s="2" t="s">
        <v>116</v>
      </c>
      <c r="AZ444" s="2" t="s">
        <v>342</v>
      </c>
      <c r="BB444" s="2" t="s">
        <v>2157</v>
      </c>
      <c r="BC444" s="2" t="s">
        <v>135</v>
      </c>
      <c r="BF444" s="2" t="s">
        <v>2184</v>
      </c>
      <c r="BG444" s="2" t="s">
        <v>95</v>
      </c>
      <c r="BH444" s="2" t="s">
        <v>95</v>
      </c>
      <c r="BI444" s="2" t="s">
        <v>95</v>
      </c>
      <c r="BK444" s="2" t="s">
        <v>100</v>
      </c>
      <c r="CA444" s="2" t="s">
        <v>2182</v>
      </c>
      <c r="CB444" s="2" t="s">
        <v>116</v>
      </c>
      <c r="CG444" s="2">
        <v>3000</v>
      </c>
      <c r="CH444" s="2">
        <v>84</v>
      </c>
      <c r="CI444" s="2">
        <v>590</v>
      </c>
      <c r="CJ444" s="2">
        <v>442</v>
      </c>
      <c r="CK444" s="2">
        <v>30000</v>
      </c>
      <c r="CL444" s="2" t="s">
        <v>96</v>
      </c>
      <c r="CM444" s="2" t="s">
        <v>95</v>
      </c>
      <c r="CN444" s="2" t="s">
        <v>2160</v>
      </c>
      <c r="CO444" s="3">
        <v>40854</v>
      </c>
      <c r="CP444" s="3">
        <v>43634</v>
      </c>
    </row>
    <row r="445" spans="1:94" x14ac:dyDescent="0.25">
      <c r="A445" s="2" t="s">
        <v>2185</v>
      </c>
      <c r="B445" s="2" t="str">
        <f xml:space="preserve"> "" &amp; 844349011576</f>
        <v>844349011576</v>
      </c>
      <c r="C445" s="2" t="s">
        <v>1805</v>
      </c>
      <c r="D445" s="2" t="s">
        <v>3676</v>
      </c>
      <c r="E445" s="2" t="s">
        <v>425</v>
      </c>
      <c r="F445" s="2" t="s">
        <v>1429</v>
      </c>
      <c r="G445" s="2">
        <v>1</v>
      </c>
      <c r="H445" s="2">
        <v>1</v>
      </c>
      <c r="I445" s="2" t="s">
        <v>94</v>
      </c>
      <c r="J445" s="6">
        <v>115</v>
      </c>
      <c r="K445" s="6">
        <v>345</v>
      </c>
      <c r="L445" s="2">
        <v>0</v>
      </c>
      <c r="N445" s="2">
        <v>0</v>
      </c>
      <c r="O445" s="2" t="s">
        <v>96</v>
      </c>
      <c r="P445" s="6">
        <v>239.95</v>
      </c>
      <c r="Q445" s="6"/>
      <c r="R445" s="7"/>
      <c r="S445" s="2">
        <v>18.75</v>
      </c>
      <c r="T445" s="2">
        <v>22</v>
      </c>
      <c r="U445" s="2">
        <v>6.25</v>
      </c>
      <c r="W445" s="2">
        <v>6.86</v>
      </c>
      <c r="X445" s="2">
        <v>1</v>
      </c>
      <c r="Y445" s="2">
        <v>8.5</v>
      </c>
      <c r="Z445" s="2">
        <v>22</v>
      </c>
      <c r="AA445" s="2">
        <v>8.5</v>
      </c>
      <c r="AB445" s="2">
        <v>0.92</v>
      </c>
      <c r="AC445" s="2">
        <v>9.0399999999999991</v>
      </c>
      <c r="AE445" s="2">
        <v>1</v>
      </c>
      <c r="AF445" s="2" t="s">
        <v>2005</v>
      </c>
      <c r="AG445" s="2">
        <v>8</v>
      </c>
      <c r="AK445" s="2" t="s">
        <v>96</v>
      </c>
      <c r="AM445" s="2" t="s">
        <v>95</v>
      </c>
      <c r="AN445" s="2" t="s">
        <v>96</v>
      </c>
      <c r="AO445" s="2" t="s">
        <v>95</v>
      </c>
      <c r="AP445" s="2" t="s">
        <v>97</v>
      </c>
      <c r="AQ445" s="2" t="s">
        <v>98</v>
      </c>
      <c r="AV445" s="2" t="s">
        <v>95</v>
      </c>
      <c r="AX445" s="2" t="s">
        <v>1688</v>
      </c>
      <c r="AZ445" s="2" t="s">
        <v>342</v>
      </c>
      <c r="BB445" s="2" t="s">
        <v>2157</v>
      </c>
      <c r="BC445" s="2" t="s">
        <v>1688</v>
      </c>
      <c r="BF445" s="2" t="s">
        <v>2186</v>
      </c>
      <c r="BG445" s="2" t="s">
        <v>95</v>
      </c>
      <c r="BH445" s="2" t="s">
        <v>95</v>
      </c>
      <c r="BI445" s="2" t="s">
        <v>95</v>
      </c>
      <c r="BK445" s="2" t="s">
        <v>100</v>
      </c>
      <c r="CA445" s="2" t="s">
        <v>2182</v>
      </c>
      <c r="CB445" s="2" t="s">
        <v>1688</v>
      </c>
      <c r="CG445" s="2">
        <v>3000</v>
      </c>
      <c r="CH445" s="2">
        <v>84</v>
      </c>
      <c r="CI445" s="2">
        <v>590</v>
      </c>
      <c r="CJ445" s="2">
        <v>442</v>
      </c>
      <c r="CK445" s="2">
        <v>30000</v>
      </c>
      <c r="CL445" s="2" t="s">
        <v>96</v>
      </c>
      <c r="CM445" s="2" t="s">
        <v>95</v>
      </c>
      <c r="CN445" s="2" t="s">
        <v>2160</v>
      </c>
      <c r="CO445" s="3">
        <v>40855</v>
      </c>
      <c r="CP445" s="3">
        <v>43634</v>
      </c>
    </row>
    <row r="446" spans="1:94" x14ac:dyDescent="0.25">
      <c r="A446" s="2" t="s">
        <v>2187</v>
      </c>
      <c r="B446" s="2" t="str">
        <f xml:space="preserve"> "" &amp; 844349011590</f>
        <v>844349011590</v>
      </c>
      <c r="C446" s="2" t="s">
        <v>1805</v>
      </c>
      <c r="D446" s="2" t="s">
        <v>3676</v>
      </c>
      <c r="E446" s="2" t="s">
        <v>425</v>
      </c>
      <c r="F446" s="2" t="s">
        <v>1429</v>
      </c>
      <c r="G446" s="2">
        <v>1</v>
      </c>
      <c r="H446" s="2">
        <v>1</v>
      </c>
      <c r="I446" s="2" t="s">
        <v>94</v>
      </c>
      <c r="J446" s="6">
        <v>115</v>
      </c>
      <c r="K446" s="6">
        <v>345</v>
      </c>
      <c r="L446" s="2">
        <v>0</v>
      </c>
      <c r="N446" s="2">
        <v>0</v>
      </c>
      <c r="O446" s="2" t="s">
        <v>96</v>
      </c>
      <c r="P446" s="6">
        <v>239.95</v>
      </c>
      <c r="Q446" s="6"/>
      <c r="R446" s="7"/>
      <c r="S446" s="2">
        <v>18.75</v>
      </c>
      <c r="T446" s="2">
        <v>22</v>
      </c>
      <c r="U446" s="2">
        <v>6.25</v>
      </c>
      <c r="W446" s="2">
        <v>6.86</v>
      </c>
      <c r="X446" s="2">
        <v>1</v>
      </c>
      <c r="Y446" s="2">
        <v>8.5</v>
      </c>
      <c r="Z446" s="2">
        <v>22</v>
      </c>
      <c r="AA446" s="2">
        <v>8.5</v>
      </c>
      <c r="AB446" s="2">
        <v>0.92</v>
      </c>
      <c r="AC446" s="2">
        <v>9.0399999999999991</v>
      </c>
      <c r="AE446" s="2">
        <v>1</v>
      </c>
      <c r="AF446" s="2" t="s">
        <v>2005</v>
      </c>
      <c r="AG446" s="2">
        <v>8</v>
      </c>
      <c r="AK446" s="2" t="s">
        <v>96</v>
      </c>
      <c r="AM446" s="2" t="s">
        <v>95</v>
      </c>
      <c r="AN446" s="2" t="s">
        <v>96</v>
      </c>
      <c r="AO446" s="2" t="s">
        <v>95</v>
      </c>
      <c r="AP446" s="2" t="s">
        <v>97</v>
      </c>
      <c r="AQ446" s="2" t="s">
        <v>98</v>
      </c>
      <c r="AV446" s="2" t="s">
        <v>95</v>
      </c>
      <c r="AX446" s="2" t="s">
        <v>1483</v>
      </c>
      <c r="AZ446" s="2" t="s">
        <v>342</v>
      </c>
      <c r="BB446" s="2" t="s">
        <v>2157</v>
      </c>
      <c r="BC446" s="2" t="s">
        <v>2167</v>
      </c>
      <c r="BF446" s="2" t="s">
        <v>2188</v>
      </c>
      <c r="BG446" s="2" t="s">
        <v>95</v>
      </c>
      <c r="BH446" s="2" t="s">
        <v>95</v>
      </c>
      <c r="BI446" s="2" t="s">
        <v>95</v>
      </c>
      <c r="BK446" s="2" t="s">
        <v>100</v>
      </c>
      <c r="CA446" s="2" t="s">
        <v>2182</v>
      </c>
      <c r="CB446" s="2" t="s">
        <v>1483</v>
      </c>
      <c r="CG446" s="2">
        <v>3000</v>
      </c>
      <c r="CH446" s="2">
        <v>84</v>
      </c>
      <c r="CI446" s="2">
        <v>590</v>
      </c>
      <c r="CJ446" s="2">
        <v>442</v>
      </c>
      <c r="CK446" s="2">
        <v>30000</v>
      </c>
      <c r="CL446" s="2" t="s">
        <v>96</v>
      </c>
      <c r="CM446" s="2" t="s">
        <v>95</v>
      </c>
      <c r="CN446" s="2" t="s">
        <v>2160</v>
      </c>
      <c r="CO446" s="3">
        <v>40854</v>
      </c>
      <c r="CP446" s="3">
        <v>43634</v>
      </c>
    </row>
    <row r="447" spans="1:94" x14ac:dyDescent="0.25">
      <c r="A447" s="2" t="s">
        <v>2189</v>
      </c>
      <c r="B447" s="2" t="str">
        <f xml:space="preserve"> "" &amp; 844349011637</f>
        <v>844349011637</v>
      </c>
      <c r="C447" s="2" t="s">
        <v>2190</v>
      </c>
      <c r="D447" s="2" t="s">
        <v>3677</v>
      </c>
      <c r="E447" s="2" t="s">
        <v>425</v>
      </c>
      <c r="F447" s="2" t="s">
        <v>418</v>
      </c>
      <c r="G447" s="2">
        <v>1</v>
      </c>
      <c r="H447" s="2">
        <v>1</v>
      </c>
      <c r="I447" s="2" t="s">
        <v>94</v>
      </c>
      <c r="J447" s="6">
        <v>99</v>
      </c>
      <c r="K447" s="6">
        <v>297</v>
      </c>
      <c r="L447" s="2">
        <v>0</v>
      </c>
      <c r="N447" s="2">
        <v>0</v>
      </c>
      <c r="O447" s="2" t="s">
        <v>96</v>
      </c>
      <c r="P447" s="6">
        <v>207.95</v>
      </c>
      <c r="Q447" s="6"/>
      <c r="R447" s="7"/>
      <c r="S447" s="2">
        <v>6.25</v>
      </c>
      <c r="T447" s="2">
        <v>22</v>
      </c>
      <c r="U447" s="2">
        <v>13.75</v>
      </c>
      <c r="V447" s="2">
        <v>4.5</v>
      </c>
      <c r="W447" s="2">
        <v>2.98</v>
      </c>
      <c r="X447" s="2">
        <v>1</v>
      </c>
      <c r="Y447" s="2">
        <v>8</v>
      </c>
      <c r="Z447" s="2">
        <v>22</v>
      </c>
      <c r="AA447" s="2">
        <v>4.5</v>
      </c>
      <c r="AB447" s="2">
        <v>0.45800000000000002</v>
      </c>
      <c r="AC447" s="2">
        <v>4.28</v>
      </c>
      <c r="AE447" s="2">
        <v>1</v>
      </c>
      <c r="AF447" s="2" t="s">
        <v>2005</v>
      </c>
      <c r="AG447" s="2">
        <v>8</v>
      </c>
      <c r="AK447" s="2" t="s">
        <v>96</v>
      </c>
      <c r="AL447" s="2">
        <v>1</v>
      </c>
      <c r="AM447" s="2" t="s">
        <v>95</v>
      </c>
      <c r="AN447" s="2" t="s">
        <v>96</v>
      </c>
      <c r="AO447" s="2" t="s">
        <v>95</v>
      </c>
      <c r="AP447" s="2" t="s">
        <v>97</v>
      </c>
      <c r="AQ447" s="2" t="s">
        <v>98</v>
      </c>
      <c r="AV447" s="2" t="s">
        <v>95</v>
      </c>
      <c r="AX447" s="2" t="s">
        <v>395</v>
      </c>
      <c r="AZ447" s="2" t="s">
        <v>342</v>
      </c>
      <c r="BB447" s="2" t="s">
        <v>2164</v>
      </c>
      <c r="BC447" s="2" t="s">
        <v>397</v>
      </c>
      <c r="BF447" s="2" t="s">
        <v>2191</v>
      </c>
      <c r="BG447" s="2" t="s">
        <v>95</v>
      </c>
      <c r="BH447" s="2" t="s">
        <v>95</v>
      </c>
      <c r="BI447" s="2" t="s">
        <v>95</v>
      </c>
      <c r="BK447" s="2" t="s">
        <v>100</v>
      </c>
      <c r="BL447" s="2" t="s">
        <v>617</v>
      </c>
      <c r="BR447" s="2">
        <v>6.25</v>
      </c>
      <c r="BT447" s="2">
        <v>5</v>
      </c>
      <c r="CA447" s="2" t="s">
        <v>2192</v>
      </c>
      <c r="CB447" s="2" t="s">
        <v>395</v>
      </c>
      <c r="CG447" s="2">
        <v>3000</v>
      </c>
      <c r="CH447" s="2">
        <v>84</v>
      </c>
      <c r="CI447" s="2">
        <v>590</v>
      </c>
      <c r="CJ447" s="2">
        <v>438.76</v>
      </c>
      <c r="CK447" s="2">
        <v>30000</v>
      </c>
      <c r="CL447" s="2" t="s">
        <v>96</v>
      </c>
      <c r="CM447" s="2" t="s">
        <v>95</v>
      </c>
      <c r="CN447" s="2" t="s">
        <v>2193</v>
      </c>
      <c r="CO447" s="3">
        <v>40855</v>
      </c>
      <c r="CP447" s="3">
        <v>43634</v>
      </c>
    </row>
    <row r="448" spans="1:94" x14ac:dyDescent="0.25">
      <c r="A448" s="2" t="s">
        <v>2194</v>
      </c>
      <c r="B448" s="2" t="str">
        <f xml:space="preserve"> "" &amp; 844349011668</f>
        <v>844349011668</v>
      </c>
      <c r="C448" s="2" t="s">
        <v>2190</v>
      </c>
      <c r="D448" s="2" t="s">
        <v>3677</v>
      </c>
      <c r="E448" s="2" t="s">
        <v>425</v>
      </c>
      <c r="F448" s="2" t="s">
        <v>418</v>
      </c>
      <c r="G448" s="2">
        <v>1</v>
      </c>
      <c r="H448" s="2">
        <v>1</v>
      </c>
      <c r="I448" s="2" t="s">
        <v>94</v>
      </c>
      <c r="J448" s="6">
        <v>99</v>
      </c>
      <c r="K448" s="6">
        <v>297</v>
      </c>
      <c r="L448" s="2">
        <v>0</v>
      </c>
      <c r="N448" s="2">
        <v>0</v>
      </c>
      <c r="O448" s="2" t="s">
        <v>96</v>
      </c>
      <c r="P448" s="6">
        <v>207.95</v>
      </c>
      <c r="Q448" s="6"/>
      <c r="R448" s="7"/>
      <c r="S448" s="2">
        <v>6.25</v>
      </c>
      <c r="T448" s="2">
        <v>22</v>
      </c>
      <c r="U448" s="2">
        <v>13.75</v>
      </c>
      <c r="V448" s="2">
        <v>4.5</v>
      </c>
      <c r="W448" s="2">
        <v>2.98</v>
      </c>
      <c r="X448" s="2">
        <v>1</v>
      </c>
      <c r="Y448" s="2">
        <v>8</v>
      </c>
      <c r="Z448" s="2">
        <v>22</v>
      </c>
      <c r="AA448" s="2">
        <v>4.5</v>
      </c>
      <c r="AB448" s="2">
        <v>0.45800000000000002</v>
      </c>
      <c r="AC448" s="2">
        <v>4.28</v>
      </c>
      <c r="AE448" s="2">
        <v>1</v>
      </c>
      <c r="AF448" s="2" t="s">
        <v>2005</v>
      </c>
      <c r="AG448" s="2">
        <v>8</v>
      </c>
      <c r="AK448" s="2" t="s">
        <v>96</v>
      </c>
      <c r="AL448" s="2">
        <v>1</v>
      </c>
      <c r="AM448" s="2" t="s">
        <v>95</v>
      </c>
      <c r="AN448" s="2" t="s">
        <v>96</v>
      </c>
      <c r="AO448" s="2" t="s">
        <v>95</v>
      </c>
      <c r="AP448" s="2" t="s">
        <v>97</v>
      </c>
      <c r="AQ448" s="2" t="s">
        <v>98</v>
      </c>
      <c r="AV448" s="2" t="s">
        <v>95</v>
      </c>
      <c r="AX448" s="2" t="s">
        <v>116</v>
      </c>
      <c r="AZ448" s="2" t="s">
        <v>342</v>
      </c>
      <c r="BB448" s="2" t="s">
        <v>2157</v>
      </c>
      <c r="BC448" s="2" t="s">
        <v>135</v>
      </c>
      <c r="BF448" s="2" t="s">
        <v>2195</v>
      </c>
      <c r="BG448" s="2" t="s">
        <v>95</v>
      </c>
      <c r="BH448" s="2" t="s">
        <v>95</v>
      </c>
      <c r="BI448" s="2" t="s">
        <v>95</v>
      </c>
      <c r="BK448" s="2" t="s">
        <v>100</v>
      </c>
      <c r="BL448" s="2" t="s">
        <v>617</v>
      </c>
      <c r="BR448" s="2">
        <v>6.25</v>
      </c>
      <c r="BT448" s="2">
        <v>5</v>
      </c>
      <c r="CA448" s="2" t="s">
        <v>2192</v>
      </c>
      <c r="CB448" s="2" t="s">
        <v>116</v>
      </c>
      <c r="CG448" s="2">
        <v>3000</v>
      </c>
      <c r="CH448" s="2">
        <v>84</v>
      </c>
      <c r="CI448" s="2">
        <v>590</v>
      </c>
      <c r="CJ448" s="2">
        <v>438.76</v>
      </c>
      <c r="CK448" s="2">
        <v>30000</v>
      </c>
      <c r="CL448" s="2" t="s">
        <v>96</v>
      </c>
      <c r="CM448" s="2" t="s">
        <v>95</v>
      </c>
      <c r="CN448" s="2" t="s">
        <v>2193</v>
      </c>
      <c r="CO448" s="3">
        <v>40855</v>
      </c>
      <c r="CP448" s="3">
        <v>43634</v>
      </c>
    </row>
    <row r="449" spans="1:94" x14ac:dyDescent="0.25">
      <c r="A449" s="2" t="s">
        <v>2196</v>
      </c>
      <c r="B449" s="2" t="str">
        <f xml:space="preserve"> "" &amp; 844349011620</f>
        <v>844349011620</v>
      </c>
      <c r="C449" s="2" t="s">
        <v>2190</v>
      </c>
      <c r="D449" s="2" t="s">
        <v>3677</v>
      </c>
      <c r="E449" s="2" t="s">
        <v>425</v>
      </c>
      <c r="F449" s="2" t="s">
        <v>418</v>
      </c>
      <c r="G449" s="2">
        <v>1</v>
      </c>
      <c r="H449" s="2">
        <v>1</v>
      </c>
      <c r="I449" s="2" t="s">
        <v>94</v>
      </c>
      <c r="J449" s="6">
        <v>99</v>
      </c>
      <c r="K449" s="6">
        <v>297</v>
      </c>
      <c r="L449" s="2">
        <v>0</v>
      </c>
      <c r="N449" s="2">
        <v>0</v>
      </c>
      <c r="O449" s="2" t="s">
        <v>96</v>
      </c>
      <c r="P449" s="6">
        <v>207.95</v>
      </c>
      <c r="Q449" s="6"/>
      <c r="R449" s="7"/>
      <c r="S449" s="2">
        <v>6.25</v>
      </c>
      <c r="T449" s="2">
        <v>22</v>
      </c>
      <c r="U449" s="2">
        <v>13.75</v>
      </c>
      <c r="V449" s="2">
        <v>4.5</v>
      </c>
      <c r="W449" s="2">
        <v>2.98</v>
      </c>
      <c r="X449" s="2">
        <v>1</v>
      </c>
      <c r="Y449" s="2">
        <v>8</v>
      </c>
      <c r="Z449" s="2">
        <v>22</v>
      </c>
      <c r="AA449" s="2">
        <v>4.5</v>
      </c>
      <c r="AB449" s="2">
        <v>0.45800000000000002</v>
      </c>
      <c r="AC449" s="2">
        <v>4.28</v>
      </c>
      <c r="AE449" s="2">
        <v>1</v>
      </c>
      <c r="AF449" s="2" t="s">
        <v>2005</v>
      </c>
      <c r="AG449" s="2">
        <v>8</v>
      </c>
      <c r="AK449" s="2" t="s">
        <v>96</v>
      </c>
      <c r="AL449" s="2">
        <v>1</v>
      </c>
      <c r="AM449" s="2" t="s">
        <v>95</v>
      </c>
      <c r="AN449" s="2" t="s">
        <v>96</v>
      </c>
      <c r="AO449" s="2" t="s">
        <v>95</v>
      </c>
      <c r="AP449" s="2" t="s">
        <v>97</v>
      </c>
      <c r="AQ449" s="2" t="s">
        <v>98</v>
      </c>
      <c r="AV449" s="2" t="s">
        <v>95</v>
      </c>
      <c r="AX449" s="2" t="s">
        <v>1688</v>
      </c>
      <c r="AZ449" s="2" t="s">
        <v>342</v>
      </c>
      <c r="BB449" s="2" t="s">
        <v>2197</v>
      </c>
      <c r="BC449" s="2" t="s">
        <v>2198</v>
      </c>
      <c r="BF449" s="2" t="s">
        <v>2199</v>
      </c>
      <c r="BG449" s="2" t="s">
        <v>95</v>
      </c>
      <c r="BH449" s="2" t="s">
        <v>95</v>
      </c>
      <c r="BI449" s="2" t="s">
        <v>95</v>
      </c>
      <c r="BK449" s="2" t="s">
        <v>2200</v>
      </c>
      <c r="BL449" s="2" t="s">
        <v>617</v>
      </c>
      <c r="BR449" s="2">
        <v>6.25</v>
      </c>
      <c r="BT449" s="2">
        <v>5</v>
      </c>
      <c r="CA449" s="2" t="s">
        <v>2192</v>
      </c>
      <c r="CB449" s="2" t="s">
        <v>1688</v>
      </c>
      <c r="CG449" s="2">
        <v>3000</v>
      </c>
      <c r="CH449" s="2">
        <v>84</v>
      </c>
      <c r="CI449" s="2">
        <v>590</v>
      </c>
      <c r="CJ449" s="2">
        <v>438.76</v>
      </c>
      <c r="CK449" s="2">
        <v>30000</v>
      </c>
      <c r="CL449" s="2" t="s">
        <v>96</v>
      </c>
      <c r="CM449" s="2" t="s">
        <v>95</v>
      </c>
      <c r="CN449" s="2" t="s">
        <v>2201</v>
      </c>
      <c r="CO449" s="3">
        <v>40855</v>
      </c>
      <c r="CP449" s="3">
        <v>43634</v>
      </c>
    </row>
    <row r="450" spans="1:94" x14ac:dyDescent="0.25">
      <c r="A450" s="2" t="s">
        <v>2202</v>
      </c>
      <c r="B450" s="2" t="str">
        <f xml:space="preserve"> "" &amp; 844349011644</f>
        <v>844349011644</v>
      </c>
      <c r="C450" s="2" t="s">
        <v>2190</v>
      </c>
      <c r="D450" s="2" t="s">
        <v>3677</v>
      </c>
      <c r="E450" s="2" t="s">
        <v>425</v>
      </c>
      <c r="F450" s="2" t="s">
        <v>418</v>
      </c>
      <c r="G450" s="2">
        <v>1</v>
      </c>
      <c r="H450" s="2">
        <v>1</v>
      </c>
      <c r="I450" s="2" t="s">
        <v>94</v>
      </c>
      <c r="J450" s="6">
        <v>99</v>
      </c>
      <c r="K450" s="6">
        <v>297</v>
      </c>
      <c r="L450" s="2">
        <v>0</v>
      </c>
      <c r="N450" s="2">
        <v>0</v>
      </c>
      <c r="O450" s="2" t="s">
        <v>96</v>
      </c>
      <c r="P450" s="6">
        <v>207.95</v>
      </c>
      <c r="Q450" s="6"/>
      <c r="R450" s="7"/>
      <c r="S450" s="2">
        <v>6.25</v>
      </c>
      <c r="T450" s="2">
        <v>22</v>
      </c>
      <c r="U450" s="2">
        <v>13.75</v>
      </c>
      <c r="V450" s="2">
        <v>4.5</v>
      </c>
      <c r="W450" s="2">
        <v>2.98</v>
      </c>
      <c r="X450" s="2">
        <v>1</v>
      </c>
      <c r="Y450" s="2">
        <v>8</v>
      </c>
      <c r="Z450" s="2">
        <v>22</v>
      </c>
      <c r="AA450" s="2">
        <v>4.5</v>
      </c>
      <c r="AB450" s="2">
        <v>0.45800000000000002</v>
      </c>
      <c r="AC450" s="2">
        <v>4.28</v>
      </c>
      <c r="AE450" s="2">
        <v>1</v>
      </c>
      <c r="AF450" s="2" t="s">
        <v>2005</v>
      </c>
      <c r="AG450" s="2">
        <v>8</v>
      </c>
      <c r="AK450" s="2" t="s">
        <v>96</v>
      </c>
      <c r="AL450" s="2">
        <v>1</v>
      </c>
      <c r="AM450" s="2" t="s">
        <v>95</v>
      </c>
      <c r="AN450" s="2" t="s">
        <v>96</v>
      </c>
      <c r="AO450" s="2" t="s">
        <v>95</v>
      </c>
      <c r="AP450" s="2" t="s">
        <v>97</v>
      </c>
      <c r="AQ450" s="2" t="s">
        <v>98</v>
      </c>
      <c r="AV450" s="2" t="s">
        <v>95</v>
      </c>
      <c r="AX450" s="2" t="s">
        <v>1483</v>
      </c>
      <c r="AZ450" s="2" t="s">
        <v>342</v>
      </c>
      <c r="BB450" s="2" t="s">
        <v>2164</v>
      </c>
      <c r="BC450" s="2" t="s">
        <v>2167</v>
      </c>
      <c r="BF450" s="2" t="s">
        <v>2203</v>
      </c>
      <c r="BG450" s="2" t="s">
        <v>95</v>
      </c>
      <c r="BH450" s="2" t="s">
        <v>95</v>
      </c>
      <c r="BI450" s="2" t="s">
        <v>95</v>
      </c>
      <c r="BK450" s="2" t="s">
        <v>100</v>
      </c>
      <c r="BL450" s="2" t="s">
        <v>617</v>
      </c>
      <c r="BR450" s="2">
        <v>6.25</v>
      </c>
      <c r="BT450" s="2">
        <v>5</v>
      </c>
      <c r="CA450" s="2" t="s">
        <v>2192</v>
      </c>
      <c r="CB450" s="2" t="s">
        <v>1483</v>
      </c>
      <c r="CG450" s="2">
        <v>3000</v>
      </c>
      <c r="CH450" s="2">
        <v>84</v>
      </c>
      <c r="CI450" s="2">
        <v>590</v>
      </c>
      <c r="CJ450" s="2">
        <v>438.76</v>
      </c>
      <c r="CK450" s="2">
        <v>30000</v>
      </c>
      <c r="CL450" s="2" t="s">
        <v>96</v>
      </c>
      <c r="CM450" s="2" t="s">
        <v>95</v>
      </c>
      <c r="CN450" s="2" t="s">
        <v>2193</v>
      </c>
      <c r="CO450" s="3">
        <v>40854</v>
      </c>
      <c r="CP450" s="3">
        <v>43634</v>
      </c>
    </row>
    <row r="451" spans="1:94" x14ac:dyDescent="0.25">
      <c r="A451" s="2" t="s">
        <v>2204</v>
      </c>
      <c r="B451" s="2" t="str">
        <f xml:space="preserve"> "" &amp; 844349013525</f>
        <v>844349013525</v>
      </c>
      <c r="C451" s="2" t="s">
        <v>2205</v>
      </c>
      <c r="D451" s="2" t="s">
        <v>3682</v>
      </c>
      <c r="E451" s="2" t="s">
        <v>425</v>
      </c>
      <c r="F451" s="2" t="s">
        <v>418</v>
      </c>
      <c r="G451" s="2">
        <v>1</v>
      </c>
      <c r="H451" s="2">
        <v>1</v>
      </c>
      <c r="I451" s="2" t="s">
        <v>94</v>
      </c>
      <c r="J451" s="6">
        <v>173</v>
      </c>
      <c r="K451" s="6">
        <v>519</v>
      </c>
      <c r="L451" s="2">
        <v>0</v>
      </c>
      <c r="N451" s="2">
        <v>0</v>
      </c>
      <c r="O451" s="2" t="s">
        <v>96</v>
      </c>
      <c r="P451" s="6">
        <v>363.95</v>
      </c>
      <c r="Q451" s="6"/>
      <c r="R451" s="7"/>
      <c r="S451" s="2">
        <v>4.5</v>
      </c>
      <c r="U451" s="2">
        <v>26.5</v>
      </c>
      <c r="V451" s="2">
        <v>4.5</v>
      </c>
      <c r="W451" s="2">
        <v>6.44</v>
      </c>
      <c r="X451" s="2">
        <v>1</v>
      </c>
      <c r="Y451" s="2">
        <v>7</v>
      </c>
      <c r="Z451" s="2">
        <v>29</v>
      </c>
      <c r="AA451" s="2">
        <v>5.75</v>
      </c>
      <c r="AB451" s="2">
        <v>0.67500000000000004</v>
      </c>
      <c r="AC451" s="2">
        <v>7.74</v>
      </c>
      <c r="AE451" s="2">
        <v>2</v>
      </c>
      <c r="AF451" s="2" t="s">
        <v>2005</v>
      </c>
      <c r="AG451" s="2">
        <v>8</v>
      </c>
      <c r="AK451" s="2" t="s">
        <v>96</v>
      </c>
      <c r="AM451" s="2" t="s">
        <v>95</v>
      </c>
      <c r="AN451" s="2" t="s">
        <v>96</v>
      </c>
      <c r="AO451" s="2" t="s">
        <v>95</v>
      </c>
      <c r="AP451" s="2" t="s">
        <v>97</v>
      </c>
      <c r="AQ451" s="2" t="s">
        <v>98</v>
      </c>
      <c r="AV451" s="2" t="s">
        <v>95</v>
      </c>
      <c r="AX451" s="2" t="s">
        <v>1483</v>
      </c>
      <c r="AZ451" s="2" t="s">
        <v>342</v>
      </c>
      <c r="BB451" s="2" t="s">
        <v>2197</v>
      </c>
      <c r="BC451" s="2" t="s">
        <v>2167</v>
      </c>
      <c r="BF451" s="2" t="s">
        <v>2206</v>
      </c>
      <c r="BG451" s="2" t="s">
        <v>95</v>
      </c>
      <c r="BH451" s="2" t="s">
        <v>95</v>
      </c>
      <c r="BI451" s="2" t="s">
        <v>95</v>
      </c>
      <c r="BK451" s="2" t="s">
        <v>2200</v>
      </c>
      <c r="BL451" s="2" t="s">
        <v>617</v>
      </c>
      <c r="BR451" s="2">
        <v>4.5</v>
      </c>
      <c r="BT451" s="2">
        <v>18</v>
      </c>
      <c r="CA451" s="2" t="s">
        <v>2207</v>
      </c>
      <c r="CB451" s="2" t="s">
        <v>1483</v>
      </c>
      <c r="CG451" s="2">
        <v>3000</v>
      </c>
      <c r="CH451" s="2">
        <v>84</v>
      </c>
      <c r="CI451" s="2">
        <v>1900</v>
      </c>
      <c r="CJ451" s="2">
        <v>859.86</v>
      </c>
      <c r="CK451" s="2">
        <v>30000</v>
      </c>
      <c r="CL451" s="2" t="s">
        <v>96</v>
      </c>
      <c r="CM451" s="2" t="s">
        <v>95</v>
      </c>
      <c r="CN451" s="2" t="s">
        <v>2201</v>
      </c>
      <c r="CO451" s="3">
        <v>41369</v>
      </c>
      <c r="CP451" s="3">
        <v>43634</v>
      </c>
    </row>
    <row r="452" spans="1:94" x14ac:dyDescent="0.25">
      <c r="A452" s="2" t="s">
        <v>2208</v>
      </c>
      <c r="B452" s="2" t="str">
        <f xml:space="preserve"> "" &amp; 844349011712</f>
        <v>844349011712</v>
      </c>
      <c r="C452" s="2" t="s">
        <v>2156</v>
      </c>
      <c r="D452" s="2" t="s">
        <v>3675</v>
      </c>
      <c r="E452" s="2" t="s">
        <v>425</v>
      </c>
      <c r="F452" s="2" t="s">
        <v>426</v>
      </c>
      <c r="G452" s="2">
        <v>1</v>
      </c>
      <c r="H452" s="2">
        <v>1</v>
      </c>
      <c r="I452" s="2" t="s">
        <v>94</v>
      </c>
      <c r="J452" s="6">
        <v>175</v>
      </c>
      <c r="K452" s="6">
        <v>525</v>
      </c>
      <c r="L452" s="2">
        <v>0</v>
      </c>
      <c r="N452" s="2">
        <v>0</v>
      </c>
      <c r="O452" s="2" t="s">
        <v>96</v>
      </c>
      <c r="P452" s="6">
        <v>367.95</v>
      </c>
      <c r="Q452" s="6"/>
      <c r="R452" s="7"/>
      <c r="S452" s="2">
        <v>50</v>
      </c>
      <c r="T452" s="2">
        <v>55</v>
      </c>
      <c r="U452" s="2">
        <v>8.25</v>
      </c>
      <c r="W452" s="2">
        <v>12.57</v>
      </c>
      <c r="X452" s="2">
        <v>1</v>
      </c>
      <c r="Y452" s="2">
        <v>11</v>
      </c>
      <c r="Z452" s="2">
        <v>55</v>
      </c>
      <c r="AA452" s="2">
        <v>11</v>
      </c>
      <c r="AB452" s="2">
        <v>3.851</v>
      </c>
      <c r="AC452" s="2">
        <v>19.399999999999999</v>
      </c>
      <c r="AE452" s="2">
        <v>1</v>
      </c>
      <c r="AF452" s="2" t="s">
        <v>2005</v>
      </c>
      <c r="AG452" s="2">
        <v>8</v>
      </c>
      <c r="AK452" s="2" t="s">
        <v>96</v>
      </c>
      <c r="AM452" s="2" t="s">
        <v>95</v>
      </c>
      <c r="AN452" s="2" t="s">
        <v>96</v>
      </c>
      <c r="AO452" s="2" t="s">
        <v>95</v>
      </c>
      <c r="AP452" s="2" t="s">
        <v>97</v>
      </c>
      <c r="AQ452" s="2" t="s">
        <v>98</v>
      </c>
      <c r="AV452" s="2" t="s">
        <v>95</v>
      </c>
      <c r="AX452" s="2" t="s">
        <v>116</v>
      </c>
      <c r="AZ452" s="2" t="s">
        <v>342</v>
      </c>
      <c r="BB452" s="2" t="s">
        <v>2164</v>
      </c>
      <c r="BC452" s="2" t="s">
        <v>135</v>
      </c>
      <c r="BF452" s="2" t="s">
        <v>2209</v>
      </c>
      <c r="BG452" s="2" t="s">
        <v>95</v>
      </c>
      <c r="BH452" s="2" t="s">
        <v>95</v>
      </c>
      <c r="BI452" s="2" t="s">
        <v>95</v>
      </c>
      <c r="BK452" s="2" t="s">
        <v>100</v>
      </c>
      <c r="BR452" s="2">
        <v>1</v>
      </c>
      <c r="BS452" s="2">
        <v>8.25</v>
      </c>
      <c r="BT452" s="2">
        <v>8.25</v>
      </c>
      <c r="CA452" s="2" t="s">
        <v>2210</v>
      </c>
      <c r="CB452" s="2" t="s">
        <v>116</v>
      </c>
      <c r="CG452" s="2">
        <v>3000</v>
      </c>
      <c r="CH452" s="2">
        <v>84</v>
      </c>
      <c r="CI452" s="2">
        <v>590</v>
      </c>
      <c r="CJ452" s="2">
        <v>442</v>
      </c>
      <c r="CK452" s="2">
        <v>30000</v>
      </c>
      <c r="CL452" s="2" t="s">
        <v>96</v>
      </c>
      <c r="CM452" s="2" t="s">
        <v>95</v>
      </c>
      <c r="CN452" s="2" t="s">
        <v>2160</v>
      </c>
      <c r="CO452" s="3">
        <v>40850</v>
      </c>
      <c r="CP452" s="3">
        <v>43634</v>
      </c>
    </row>
    <row r="453" spans="1:94" x14ac:dyDescent="0.25">
      <c r="A453" s="2" t="s">
        <v>2211</v>
      </c>
      <c r="B453" s="2" t="str">
        <f xml:space="preserve"> "" &amp; 844349011675</f>
        <v>844349011675</v>
      </c>
      <c r="C453" s="2" t="s">
        <v>2156</v>
      </c>
      <c r="D453" s="2" t="s">
        <v>3675</v>
      </c>
      <c r="E453" s="2" t="s">
        <v>425</v>
      </c>
      <c r="F453" s="2" t="s">
        <v>426</v>
      </c>
      <c r="G453" s="2">
        <v>1</v>
      </c>
      <c r="H453" s="2">
        <v>1</v>
      </c>
      <c r="I453" s="2" t="s">
        <v>94</v>
      </c>
      <c r="J453" s="6">
        <v>175</v>
      </c>
      <c r="K453" s="6">
        <v>525</v>
      </c>
      <c r="L453" s="2">
        <v>0</v>
      </c>
      <c r="N453" s="2">
        <v>0</v>
      </c>
      <c r="O453" s="2" t="s">
        <v>96</v>
      </c>
      <c r="P453" s="6">
        <v>367.95</v>
      </c>
      <c r="Q453" s="6"/>
      <c r="R453" s="7"/>
      <c r="S453" s="2">
        <v>50</v>
      </c>
      <c r="T453" s="2">
        <v>55</v>
      </c>
      <c r="U453" s="2">
        <v>8.25</v>
      </c>
      <c r="W453" s="2">
        <v>12.57</v>
      </c>
      <c r="X453" s="2">
        <v>1</v>
      </c>
      <c r="Y453" s="2">
        <v>11</v>
      </c>
      <c r="Z453" s="2">
        <v>55</v>
      </c>
      <c r="AA453" s="2">
        <v>11</v>
      </c>
      <c r="AB453" s="2">
        <v>3.851</v>
      </c>
      <c r="AC453" s="2">
        <v>19.399999999999999</v>
      </c>
      <c r="AE453" s="2">
        <v>1</v>
      </c>
      <c r="AF453" s="2" t="s">
        <v>2005</v>
      </c>
      <c r="AG453" s="2">
        <v>8</v>
      </c>
      <c r="AK453" s="2" t="s">
        <v>96</v>
      </c>
      <c r="AM453" s="2" t="s">
        <v>95</v>
      </c>
      <c r="AN453" s="2" t="s">
        <v>96</v>
      </c>
      <c r="AO453" s="2" t="s">
        <v>95</v>
      </c>
      <c r="AP453" s="2" t="s">
        <v>97</v>
      </c>
      <c r="AQ453" s="2" t="s">
        <v>98</v>
      </c>
      <c r="AV453" s="2" t="s">
        <v>95</v>
      </c>
      <c r="AX453" s="2" t="s">
        <v>1688</v>
      </c>
      <c r="AZ453" s="2" t="s">
        <v>342</v>
      </c>
      <c r="BB453" s="2" t="s">
        <v>2157</v>
      </c>
      <c r="BC453" s="2" t="s">
        <v>2198</v>
      </c>
      <c r="BF453" s="2" t="s">
        <v>2212</v>
      </c>
      <c r="BG453" s="2" t="s">
        <v>95</v>
      </c>
      <c r="BH453" s="2" t="s">
        <v>95</v>
      </c>
      <c r="BI453" s="2" t="s">
        <v>95</v>
      </c>
      <c r="BK453" s="2" t="s">
        <v>100</v>
      </c>
      <c r="BR453" s="2">
        <v>1</v>
      </c>
      <c r="BS453" s="2">
        <v>8.25</v>
      </c>
      <c r="BT453" s="2">
        <v>8.25</v>
      </c>
      <c r="CA453" s="2" t="s">
        <v>2210</v>
      </c>
      <c r="CB453" s="2" t="s">
        <v>1688</v>
      </c>
      <c r="CG453" s="2">
        <v>3000</v>
      </c>
      <c r="CH453" s="2">
        <v>84</v>
      </c>
      <c r="CI453" s="2">
        <v>590</v>
      </c>
      <c r="CJ453" s="2">
        <v>442</v>
      </c>
      <c r="CK453" s="2">
        <v>30000</v>
      </c>
      <c r="CL453" s="2" t="s">
        <v>96</v>
      </c>
      <c r="CM453" s="2" t="s">
        <v>95</v>
      </c>
      <c r="CN453" s="2" t="s">
        <v>2160</v>
      </c>
      <c r="CO453" s="3">
        <v>40850</v>
      </c>
      <c r="CP453" s="3">
        <v>43634</v>
      </c>
    </row>
    <row r="454" spans="1:94" x14ac:dyDescent="0.25">
      <c r="A454" s="2" t="s">
        <v>2213</v>
      </c>
      <c r="B454" s="2" t="str">
        <f xml:space="preserve"> "" &amp; 844349011699</f>
        <v>844349011699</v>
      </c>
      <c r="C454" s="2" t="s">
        <v>2156</v>
      </c>
      <c r="D454" s="2" t="s">
        <v>3675</v>
      </c>
      <c r="E454" s="2" t="s">
        <v>425</v>
      </c>
      <c r="F454" s="2" t="s">
        <v>426</v>
      </c>
      <c r="G454" s="2">
        <v>1</v>
      </c>
      <c r="H454" s="2">
        <v>1</v>
      </c>
      <c r="I454" s="2" t="s">
        <v>94</v>
      </c>
      <c r="J454" s="6">
        <v>175</v>
      </c>
      <c r="K454" s="6">
        <v>525</v>
      </c>
      <c r="L454" s="2">
        <v>0</v>
      </c>
      <c r="N454" s="2">
        <v>0</v>
      </c>
      <c r="O454" s="2" t="s">
        <v>96</v>
      </c>
      <c r="P454" s="6">
        <v>367.95</v>
      </c>
      <c r="Q454" s="6"/>
      <c r="R454" s="7"/>
      <c r="S454" s="2">
        <v>50</v>
      </c>
      <c r="T454" s="2">
        <v>55</v>
      </c>
      <c r="U454" s="2">
        <v>8.25</v>
      </c>
      <c r="W454" s="2">
        <v>12.57</v>
      </c>
      <c r="X454" s="2">
        <v>1</v>
      </c>
      <c r="Y454" s="2">
        <v>11</v>
      </c>
      <c r="Z454" s="2">
        <v>55</v>
      </c>
      <c r="AA454" s="2">
        <v>11</v>
      </c>
      <c r="AB454" s="2">
        <v>3.851</v>
      </c>
      <c r="AC454" s="2">
        <v>19.399999999999999</v>
      </c>
      <c r="AE454" s="2">
        <v>1</v>
      </c>
      <c r="AF454" s="2" t="s">
        <v>2005</v>
      </c>
      <c r="AG454" s="2">
        <v>8</v>
      </c>
      <c r="AK454" s="2" t="s">
        <v>96</v>
      </c>
      <c r="AM454" s="2" t="s">
        <v>95</v>
      </c>
      <c r="AN454" s="2" t="s">
        <v>96</v>
      </c>
      <c r="AO454" s="2" t="s">
        <v>95</v>
      </c>
      <c r="AP454" s="2" t="s">
        <v>97</v>
      </c>
      <c r="AQ454" s="2" t="s">
        <v>98</v>
      </c>
      <c r="AV454" s="2" t="s">
        <v>95</v>
      </c>
      <c r="AX454" s="2" t="s">
        <v>1483</v>
      </c>
      <c r="AZ454" s="2" t="s">
        <v>342</v>
      </c>
      <c r="BB454" s="2" t="s">
        <v>2157</v>
      </c>
      <c r="BC454" s="2" t="s">
        <v>2167</v>
      </c>
      <c r="BF454" s="2" t="s">
        <v>2214</v>
      </c>
      <c r="BG454" s="2" t="s">
        <v>95</v>
      </c>
      <c r="BH454" s="2" t="s">
        <v>95</v>
      </c>
      <c r="BI454" s="2" t="s">
        <v>95</v>
      </c>
      <c r="BK454" s="2" t="s">
        <v>100</v>
      </c>
      <c r="BR454" s="2">
        <v>1</v>
      </c>
      <c r="BS454" s="2">
        <v>8.25</v>
      </c>
      <c r="BT454" s="2">
        <v>8.25</v>
      </c>
      <c r="CA454" s="2" t="s">
        <v>2210</v>
      </c>
      <c r="CB454" s="2" t="s">
        <v>1483</v>
      </c>
      <c r="CG454" s="2">
        <v>3000</v>
      </c>
      <c r="CH454" s="2">
        <v>84</v>
      </c>
      <c r="CI454" s="2">
        <v>590</v>
      </c>
      <c r="CJ454" s="2">
        <v>442</v>
      </c>
      <c r="CK454" s="2">
        <v>30000</v>
      </c>
      <c r="CL454" s="2" t="s">
        <v>96</v>
      </c>
      <c r="CM454" s="2" t="s">
        <v>95</v>
      </c>
      <c r="CN454" s="2" t="s">
        <v>2160</v>
      </c>
      <c r="CO454" s="3">
        <v>40850</v>
      </c>
      <c r="CP454" s="3">
        <v>43634</v>
      </c>
    </row>
    <row r="455" spans="1:94" x14ac:dyDescent="0.25">
      <c r="A455" s="2" t="s">
        <v>2215</v>
      </c>
      <c r="B455" s="2" t="str">
        <f xml:space="preserve"> "" &amp; 844349011736</f>
        <v>844349011736</v>
      </c>
      <c r="C455" s="2" t="s">
        <v>1805</v>
      </c>
      <c r="D455" s="2" t="s">
        <v>3676</v>
      </c>
      <c r="E455" s="2" t="s">
        <v>425</v>
      </c>
      <c r="F455" s="2" t="s">
        <v>1429</v>
      </c>
      <c r="G455" s="2">
        <v>1</v>
      </c>
      <c r="H455" s="2">
        <v>1</v>
      </c>
      <c r="I455" s="2" t="s">
        <v>94</v>
      </c>
      <c r="J455" s="6">
        <v>115</v>
      </c>
      <c r="K455" s="6">
        <v>345</v>
      </c>
      <c r="L455" s="2">
        <v>0</v>
      </c>
      <c r="N455" s="2">
        <v>0</v>
      </c>
      <c r="O455" s="2" t="s">
        <v>96</v>
      </c>
      <c r="P455" s="6">
        <v>239.95</v>
      </c>
      <c r="Q455" s="6"/>
      <c r="R455" s="7"/>
      <c r="S455" s="2">
        <v>19</v>
      </c>
      <c r="T455" s="2">
        <v>22</v>
      </c>
      <c r="U455" s="2">
        <v>6.25</v>
      </c>
      <c r="W455" s="2">
        <v>6.88</v>
      </c>
      <c r="X455" s="2">
        <v>1</v>
      </c>
      <c r="Y455" s="2">
        <v>8.5</v>
      </c>
      <c r="Z455" s="2">
        <v>22</v>
      </c>
      <c r="AA455" s="2">
        <v>8.5</v>
      </c>
      <c r="AB455" s="2">
        <v>0.92</v>
      </c>
      <c r="AC455" s="2">
        <v>9.06</v>
      </c>
      <c r="AE455" s="2">
        <v>1</v>
      </c>
      <c r="AF455" s="2" t="s">
        <v>2005</v>
      </c>
      <c r="AG455" s="2">
        <v>8</v>
      </c>
      <c r="AK455" s="2" t="s">
        <v>96</v>
      </c>
      <c r="AM455" s="2" t="s">
        <v>95</v>
      </c>
      <c r="AN455" s="2" t="s">
        <v>96</v>
      </c>
      <c r="AO455" s="2" t="s">
        <v>95</v>
      </c>
      <c r="AP455" s="2" t="s">
        <v>97</v>
      </c>
      <c r="AQ455" s="2" t="s">
        <v>98</v>
      </c>
      <c r="AV455" s="2" t="s">
        <v>95</v>
      </c>
      <c r="AX455" s="2" t="s">
        <v>395</v>
      </c>
      <c r="AZ455" s="2" t="s">
        <v>342</v>
      </c>
      <c r="BB455" s="2" t="s">
        <v>2157</v>
      </c>
      <c r="BC455" s="2" t="s">
        <v>397</v>
      </c>
      <c r="BF455" s="2" t="s">
        <v>2216</v>
      </c>
      <c r="BG455" s="2" t="s">
        <v>95</v>
      </c>
      <c r="BH455" s="2" t="s">
        <v>95</v>
      </c>
      <c r="BI455" s="2" t="s">
        <v>95</v>
      </c>
      <c r="BK455" s="2" t="s">
        <v>100</v>
      </c>
      <c r="BR455" s="2">
        <v>1</v>
      </c>
      <c r="BS455" s="2">
        <v>6.5</v>
      </c>
      <c r="BT455" s="2">
        <v>6.5</v>
      </c>
      <c r="CA455" s="2" t="s">
        <v>2217</v>
      </c>
      <c r="CB455" s="2" t="s">
        <v>395</v>
      </c>
      <c r="CG455" s="2">
        <v>3000</v>
      </c>
      <c r="CH455" s="2">
        <v>84</v>
      </c>
      <c r="CI455" s="2">
        <v>590</v>
      </c>
      <c r="CJ455" s="2">
        <v>442</v>
      </c>
      <c r="CK455" s="2">
        <v>30000</v>
      </c>
      <c r="CL455" s="2" t="s">
        <v>96</v>
      </c>
      <c r="CM455" s="2" t="s">
        <v>95</v>
      </c>
      <c r="CN455" s="2" t="s">
        <v>2160</v>
      </c>
      <c r="CO455" s="3">
        <v>40854</v>
      </c>
      <c r="CP455" s="3">
        <v>43634</v>
      </c>
    </row>
    <row r="456" spans="1:94" x14ac:dyDescent="0.25">
      <c r="A456" s="2" t="s">
        <v>2218</v>
      </c>
      <c r="B456" s="2" t="str">
        <f xml:space="preserve"> "" &amp; 844349011750</f>
        <v>844349011750</v>
      </c>
      <c r="C456" s="2" t="s">
        <v>1805</v>
      </c>
      <c r="D456" s="2" t="s">
        <v>3676</v>
      </c>
      <c r="E456" s="2" t="s">
        <v>425</v>
      </c>
      <c r="F456" s="2" t="s">
        <v>1429</v>
      </c>
      <c r="G456" s="2">
        <v>1</v>
      </c>
      <c r="H456" s="2">
        <v>1</v>
      </c>
      <c r="I456" s="2" t="s">
        <v>94</v>
      </c>
      <c r="J456" s="6">
        <v>115</v>
      </c>
      <c r="K456" s="6">
        <v>345</v>
      </c>
      <c r="L456" s="2">
        <v>0</v>
      </c>
      <c r="N456" s="2">
        <v>0</v>
      </c>
      <c r="O456" s="2" t="s">
        <v>96</v>
      </c>
      <c r="P456" s="6">
        <v>239.95</v>
      </c>
      <c r="Q456" s="6"/>
      <c r="R456" s="7"/>
      <c r="S456" s="2">
        <v>19</v>
      </c>
      <c r="T456" s="2">
        <v>22</v>
      </c>
      <c r="U456" s="2">
        <v>6.25</v>
      </c>
      <c r="W456" s="2">
        <v>6.88</v>
      </c>
      <c r="X456" s="2">
        <v>1</v>
      </c>
      <c r="Y456" s="2">
        <v>8.5</v>
      </c>
      <c r="Z456" s="2">
        <v>22</v>
      </c>
      <c r="AA456" s="2">
        <v>8.5</v>
      </c>
      <c r="AB456" s="2">
        <v>0.92</v>
      </c>
      <c r="AC456" s="2">
        <v>9.06</v>
      </c>
      <c r="AE456" s="2">
        <v>1</v>
      </c>
      <c r="AF456" s="2" t="s">
        <v>2005</v>
      </c>
      <c r="AG456" s="2">
        <v>8</v>
      </c>
      <c r="AK456" s="2" t="s">
        <v>96</v>
      </c>
      <c r="AM456" s="2" t="s">
        <v>95</v>
      </c>
      <c r="AN456" s="2" t="s">
        <v>96</v>
      </c>
      <c r="AO456" s="2" t="s">
        <v>95</v>
      </c>
      <c r="AP456" s="2" t="s">
        <v>97</v>
      </c>
      <c r="AQ456" s="2" t="s">
        <v>98</v>
      </c>
      <c r="AV456" s="2" t="s">
        <v>95</v>
      </c>
      <c r="AX456" s="2" t="s">
        <v>116</v>
      </c>
      <c r="AZ456" s="2" t="s">
        <v>342</v>
      </c>
      <c r="BB456" s="2" t="s">
        <v>2157</v>
      </c>
      <c r="BC456" s="2" t="s">
        <v>135</v>
      </c>
      <c r="BF456" s="2" t="s">
        <v>2219</v>
      </c>
      <c r="BG456" s="2" t="s">
        <v>95</v>
      </c>
      <c r="BH456" s="2" t="s">
        <v>95</v>
      </c>
      <c r="BI456" s="2" t="s">
        <v>95</v>
      </c>
      <c r="BK456" s="2" t="s">
        <v>100</v>
      </c>
      <c r="CA456" s="2" t="s">
        <v>2217</v>
      </c>
      <c r="CB456" s="2" t="s">
        <v>116</v>
      </c>
      <c r="CG456" s="2">
        <v>3000</v>
      </c>
      <c r="CH456" s="2">
        <v>84</v>
      </c>
      <c r="CI456" s="2">
        <v>590</v>
      </c>
      <c r="CJ456" s="2">
        <v>442</v>
      </c>
      <c r="CK456" s="2">
        <v>30000</v>
      </c>
      <c r="CL456" s="2" t="s">
        <v>96</v>
      </c>
      <c r="CM456" s="2" t="s">
        <v>95</v>
      </c>
      <c r="CN456" s="2" t="s">
        <v>2160</v>
      </c>
      <c r="CO456" s="3">
        <v>40854</v>
      </c>
      <c r="CP456" s="3">
        <v>43634</v>
      </c>
    </row>
    <row r="457" spans="1:94" x14ac:dyDescent="0.25">
      <c r="A457" s="2" t="s">
        <v>2220</v>
      </c>
      <c r="B457" s="2" t="str">
        <f xml:space="preserve"> "" &amp; 844349011729</f>
        <v>844349011729</v>
      </c>
      <c r="C457" s="2" t="s">
        <v>1805</v>
      </c>
      <c r="D457" s="2" t="s">
        <v>3676</v>
      </c>
      <c r="E457" s="2" t="s">
        <v>425</v>
      </c>
      <c r="F457" s="2" t="s">
        <v>1429</v>
      </c>
      <c r="G457" s="2">
        <v>1</v>
      </c>
      <c r="H457" s="2">
        <v>1</v>
      </c>
      <c r="I457" s="2" t="s">
        <v>94</v>
      </c>
      <c r="J457" s="6">
        <v>115</v>
      </c>
      <c r="K457" s="6">
        <v>345</v>
      </c>
      <c r="L457" s="2">
        <v>0</v>
      </c>
      <c r="N457" s="2">
        <v>0</v>
      </c>
      <c r="O457" s="2" t="s">
        <v>96</v>
      </c>
      <c r="P457" s="6">
        <v>239.95</v>
      </c>
      <c r="Q457" s="6"/>
      <c r="R457" s="7"/>
      <c r="S457" s="2">
        <v>19</v>
      </c>
      <c r="T457" s="2">
        <v>22</v>
      </c>
      <c r="U457" s="2">
        <v>6.25</v>
      </c>
      <c r="W457" s="2">
        <v>6.88</v>
      </c>
      <c r="X457" s="2">
        <v>1</v>
      </c>
      <c r="Y457" s="2">
        <v>8.5</v>
      </c>
      <c r="Z457" s="2">
        <v>22</v>
      </c>
      <c r="AA457" s="2">
        <v>8.5</v>
      </c>
      <c r="AB457" s="2">
        <v>0.92</v>
      </c>
      <c r="AC457" s="2">
        <v>9.06</v>
      </c>
      <c r="AE457" s="2">
        <v>1</v>
      </c>
      <c r="AF457" s="2" t="s">
        <v>2005</v>
      </c>
      <c r="AG457" s="2">
        <v>8</v>
      </c>
      <c r="AK457" s="2" t="s">
        <v>96</v>
      </c>
      <c r="AM457" s="2" t="s">
        <v>95</v>
      </c>
      <c r="AN457" s="2" t="s">
        <v>96</v>
      </c>
      <c r="AO457" s="2" t="s">
        <v>95</v>
      </c>
      <c r="AP457" s="2" t="s">
        <v>97</v>
      </c>
      <c r="AQ457" s="2" t="s">
        <v>98</v>
      </c>
      <c r="AV457" s="2" t="s">
        <v>95</v>
      </c>
      <c r="AX457" s="2" t="s">
        <v>1688</v>
      </c>
      <c r="AZ457" s="2" t="s">
        <v>342</v>
      </c>
      <c r="BB457" s="2" t="s">
        <v>2157</v>
      </c>
      <c r="BC457" s="2" t="s">
        <v>2198</v>
      </c>
      <c r="BF457" s="2" t="s">
        <v>2221</v>
      </c>
      <c r="BG457" s="2" t="s">
        <v>95</v>
      </c>
      <c r="BH457" s="2" t="s">
        <v>95</v>
      </c>
      <c r="BI457" s="2" t="s">
        <v>95</v>
      </c>
      <c r="BK457" s="2" t="s">
        <v>100</v>
      </c>
      <c r="BR457" s="2">
        <v>1</v>
      </c>
      <c r="BS457" s="2">
        <v>6.5</v>
      </c>
      <c r="BT457" s="2">
        <v>6.5</v>
      </c>
      <c r="CA457" s="2" t="s">
        <v>2217</v>
      </c>
      <c r="CB457" s="2" t="s">
        <v>1688</v>
      </c>
      <c r="CG457" s="2">
        <v>3000</v>
      </c>
      <c r="CH457" s="2">
        <v>84</v>
      </c>
      <c r="CI457" s="2">
        <v>590</v>
      </c>
      <c r="CJ457" s="2">
        <v>442</v>
      </c>
      <c r="CK457" s="2">
        <v>30000</v>
      </c>
      <c r="CL457" s="2" t="s">
        <v>96</v>
      </c>
      <c r="CM457" s="2" t="s">
        <v>95</v>
      </c>
      <c r="CN457" s="2" t="s">
        <v>2160</v>
      </c>
      <c r="CO457" s="3">
        <v>40855</v>
      </c>
      <c r="CP457" s="3">
        <v>43634</v>
      </c>
    </row>
    <row r="458" spans="1:94" x14ac:dyDescent="0.25">
      <c r="A458" s="2" t="s">
        <v>2222</v>
      </c>
      <c r="B458" s="2" t="str">
        <f xml:space="preserve"> "" &amp; 844349011743</f>
        <v>844349011743</v>
      </c>
      <c r="C458" s="2" t="s">
        <v>1805</v>
      </c>
      <c r="D458" s="2" t="s">
        <v>3676</v>
      </c>
      <c r="E458" s="2" t="s">
        <v>425</v>
      </c>
      <c r="F458" s="2" t="s">
        <v>1429</v>
      </c>
      <c r="G458" s="2">
        <v>1</v>
      </c>
      <c r="H458" s="2">
        <v>1</v>
      </c>
      <c r="I458" s="2" t="s">
        <v>94</v>
      </c>
      <c r="J458" s="6">
        <v>115</v>
      </c>
      <c r="K458" s="6">
        <v>345</v>
      </c>
      <c r="L458" s="2">
        <v>0</v>
      </c>
      <c r="N458" s="2">
        <v>0</v>
      </c>
      <c r="O458" s="2" t="s">
        <v>96</v>
      </c>
      <c r="P458" s="6">
        <v>239.95</v>
      </c>
      <c r="Q458" s="6"/>
      <c r="R458" s="7"/>
      <c r="S458" s="2">
        <v>19</v>
      </c>
      <c r="T458" s="2">
        <v>22</v>
      </c>
      <c r="U458" s="2">
        <v>6.25</v>
      </c>
      <c r="W458" s="2">
        <v>6.88</v>
      </c>
      <c r="X458" s="2">
        <v>1</v>
      </c>
      <c r="Y458" s="2">
        <v>8.5</v>
      </c>
      <c r="Z458" s="2">
        <v>22</v>
      </c>
      <c r="AA458" s="2">
        <v>8.5</v>
      </c>
      <c r="AB458" s="2">
        <v>0.92</v>
      </c>
      <c r="AC458" s="2">
        <v>9.06</v>
      </c>
      <c r="AE458" s="2">
        <v>1</v>
      </c>
      <c r="AF458" s="2" t="s">
        <v>2005</v>
      </c>
      <c r="AG458" s="2">
        <v>8</v>
      </c>
      <c r="AK458" s="2" t="s">
        <v>96</v>
      </c>
      <c r="AM458" s="2" t="s">
        <v>95</v>
      </c>
      <c r="AN458" s="2" t="s">
        <v>96</v>
      </c>
      <c r="AO458" s="2" t="s">
        <v>95</v>
      </c>
      <c r="AP458" s="2" t="s">
        <v>97</v>
      </c>
      <c r="AQ458" s="2" t="s">
        <v>98</v>
      </c>
      <c r="AV458" s="2" t="s">
        <v>95</v>
      </c>
      <c r="AX458" s="2" t="s">
        <v>1483</v>
      </c>
      <c r="AZ458" s="2" t="s">
        <v>342</v>
      </c>
      <c r="BB458" s="2" t="s">
        <v>2157</v>
      </c>
      <c r="BC458" s="2" t="s">
        <v>2167</v>
      </c>
      <c r="BF458" s="2" t="s">
        <v>2223</v>
      </c>
      <c r="BG458" s="2" t="s">
        <v>95</v>
      </c>
      <c r="BH458" s="2" t="s">
        <v>95</v>
      </c>
      <c r="BI458" s="2" t="s">
        <v>95</v>
      </c>
      <c r="BK458" s="2" t="s">
        <v>100</v>
      </c>
      <c r="BR458" s="2">
        <v>1</v>
      </c>
      <c r="BS458" s="2">
        <v>6.5</v>
      </c>
      <c r="BT458" s="2">
        <v>6.5</v>
      </c>
      <c r="CA458" s="2" t="s">
        <v>2217</v>
      </c>
      <c r="CB458" s="2" t="s">
        <v>1483</v>
      </c>
      <c r="CG458" s="2">
        <v>3000</v>
      </c>
      <c r="CH458" s="2">
        <v>84</v>
      </c>
      <c r="CI458" s="2">
        <v>590</v>
      </c>
      <c r="CJ458" s="2">
        <v>442</v>
      </c>
      <c r="CK458" s="2">
        <v>30000</v>
      </c>
      <c r="CL458" s="2" t="s">
        <v>96</v>
      </c>
      <c r="CM458" s="2" t="s">
        <v>95</v>
      </c>
      <c r="CN458" s="2" t="s">
        <v>2160</v>
      </c>
      <c r="CO458" s="3">
        <v>40854</v>
      </c>
      <c r="CP458" s="3">
        <v>43634</v>
      </c>
    </row>
    <row r="459" spans="1:94" x14ac:dyDescent="0.25">
      <c r="A459" s="2" t="s">
        <v>2224</v>
      </c>
      <c r="B459" s="2" t="str">
        <f xml:space="preserve"> "" &amp; 844349011781</f>
        <v>844349011781</v>
      </c>
      <c r="C459" s="2" t="s">
        <v>2190</v>
      </c>
      <c r="D459" s="2" t="s">
        <v>3677</v>
      </c>
      <c r="E459" s="2" t="s">
        <v>425</v>
      </c>
      <c r="F459" s="2" t="s">
        <v>418</v>
      </c>
      <c r="G459" s="2">
        <v>1</v>
      </c>
      <c r="H459" s="2">
        <v>1</v>
      </c>
      <c r="I459" s="2" t="s">
        <v>94</v>
      </c>
      <c r="J459" s="6">
        <v>99</v>
      </c>
      <c r="K459" s="6">
        <v>297</v>
      </c>
      <c r="L459" s="2">
        <v>0</v>
      </c>
      <c r="N459" s="2">
        <v>0</v>
      </c>
      <c r="O459" s="2" t="s">
        <v>96</v>
      </c>
      <c r="P459" s="6">
        <v>207.95</v>
      </c>
      <c r="Q459" s="6"/>
      <c r="R459" s="7"/>
      <c r="S459" s="2">
        <v>6.25</v>
      </c>
      <c r="T459" s="2">
        <v>22</v>
      </c>
      <c r="U459" s="2">
        <v>13.75</v>
      </c>
      <c r="V459" s="2">
        <v>5</v>
      </c>
      <c r="W459" s="2">
        <v>3.02</v>
      </c>
      <c r="X459" s="2">
        <v>1</v>
      </c>
      <c r="Y459" s="2">
        <v>8</v>
      </c>
      <c r="Z459" s="2">
        <v>22</v>
      </c>
      <c r="AA459" s="2">
        <v>4.5</v>
      </c>
      <c r="AB459" s="2">
        <v>0.45800000000000002</v>
      </c>
      <c r="AC459" s="2">
        <v>4.21</v>
      </c>
      <c r="AE459" s="2">
        <v>1</v>
      </c>
      <c r="AF459" s="2" t="s">
        <v>2005</v>
      </c>
      <c r="AG459" s="2">
        <v>8</v>
      </c>
      <c r="AK459" s="2" t="s">
        <v>96</v>
      </c>
      <c r="AL459" s="2">
        <v>1</v>
      </c>
      <c r="AM459" s="2" t="s">
        <v>95</v>
      </c>
      <c r="AN459" s="2" t="s">
        <v>96</v>
      </c>
      <c r="AO459" s="2" t="s">
        <v>95</v>
      </c>
      <c r="AP459" s="2" t="s">
        <v>97</v>
      </c>
      <c r="AQ459" s="2" t="s">
        <v>98</v>
      </c>
      <c r="AV459" s="2" t="s">
        <v>95</v>
      </c>
      <c r="AX459" s="2" t="s">
        <v>395</v>
      </c>
      <c r="AZ459" s="2" t="s">
        <v>342</v>
      </c>
      <c r="BB459" s="2" t="s">
        <v>2197</v>
      </c>
      <c r="BC459" s="2" t="s">
        <v>397</v>
      </c>
      <c r="BF459" s="2" t="s">
        <v>2225</v>
      </c>
      <c r="BG459" s="2" t="s">
        <v>95</v>
      </c>
      <c r="BH459" s="2" t="s">
        <v>95</v>
      </c>
      <c r="BI459" s="2" t="s">
        <v>95</v>
      </c>
      <c r="BK459" s="2" t="s">
        <v>100</v>
      </c>
      <c r="BL459" s="2" t="s">
        <v>617</v>
      </c>
      <c r="BR459" s="2">
        <v>6.25</v>
      </c>
      <c r="BT459" s="2">
        <v>5</v>
      </c>
      <c r="CA459" s="2" t="s">
        <v>2226</v>
      </c>
      <c r="CB459" s="2" t="s">
        <v>395</v>
      </c>
      <c r="CG459" s="2">
        <v>3000</v>
      </c>
      <c r="CH459" s="2">
        <v>84</v>
      </c>
      <c r="CI459" s="2">
        <v>590</v>
      </c>
      <c r="CJ459" s="2">
        <v>438.76</v>
      </c>
      <c r="CK459" s="2">
        <v>30000</v>
      </c>
      <c r="CL459" s="2" t="s">
        <v>96</v>
      </c>
      <c r="CM459" s="2" t="s">
        <v>95</v>
      </c>
      <c r="CN459" s="2" t="s">
        <v>2201</v>
      </c>
      <c r="CO459" s="3">
        <v>40855</v>
      </c>
      <c r="CP459" s="3">
        <v>43634</v>
      </c>
    </row>
    <row r="460" spans="1:94" x14ac:dyDescent="0.25">
      <c r="A460" s="2" t="s">
        <v>2227</v>
      </c>
      <c r="B460" s="2" t="str">
        <f xml:space="preserve"> "" &amp; 844349011804</f>
        <v>844349011804</v>
      </c>
      <c r="C460" s="2" t="s">
        <v>2190</v>
      </c>
      <c r="D460" s="2" t="s">
        <v>3677</v>
      </c>
      <c r="E460" s="2" t="s">
        <v>425</v>
      </c>
      <c r="F460" s="2" t="s">
        <v>418</v>
      </c>
      <c r="G460" s="2">
        <v>1</v>
      </c>
      <c r="H460" s="2">
        <v>1</v>
      </c>
      <c r="I460" s="2" t="s">
        <v>94</v>
      </c>
      <c r="J460" s="6">
        <v>99</v>
      </c>
      <c r="K460" s="6">
        <v>297</v>
      </c>
      <c r="L460" s="2">
        <v>0</v>
      </c>
      <c r="N460" s="2">
        <v>0</v>
      </c>
      <c r="O460" s="2" t="s">
        <v>96</v>
      </c>
      <c r="P460" s="6">
        <v>207.95</v>
      </c>
      <c r="Q460" s="6"/>
      <c r="R460" s="7"/>
      <c r="S460" s="2">
        <v>6.25</v>
      </c>
      <c r="T460" s="2">
        <v>22</v>
      </c>
      <c r="U460" s="2">
        <v>13.75</v>
      </c>
      <c r="V460" s="2">
        <v>5</v>
      </c>
      <c r="W460" s="2">
        <v>3.02</v>
      </c>
      <c r="X460" s="2">
        <v>1</v>
      </c>
      <c r="Y460" s="2">
        <v>8</v>
      </c>
      <c r="Z460" s="2">
        <v>22</v>
      </c>
      <c r="AA460" s="2">
        <v>4.5</v>
      </c>
      <c r="AB460" s="2">
        <v>0.45800000000000002</v>
      </c>
      <c r="AC460" s="2">
        <v>4.21</v>
      </c>
      <c r="AE460" s="2">
        <v>1</v>
      </c>
      <c r="AF460" s="2" t="s">
        <v>2005</v>
      </c>
      <c r="AG460" s="2">
        <v>8</v>
      </c>
      <c r="AK460" s="2" t="s">
        <v>96</v>
      </c>
      <c r="AL460" s="2">
        <v>1</v>
      </c>
      <c r="AM460" s="2" t="s">
        <v>95</v>
      </c>
      <c r="AN460" s="2" t="s">
        <v>96</v>
      </c>
      <c r="AO460" s="2" t="s">
        <v>95</v>
      </c>
      <c r="AP460" s="2" t="s">
        <v>97</v>
      </c>
      <c r="AQ460" s="2" t="s">
        <v>98</v>
      </c>
      <c r="AV460" s="2" t="s">
        <v>95</v>
      </c>
      <c r="AX460" s="2" t="s">
        <v>116</v>
      </c>
      <c r="AZ460" s="2" t="s">
        <v>342</v>
      </c>
      <c r="BB460" s="2" t="s">
        <v>2197</v>
      </c>
      <c r="BC460" s="2" t="s">
        <v>135</v>
      </c>
      <c r="BF460" s="2" t="s">
        <v>2228</v>
      </c>
      <c r="BG460" s="2" t="s">
        <v>95</v>
      </c>
      <c r="BH460" s="2" t="s">
        <v>95</v>
      </c>
      <c r="BI460" s="2" t="s">
        <v>95</v>
      </c>
      <c r="BK460" s="2" t="s">
        <v>100</v>
      </c>
      <c r="BL460" s="2" t="s">
        <v>617</v>
      </c>
      <c r="BR460" s="2">
        <v>6.25</v>
      </c>
      <c r="BT460" s="2">
        <v>5</v>
      </c>
      <c r="CA460" s="2" t="s">
        <v>2226</v>
      </c>
      <c r="CB460" s="2" t="s">
        <v>116</v>
      </c>
      <c r="CG460" s="2">
        <v>3000</v>
      </c>
      <c r="CH460" s="2">
        <v>84</v>
      </c>
      <c r="CI460" s="2">
        <v>590</v>
      </c>
      <c r="CJ460" s="2">
        <v>438.76</v>
      </c>
      <c r="CK460" s="2">
        <v>30000</v>
      </c>
      <c r="CL460" s="2" t="s">
        <v>96</v>
      </c>
      <c r="CM460" s="2" t="s">
        <v>95</v>
      </c>
      <c r="CN460" s="2" t="s">
        <v>2201</v>
      </c>
      <c r="CO460" s="3">
        <v>40855</v>
      </c>
      <c r="CP460" s="3">
        <v>43634</v>
      </c>
    </row>
    <row r="461" spans="1:94" x14ac:dyDescent="0.25">
      <c r="A461" s="2" t="s">
        <v>2229</v>
      </c>
      <c r="B461" s="2" t="str">
        <f xml:space="preserve"> "" &amp; 844349011774</f>
        <v>844349011774</v>
      </c>
      <c r="C461" s="2" t="s">
        <v>2190</v>
      </c>
      <c r="D461" s="2" t="s">
        <v>3677</v>
      </c>
      <c r="E461" s="2" t="s">
        <v>425</v>
      </c>
      <c r="F461" s="2" t="s">
        <v>418</v>
      </c>
      <c r="G461" s="2">
        <v>1</v>
      </c>
      <c r="H461" s="2">
        <v>1</v>
      </c>
      <c r="I461" s="2" t="s">
        <v>94</v>
      </c>
      <c r="J461" s="6">
        <v>99</v>
      </c>
      <c r="K461" s="6">
        <v>297</v>
      </c>
      <c r="L461" s="2">
        <v>0</v>
      </c>
      <c r="N461" s="2">
        <v>0</v>
      </c>
      <c r="O461" s="2" t="s">
        <v>96</v>
      </c>
      <c r="P461" s="6">
        <v>207.95</v>
      </c>
      <c r="Q461" s="6"/>
      <c r="R461" s="7"/>
      <c r="S461" s="2">
        <v>6.25</v>
      </c>
      <c r="T461" s="2">
        <v>22</v>
      </c>
      <c r="U461" s="2">
        <v>13.75</v>
      </c>
      <c r="V461" s="2">
        <v>5</v>
      </c>
      <c r="W461" s="2">
        <v>3.02</v>
      </c>
      <c r="X461" s="2">
        <v>1</v>
      </c>
      <c r="Y461" s="2">
        <v>8</v>
      </c>
      <c r="Z461" s="2">
        <v>22</v>
      </c>
      <c r="AA461" s="2">
        <v>4.5</v>
      </c>
      <c r="AB461" s="2">
        <v>0.45800000000000002</v>
      </c>
      <c r="AC461" s="2">
        <v>4.21</v>
      </c>
      <c r="AE461" s="2">
        <v>1</v>
      </c>
      <c r="AF461" s="2" t="s">
        <v>2005</v>
      </c>
      <c r="AG461" s="2">
        <v>8</v>
      </c>
      <c r="AK461" s="2" t="s">
        <v>96</v>
      </c>
      <c r="AL461" s="2">
        <v>1</v>
      </c>
      <c r="AM461" s="2" t="s">
        <v>95</v>
      </c>
      <c r="AN461" s="2" t="s">
        <v>96</v>
      </c>
      <c r="AO461" s="2" t="s">
        <v>95</v>
      </c>
      <c r="AP461" s="2" t="s">
        <v>97</v>
      </c>
      <c r="AQ461" s="2" t="s">
        <v>98</v>
      </c>
      <c r="AV461" s="2" t="s">
        <v>95</v>
      </c>
      <c r="AX461" s="2" t="s">
        <v>1688</v>
      </c>
      <c r="AZ461" s="2" t="s">
        <v>342</v>
      </c>
      <c r="BB461" s="2" t="s">
        <v>2197</v>
      </c>
      <c r="BC461" s="2" t="s">
        <v>2198</v>
      </c>
      <c r="BF461" s="2" t="s">
        <v>2230</v>
      </c>
      <c r="BG461" s="2" t="s">
        <v>95</v>
      </c>
      <c r="BH461" s="2" t="s">
        <v>95</v>
      </c>
      <c r="BI461" s="2" t="s">
        <v>95</v>
      </c>
      <c r="BK461" s="2" t="s">
        <v>100</v>
      </c>
      <c r="BL461" s="2" t="s">
        <v>617</v>
      </c>
      <c r="BR461" s="2">
        <v>6.25</v>
      </c>
      <c r="BT461" s="2">
        <v>5</v>
      </c>
      <c r="CA461" s="2" t="s">
        <v>2226</v>
      </c>
      <c r="CB461" s="2" t="s">
        <v>1688</v>
      </c>
      <c r="CG461" s="2">
        <v>3000</v>
      </c>
      <c r="CH461" s="2">
        <v>84</v>
      </c>
      <c r="CI461" s="2">
        <v>590</v>
      </c>
      <c r="CJ461" s="2">
        <v>438.76</v>
      </c>
      <c r="CK461" s="2">
        <v>30000</v>
      </c>
      <c r="CL461" s="2" t="s">
        <v>96</v>
      </c>
      <c r="CM461" s="2" t="s">
        <v>95</v>
      </c>
      <c r="CN461" s="2" t="s">
        <v>2231</v>
      </c>
      <c r="CO461" s="3">
        <v>40855</v>
      </c>
      <c r="CP461" s="3">
        <v>43634</v>
      </c>
    </row>
    <row r="462" spans="1:94" x14ac:dyDescent="0.25">
      <c r="A462" s="2" t="s">
        <v>2232</v>
      </c>
      <c r="B462" s="2" t="str">
        <f xml:space="preserve"> "" &amp; 844349011811</f>
        <v>844349011811</v>
      </c>
      <c r="C462" s="2" t="s">
        <v>2190</v>
      </c>
      <c r="D462" s="2" t="s">
        <v>3677</v>
      </c>
      <c r="E462" s="2" t="s">
        <v>425</v>
      </c>
      <c r="F462" s="2" t="s">
        <v>418</v>
      </c>
      <c r="G462" s="2">
        <v>1</v>
      </c>
      <c r="H462" s="2">
        <v>1</v>
      </c>
      <c r="I462" s="2" t="s">
        <v>94</v>
      </c>
      <c r="J462" s="6">
        <v>99</v>
      </c>
      <c r="K462" s="6">
        <v>297</v>
      </c>
      <c r="L462" s="2">
        <v>0</v>
      </c>
      <c r="N462" s="2">
        <v>0</v>
      </c>
      <c r="O462" s="2" t="s">
        <v>96</v>
      </c>
      <c r="P462" s="6">
        <v>207.95</v>
      </c>
      <c r="Q462" s="6"/>
      <c r="R462" s="7"/>
      <c r="S462" s="2">
        <v>6.25</v>
      </c>
      <c r="T462" s="2">
        <v>22</v>
      </c>
      <c r="U462" s="2">
        <v>13.75</v>
      </c>
      <c r="V462" s="2">
        <v>5</v>
      </c>
      <c r="W462" s="2">
        <v>3.02</v>
      </c>
      <c r="X462" s="2">
        <v>1</v>
      </c>
      <c r="Y462" s="2">
        <v>8</v>
      </c>
      <c r="Z462" s="2">
        <v>22</v>
      </c>
      <c r="AA462" s="2">
        <v>4.5</v>
      </c>
      <c r="AB462" s="2">
        <v>0.45800000000000002</v>
      </c>
      <c r="AC462" s="2">
        <v>4.21</v>
      </c>
      <c r="AE462" s="2">
        <v>1</v>
      </c>
      <c r="AF462" s="2" t="s">
        <v>2005</v>
      </c>
      <c r="AG462" s="2">
        <v>8</v>
      </c>
      <c r="AK462" s="2" t="s">
        <v>96</v>
      </c>
      <c r="AL462" s="2">
        <v>1</v>
      </c>
      <c r="AM462" s="2" t="s">
        <v>95</v>
      </c>
      <c r="AN462" s="2" t="s">
        <v>96</v>
      </c>
      <c r="AO462" s="2" t="s">
        <v>95</v>
      </c>
      <c r="AP462" s="2" t="s">
        <v>97</v>
      </c>
      <c r="AQ462" s="2" t="s">
        <v>98</v>
      </c>
      <c r="AV462" s="2" t="s">
        <v>95</v>
      </c>
      <c r="AX462" s="2" t="s">
        <v>2233</v>
      </c>
      <c r="AZ462" s="2" t="s">
        <v>342</v>
      </c>
      <c r="BB462" s="2" t="s">
        <v>2197</v>
      </c>
      <c r="BC462" s="2" t="s">
        <v>521</v>
      </c>
      <c r="BF462" s="2" t="s">
        <v>2234</v>
      </c>
      <c r="BG462" s="2" t="s">
        <v>95</v>
      </c>
      <c r="BH462" s="2" t="s">
        <v>95</v>
      </c>
      <c r="BI462" s="2" t="s">
        <v>95</v>
      </c>
      <c r="BK462" s="2" t="s">
        <v>100</v>
      </c>
      <c r="BL462" s="2" t="s">
        <v>617</v>
      </c>
      <c r="BR462" s="2">
        <v>6.25</v>
      </c>
      <c r="BT462" s="2">
        <v>5</v>
      </c>
      <c r="CA462" s="2" t="s">
        <v>2226</v>
      </c>
      <c r="CB462" s="2" t="s">
        <v>2233</v>
      </c>
      <c r="CG462" s="2">
        <v>3000</v>
      </c>
      <c r="CH462" s="2">
        <v>84</v>
      </c>
      <c r="CI462" s="2">
        <v>590</v>
      </c>
      <c r="CJ462" s="2">
        <v>438.76</v>
      </c>
      <c r="CK462" s="2">
        <v>30000</v>
      </c>
      <c r="CL462" s="2" t="s">
        <v>96</v>
      </c>
      <c r="CM462" s="2" t="s">
        <v>95</v>
      </c>
      <c r="CN462" s="2" t="s">
        <v>2201</v>
      </c>
      <c r="CO462" s="3">
        <v>40855</v>
      </c>
      <c r="CP462" s="3">
        <v>43634</v>
      </c>
    </row>
    <row r="463" spans="1:94" x14ac:dyDescent="0.25">
      <c r="A463" s="2" t="s">
        <v>2235</v>
      </c>
      <c r="B463" s="2" t="str">
        <f xml:space="preserve"> "" &amp; 844349011798</f>
        <v>844349011798</v>
      </c>
      <c r="C463" s="2" t="s">
        <v>2190</v>
      </c>
      <c r="D463" s="2" t="s">
        <v>3677</v>
      </c>
      <c r="E463" s="2" t="s">
        <v>425</v>
      </c>
      <c r="F463" s="2" t="s">
        <v>418</v>
      </c>
      <c r="G463" s="2">
        <v>1</v>
      </c>
      <c r="H463" s="2">
        <v>1</v>
      </c>
      <c r="I463" s="2" t="s">
        <v>94</v>
      </c>
      <c r="J463" s="6">
        <v>99</v>
      </c>
      <c r="K463" s="6">
        <v>297</v>
      </c>
      <c r="L463" s="2">
        <v>0</v>
      </c>
      <c r="N463" s="2">
        <v>0</v>
      </c>
      <c r="O463" s="2" t="s">
        <v>96</v>
      </c>
      <c r="P463" s="6">
        <v>207.95</v>
      </c>
      <c r="Q463" s="6"/>
      <c r="R463" s="7"/>
      <c r="S463" s="2">
        <v>6.25</v>
      </c>
      <c r="T463" s="2">
        <v>22</v>
      </c>
      <c r="U463" s="2">
        <v>13.75</v>
      </c>
      <c r="V463" s="2">
        <v>5</v>
      </c>
      <c r="W463" s="2">
        <v>3.02</v>
      </c>
      <c r="X463" s="2">
        <v>1</v>
      </c>
      <c r="Y463" s="2">
        <v>8</v>
      </c>
      <c r="Z463" s="2">
        <v>22</v>
      </c>
      <c r="AA463" s="2">
        <v>4.5</v>
      </c>
      <c r="AB463" s="2">
        <v>0.45800000000000002</v>
      </c>
      <c r="AC463" s="2">
        <v>4.21</v>
      </c>
      <c r="AE463" s="2">
        <v>1</v>
      </c>
      <c r="AF463" s="2" t="s">
        <v>2005</v>
      </c>
      <c r="AG463" s="2">
        <v>8</v>
      </c>
      <c r="AK463" s="2" t="s">
        <v>96</v>
      </c>
      <c r="AL463" s="2">
        <v>1</v>
      </c>
      <c r="AM463" s="2" t="s">
        <v>95</v>
      </c>
      <c r="AN463" s="2" t="s">
        <v>96</v>
      </c>
      <c r="AO463" s="2" t="s">
        <v>95</v>
      </c>
      <c r="AP463" s="2" t="s">
        <v>97</v>
      </c>
      <c r="AQ463" s="2" t="s">
        <v>98</v>
      </c>
      <c r="AV463" s="2" t="s">
        <v>95</v>
      </c>
      <c r="AX463" s="2" t="s">
        <v>1483</v>
      </c>
      <c r="AZ463" s="2" t="s">
        <v>342</v>
      </c>
      <c r="BB463" s="2" t="s">
        <v>2197</v>
      </c>
      <c r="BC463" s="2" t="s">
        <v>2167</v>
      </c>
      <c r="BF463" s="2" t="s">
        <v>2236</v>
      </c>
      <c r="BG463" s="2" t="s">
        <v>95</v>
      </c>
      <c r="BH463" s="2" t="s">
        <v>95</v>
      </c>
      <c r="BI463" s="2" t="s">
        <v>95</v>
      </c>
      <c r="BK463" s="2" t="s">
        <v>100</v>
      </c>
      <c r="BL463" s="2" t="s">
        <v>617</v>
      </c>
      <c r="BR463" s="2">
        <v>6.25</v>
      </c>
      <c r="BT463" s="2">
        <v>5</v>
      </c>
      <c r="CA463" s="2" t="s">
        <v>2226</v>
      </c>
      <c r="CB463" s="2" t="s">
        <v>1483</v>
      </c>
      <c r="CG463" s="2">
        <v>3000</v>
      </c>
      <c r="CH463" s="2">
        <v>84</v>
      </c>
      <c r="CI463" s="2">
        <v>590</v>
      </c>
      <c r="CJ463" s="2">
        <v>438.76</v>
      </c>
      <c r="CK463" s="2">
        <v>30000</v>
      </c>
      <c r="CL463" s="2" t="s">
        <v>96</v>
      </c>
      <c r="CM463" s="2" t="s">
        <v>95</v>
      </c>
      <c r="CN463" s="2" t="s">
        <v>2201</v>
      </c>
      <c r="CO463" s="3">
        <v>40854</v>
      </c>
      <c r="CP463" s="3">
        <v>43634</v>
      </c>
    </row>
    <row r="464" spans="1:94" x14ac:dyDescent="0.25">
      <c r="A464" s="2" t="s">
        <v>2237</v>
      </c>
      <c r="B464" s="2" t="str">
        <f xml:space="preserve"> "" &amp; 844349013549</f>
        <v>844349013549</v>
      </c>
      <c r="C464" s="2" t="s">
        <v>2205</v>
      </c>
      <c r="D464" s="2" t="s">
        <v>3682</v>
      </c>
      <c r="E464" s="2" t="s">
        <v>425</v>
      </c>
      <c r="F464" s="2" t="s">
        <v>418</v>
      </c>
      <c r="G464" s="2">
        <v>1</v>
      </c>
      <c r="H464" s="2">
        <v>1</v>
      </c>
      <c r="I464" s="2" t="s">
        <v>94</v>
      </c>
      <c r="J464" s="6">
        <v>169</v>
      </c>
      <c r="K464" s="6">
        <v>507</v>
      </c>
      <c r="L464" s="2">
        <v>0</v>
      </c>
      <c r="N464" s="2">
        <v>0</v>
      </c>
      <c r="O464" s="2" t="s">
        <v>96</v>
      </c>
      <c r="P464" s="6">
        <v>354.95</v>
      </c>
      <c r="Q464" s="6"/>
      <c r="R464" s="7"/>
      <c r="S464" s="2">
        <v>4.5</v>
      </c>
      <c r="U464" s="2">
        <v>26.5</v>
      </c>
      <c r="V464" s="2">
        <v>3.5</v>
      </c>
      <c r="W464" s="2">
        <v>5.89</v>
      </c>
      <c r="X464" s="2">
        <v>1</v>
      </c>
      <c r="Y464" s="2">
        <v>7</v>
      </c>
      <c r="Z464" s="2">
        <v>29</v>
      </c>
      <c r="AA464" s="2">
        <v>5.75</v>
      </c>
      <c r="AB464" s="2">
        <v>0.67500000000000004</v>
      </c>
      <c r="AC464" s="2">
        <v>7.17</v>
      </c>
      <c r="AE464" s="2">
        <v>2</v>
      </c>
      <c r="AF464" s="2" t="s">
        <v>2005</v>
      </c>
      <c r="AG464" s="2">
        <v>8</v>
      </c>
      <c r="AK464" s="2" t="s">
        <v>96</v>
      </c>
      <c r="AL464" s="2">
        <v>2</v>
      </c>
      <c r="AM464" s="2" t="s">
        <v>95</v>
      </c>
      <c r="AN464" s="2" t="s">
        <v>96</v>
      </c>
      <c r="AO464" s="2" t="s">
        <v>95</v>
      </c>
      <c r="AP464" s="2" t="s">
        <v>97</v>
      </c>
      <c r="AQ464" s="2" t="s">
        <v>98</v>
      </c>
      <c r="AV464" s="2" t="s">
        <v>95</v>
      </c>
      <c r="AX464" s="2" t="s">
        <v>116</v>
      </c>
      <c r="AZ464" s="2" t="s">
        <v>342</v>
      </c>
      <c r="BB464" s="2" t="s">
        <v>2197</v>
      </c>
      <c r="BC464" s="2" t="s">
        <v>135</v>
      </c>
      <c r="BF464" s="2" t="s">
        <v>2238</v>
      </c>
      <c r="BG464" s="2" t="s">
        <v>95</v>
      </c>
      <c r="BH464" s="2" t="s">
        <v>95</v>
      </c>
      <c r="BI464" s="2" t="s">
        <v>95</v>
      </c>
      <c r="BK464" s="2" t="s">
        <v>2200</v>
      </c>
      <c r="BL464" s="2" t="s">
        <v>617</v>
      </c>
      <c r="BR464" s="2">
        <v>4.5</v>
      </c>
      <c r="BT464" s="2">
        <v>18</v>
      </c>
      <c r="CA464" s="2" t="s">
        <v>2239</v>
      </c>
      <c r="CB464" s="2" t="s">
        <v>116</v>
      </c>
      <c r="CG464" s="2">
        <v>3000</v>
      </c>
      <c r="CH464" s="2">
        <v>84</v>
      </c>
      <c r="CI464" s="2">
        <v>1900</v>
      </c>
      <c r="CJ464" s="2">
        <v>859.86</v>
      </c>
      <c r="CK464" s="2">
        <v>30000</v>
      </c>
      <c r="CL464" s="2" t="s">
        <v>96</v>
      </c>
      <c r="CM464" s="2" t="s">
        <v>95</v>
      </c>
      <c r="CN464" s="2" t="s">
        <v>2201</v>
      </c>
      <c r="CO464" s="3">
        <v>41369</v>
      </c>
      <c r="CP464" s="3">
        <v>43634</v>
      </c>
    </row>
    <row r="465" spans="1:94" x14ac:dyDescent="0.25">
      <c r="A465" s="2" t="s">
        <v>2240</v>
      </c>
      <c r="B465" s="2" t="str">
        <f xml:space="preserve"> "" &amp; 844349013570</f>
        <v>844349013570</v>
      </c>
      <c r="C465" s="2" t="s">
        <v>2205</v>
      </c>
      <c r="D465" s="2" t="s">
        <v>3682</v>
      </c>
      <c r="E465" s="2" t="s">
        <v>425</v>
      </c>
      <c r="F465" s="2" t="s">
        <v>418</v>
      </c>
      <c r="G465" s="2">
        <v>1</v>
      </c>
      <c r="H465" s="2">
        <v>1</v>
      </c>
      <c r="I465" s="2" t="s">
        <v>94</v>
      </c>
      <c r="J465" s="6">
        <v>169</v>
      </c>
      <c r="K465" s="6">
        <v>507</v>
      </c>
      <c r="L465" s="2">
        <v>0</v>
      </c>
      <c r="N465" s="2">
        <v>0</v>
      </c>
      <c r="O465" s="2" t="s">
        <v>96</v>
      </c>
      <c r="P465" s="6">
        <v>354.95</v>
      </c>
      <c r="Q465" s="6"/>
      <c r="R465" s="7"/>
      <c r="S465" s="2">
        <v>4.5</v>
      </c>
      <c r="U465" s="2">
        <v>26.5</v>
      </c>
      <c r="V465" s="2">
        <v>3.5</v>
      </c>
      <c r="W465" s="2">
        <v>5.89</v>
      </c>
      <c r="X465" s="2">
        <v>1</v>
      </c>
      <c r="Y465" s="2">
        <v>7</v>
      </c>
      <c r="Z465" s="2">
        <v>29</v>
      </c>
      <c r="AA465" s="2">
        <v>5.75</v>
      </c>
      <c r="AB465" s="2">
        <v>0.67500000000000004</v>
      </c>
      <c r="AC465" s="2">
        <v>7.17</v>
      </c>
      <c r="AE465" s="2">
        <v>2</v>
      </c>
      <c r="AF465" s="2" t="s">
        <v>2005</v>
      </c>
      <c r="AG465" s="2">
        <v>8</v>
      </c>
      <c r="AK465" s="2" t="s">
        <v>96</v>
      </c>
      <c r="AL465" s="2">
        <v>2</v>
      </c>
      <c r="AM465" s="2" t="s">
        <v>95</v>
      </c>
      <c r="AN465" s="2" t="s">
        <v>96</v>
      </c>
      <c r="AO465" s="2" t="s">
        <v>95</v>
      </c>
      <c r="AP465" s="2" t="s">
        <v>97</v>
      </c>
      <c r="AQ465" s="2" t="s">
        <v>98</v>
      </c>
      <c r="AV465" s="2" t="s">
        <v>95</v>
      </c>
      <c r="AX465" s="2" t="s">
        <v>1483</v>
      </c>
      <c r="AZ465" s="2" t="s">
        <v>342</v>
      </c>
      <c r="BB465" s="2" t="s">
        <v>2197</v>
      </c>
      <c r="BC465" s="2" t="s">
        <v>2167</v>
      </c>
      <c r="BF465" s="2" t="s">
        <v>2241</v>
      </c>
      <c r="BG465" s="2" t="s">
        <v>95</v>
      </c>
      <c r="BH465" s="2" t="s">
        <v>95</v>
      </c>
      <c r="BI465" s="2" t="s">
        <v>95</v>
      </c>
      <c r="BK465" s="2" t="s">
        <v>2200</v>
      </c>
      <c r="BL465" s="2" t="s">
        <v>617</v>
      </c>
      <c r="BR465" s="2">
        <v>4.5</v>
      </c>
      <c r="BT465" s="2">
        <v>18</v>
      </c>
      <c r="CA465" s="2" t="s">
        <v>2239</v>
      </c>
      <c r="CB465" s="2" t="s">
        <v>1483</v>
      </c>
      <c r="CG465" s="2">
        <v>3000</v>
      </c>
      <c r="CH465" s="2">
        <v>84</v>
      </c>
      <c r="CI465" s="2">
        <v>1900</v>
      </c>
      <c r="CJ465" s="2">
        <v>859.86</v>
      </c>
      <c r="CK465" s="2">
        <v>30000</v>
      </c>
      <c r="CL465" s="2" t="s">
        <v>96</v>
      </c>
      <c r="CM465" s="2" t="s">
        <v>95</v>
      </c>
      <c r="CN465" s="2" t="s">
        <v>2201</v>
      </c>
      <c r="CO465" s="3">
        <v>41369</v>
      </c>
      <c r="CP465" s="3">
        <v>43634</v>
      </c>
    </row>
    <row r="466" spans="1:94" x14ac:dyDescent="0.25">
      <c r="A466" s="2" t="s">
        <v>2242</v>
      </c>
      <c r="B466" s="2" t="str">
        <f xml:space="preserve"> "" &amp; 844349011835</f>
        <v>844349011835</v>
      </c>
      <c r="C466" s="2" t="s">
        <v>2156</v>
      </c>
      <c r="D466" s="2" t="s">
        <v>3675</v>
      </c>
      <c r="E466" s="2" t="s">
        <v>425</v>
      </c>
      <c r="F466" s="2" t="s">
        <v>426</v>
      </c>
      <c r="G466" s="2">
        <v>1</v>
      </c>
      <c r="H466" s="2">
        <v>1</v>
      </c>
      <c r="I466" s="2" t="s">
        <v>94</v>
      </c>
      <c r="J466" s="6">
        <v>175</v>
      </c>
      <c r="K466" s="6">
        <v>525</v>
      </c>
      <c r="L466" s="2">
        <v>0</v>
      </c>
      <c r="N466" s="2">
        <v>0</v>
      </c>
      <c r="O466" s="2" t="s">
        <v>96</v>
      </c>
      <c r="P466" s="6">
        <v>367.95</v>
      </c>
      <c r="Q466" s="6"/>
      <c r="R466" s="7"/>
      <c r="S466" s="2">
        <v>50</v>
      </c>
      <c r="T466" s="2">
        <v>55</v>
      </c>
      <c r="U466" s="2">
        <v>8.25</v>
      </c>
      <c r="W466" s="2">
        <v>12.37</v>
      </c>
      <c r="X466" s="2">
        <v>1</v>
      </c>
      <c r="Y466" s="2">
        <v>11</v>
      </c>
      <c r="Z466" s="2">
        <v>55</v>
      </c>
      <c r="AA466" s="2">
        <v>11</v>
      </c>
      <c r="AB466" s="2">
        <v>3.851</v>
      </c>
      <c r="AC466" s="2">
        <v>18.96</v>
      </c>
      <c r="AE466" s="2">
        <v>1</v>
      </c>
      <c r="AF466" s="2" t="s">
        <v>2005</v>
      </c>
      <c r="AG466" s="2">
        <v>8</v>
      </c>
      <c r="AK466" s="2" t="s">
        <v>96</v>
      </c>
      <c r="AM466" s="2" t="s">
        <v>95</v>
      </c>
      <c r="AN466" s="2" t="s">
        <v>96</v>
      </c>
      <c r="AO466" s="2" t="s">
        <v>95</v>
      </c>
      <c r="AP466" s="2" t="s">
        <v>97</v>
      </c>
      <c r="AQ466" s="2" t="s">
        <v>98</v>
      </c>
      <c r="AV466" s="2" t="s">
        <v>95</v>
      </c>
      <c r="AX466" s="2" t="s">
        <v>395</v>
      </c>
      <c r="AZ466" s="2" t="s">
        <v>342</v>
      </c>
      <c r="BB466" s="2" t="s">
        <v>2157</v>
      </c>
      <c r="BC466" s="2" t="s">
        <v>397</v>
      </c>
      <c r="BF466" s="2" t="s">
        <v>2243</v>
      </c>
      <c r="BG466" s="2" t="s">
        <v>95</v>
      </c>
      <c r="BH466" s="2" t="s">
        <v>95</v>
      </c>
      <c r="BI466" s="2" t="s">
        <v>95</v>
      </c>
      <c r="BK466" s="2" t="s">
        <v>100</v>
      </c>
      <c r="CA466" s="2" t="s">
        <v>2244</v>
      </c>
      <c r="CB466" s="2" t="s">
        <v>395</v>
      </c>
      <c r="CG466" s="2">
        <v>3000</v>
      </c>
      <c r="CH466" s="2">
        <v>84</v>
      </c>
      <c r="CI466" s="2">
        <v>590</v>
      </c>
      <c r="CJ466" s="2">
        <v>442</v>
      </c>
      <c r="CK466" s="2">
        <v>30000</v>
      </c>
      <c r="CL466" s="2" t="s">
        <v>96</v>
      </c>
      <c r="CM466" s="2" t="s">
        <v>95</v>
      </c>
      <c r="CN466" s="2" t="s">
        <v>2160</v>
      </c>
      <c r="CO466" s="3">
        <v>40850</v>
      </c>
      <c r="CP466" s="3">
        <v>43634</v>
      </c>
    </row>
    <row r="467" spans="1:94" x14ac:dyDescent="0.25">
      <c r="A467" s="2" t="s">
        <v>2245</v>
      </c>
      <c r="B467" s="2" t="str">
        <f xml:space="preserve"> "" &amp; 844349011859</f>
        <v>844349011859</v>
      </c>
      <c r="C467" s="2" t="s">
        <v>2156</v>
      </c>
      <c r="D467" s="2" t="s">
        <v>3675</v>
      </c>
      <c r="E467" s="2" t="s">
        <v>425</v>
      </c>
      <c r="F467" s="2" t="s">
        <v>426</v>
      </c>
      <c r="G467" s="2">
        <v>1</v>
      </c>
      <c r="H467" s="2">
        <v>1</v>
      </c>
      <c r="I467" s="2" t="s">
        <v>94</v>
      </c>
      <c r="J467" s="6">
        <v>175</v>
      </c>
      <c r="K467" s="6">
        <v>525</v>
      </c>
      <c r="L467" s="2">
        <v>0</v>
      </c>
      <c r="N467" s="2">
        <v>0</v>
      </c>
      <c r="O467" s="2" t="s">
        <v>96</v>
      </c>
      <c r="P467" s="6">
        <v>367.95</v>
      </c>
      <c r="Q467" s="6"/>
      <c r="R467" s="7"/>
      <c r="S467" s="2">
        <v>50</v>
      </c>
      <c r="T467" s="2">
        <v>55</v>
      </c>
      <c r="U467" s="2">
        <v>8.25</v>
      </c>
      <c r="W467" s="2">
        <v>12.37</v>
      </c>
      <c r="X467" s="2">
        <v>1</v>
      </c>
      <c r="Y467" s="2">
        <v>11</v>
      </c>
      <c r="Z467" s="2">
        <v>55</v>
      </c>
      <c r="AA467" s="2">
        <v>11</v>
      </c>
      <c r="AB467" s="2">
        <v>3.851</v>
      </c>
      <c r="AC467" s="2">
        <v>18.96</v>
      </c>
      <c r="AE467" s="2">
        <v>1</v>
      </c>
      <c r="AF467" s="2" t="s">
        <v>2005</v>
      </c>
      <c r="AG467" s="2">
        <v>8</v>
      </c>
      <c r="AK467" s="2" t="s">
        <v>96</v>
      </c>
      <c r="AM467" s="2" t="s">
        <v>95</v>
      </c>
      <c r="AN467" s="2" t="s">
        <v>96</v>
      </c>
      <c r="AO467" s="2" t="s">
        <v>95</v>
      </c>
      <c r="AP467" s="2" t="s">
        <v>97</v>
      </c>
      <c r="AQ467" s="2" t="s">
        <v>98</v>
      </c>
      <c r="AV467" s="2" t="s">
        <v>95</v>
      </c>
      <c r="AX467" s="2" t="s">
        <v>116</v>
      </c>
      <c r="AZ467" s="2" t="s">
        <v>342</v>
      </c>
      <c r="BB467" s="2" t="s">
        <v>2164</v>
      </c>
      <c r="BC467" s="2" t="s">
        <v>135</v>
      </c>
      <c r="BF467" s="2" t="s">
        <v>2246</v>
      </c>
      <c r="BG467" s="2" t="s">
        <v>95</v>
      </c>
      <c r="BH467" s="2" t="s">
        <v>95</v>
      </c>
      <c r="BI467" s="2" t="s">
        <v>95</v>
      </c>
      <c r="BK467" s="2" t="s">
        <v>100</v>
      </c>
      <c r="CA467" s="2" t="s">
        <v>2244</v>
      </c>
      <c r="CB467" s="2" t="s">
        <v>116</v>
      </c>
      <c r="CG467" s="2">
        <v>3000</v>
      </c>
      <c r="CH467" s="2">
        <v>84</v>
      </c>
      <c r="CI467" s="2">
        <v>590</v>
      </c>
      <c r="CJ467" s="2">
        <v>442</v>
      </c>
      <c r="CK467" s="2">
        <v>30000</v>
      </c>
      <c r="CL467" s="2" t="s">
        <v>96</v>
      </c>
      <c r="CM467" s="2" t="s">
        <v>95</v>
      </c>
      <c r="CN467" s="2" t="s">
        <v>2160</v>
      </c>
      <c r="CO467" s="3">
        <v>40850</v>
      </c>
      <c r="CP467" s="3">
        <v>43634</v>
      </c>
    </row>
    <row r="468" spans="1:94" x14ac:dyDescent="0.25">
      <c r="A468" s="2" t="s">
        <v>2247</v>
      </c>
      <c r="B468" s="2" t="str">
        <f xml:space="preserve"> "" &amp; 844349011828</f>
        <v>844349011828</v>
      </c>
      <c r="C468" s="2" t="s">
        <v>2156</v>
      </c>
      <c r="D468" s="2" t="s">
        <v>3675</v>
      </c>
      <c r="E468" s="2" t="s">
        <v>425</v>
      </c>
      <c r="F468" s="2" t="s">
        <v>426</v>
      </c>
      <c r="G468" s="2">
        <v>1</v>
      </c>
      <c r="H468" s="2">
        <v>1</v>
      </c>
      <c r="I468" s="2" t="s">
        <v>94</v>
      </c>
      <c r="J468" s="6">
        <v>175</v>
      </c>
      <c r="K468" s="6">
        <v>525</v>
      </c>
      <c r="L468" s="2">
        <v>0</v>
      </c>
      <c r="N468" s="2">
        <v>0</v>
      </c>
      <c r="O468" s="2" t="s">
        <v>96</v>
      </c>
      <c r="P468" s="6">
        <v>367.95</v>
      </c>
      <c r="Q468" s="6"/>
      <c r="R468" s="7"/>
      <c r="S468" s="2">
        <v>50</v>
      </c>
      <c r="T468" s="2">
        <v>55</v>
      </c>
      <c r="U468" s="2">
        <v>8.25</v>
      </c>
      <c r="W468" s="2">
        <v>12.37</v>
      </c>
      <c r="X468" s="2">
        <v>1</v>
      </c>
      <c r="Y468" s="2">
        <v>11</v>
      </c>
      <c r="Z468" s="2">
        <v>55</v>
      </c>
      <c r="AA468" s="2">
        <v>11</v>
      </c>
      <c r="AB468" s="2">
        <v>3.851</v>
      </c>
      <c r="AC468" s="2">
        <v>18.96</v>
      </c>
      <c r="AE468" s="2">
        <v>1</v>
      </c>
      <c r="AF468" s="2" t="s">
        <v>2005</v>
      </c>
      <c r="AG468" s="2">
        <v>8</v>
      </c>
      <c r="AK468" s="2" t="s">
        <v>96</v>
      </c>
      <c r="AM468" s="2" t="s">
        <v>95</v>
      </c>
      <c r="AN468" s="2" t="s">
        <v>96</v>
      </c>
      <c r="AO468" s="2" t="s">
        <v>95</v>
      </c>
      <c r="AP468" s="2" t="s">
        <v>97</v>
      </c>
      <c r="AQ468" s="2" t="s">
        <v>98</v>
      </c>
      <c r="AV468" s="2" t="s">
        <v>95</v>
      </c>
      <c r="AX468" s="2" t="s">
        <v>1688</v>
      </c>
      <c r="AZ468" s="2" t="s">
        <v>342</v>
      </c>
      <c r="BB468" s="2" t="s">
        <v>2157</v>
      </c>
      <c r="BC468" s="2" t="s">
        <v>1688</v>
      </c>
      <c r="BF468" s="2" t="s">
        <v>2248</v>
      </c>
      <c r="BG468" s="2" t="s">
        <v>95</v>
      </c>
      <c r="BH468" s="2" t="s">
        <v>95</v>
      </c>
      <c r="BI468" s="2" t="s">
        <v>95</v>
      </c>
      <c r="BK468" s="2" t="s">
        <v>100</v>
      </c>
      <c r="CA468" s="2" t="s">
        <v>2244</v>
      </c>
      <c r="CB468" s="2" t="s">
        <v>1688</v>
      </c>
      <c r="CG468" s="2">
        <v>3000</v>
      </c>
      <c r="CH468" s="2">
        <v>84</v>
      </c>
      <c r="CI468" s="2">
        <v>590</v>
      </c>
      <c r="CJ468" s="2">
        <v>442</v>
      </c>
      <c r="CK468" s="2">
        <v>30000</v>
      </c>
      <c r="CL468" s="2" t="s">
        <v>96</v>
      </c>
      <c r="CM468" s="2" t="s">
        <v>95</v>
      </c>
      <c r="CN468" s="2" t="s">
        <v>2160</v>
      </c>
      <c r="CO468" s="3">
        <v>40850</v>
      </c>
      <c r="CP468" s="3">
        <v>43634</v>
      </c>
    </row>
    <row r="469" spans="1:94" x14ac:dyDescent="0.25">
      <c r="A469" s="2" t="s">
        <v>2249</v>
      </c>
      <c r="B469" s="2" t="str">
        <f xml:space="preserve"> "" &amp; 844349011842</f>
        <v>844349011842</v>
      </c>
      <c r="C469" s="2" t="s">
        <v>2156</v>
      </c>
      <c r="D469" s="2" t="s">
        <v>3675</v>
      </c>
      <c r="E469" s="2" t="s">
        <v>425</v>
      </c>
      <c r="F469" s="2" t="s">
        <v>426</v>
      </c>
      <c r="G469" s="2">
        <v>1</v>
      </c>
      <c r="H469" s="2">
        <v>1</v>
      </c>
      <c r="I469" s="2" t="s">
        <v>94</v>
      </c>
      <c r="J469" s="6">
        <v>175</v>
      </c>
      <c r="K469" s="6">
        <v>525</v>
      </c>
      <c r="L469" s="2">
        <v>0</v>
      </c>
      <c r="N469" s="2">
        <v>0</v>
      </c>
      <c r="O469" s="2" t="s">
        <v>96</v>
      </c>
      <c r="P469" s="6">
        <v>367.95</v>
      </c>
      <c r="Q469" s="6"/>
      <c r="R469" s="7"/>
      <c r="S469" s="2">
        <v>50</v>
      </c>
      <c r="T469" s="2">
        <v>55</v>
      </c>
      <c r="U469" s="2">
        <v>8.25</v>
      </c>
      <c r="W469" s="2">
        <v>12.37</v>
      </c>
      <c r="X469" s="2">
        <v>1</v>
      </c>
      <c r="Y469" s="2">
        <v>11</v>
      </c>
      <c r="Z469" s="2">
        <v>55</v>
      </c>
      <c r="AA469" s="2">
        <v>11</v>
      </c>
      <c r="AB469" s="2">
        <v>3.851</v>
      </c>
      <c r="AC469" s="2">
        <v>18.96</v>
      </c>
      <c r="AE469" s="2">
        <v>1</v>
      </c>
      <c r="AF469" s="2" t="s">
        <v>2005</v>
      </c>
      <c r="AG469" s="2">
        <v>8</v>
      </c>
      <c r="AK469" s="2" t="s">
        <v>96</v>
      </c>
      <c r="AM469" s="2" t="s">
        <v>95</v>
      </c>
      <c r="AN469" s="2" t="s">
        <v>96</v>
      </c>
      <c r="AO469" s="2" t="s">
        <v>95</v>
      </c>
      <c r="AP469" s="2" t="s">
        <v>97</v>
      </c>
      <c r="AQ469" s="2" t="s">
        <v>98</v>
      </c>
      <c r="AV469" s="2" t="s">
        <v>95</v>
      </c>
      <c r="AX469" s="2" t="s">
        <v>1483</v>
      </c>
      <c r="AZ469" s="2" t="s">
        <v>342</v>
      </c>
      <c r="BB469" s="2" t="s">
        <v>2157</v>
      </c>
      <c r="BC469" s="2" t="s">
        <v>2167</v>
      </c>
      <c r="BF469" s="2" t="s">
        <v>2250</v>
      </c>
      <c r="BG469" s="2" t="s">
        <v>95</v>
      </c>
      <c r="BH469" s="2" t="s">
        <v>95</v>
      </c>
      <c r="BI469" s="2" t="s">
        <v>95</v>
      </c>
      <c r="BK469" s="2" t="s">
        <v>100</v>
      </c>
      <c r="CA469" s="2" t="s">
        <v>2244</v>
      </c>
      <c r="CB469" s="2" t="s">
        <v>1483</v>
      </c>
      <c r="CG469" s="2">
        <v>3000</v>
      </c>
      <c r="CH469" s="2">
        <v>93</v>
      </c>
      <c r="CI469" s="2">
        <v>590</v>
      </c>
      <c r="CJ469" s="2">
        <v>442</v>
      </c>
      <c r="CK469" s="2">
        <v>30000</v>
      </c>
      <c r="CL469" s="2" t="s">
        <v>96</v>
      </c>
      <c r="CM469" s="2" t="s">
        <v>95</v>
      </c>
      <c r="CN469" s="2" t="s">
        <v>2160</v>
      </c>
      <c r="CO469" s="3">
        <v>40850</v>
      </c>
      <c r="CP469" s="3">
        <v>43634</v>
      </c>
    </row>
    <row r="470" spans="1:94" x14ac:dyDescent="0.25">
      <c r="A470" s="2" t="s">
        <v>2251</v>
      </c>
      <c r="B470" s="2" t="str">
        <f xml:space="preserve"> "" &amp; 844349011880</f>
        <v>844349011880</v>
      </c>
      <c r="C470" s="2" t="s">
        <v>1805</v>
      </c>
      <c r="D470" s="2" t="s">
        <v>3676</v>
      </c>
      <c r="E470" s="2" t="s">
        <v>425</v>
      </c>
      <c r="F470" s="2" t="s">
        <v>1429</v>
      </c>
      <c r="G470" s="2">
        <v>1</v>
      </c>
      <c r="H470" s="2">
        <v>1</v>
      </c>
      <c r="I470" s="2" t="s">
        <v>94</v>
      </c>
      <c r="J470" s="6">
        <v>115</v>
      </c>
      <c r="K470" s="6">
        <v>345</v>
      </c>
      <c r="L470" s="2">
        <v>0</v>
      </c>
      <c r="N470" s="2">
        <v>0</v>
      </c>
      <c r="O470" s="2" t="s">
        <v>96</v>
      </c>
      <c r="P470" s="6">
        <v>239.95</v>
      </c>
      <c r="Q470" s="6"/>
      <c r="R470" s="7"/>
      <c r="S470" s="2">
        <v>19</v>
      </c>
      <c r="T470" s="2">
        <v>22</v>
      </c>
      <c r="U470" s="2">
        <v>6.25</v>
      </c>
      <c r="W470" s="2">
        <v>6.9</v>
      </c>
      <c r="X470" s="2">
        <v>1</v>
      </c>
      <c r="Y470" s="2">
        <v>8.5</v>
      </c>
      <c r="Z470" s="2">
        <v>22</v>
      </c>
      <c r="AA470" s="2">
        <v>8.5</v>
      </c>
      <c r="AB470" s="2">
        <v>0.92</v>
      </c>
      <c r="AC470" s="2">
        <v>9.0399999999999991</v>
      </c>
      <c r="AE470" s="2">
        <v>1</v>
      </c>
      <c r="AF470" s="2" t="s">
        <v>2005</v>
      </c>
      <c r="AG470" s="2">
        <v>8</v>
      </c>
      <c r="AK470" s="2" t="s">
        <v>96</v>
      </c>
      <c r="AM470" s="2" t="s">
        <v>95</v>
      </c>
      <c r="AN470" s="2" t="s">
        <v>96</v>
      </c>
      <c r="AO470" s="2" t="s">
        <v>95</v>
      </c>
      <c r="AP470" s="2" t="s">
        <v>97</v>
      </c>
      <c r="AQ470" s="2" t="s">
        <v>98</v>
      </c>
      <c r="AV470" s="2" t="s">
        <v>95</v>
      </c>
      <c r="AX470" s="2" t="s">
        <v>395</v>
      </c>
      <c r="AZ470" s="2" t="s">
        <v>342</v>
      </c>
      <c r="BB470" s="2" t="s">
        <v>2157</v>
      </c>
      <c r="BC470" s="2" t="s">
        <v>397</v>
      </c>
      <c r="BF470" s="2" t="s">
        <v>2252</v>
      </c>
      <c r="BG470" s="2" t="s">
        <v>95</v>
      </c>
      <c r="BH470" s="2" t="s">
        <v>95</v>
      </c>
      <c r="BI470" s="2" t="s">
        <v>95</v>
      </c>
      <c r="BK470" s="2" t="s">
        <v>100</v>
      </c>
      <c r="CA470" s="2" t="s">
        <v>2253</v>
      </c>
      <c r="CB470" s="2" t="s">
        <v>395</v>
      </c>
      <c r="CG470" s="2">
        <v>3000</v>
      </c>
      <c r="CH470" s="2">
        <v>84</v>
      </c>
      <c r="CI470" s="2">
        <v>590</v>
      </c>
      <c r="CJ470" s="2">
        <v>442</v>
      </c>
      <c r="CK470" s="2">
        <v>30000</v>
      </c>
      <c r="CL470" s="2" t="s">
        <v>96</v>
      </c>
      <c r="CM470" s="2" t="s">
        <v>95</v>
      </c>
      <c r="CN470" s="2" t="s">
        <v>2160</v>
      </c>
      <c r="CO470" s="3">
        <v>40854</v>
      </c>
      <c r="CP470" s="3">
        <v>43634</v>
      </c>
    </row>
    <row r="471" spans="1:94" x14ac:dyDescent="0.25">
      <c r="A471" s="2" t="s">
        <v>2254</v>
      </c>
      <c r="B471" s="2" t="str">
        <f xml:space="preserve"> "" &amp; 844349011903</f>
        <v>844349011903</v>
      </c>
      <c r="C471" s="2" t="s">
        <v>1805</v>
      </c>
      <c r="D471" s="2" t="s">
        <v>3676</v>
      </c>
      <c r="E471" s="2" t="s">
        <v>425</v>
      </c>
      <c r="F471" s="2" t="s">
        <v>1429</v>
      </c>
      <c r="G471" s="2">
        <v>1</v>
      </c>
      <c r="H471" s="2">
        <v>1</v>
      </c>
      <c r="I471" s="2" t="s">
        <v>94</v>
      </c>
      <c r="J471" s="6">
        <v>115</v>
      </c>
      <c r="K471" s="6">
        <v>345</v>
      </c>
      <c r="L471" s="2">
        <v>0</v>
      </c>
      <c r="N471" s="2">
        <v>0</v>
      </c>
      <c r="O471" s="2" t="s">
        <v>96</v>
      </c>
      <c r="P471" s="6">
        <v>239.95</v>
      </c>
      <c r="Q471" s="6"/>
      <c r="R471" s="7"/>
      <c r="S471" s="2">
        <v>19</v>
      </c>
      <c r="T471" s="2">
        <v>22</v>
      </c>
      <c r="U471" s="2">
        <v>6.25</v>
      </c>
      <c r="W471" s="2">
        <v>6.9</v>
      </c>
      <c r="X471" s="2">
        <v>1</v>
      </c>
      <c r="Y471" s="2">
        <v>8.5</v>
      </c>
      <c r="Z471" s="2">
        <v>22</v>
      </c>
      <c r="AA471" s="2">
        <v>8.5</v>
      </c>
      <c r="AB471" s="2">
        <v>0.92</v>
      </c>
      <c r="AC471" s="2">
        <v>9.0399999999999991</v>
      </c>
      <c r="AE471" s="2">
        <v>1</v>
      </c>
      <c r="AF471" s="2" t="s">
        <v>2005</v>
      </c>
      <c r="AG471" s="2">
        <v>8</v>
      </c>
      <c r="AK471" s="2" t="s">
        <v>96</v>
      </c>
      <c r="AM471" s="2" t="s">
        <v>95</v>
      </c>
      <c r="AN471" s="2" t="s">
        <v>96</v>
      </c>
      <c r="AO471" s="2" t="s">
        <v>95</v>
      </c>
      <c r="AP471" s="2" t="s">
        <v>97</v>
      </c>
      <c r="AQ471" s="2" t="s">
        <v>98</v>
      </c>
      <c r="AV471" s="2" t="s">
        <v>95</v>
      </c>
      <c r="AX471" s="2" t="s">
        <v>116</v>
      </c>
      <c r="AZ471" s="2" t="s">
        <v>342</v>
      </c>
      <c r="BB471" s="2" t="s">
        <v>2157</v>
      </c>
      <c r="BC471" s="2" t="s">
        <v>135</v>
      </c>
      <c r="BF471" s="2" t="s">
        <v>2255</v>
      </c>
      <c r="BG471" s="2" t="s">
        <v>95</v>
      </c>
      <c r="BH471" s="2" t="s">
        <v>95</v>
      </c>
      <c r="BI471" s="2" t="s">
        <v>95</v>
      </c>
      <c r="BK471" s="2" t="s">
        <v>100</v>
      </c>
      <c r="CA471" s="2" t="s">
        <v>2253</v>
      </c>
      <c r="CB471" s="2" t="s">
        <v>116</v>
      </c>
      <c r="CG471" s="2">
        <v>3000</v>
      </c>
      <c r="CH471" s="2">
        <v>84</v>
      </c>
      <c r="CI471" s="2">
        <v>590</v>
      </c>
      <c r="CJ471" s="2">
        <v>442</v>
      </c>
      <c r="CK471" s="2">
        <v>30000</v>
      </c>
      <c r="CL471" s="2" t="s">
        <v>96</v>
      </c>
      <c r="CM471" s="2" t="s">
        <v>95</v>
      </c>
      <c r="CN471" s="2" t="s">
        <v>2160</v>
      </c>
      <c r="CO471" s="3">
        <v>40854</v>
      </c>
      <c r="CP471" s="3">
        <v>43634</v>
      </c>
    </row>
    <row r="472" spans="1:94" x14ac:dyDescent="0.25">
      <c r="A472" s="2" t="s">
        <v>2256</v>
      </c>
      <c r="B472" s="2" t="str">
        <f xml:space="preserve"> "" &amp; 844349011873</f>
        <v>844349011873</v>
      </c>
      <c r="C472" s="2" t="s">
        <v>1805</v>
      </c>
      <c r="D472" s="2" t="s">
        <v>3676</v>
      </c>
      <c r="E472" s="2" t="s">
        <v>425</v>
      </c>
      <c r="F472" s="2" t="s">
        <v>1429</v>
      </c>
      <c r="G472" s="2">
        <v>1</v>
      </c>
      <c r="H472" s="2">
        <v>1</v>
      </c>
      <c r="I472" s="2" t="s">
        <v>94</v>
      </c>
      <c r="J472" s="6">
        <v>115</v>
      </c>
      <c r="K472" s="6">
        <v>345</v>
      </c>
      <c r="L472" s="2">
        <v>0</v>
      </c>
      <c r="N472" s="2">
        <v>0</v>
      </c>
      <c r="O472" s="2" t="s">
        <v>96</v>
      </c>
      <c r="P472" s="6">
        <v>239.95</v>
      </c>
      <c r="Q472" s="6"/>
      <c r="R472" s="7"/>
      <c r="S472" s="2">
        <v>19</v>
      </c>
      <c r="T472" s="2">
        <v>22</v>
      </c>
      <c r="U472" s="2">
        <v>6.25</v>
      </c>
      <c r="W472" s="2">
        <v>6.9</v>
      </c>
      <c r="X472" s="2">
        <v>1</v>
      </c>
      <c r="Y472" s="2">
        <v>8.5</v>
      </c>
      <c r="Z472" s="2">
        <v>22</v>
      </c>
      <c r="AA472" s="2">
        <v>8.5</v>
      </c>
      <c r="AB472" s="2">
        <v>0.92</v>
      </c>
      <c r="AC472" s="2">
        <v>9.0399999999999991</v>
      </c>
      <c r="AE472" s="2">
        <v>1</v>
      </c>
      <c r="AF472" s="2" t="s">
        <v>2005</v>
      </c>
      <c r="AG472" s="2">
        <v>8</v>
      </c>
      <c r="AK472" s="2" t="s">
        <v>96</v>
      </c>
      <c r="AM472" s="2" t="s">
        <v>95</v>
      </c>
      <c r="AN472" s="2" t="s">
        <v>96</v>
      </c>
      <c r="AO472" s="2" t="s">
        <v>95</v>
      </c>
      <c r="AP472" s="2" t="s">
        <v>97</v>
      </c>
      <c r="AQ472" s="2" t="s">
        <v>98</v>
      </c>
      <c r="AV472" s="2" t="s">
        <v>95</v>
      </c>
      <c r="AX472" s="2" t="s">
        <v>1688</v>
      </c>
      <c r="AZ472" s="2" t="s">
        <v>342</v>
      </c>
      <c r="BB472" s="2" t="s">
        <v>2157</v>
      </c>
      <c r="BC472" s="2" t="s">
        <v>1688</v>
      </c>
      <c r="BF472" s="2" t="s">
        <v>2257</v>
      </c>
      <c r="BG472" s="2" t="s">
        <v>95</v>
      </c>
      <c r="BH472" s="2" t="s">
        <v>95</v>
      </c>
      <c r="BI472" s="2" t="s">
        <v>95</v>
      </c>
      <c r="BK472" s="2" t="s">
        <v>100</v>
      </c>
      <c r="CA472" s="2" t="s">
        <v>2253</v>
      </c>
      <c r="CB472" s="2" t="s">
        <v>1688</v>
      </c>
      <c r="CG472" s="2">
        <v>3000</v>
      </c>
      <c r="CH472" s="2">
        <v>84</v>
      </c>
      <c r="CI472" s="2">
        <v>590</v>
      </c>
      <c r="CJ472" s="2">
        <v>442</v>
      </c>
      <c r="CK472" s="2">
        <v>30000</v>
      </c>
      <c r="CL472" s="2" t="s">
        <v>96</v>
      </c>
      <c r="CM472" s="2" t="s">
        <v>95</v>
      </c>
      <c r="CN472" s="2" t="s">
        <v>2160</v>
      </c>
      <c r="CO472" s="3">
        <v>40855</v>
      </c>
      <c r="CP472" s="3">
        <v>43634</v>
      </c>
    </row>
    <row r="473" spans="1:94" x14ac:dyDescent="0.25">
      <c r="A473" s="2" t="s">
        <v>2258</v>
      </c>
      <c r="B473" s="2" t="str">
        <f xml:space="preserve"> "" &amp; 844349011897</f>
        <v>844349011897</v>
      </c>
      <c r="C473" s="2" t="s">
        <v>1805</v>
      </c>
      <c r="D473" s="2" t="s">
        <v>3676</v>
      </c>
      <c r="E473" s="2" t="s">
        <v>425</v>
      </c>
      <c r="F473" s="2" t="s">
        <v>1429</v>
      </c>
      <c r="G473" s="2">
        <v>1</v>
      </c>
      <c r="H473" s="2">
        <v>1</v>
      </c>
      <c r="I473" s="2" t="s">
        <v>94</v>
      </c>
      <c r="J473" s="6">
        <v>115</v>
      </c>
      <c r="K473" s="6">
        <v>345</v>
      </c>
      <c r="L473" s="2">
        <v>0</v>
      </c>
      <c r="N473" s="2">
        <v>0</v>
      </c>
      <c r="O473" s="2" t="s">
        <v>96</v>
      </c>
      <c r="P473" s="6">
        <v>239.95</v>
      </c>
      <c r="Q473" s="6"/>
      <c r="R473" s="7"/>
      <c r="S473" s="2">
        <v>19</v>
      </c>
      <c r="T473" s="2">
        <v>22</v>
      </c>
      <c r="U473" s="2">
        <v>6.58</v>
      </c>
      <c r="W473" s="2">
        <v>6.9</v>
      </c>
      <c r="X473" s="2">
        <v>1</v>
      </c>
      <c r="Y473" s="2">
        <v>8.5</v>
      </c>
      <c r="Z473" s="2">
        <v>22</v>
      </c>
      <c r="AA473" s="2">
        <v>8.5</v>
      </c>
      <c r="AB473" s="2">
        <v>0.92</v>
      </c>
      <c r="AC473" s="2">
        <v>9.0399999999999991</v>
      </c>
      <c r="AE473" s="2">
        <v>1</v>
      </c>
      <c r="AF473" s="2" t="s">
        <v>2005</v>
      </c>
      <c r="AG473" s="2">
        <v>8</v>
      </c>
      <c r="AK473" s="2" t="s">
        <v>96</v>
      </c>
      <c r="AM473" s="2" t="s">
        <v>95</v>
      </c>
      <c r="AN473" s="2" t="s">
        <v>96</v>
      </c>
      <c r="AO473" s="2" t="s">
        <v>95</v>
      </c>
      <c r="AP473" s="2" t="s">
        <v>97</v>
      </c>
      <c r="AQ473" s="2" t="s">
        <v>98</v>
      </c>
      <c r="AV473" s="2" t="s">
        <v>95</v>
      </c>
      <c r="AX473" s="2" t="s">
        <v>1483</v>
      </c>
      <c r="AZ473" s="2" t="s">
        <v>342</v>
      </c>
      <c r="BB473" s="2" t="s">
        <v>2157</v>
      </c>
      <c r="BC473" s="2" t="s">
        <v>2167</v>
      </c>
      <c r="BF473" s="2" t="s">
        <v>2259</v>
      </c>
      <c r="BG473" s="2" t="s">
        <v>95</v>
      </c>
      <c r="BH473" s="2" t="s">
        <v>95</v>
      </c>
      <c r="BI473" s="2" t="s">
        <v>95</v>
      </c>
      <c r="BK473" s="2" t="s">
        <v>100</v>
      </c>
      <c r="CA473" s="2" t="s">
        <v>2253</v>
      </c>
      <c r="CB473" s="2" t="s">
        <v>1483</v>
      </c>
      <c r="CG473" s="2">
        <v>3000</v>
      </c>
      <c r="CH473" s="2">
        <v>84</v>
      </c>
      <c r="CI473" s="2">
        <v>590</v>
      </c>
      <c r="CJ473" s="2">
        <v>442</v>
      </c>
      <c r="CK473" s="2">
        <v>30000</v>
      </c>
      <c r="CL473" s="2" t="s">
        <v>96</v>
      </c>
      <c r="CM473" s="2" t="s">
        <v>95</v>
      </c>
      <c r="CN473" s="2" t="s">
        <v>2160</v>
      </c>
      <c r="CO473" s="3">
        <v>40854</v>
      </c>
      <c r="CP473" s="3">
        <v>43634</v>
      </c>
    </row>
    <row r="474" spans="1:94" x14ac:dyDescent="0.25">
      <c r="A474" s="2" t="s">
        <v>2260</v>
      </c>
      <c r="B474" s="2" t="str">
        <f xml:space="preserve"> "" &amp; 844349011934</f>
        <v>844349011934</v>
      </c>
      <c r="C474" s="2" t="s">
        <v>2190</v>
      </c>
      <c r="D474" s="2" t="s">
        <v>3677</v>
      </c>
      <c r="E474" s="2" t="s">
        <v>425</v>
      </c>
      <c r="F474" s="2" t="s">
        <v>418</v>
      </c>
      <c r="G474" s="2">
        <v>1</v>
      </c>
      <c r="H474" s="2">
        <v>1</v>
      </c>
      <c r="I474" s="2" t="s">
        <v>94</v>
      </c>
      <c r="J474" s="6">
        <v>99</v>
      </c>
      <c r="K474" s="6">
        <v>297</v>
      </c>
      <c r="L474" s="2">
        <v>0</v>
      </c>
      <c r="N474" s="2">
        <v>0</v>
      </c>
      <c r="O474" s="2" t="s">
        <v>96</v>
      </c>
      <c r="P474" s="6">
        <v>207.95</v>
      </c>
      <c r="Q474" s="6"/>
      <c r="R474" s="7"/>
      <c r="S474" s="2">
        <v>6.25</v>
      </c>
      <c r="T474" s="2">
        <v>22</v>
      </c>
      <c r="U474" s="2">
        <v>13.75</v>
      </c>
      <c r="V474" s="2">
        <v>5</v>
      </c>
      <c r="W474" s="2">
        <v>2.98</v>
      </c>
      <c r="X474" s="2">
        <v>1</v>
      </c>
      <c r="Y474" s="2">
        <v>8</v>
      </c>
      <c r="Z474" s="2">
        <v>22</v>
      </c>
      <c r="AA474" s="2">
        <v>4.5</v>
      </c>
      <c r="AB474" s="2">
        <v>0.45800000000000002</v>
      </c>
      <c r="AC474" s="2">
        <v>4.1399999999999997</v>
      </c>
      <c r="AE474" s="2">
        <v>1</v>
      </c>
      <c r="AF474" s="2" t="s">
        <v>2005</v>
      </c>
      <c r="AG474" s="2">
        <v>8</v>
      </c>
      <c r="AK474" s="2" t="s">
        <v>96</v>
      </c>
      <c r="AL474" s="2">
        <v>1</v>
      </c>
      <c r="AM474" s="2" t="s">
        <v>95</v>
      </c>
      <c r="AN474" s="2" t="s">
        <v>96</v>
      </c>
      <c r="AO474" s="2" t="s">
        <v>95</v>
      </c>
      <c r="AP474" s="2" t="s">
        <v>97</v>
      </c>
      <c r="AQ474" s="2" t="s">
        <v>98</v>
      </c>
      <c r="AV474" s="2" t="s">
        <v>95</v>
      </c>
      <c r="AX474" s="2" t="s">
        <v>395</v>
      </c>
      <c r="AZ474" s="2" t="s">
        <v>342</v>
      </c>
      <c r="BB474" s="2" t="s">
        <v>2164</v>
      </c>
      <c r="BC474" s="2" t="s">
        <v>397</v>
      </c>
      <c r="BF474" s="2" t="s">
        <v>2261</v>
      </c>
      <c r="BG474" s="2" t="s">
        <v>96</v>
      </c>
      <c r="BH474" s="2" t="s">
        <v>95</v>
      </c>
      <c r="BI474" s="2" t="s">
        <v>95</v>
      </c>
      <c r="BK474" s="2" t="s">
        <v>100</v>
      </c>
      <c r="BL474" s="2" t="s">
        <v>617</v>
      </c>
      <c r="BM474" s="2">
        <v>5.13</v>
      </c>
      <c r="BN474" s="2">
        <v>1</v>
      </c>
      <c r="BP474" s="2">
        <v>6.25</v>
      </c>
      <c r="CA474" s="2" t="s">
        <v>2262</v>
      </c>
      <c r="CB474" s="2" t="s">
        <v>395</v>
      </c>
      <c r="CG474" s="2">
        <v>3000</v>
      </c>
      <c r="CH474" s="2">
        <v>84</v>
      </c>
      <c r="CI474" s="2">
        <v>590</v>
      </c>
      <c r="CJ474" s="2">
        <v>439</v>
      </c>
      <c r="CK474" s="2">
        <v>30000</v>
      </c>
      <c r="CL474" s="2" t="s">
        <v>96</v>
      </c>
      <c r="CM474" s="2" t="s">
        <v>95</v>
      </c>
      <c r="CN474" s="2" t="s">
        <v>2193</v>
      </c>
      <c r="CO474" s="3">
        <v>40855</v>
      </c>
      <c r="CP474" s="3">
        <v>43634</v>
      </c>
    </row>
    <row r="475" spans="1:94" x14ac:dyDescent="0.25">
      <c r="A475" s="2" t="s">
        <v>2263</v>
      </c>
      <c r="B475" s="2" t="str">
        <f xml:space="preserve"> "" &amp; 844349011958</f>
        <v>844349011958</v>
      </c>
      <c r="C475" s="2" t="s">
        <v>2190</v>
      </c>
      <c r="D475" s="2" t="s">
        <v>3677</v>
      </c>
      <c r="E475" s="2" t="s">
        <v>425</v>
      </c>
      <c r="F475" s="2" t="s">
        <v>418</v>
      </c>
      <c r="G475" s="2">
        <v>1</v>
      </c>
      <c r="H475" s="2">
        <v>1</v>
      </c>
      <c r="I475" s="2" t="s">
        <v>94</v>
      </c>
      <c r="J475" s="6">
        <v>99</v>
      </c>
      <c r="K475" s="6">
        <v>297</v>
      </c>
      <c r="L475" s="2">
        <v>0</v>
      </c>
      <c r="N475" s="2">
        <v>0</v>
      </c>
      <c r="O475" s="2" t="s">
        <v>96</v>
      </c>
      <c r="P475" s="6">
        <v>207.95</v>
      </c>
      <c r="Q475" s="6"/>
      <c r="R475" s="7"/>
      <c r="S475" s="2">
        <v>6.25</v>
      </c>
      <c r="T475" s="2">
        <v>22</v>
      </c>
      <c r="U475" s="2">
        <v>13.75</v>
      </c>
      <c r="V475" s="2">
        <v>5</v>
      </c>
      <c r="W475" s="2">
        <v>2.98</v>
      </c>
      <c r="X475" s="2">
        <v>1</v>
      </c>
      <c r="Y475" s="2">
        <v>8</v>
      </c>
      <c r="Z475" s="2">
        <v>22</v>
      </c>
      <c r="AA475" s="2">
        <v>4.5</v>
      </c>
      <c r="AB475" s="2">
        <v>0.45800000000000002</v>
      </c>
      <c r="AC475" s="2">
        <v>4.1399999999999997</v>
      </c>
      <c r="AE475" s="2">
        <v>1</v>
      </c>
      <c r="AF475" s="2" t="s">
        <v>2005</v>
      </c>
      <c r="AG475" s="2">
        <v>8</v>
      </c>
      <c r="AK475" s="2" t="s">
        <v>96</v>
      </c>
      <c r="AL475" s="2">
        <v>1</v>
      </c>
      <c r="AM475" s="2" t="s">
        <v>95</v>
      </c>
      <c r="AN475" s="2" t="s">
        <v>96</v>
      </c>
      <c r="AO475" s="2" t="s">
        <v>95</v>
      </c>
      <c r="AP475" s="2" t="s">
        <v>97</v>
      </c>
      <c r="AQ475" s="2" t="s">
        <v>98</v>
      </c>
      <c r="AV475" s="2" t="s">
        <v>95</v>
      </c>
      <c r="AX475" s="2" t="s">
        <v>116</v>
      </c>
      <c r="AZ475" s="2" t="s">
        <v>342</v>
      </c>
      <c r="BB475" s="2" t="s">
        <v>2157</v>
      </c>
      <c r="BC475" s="2" t="s">
        <v>135</v>
      </c>
      <c r="BF475" s="2" t="s">
        <v>2264</v>
      </c>
      <c r="BG475" s="2" t="s">
        <v>95</v>
      </c>
      <c r="BH475" s="2" t="s">
        <v>95</v>
      </c>
      <c r="BI475" s="2" t="s">
        <v>95</v>
      </c>
      <c r="BK475" s="2" t="s">
        <v>100</v>
      </c>
      <c r="BL475" s="2" t="s">
        <v>617</v>
      </c>
      <c r="BM475" s="2">
        <v>5.13</v>
      </c>
      <c r="BN475" s="2">
        <v>6.25</v>
      </c>
      <c r="CA475" s="2" t="s">
        <v>2262</v>
      </c>
      <c r="CB475" s="2" t="s">
        <v>116</v>
      </c>
      <c r="CG475" s="2">
        <v>3000</v>
      </c>
      <c r="CH475" s="2">
        <v>84</v>
      </c>
      <c r="CI475" s="2">
        <v>590</v>
      </c>
      <c r="CJ475" s="2">
        <v>438.76</v>
      </c>
      <c r="CK475" s="2">
        <v>30000</v>
      </c>
      <c r="CL475" s="2" t="s">
        <v>96</v>
      </c>
      <c r="CM475" s="2" t="s">
        <v>95</v>
      </c>
      <c r="CN475" s="2" t="s">
        <v>2193</v>
      </c>
      <c r="CO475" s="3">
        <v>40855</v>
      </c>
      <c r="CP475" s="3">
        <v>43634</v>
      </c>
    </row>
    <row r="476" spans="1:94" x14ac:dyDescent="0.25">
      <c r="A476" s="2" t="s">
        <v>2265</v>
      </c>
      <c r="B476" s="2" t="str">
        <f xml:space="preserve"> "" &amp; 844349011927</f>
        <v>844349011927</v>
      </c>
      <c r="C476" s="2" t="s">
        <v>2190</v>
      </c>
      <c r="D476" s="2" t="s">
        <v>3677</v>
      </c>
      <c r="E476" s="2" t="s">
        <v>425</v>
      </c>
      <c r="F476" s="2" t="s">
        <v>418</v>
      </c>
      <c r="G476" s="2">
        <v>1</v>
      </c>
      <c r="H476" s="2">
        <v>1</v>
      </c>
      <c r="I476" s="2" t="s">
        <v>94</v>
      </c>
      <c r="J476" s="6">
        <v>99</v>
      </c>
      <c r="K476" s="6">
        <v>297</v>
      </c>
      <c r="L476" s="2">
        <v>0</v>
      </c>
      <c r="N476" s="2">
        <v>0</v>
      </c>
      <c r="O476" s="2" t="s">
        <v>96</v>
      </c>
      <c r="P476" s="6">
        <v>207.95</v>
      </c>
      <c r="Q476" s="6"/>
      <c r="R476" s="7"/>
      <c r="S476" s="2">
        <v>6.25</v>
      </c>
      <c r="T476" s="2">
        <v>22</v>
      </c>
      <c r="U476" s="2">
        <v>13.75</v>
      </c>
      <c r="V476" s="2">
        <v>5</v>
      </c>
      <c r="W476" s="2">
        <v>2.98</v>
      </c>
      <c r="X476" s="2">
        <v>1</v>
      </c>
      <c r="Y476" s="2">
        <v>8</v>
      </c>
      <c r="Z476" s="2">
        <v>22</v>
      </c>
      <c r="AA476" s="2">
        <v>4.5</v>
      </c>
      <c r="AB476" s="2">
        <v>0.45800000000000002</v>
      </c>
      <c r="AC476" s="2">
        <v>4.1399999999999997</v>
      </c>
      <c r="AE476" s="2">
        <v>1</v>
      </c>
      <c r="AF476" s="2" t="s">
        <v>2005</v>
      </c>
      <c r="AG476" s="2">
        <v>8</v>
      </c>
      <c r="AK476" s="2" t="s">
        <v>96</v>
      </c>
      <c r="AL476" s="2">
        <v>1</v>
      </c>
      <c r="AM476" s="2" t="s">
        <v>95</v>
      </c>
      <c r="AN476" s="2" t="s">
        <v>96</v>
      </c>
      <c r="AO476" s="2" t="s">
        <v>95</v>
      </c>
      <c r="AP476" s="2" t="s">
        <v>97</v>
      </c>
      <c r="AQ476" s="2" t="s">
        <v>98</v>
      </c>
      <c r="AV476" s="2" t="s">
        <v>95</v>
      </c>
      <c r="AX476" s="2" t="s">
        <v>1688</v>
      </c>
      <c r="AZ476" s="2" t="s">
        <v>342</v>
      </c>
      <c r="BB476" s="2" t="s">
        <v>2157</v>
      </c>
      <c r="BC476" s="2" t="s">
        <v>1688</v>
      </c>
      <c r="BF476" s="2" t="s">
        <v>2266</v>
      </c>
      <c r="BG476" s="2" t="s">
        <v>95</v>
      </c>
      <c r="BH476" s="2" t="s">
        <v>95</v>
      </c>
      <c r="BI476" s="2" t="s">
        <v>95</v>
      </c>
      <c r="BK476" s="2" t="s">
        <v>100</v>
      </c>
      <c r="BL476" s="2" t="s">
        <v>617</v>
      </c>
      <c r="BM476" s="2">
        <v>5.13</v>
      </c>
      <c r="BN476" s="2">
        <v>6.25</v>
      </c>
      <c r="CA476" s="2" t="s">
        <v>2262</v>
      </c>
      <c r="CB476" s="2" t="s">
        <v>1688</v>
      </c>
      <c r="CG476" s="2">
        <v>3000</v>
      </c>
      <c r="CH476" s="2">
        <v>84</v>
      </c>
      <c r="CI476" s="2">
        <v>590</v>
      </c>
      <c r="CJ476" s="2">
        <v>438.76</v>
      </c>
      <c r="CK476" s="2">
        <v>30000</v>
      </c>
      <c r="CL476" s="2" t="s">
        <v>96</v>
      </c>
      <c r="CM476" s="2" t="s">
        <v>95</v>
      </c>
      <c r="CN476" s="2" t="s">
        <v>2193</v>
      </c>
      <c r="CO476" s="3">
        <v>40855</v>
      </c>
      <c r="CP476" s="3">
        <v>43634</v>
      </c>
    </row>
    <row r="477" spans="1:94" x14ac:dyDescent="0.25">
      <c r="A477" s="2" t="s">
        <v>2267</v>
      </c>
      <c r="B477" s="2" t="str">
        <f xml:space="preserve"> "" &amp; 844349011965</f>
        <v>844349011965</v>
      </c>
      <c r="C477" s="2" t="s">
        <v>2190</v>
      </c>
      <c r="D477" s="2" t="s">
        <v>3677</v>
      </c>
      <c r="E477" s="2" t="s">
        <v>425</v>
      </c>
      <c r="F477" s="2" t="s">
        <v>418</v>
      </c>
      <c r="G477" s="2">
        <v>1</v>
      </c>
      <c r="H477" s="2">
        <v>1</v>
      </c>
      <c r="I477" s="2" t="s">
        <v>94</v>
      </c>
      <c r="J477" s="6">
        <v>85</v>
      </c>
      <c r="K477" s="6">
        <v>255</v>
      </c>
      <c r="L477" s="2">
        <v>0</v>
      </c>
      <c r="N477" s="2">
        <v>0</v>
      </c>
      <c r="O477" s="2" t="s">
        <v>96</v>
      </c>
      <c r="P477" s="6">
        <v>178.95</v>
      </c>
      <c r="Q477" s="6"/>
      <c r="R477" s="7"/>
      <c r="S477" s="2">
        <v>6.25</v>
      </c>
      <c r="T477" s="2">
        <v>22</v>
      </c>
      <c r="U477" s="2">
        <v>13.75</v>
      </c>
      <c r="V477" s="2">
        <v>5</v>
      </c>
      <c r="W477" s="2">
        <v>2.98</v>
      </c>
      <c r="X477" s="2">
        <v>1</v>
      </c>
      <c r="Y477" s="2">
        <v>8</v>
      </c>
      <c r="Z477" s="2">
        <v>22</v>
      </c>
      <c r="AA477" s="2">
        <v>4.5</v>
      </c>
      <c r="AB477" s="2">
        <v>0.45800000000000002</v>
      </c>
      <c r="AC477" s="2">
        <v>4.1399999999999997</v>
      </c>
      <c r="AE477" s="2">
        <v>1</v>
      </c>
      <c r="AF477" s="2" t="s">
        <v>2005</v>
      </c>
      <c r="AG477" s="2">
        <v>8</v>
      </c>
      <c r="AK477" s="2" t="s">
        <v>96</v>
      </c>
      <c r="AL477" s="2">
        <v>1</v>
      </c>
      <c r="AM477" s="2" t="s">
        <v>95</v>
      </c>
      <c r="AN477" s="2" t="s">
        <v>96</v>
      </c>
      <c r="AO477" s="2" t="s">
        <v>95</v>
      </c>
      <c r="AP477" s="2" t="s">
        <v>97</v>
      </c>
      <c r="AQ477" s="2" t="s">
        <v>98</v>
      </c>
      <c r="AV477" s="2" t="s">
        <v>95</v>
      </c>
      <c r="AX477" s="2" t="s">
        <v>2233</v>
      </c>
      <c r="AZ477" s="2" t="s">
        <v>342</v>
      </c>
      <c r="BB477" s="2" t="s">
        <v>2164</v>
      </c>
      <c r="BC477" s="2" t="s">
        <v>521</v>
      </c>
      <c r="BF477" s="2" t="s">
        <v>2268</v>
      </c>
      <c r="BG477" s="2" t="s">
        <v>95</v>
      </c>
      <c r="BH477" s="2" t="s">
        <v>95</v>
      </c>
      <c r="BI477" s="2" t="s">
        <v>95</v>
      </c>
      <c r="BK477" s="2" t="s">
        <v>100</v>
      </c>
      <c r="BL477" s="2" t="s">
        <v>617</v>
      </c>
      <c r="BM477" s="2">
        <v>5.13</v>
      </c>
      <c r="BN477" s="2">
        <v>1</v>
      </c>
      <c r="BP477" s="2">
        <v>6.25</v>
      </c>
      <c r="CA477" s="2" t="s">
        <v>2262</v>
      </c>
      <c r="CB477" s="2" t="s">
        <v>2233</v>
      </c>
      <c r="CG477" s="2">
        <v>3000</v>
      </c>
      <c r="CH477" s="2">
        <v>84</v>
      </c>
      <c r="CI477" s="2">
        <v>590</v>
      </c>
      <c r="CJ477" s="2">
        <v>439</v>
      </c>
      <c r="CK477" s="2">
        <v>30000</v>
      </c>
      <c r="CL477" s="2" t="s">
        <v>96</v>
      </c>
      <c r="CM477" s="2" t="s">
        <v>95</v>
      </c>
      <c r="CN477" s="2" t="s">
        <v>2193</v>
      </c>
      <c r="CO477" s="3">
        <v>40855</v>
      </c>
      <c r="CP477" s="3">
        <v>43634</v>
      </c>
    </row>
    <row r="478" spans="1:94" x14ac:dyDescent="0.25">
      <c r="A478" s="2" t="s">
        <v>2269</v>
      </c>
      <c r="B478" s="2" t="str">
        <f xml:space="preserve"> "" &amp; 844349011941</f>
        <v>844349011941</v>
      </c>
      <c r="C478" s="2" t="s">
        <v>2190</v>
      </c>
      <c r="D478" s="2" t="s">
        <v>3677</v>
      </c>
      <c r="E478" s="2" t="s">
        <v>425</v>
      </c>
      <c r="F478" s="2" t="s">
        <v>418</v>
      </c>
      <c r="G478" s="2">
        <v>1</v>
      </c>
      <c r="H478" s="2">
        <v>1</v>
      </c>
      <c r="I478" s="2" t="s">
        <v>94</v>
      </c>
      <c r="J478" s="6">
        <v>99</v>
      </c>
      <c r="K478" s="6">
        <v>297</v>
      </c>
      <c r="L478" s="2">
        <v>0</v>
      </c>
      <c r="N478" s="2">
        <v>0</v>
      </c>
      <c r="O478" s="2" t="s">
        <v>96</v>
      </c>
      <c r="P478" s="6">
        <v>207.95</v>
      </c>
      <c r="Q478" s="6"/>
      <c r="R478" s="7"/>
      <c r="S478" s="2">
        <v>6.25</v>
      </c>
      <c r="T478" s="2">
        <v>22</v>
      </c>
      <c r="U478" s="2">
        <v>13.75</v>
      </c>
      <c r="V478" s="2">
        <v>5</v>
      </c>
      <c r="W478" s="2">
        <v>2.98</v>
      </c>
      <c r="X478" s="2">
        <v>1</v>
      </c>
      <c r="Y478" s="2">
        <v>8</v>
      </c>
      <c r="Z478" s="2">
        <v>22</v>
      </c>
      <c r="AA478" s="2">
        <v>4.5</v>
      </c>
      <c r="AB478" s="2">
        <v>0.45800000000000002</v>
      </c>
      <c r="AC478" s="2">
        <v>4.1399999999999997</v>
      </c>
      <c r="AE478" s="2">
        <v>1</v>
      </c>
      <c r="AF478" s="2" t="s">
        <v>2005</v>
      </c>
      <c r="AG478" s="2">
        <v>8</v>
      </c>
      <c r="AK478" s="2" t="s">
        <v>96</v>
      </c>
      <c r="AL478" s="2">
        <v>1</v>
      </c>
      <c r="AM478" s="2" t="s">
        <v>95</v>
      </c>
      <c r="AN478" s="2" t="s">
        <v>96</v>
      </c>
      <c r="AO478" s="2" t="s">
        <v>95</v>
      </c>
      <c r="AP478" s="2" t="s">
        <v>97</v>
      </c>
      <c r="AQ478" s="2" t="s">
        <v>98</v>
      </c>
      <c r="AV478" s="2" t="s">
        <v>95</v>
      </c>
      <c r="AX478" s="2" t="s">
        <v>1483</v>
      </c>
      <c r="AZ478" s="2" t="s">
        <v>342</v>
      </c>
      <c r="BB478" s="2" t="s">
        <v>2157</v>
      </c>
      <c r="BC478" s="2" t="s">
        <v>2167</v>
      </c>
      <c r="BF478" s="2" t="s">
        <v>2270</v>
      </c>
      <c r="BG478" s="2" t="s">
        <v>95</v>
      </c>
      <c r="BH478" s="2" t="s">
        <v>95</v>
      </c>
      <c r="BI478" s="2" t="s">
        <v>95</v>
      </c>
      <c r="BK478" s="2" t="s">
        <v>100</v>
      </c>
      <c r="BL478" s="2" t="s">
        <v>617</v>
      </c>
      <c r="BR478" s="2">
        <v>6.25</v>
      </c>
      <c r="BT478" s="2">
        <v>5</v>
      </c>
      <c r="CA478" s="2" t="s">
        <v>2262</v>
      </c>
      <c r="CB478" s="2" t="s">
        <v>1483</v>
      </c>
      <c r="CG478" s="2">
        <v>3000</v>
      </c>
      <c r="CH478" s="2">
        <v>84</v>
      </c>
      <c r="CI478" s="2">
        <v>590</v>
      </c>
      <c r="CJ478" s="2">
        <v>438.76</v>
      </c>
      <c r="CK478" s="2">
        <v>30000</v>
      </c>
      <c r="CL478" s="2" t="s">
        <v>96</v>
      </c>
      <c r="CM478" s="2" t="s">
        <v>95</v>
      </c>
      <c r="CN478" s="2" t="s">
        <v>2193</v>
      </c>
      <c r="CO478" s="3">
        <v>40854</v>
      </c>
      <c r="CP478" s="3">
        <v>43634</v>
      </c>
    </row>
    <row r="479" spans="1:94" x14ac:dyDescent="0.25">
      <c r="A479" s="2" t="s">
        <v>2271</v>
      </c>
      <c r="B479" s="2" t="str">
        <f xml:space="preserve"> "" &amp; 844349013440</f>
        <v>844349013440</v>
      </c>
      <c r="C479" s="2" t="s">
        <v>2205</v>
      </c>
      <c r="D479" s="2" t="s">
        <v>3682</v>
      </c>
      <c r="E479" s="2" t="s">
        <v>425</v>
      </c>
      <c r="F479" s="2" t="s">
        <v>418</v>
      </c>
      <c r="G479" s="2">
        <v>1</v>
      </c>
      <c r="H479" s="2">
        <v>1</v>
      </c>
      <c r="I479" s="2" t="s">
        <v>94</v>
      </c>
      <c r="J479" s="6">
        <v>169</v>
      </c>
      <c r="K479" s="6">
        <v>507</v>
      </c>
      <c r="L479" s="2">
        <v>0</v>
      </c>
      <c r="N479" s="2">
        <v>0</v>
      </c>
      <c r="O479" s="2" t="s">
        <v>96</v>
      </c>
      <c r="P479" s="6">
        <v>354.95</v>
      </c>
      <c r="Q479" s="6"/>
      <c r="R479" s="7"/>
      <c r="S479" s="2">
        <v>4.5</v>
      </c>
      <c r="U479" s="2">
        <v>26.5</v>
      </c>
      <c r="V479" s="2">
        <v>3.5</v>
      </c>
      <c r="W479" s="2">
        <v>5.86</v>
      </c>
      <c r="X479" s="2">
        <v>1</v>
      </c>
      <c r="Y479" s="2">
        <v>7</v>
      </c>
      <c r="Z479" s="2">
        <v>29</v>
      </c>
      <c r="AA479" s="2">
        <v>5.75</v>
      </c>
      <c r="AB479" s="2">
        <v>0.67500000000000004</v>
      </c>
      <c r="AC479" s="2">
        <v>7.1</v>
      </c>
      <c r="AE479" s="2">
        <v>2</v>
      </c>
      <c r="AF479" s="2" t="s">
        <v>2005</v>
      </c>
      <c r="AG479" s="2">
        <v>8</v>
      </c>
      <c r="AK479" s="2" t="s">
        <v>96</v>
      </c>
      <c r="AL479" s="2">
        <v>2</v>
      </c>
      <c r="AM479" s="2" t="s">
        <v>95</v>
      </c>
      <c r="AN479" s="2" t="s">
        <v>96</v>
      </c>
      <c r="AO479" s="2" t="s">
        <v>95</v>
      </c>
      <c r="AP479" s="2" t="s">
        <v>97</v>
      </c>
      <c r="AQ479" s="2" t="s">
        <v>98</v>
      </c>
      <c r="AV479" s="2" t="s">
        <v>95</v>
      </c>
      <c r="AX479" s="2" t="s">
        <v>116</v>
      </c>
      <c r="AZ479" s="2" t="s">
        <v>342</v>
      </c>
      <c r="BB479" s="2" t="s">
        <v>2197</v>
      </c>
      <c r="BC479" s="2" t="s">
        <v>135</v>
      </c>
      <c r="BF479" s="2" t="s">
        <v>2272</v>
      </c>
      <c r="BG479" s="2" t="s">
        <v>95</v>
      </c>
      <c r="BH479" s="2" t="s">
        <v>95</v>
      </c>
      <c r="BI479" s="2" t="s">
        <v>95</v>
      </c>
      <c r="BK479" s="2" t="s">
        <v>2200</v>
      </c>
      <c r="BL479" s="2" t="s">
        <v>617</v>
      </c>
      <c r="BR479" s="2">
        <v>4.5</v>
      </c>
      <c r="BT479" s="2">
        <v>18</v>
      </c>
      <c r="CA479" s="2" t="s">
        <v>2273</v>
      </c>
      <c r="CB479" s="2" t="s">
        <v>116</v>
      </c>
      <c r="CG479" s="2">
        <v>3000</v>
      </c>
      <c r="CH479" s="2">
        <v>84</v>
      </c>
      <c r="CI479" s="2">
        <v>1900</v>
      </c>
      <c r="CJ479" s="2">
        <v>859.86</v>
      </c>
      <c r="CK479" s="2">
        <v>30000</v>
      </c>
      <c r="CL479" s="2" t="s">
        <v>96</v>
      </c>
      <c r="CM479" s="2" t="s">
        <v>95</v>
      </c>
      <c r="CN479" s="2" t="s">
        <v>2201</v>
      </c>
      <c r="CO479" s="3">
        <v>41369</v>
      </c>
      <c r="CP479" s="3">
        <v>43634</v>
      </c>
    </row>
    <row r="480" spans="1:94" x14ac:dyDescent="0.25">
      <c r="A480" s="2" t="s">
        <v>2274</v>
      </c>
      <c r="B480" s="2" t="str">
        <f xml:space="preserve"> "" &amp; 844349014225</f>
        <v>844349014225</v>
      </c>
      <c r="C480" s="2" t="s">
        <v>2275</v>
      </c>
      <c r="D480" s="2" t="s">
        <v>3675</v>
      </c>
      <c r="E480" s="2" t="s">
        <v>425</v>
      </c>
      <c r="F480" s="2" t="s">
        <v>426</v>
      </c>
      <c r="G480" s="2">
        <v>1</v>
      </c>
      <c r="H480" s="2">
        <v>1</v>
      </c>
      <c r="I480" s="2" t="s">
        <v>94</v>
      </c>
      <c r="J480" s="6">
        <v>175</v>
      </c>
      <c r="K480" s="6">
        <v>525</v>
      </c>
      <c r="L480" s="2">
        <v>0</v>
      </c>
      <c r="N480" s="2">
        <v>0</v>
      </c>
      <c r="O480" s="2" t="s">
        <v>96</v>
      </c>
      <c r="P480" s="6">
        <v>367.95</v>
      </c>
      <c r="Q480" s="6"/>
      <c r="R480" s="7"/>
      <c r="S480" s="2">
        <v>50.25</v>
      </c>
      <c r="U480" s="2">
        <v>7</v>
      </c>
      <c r="V480" s="2">
        <v>9</v>
      </c>
      <c r="W480" s="2">
        <v>11.73</v>
      </c>
      <c r="X480" s="2">
        <v>1</v>
      </c>
      <c r="Y480" s="2">
        <v>9.25</v>
      </c>
      <c r="Z480" s="2">
        <v>55</v>
      </c>
      <c r="AA480" s="2">
        <v>11.38</v>
      </c>
      <c r="AB480" s="2">
        <v>3.35</v>
      </c>
      <c r="AC480" s="2">
        <v>17.64</v>
      </c>
      <c r="AE480" s="2">
        <v>1</v>
      </c>
      <c r="AF480" s="2" t="s">
        <v>2276</v>
      </c>
      <c r="AG480" s="2">
        <v>8</v>
      </c>
      <c r="AK480" s="2" t="s">
        <v>96</v>
      </c>
      <c r="AM480" s="2" t="s">
        <v>95</v>
      </c>
      <c r="AN480" s="2" t="s">
        <v>96</v>
      </c>
      <c r="AO480" s="2" t="s">
        <v>95</v>
      </c>
      <c r="AP480" s="2" t="s">
        <v>97</v>
      </c>
      <c r="AQ480" s="2" t="s">
        <v>98</v>
      </c>
      <c r="AV480" s="2" t="s">
        <v>95</v>
      </c>
      <c r="AX480" s="2" t="s">
        <v>395</v>
      </c>
      <c r="AZ480" s="2" t="s">
        <v>342</v>
      </c>
      <c r="BB480" s="2" t="s">
        <v>2197</v>
      </c>
      <c r="BC480" s="2" t="s">
        <v>397</v>
      </c>
      <c r="BF480" s="2" t="s">
        <v>2277</v>
      </c>
      <c r="BG480" s="2" t="s">
        <v>95</v>
      </c>
      <c r="BH480" s="2" t="s">
        <v>95</v>
      </c>
      <c r="BI480" s="2" t="s">
        <v>95</v>
      </c>
      <c r="BK480" s="2" t="s">
        <v>100</v>
      </c>
      <c r="BM480" s="2">
        <v>9</v>
      </c>
      <c r="BN480" s="2">
        <v>1</v>
      </c>
      <c r="CA480" s="2" t="s">
        <v>2278</v>
      </c>
      <c r="CB480" s="2" t="s">
        <v>395</v>
      </c>
      <c r="CG480" s="2">
        <v>3000</v>
      </c>
      <c r="CH480" s="2">
        <v>84</v>
      </c>
      <c r="CI480" s="2">
        <v>590</v>
      </c>
      <c r="CJ480" s="2">
        <v>442</v>
      </c>
      <c r="CK480" s="2">
        <v>30000</v>
      </c>
      <c r="CL480" s="2" t="s">
        <v>96</v>
      </c>
      <c r="CM480" s="2" t="s">
        <v>95</v>
      </c>
      <c r="CN480" s="2" t="s">
        <v>2201</v>
      </c>
      <c r="CO480" s="3">
        <v>41246</v>
      </c>
      <c r="CP480" s="3">
        <v>43634</v>
      </c>
    </row>
    <row r="481" spans="1:94" x14ac:dyDescent="0.25">
      <c r="A481" s="2" t="s">
        <v>2279</v>
      </c>
      <c r="B481" s="2" t="str">
        <f xml:space="preserve"> "" &amp; 844349014232</f>
        <v>844349014232</v>
      </c>
      <c r="C481" s="2" t="s">
        <v>2275</v>
      </c>
      <c r="D481" s="2" t="s">
        <v>3675</v>
      </c>
      <c r="E481" s="2" t="s">
        <v>425</v>
      </c>
      <c r="F481" s="2" t="s">
        <v>426</v>
      </c>
      <c r="G481" s="2">
        <v>1</v>
      </c>
      <c r="H481" s="2">
        <v>1</v>
      </c>
      <c r="I481" s="2" t="s">
        <v>94</v>
      </c>
      <c r="J481" s="6">
        <v>175</v>
      </c>
      <c r="K481" s="6">
        <v>525</v>
      </c>
      <c r="L481" s="2">
        <v>0</v>
      </c>
      <c r="N481" s="2">
        <v>0</v>
      </c>
      <c r="O481" s="2" t="s">
        <v>96</v>
      </c>
      <c r="P481" s="6">
        <v>367.95</v>
      </c>
      <c r="Q481" s="6"/>
      <c r="R481" s="7"/>
      <c r="S481" s="2">
        <v>50.25</v>
      </c>
      <c r="U481" s="2">
        <v>7</v>
      </c>
      <c r="V481" s="2">
        <v>9</v>
      </c>
      <c r="W481" s="2">
        <v>11.73</v>
      </c>
      <c r="X481" s="2">
        <v>1</v>
      </c>
      <c r="Y481" s="2">
        <v>9.25</v>
      </c>
      <c r="Z481" s="2">
        <v>55</v>
      </c>
      <c r="AA481" s="2">
        <v>11.38</v>
      </c>
      <c r="AB481" s="2">
        <v>3.35</v>
      </c>
      <c r="AC481" s="2">
        <v>17.64</v>
      </c>
      <c r="AE481" s="2">
        <v>1</v>
      </c>
      <c r="AF481" s="2" t="s">
        <v>2005</v>
      </c>
      <c r="AG481" s="2">
        <v>8</v>
      </c>
      <c r="AK481" s="2" t="s">
        <v>96</v>
      </c>
      <c r="AM481" s="2" t="s">
        <v>95</v>
      </c>
      <c r="AN481" s="2" t="s">
        <v>96</v>
      </c>
      <c r="AO481" s="2" t="s">
        <v>95</v>
      </c>
      <c r="AP481" s="2" t="s">
        <v>97</v>
      </c>
      <c r="AQ481" s="2" t="s">
        <v>98</v>
      </c>
      <c r="AV481" s="2" t="s">
        <v>95</v>
      </c>
      <c r="AX481" s="2" t="s">
        <v>116</v>
      </c>
      <c r="AZ481" s="2" t="s">
        <v>342</v>
      </c>
      <c r="BB481" s="2" t="s">
        <v>2197</v>
      </c>
      <c r="BC481" s="2" t="s">
        <v>135</v>
      </c>
      <c r="BF481" s="2" t="s">
        <v>2280</v>
      </c>
      <c r="BG481" s="2" t="s">
        <v>95</v>
      </c>
      <c r="BH481" s="2" t="s">
        <v>95</v>
      </c>
      <c r="BI481" s="2" t="s">
        <v>95</v>
      </c>
      <c r="BK481" s="2" t="s">
        <v>100</v>
      </c>
      <c r="BR481" s="2">
        <v>1</v>
      </c>
      <c r="BT481" s="2">
        <v>9</v>
      </c>
      <c r="CA481" s="2" t="s">
        <v>2281</v>
      </c>
      <c r="CB481" s="2" t="s">
        <v>116</v>
      </c>
      <c r="CG481" s="2">
        <v>3000</v>
      </c>
      <c r="CH481" s="2">
        <v>83</v>
      </c>
      <c r="CI481" s="2">
        <v>590</v>
      </c>
      <c r="CJ481" s="2">
        <v>442</v>
      </c>
      <c r="CK481" s="2">
        <v>30000</v>
      </c>
      <c r="CL481" s="2" t="s">
        <v>96</v>
      </c>
      <c r="CM481" s="2" t="s">
        <v>95</v>
      </c>
      <c r="CN481" s="2" t="s">
        <v>2201</v>
      </c>
      <c r="CO481" s="3">
        <v>41246</v>
      </c>
      <c r="CP481" s="3">
        <v>43634</v>
      </c>
    </row>
    <row r="482" spans="1:94" x14ac:dyDescent="0.25">
      <c r="A482" s="2" t="s">
        <v>2282</v>
      </c>
      <c r="B482" s="2" t="str">
        <f xml:space="preserve"> "" &amp; 844349014263</f>
        <v>844349014263</v>
      </c>
      <c r="C482" s="2" t="s">
        <v>2275</v>
      </c>
      <c r="D482" s="2" t="s">
        <v>3675</v>
      </c>
      <c r="E482" s="2" t="s">
        <v>425</v>
      </c>
      <c r="F482" s="2" t="s">
        <v>426</v>
      </c>
      <c r="G482" s="2">
        <v>1</v>
      </c>
      <c r="H482" s="2">
        <v>1</v>
      </c>
      <c r="I482" s="2" t="s">
        <v>94</v>
      </c>
      <c r="J482" s="6">
        <v>175</v>
      </c>
      <c r="K482" s="6">
        <v>525</v>
      </c>
      <c r="L482" s="2">
        <v>0</v>
      </c>
      <c r="N482" s="2">
        <v>0</v>
      </c>
      <c r="O482" s="2" t="s">
        <v>96</v>
      </c>
      <c r="P482" s="6">
        <v>367.95</v>
      </c>
      <c r="Q482" s="6"/>
      <c r="R482" s="7"/>
      <c r="S482" s="2">
        <v>50.25</v>
      </c>
      <c r="U482" s="2">
        <v>7</v>
      </c>
      <c r="V482" s="2">
        <v>9</v>
      </c>
      <c r="W482" s="2">
        <v>11.73</v>
      </c>
      <c r="X482" s="2">
        <v>1</v>
      </c>
      <c r="Y482" s="2">
        <v>9.25</v>
      </c>
      <c r="Z482" s="2">
        <v>55</v>
      </c>
      <c r="AA482" s="2">
        <v>11.38</v>
      </c>
      <c r="AB482" s="2">
        <v>3.35</v>
      </c>
      <c r="AC482" s="2">
        <v>17.64</v>
      </c>
      <c r="AE482" s="2">
        <v>1</v>
      </c>
      <c r="AF482" s="2" t="s">
        <v>2283</v>
      </c>
      <c r="AG482" s="2">
        <v>8</v>
      </c>
      <c r="AK482" s="2" t="s">
        <v>96</v>
      </c>
      <c r="AM482" s="2" t="s">
        <v>95</v>
      </c>
      <c r="AN482" s="2" t="s">
        <v>96</v>
      </c>
      <c r="AO482" s="2" t="s">
        <v>95</v>
      </c>
      <c r="AP482" s="2" t="s">
        <v>97</v>
      </c>
      <c r="AQ482" s="2" t="s">
        <v>98</v>
      </c>
      <c r="AV482" s="2" t="s">
        <v>95</v>
      </c>
      <c r="AX482" s="2" t="s">
        <v>1688</v>
      </c>
      <c r="AZ482" s="2" t="s">
        <v>342</v>
      </c>
      <c r="BB482" s="2" t="s">
        <v>2197</v>
      </c>
      <c r="BC482" s="2" t="s">
        <v>2198</v>
      </c>
      <c r="BF482" s="2" t="s">
        <v>2284</v>
      </c>
      <c r="BG482" s="2" t="s">
        <v>95</v>
      </c>
      <c r="BH482" s="2" t="s">
        <v>95</v>
      </c>
      <c r="BI482" s="2" t="s">
        <v>95</v>
      </c>
      <c r="BK482" s="2" t="s">
        <v>100</v>
      </c>
      <c r="BM482" s="2">
        <v>9</v>
      </c>
      <c r="BN482" s="2">
        <v>1</v>
      </c>
      <c r="CA482" s="2" t="s">
        <v>2278</v>
      </c>
      <c r="CB482" s="2" t="s">
        <v>1688</v>
      </c>
      <c r="CG482" s="2">
        <v>3000</v>
      </c>
      <c r="CH482" s="2">
        <v>84</v>
      </c>
      <c r="CI482" s="2">
        <v>590</v>
      </c>
      <c r="CJ482" s="2">
        <v>442</v>
      </c>
      <c r="CK482" s="2">
        <v>30000</v>
      </c>
      <c r="CL482" s="2" t="s">
        <v>96</v>
      </c>
      <c r="CM482" s="2" t="s">
        <v>95</v>
      </c>
      <c r="CN482" s="2" t="s">
        <v>2201</v>
      </c>
      <c r="CO482" s="3">
        <v>41246</v>
      </c>
      <c r="CP482" s="3">
        <v>43634</v>
      </c>
    </row>
    <row r="483" spans="1:94" x14ac:dyDescent="0.25">
      <c r="A483" s="2" t="s">
        <v>2285</v>
      </c>
      <c r="B483" s="2" t="str">
        <f xml:space="preserve"> "" &amp; 844349014256</f>
        <v>844349014256</v>
      </c>
      <c r="C483" s="2" t="s">
        <v>2275</v>
      </c>
      <c r="D483" s="2" t="s">
        <v>3675</v>
      </c>
      <c r="E483" s="2" t="s">
        <v>425</v>
      </c>
      <c r="F483" s="2" t="s">
        <v>426</v>
      </c>
      <c r="G483" s="2">
        <v>1</v>
      </c>
      <c r="H483" s="2">
        <v>1</v>
      </c>
      <c r="I483" s="2" t="s">
        <v>94</v>
      </c>
      <c r="J483" s="6">
        <v>175</v>
      </c>
      <c r="K483" s="6">
        <v>525</v>
      </c>
      <c r="L483" s="2">
        <v>0</v>
      </c>
      <c r="N483" s="2">
        <v>0</v>
      </c>
      <c r="O483" s="2" t="s">
        <v>96</v>
      </c>
      <c r="P483" s="6">
        <v>367.95</v>
      </c>
      <c r="Q483" s="6"/>
      <c r="R483" s="7"/>
      <c r="S483" s="2">
        <v>50.25</v>
      </c>
      <c r="U483" s="2">
        <v>7</v>
      </c>
      <c r="V483" s="2">
        <v>9</v>
      </c>
      <c r="W483" s="2">
        <v>11.73</v>
      </c>
      <c r="X483" s="2">
        <v>1</v>
      </c>
      <c r="Y483" s="2">
        <v>9.25</v>
      </c>
      <c r="Z483" s="2">
        <v>55</v>
      </c>
      <c r="AA483" s="2">
        <v>11.38</v>
      </c>
      <c r="AB483" s="2">
        <v>3.35</v>
      </c>
      <c r="AC483" s="2">
        <v>17.64</v>
      </c>
      <c r="AE483" s="2">
        <v>1</v>
      </c>
      <c r="AF483" s="2" t="s">
        <v>2283</v>
      </c>
      <c r="AG483" s="2">
        <v>8</v>
      </c>
      <c r="AK483" s="2" t="s">
        <v>96</v>
      </c>
      <c r="AM483" s="2" t="s">
        <v>95</v>
      </c>
      <c r="AN483" s="2" t="s">
        <v>96</v>
      </c>
      <c r="AO483" s="2" t="s">
        <v>95</v>
      </c>
      <c r="AP483" s="2" t="s">
        <v>97</v>
      </c>
      <c r="AQ483" s="2" t="s">
        <v>98</v>
      </c>
      <c r="AV483" s="2" t="s">
        <v>95</v>
      </c>
      <c r="AX483" s="2" t="s">
        <v>1483</v>
      </c>
      <c r="AZ483" s="2" t="s">
        <v>342</v>
      </c>
      <c r="BB483" s="2" t="s">
        <v>2197</v>
      </c>
      <c r="BC483" s="2" t="s">
        <v>2167</v>
      </c>
      <c r="BF483" s="2" t="s">
        <v>2286</v>
      </c>
      <c r="BG483" s="2" t="s">
        <v>95</v>
      </c>
      <c r="BH483" s="2" t="s">
        <v>95</v>
      </c>
      <c r="BI483" s="2" t="s">
        <v>95</v>
      </c>
      <c r="BK483" s="2" t="s">
        <v>100</v>
      </c>
      <c r="BR483" s="2">
        <v>1</v>
      </c>
      <c r="BT483" s="2">
        <v>9</v>
      </c>
      <c r="CA483" s="2" t="s">
        <v>2278</v>
      </c>
      <c r="CB483" s="2" t="s">
        <v>1483</v>
      </c>
      <c r="CG483" s="2">
        <v>3000</v>
      </c>
      <c r="CH483" s="2">
        <v>83</v>
      </c>
      <c r="CI483" s="2">
        <v>590</v>
      </c>
      <c r="CJ483" s="2">
        <v>442</v>
      </c>
      <c r="CK483" s="2">
        <v>30000</v>
      </c>
      <c r="CL483" s="2" t="s">
        <v>96</v>
      </c>
      <c r="CM483" s="2" t="s">
        <v>95</v>
      </c>
      <c r="CN483" s="2" t="s">
        <v>2201</v>
      </c>
      <c r="CO483" s="3">
        <v>41246</v>
      </c>
      <c r="CP483" s="3">
        <v>43634</v>
      </c>
    </row>
    <row r="484" spans="1:94" x14ac:dyDescent="0.25">
      <c r="A484" s="2" t="s">
        <v>2287</v>
      </c>
      <c r="B484" s="2" t="str">
        <f xml:space="preserve"> "" &amp; 844349014324</f>
        <v>844349014324</v>
      </c>
      <c r="C484" s="2" t="s">
        <v>1805</v>
      </c>
      <c r="D484" s="2" t="s">
        <v>3679</v>
      </c>
      <c r="E484" s="2" t="s">
        <v>425</v>
      </c>
      <c r="F484" s="2" t="s">
        <v>1429</v>
      </c>
      <c r="G484" s="2">
        <v>1</v>
      </c>
      <c r="H484" s="2">
        <v>1</v>
      </c>
      <c r="I484" s="2" t="s">
        <v>94</v>
      </c>
      <c r="J484" s="6">
        <v>115</v>
      </c>
      <c r="K484" s="6">
        <v>345</v>
      </c>
      <c r="L484" s="2">
        <v>0</v>
      </c>
      <c r="N484" s="2">
        <v>0</v>
      </c>
      <c r="O484" s="2" t="s">
        <v>96</v>
      </c>
      <c r="P484" s="6">
        <v>239.95</v>
      </c>
      <c r="Q484" s="6"/>
      <c r="R484" s="7"/>
      <c r="S484" s="2">
        <v>19.5</v>
      </c>
      <c r="T484" s="2">
        <v>7</v>
      </c>
      <c r="U484" s="2">
        <v>5</v>
      </c>
      <c r="W484" s="2">
        <v>6.33</v>
      </c>
      <c r="X484" s="2">
        <v>1</v>
      </c>
      <c r="Y484" s="2">
        <v>7.25</v>
      </c>
      <c r="Z484" s="2">
        <v>22</v>
      </c>
      <c r="AA484" s="2">
        <v>9.25</v>
      </c>
      <c r="AB484" s="2">
        <v>0.85399999999999998</v>
      </c>
      <c r="AC484" s="2">
        <v>7.8</v>
      </c>
      <c r="AE484" s="2">
        <v>1</v>
      </c>
      <c r="AF484" s="2" t="s">
        <v>2005</v>
      </c>
      <c r="AG484" s="2">
        <v>8</v>
      </c>
      <c r="AK484" s="2" t="s">
        <v>96</v>
      </c>
      <c r="AM484" s="2" t="s">
        <v>95</v>
      </c>
      <c r="AN484" s="2" t="s">
        <v>96</v>
      </c>
      <c r="AO484" s="2" t="s">
        <v>95</v>
      </c>
      <c r="AP484" s="2" t="s">
        <v>97</v>
      </c>
      <c r="AQ484" s="2" t="s">
        <v>98</v>
      </c>
      <c r="AV484" s="2" t="s">
        <v>95</v>
      </c>
      <c r="AX484" s="2" t="s">
        <v>395</v>
      </c>
      <c r="AZ484" s="2" t="s">
        <v>342</v>
      </c>
      <c r="BB484" s="2" t="s">
        <v>2197</v>
      </c>
      <c r="BC484" s="2" t="s">
        <v>397</v>
      </c>
      <c r="BF484" s="2" t="s">
        <v>2288</v>
      </c>
      <c r="BG484" s="2" t="s">
        <v>95</v>
      </c>
      <c r="BH484" s="2" t="s">
        <v>95</v>
      </c>
      <c r="BI484" s="2" t="s">
        <v>95</v>
      </c>
      <c r="BK484" s="2" t="s">
        <v>100</v>
      </c>
      <c r="CA484" s="2" t="s">
        <v>2289</v>
      </c>
      <c r="CB484" s="2" t="s">
        <v>395</v>
      </c>
      <c r="CG484" s="2">
        <v>3000</v>
      </c>
      <c r="CH484" s="2">
        <v>84</v>
      </c>
      <c r="CI484" s="2">
        <v>590</v>
      </c>
      <c r="CJ484" s="2">
        <v>442</v>
      </c>
      <c r="CK484" s="2">
        <v>30000</v>
      </c>
      <c r="CL484" s="2" t="s">
        <v>96</v>
      </c>
      <c r="CM484" s="2" t="s">
        <v>95</v>
      </c>
      <c r="CN484" s="2" t="s">
        <v>2201</v>
      </c>
      <c r="CO484" s="3">
        <v>41243</v>
      </c>
      <c r="CP484" s="3">
        <v>43634</v>
      </c>
    </row>
    <row r="485" spans="1:94" x14ac:dyDescent="0.25">
      <c r="A485" s="2" t="s">
        <v>2290</v>
      </c>
      <c r="B485" s="2" t="str">
        <f xml:space="preserve"> "" &amp; 844349014331</f>
        <v>844349014331</v>
      </c>
      <c r="C485" s="2" t="s">
        <v>1805</v>
      </c>
      <c r="D485" s="2" t="s">
        <v>3679</v>
      </c>
      <c r="E485" s="2" t="s">
        <v>425</v>
      </c>
      <c r="F485" s="2" t="s">
        <v>1429</v>
      </c>
      <c r="G485" s="2">
        <v>1</v>
      </c>
      <c r="H485" s="2">
        <v>1</v>
      </c>
      <c r="I485" s="2" t="s">
        <v>94</v>
      </c>
      <c r="J485" s="6">
        <v>115</v>
      </c>
      <c r="K485" s="6">
        <v>345</v>
      </c>
      <c r="L485" s="2">
        <v>0</v>
      </c>
      <c r="N485" s="2">
        <v>0</v>
      </c>
      <c r="O485" s="2" t="s">
        <v>96</v>
      </c>
      <c r="P485" s="6">
        <v>239.95</v>
      </c>
      <c r="Q485" s="6"/>
      <c r="R485" s="7"/>
      <c r="S485" s="2">
        <v>19.5</v>
      </c>
      <c r="T485" s="2">
        <v>7</v>
      </c>
      <c r="U485" s="2">
        <v>5</v>
      </c>
      <c r="W485" s="2">
        <v>6.33</v>
      </c>
      <c r="X485" s="2">
        <v>1</v>
      </c>
      <c r="Y485" s="2">
        <v>7.25</v>
      </c>
      <c r="Z485" s="2">
        <v>22</v>
      </c>
      <c r="AA485" s="2">
        <v>9.25</v>
      </c>
      <c r="AB485" s="2">
        <v>0.85399999999999998</v>
      </c>
      <c r="AC485" s="2">
        <v>7.8</v>
      </c>
      <c r="AE485" s="2">
        <v>1</v>
      </c>
      <c r="AF485" s="2" t="s">
        <v>2005</v>
      </c>
      <c r="AG485" s="2">
        <v>8</v>
      </c>
      <c r="AK485" s="2" t="s">
        <v>96</v>
      </c>
      <c r="AM485" s="2" t="s">
        <v>95</v>
      </c>
      <c r="AN485" s="2" t="s">
        <v>96</v>
      </c>
      <c r="AO485" s="2" t="s">
        <v>95</v>
      </c>
      <c r="AP485" s="2" t="s">
        <v>97</v>
      </c>
      <c r="AQ485" s="2" t="s">
        <v>98</v>
      </c>
      <c r="AV485" s="2" t="s">
        <v>95</v>
      </c>
      <c r="AX485" s="2" t="s">
        <v>116</v>
      </c>
      <c r="AZ485" s="2" t="s">
        <v>342</v>
      </c>
      <c r="BB485" s="2" t="s">
        <v>2197</v>
      </c>
      <c r="BC485" s="2" t="s">
        <v>135</v>
      </c>
      <c r="BF485" s="2" t="s">
        <v>2291</v>
      </c>
      <c r="BG485" s="2" t="s">
        <v>95</v>
      </c>
      <c r="BH485" s="2" t="s">
        <v>95</v>
      </c>
      <c r="BI485" s="2" t="s">
        <v>95</v>
      </c>
      <c r="BK485" s="2" t="s">
        <v>100</v>
      </c>
      <c r="CA485" s="2" t="s">
        <v>2289</v>
      </c>
      <c r="CB485" s="2" t="s">
        <v>116</v>
      </c>
      <c r="CG485" s="2">
        <v>3000</v>
      </c>
      <c r="CH485" s="2">
        <v>84</v>
      </c>
      <c r="CI485" s="2">
        <v>590</v>
      </c>
      <c r="CJ485" s="2">
        <v>442</v>
      </c>
      <c r="CK485" s="2">
        <v>30000</v>
      </c>
      <c r="CL485" s="2" t="s">
        <v>96</v>
      </c>
      <c r="CM485" s="2" t="s">
        <v>95</v>
      </c>
      <c r="CN485" s="2" t="s">
        <v>1765</v>
      </c>
      <c r="CO485" s="3">
        <v>40877</v>
      </c>
      <c r="CP485" s="3">
        <v>43634</v>
      </c>
    </row>
    <row r="486" spans="1:94" x14ac:dyDescent="0.25">
      <c r="A486" s="2" t="s">
        <v>2292</v>
      </c>
      <c r="B486" s="2" t="str">
        <f xml:space="preserve"> "" &amp; 844349014348</f>
        <v>844349014348</v>
      </c>
      <c r="C486" s="2" t="s">
        <v>1805</v>
      </c>
      <c r="D486" s="2" t="s">
        <v>3679</v>
      </c>
      <c r="E486" s="2" t="s">
        <v>425</v>
      </c>
      <c r="F486" s="2" t="s">
        <v>1429</v>
      </c>
      <c r="G486" s="2">
        <v>1</v>
      </c>
      <c r="H486" s="2">
        <v>1</v>
      </c>
      <c r="I486" s="2" t="s">
        <v>94</v>
      </c>
      <c r="J486" s="6">
        <v>115</v>
      </c>
      <c r="K486" s="6">
        <v>345</v>
      </c>
      <c r="L486" s="2">
        <v>0</v>
      </c>
      <c r="N486" s="2">
        <v>0</v>
      </c>
      <c r="O486" s="2" t="s">
        <v>96</v>
      </c>
      <c r="P486" s="6">
        <v>239.95</v>
      </c>
      <c r="Q486" s="6"/>
      <c r="R486" s="7"/>
      <c r="S486" s="2">
        <v>19.5</v>
      </c>
      <c r="T486" s="2">
        <v>7</v>
      </c>
      <c r="U486" s="2">
        <v>5</v>
      </c>
      <c r="W486" s="2">
        <v>6.33</v>
      </c>
      <c r="X486" s="2">
        <v>1</v>
      </c>
      <c r="Y486" s="2">
        <v>7.25</v>
      </c>
      <c r="Z486" s="2">
        <v>22</v>
      </c>
      <c r="AA486" s="2">
        <v>9.25</v>
      </c>
      <c r="AB486" s="2">
        <v>0.85399999999999998</v>
      </c>
      <c r="AC486" s="2">
        <v>7.8</v>
      </c>
      <c r="AE486" s="2">
        <v>1</v>
      </c>
      <c r="AF486" s="2" t="s">
        <v>2005</v>
      </c>
      <c r="AG486" s="2">
        <v>8</v>
      </c>
      <c r="AK486" s="2" t="s">
        <v>96</v>
      </c>
      <c r="AM486" s="2" t="s">
        <v>95</v>
      </c>
      <c r="AN486" s="2" t="s">
        <v>96</v>
      </c>
      <c r="AO486" s="2" t="s">
        <v>95</v>
      </c>
      <c r="AP486" s="2" t="s">
        <v>97</v>
      </c>
      <c r="AQ486" s="2" t="s">
        <v>98</v>
      </c>
      <c r="AV486" s="2" t="s">
        <v>95</v>
      </c>
      <c r="AX486" s="2" t="s">
        <v>1688</v>
      </c>
      <c r="AZ486" s="2" t="s">
        <v>342</v>
      </c>
      <c r="BB486" s="2" t="s">
        <v>2197</v>
      </c>
      <c r="BC486" s="2" t="s">
        <v>2198</v>
      </c>
      <c r="BF486" s="2" t="s">
        <v>2293</v>
      </c>
      <c r="BG486" s="2" t="s">
        <v>95</v>
      </c>
      <c r="BH486" s="2" t="s">
        <v>95</v>
      </c>
      <c r="BI486" s="2" t="s">
        <v>95</v>
      </c>
      <c r="BK486" s="2" t="s">
        <v>100</v>
      </c>
      <c r="CA486" s="2" t="s">
        <v>2289</v>
      </c>
      <c r="CB486" s="2" t="s">
        <v>1688</v>
      </c>
      <c r="CG486" s="2">
        <v>3000</v>
      </c>
      <c r="CH486" s="2">
        <v>84</v>
      </c>
      <c r="CI486" s="2">
        <v>590</v>
      </c>
      <c r="CJ486" s="2">
        <v>442</v>
      </c>
      <c r="CK486" s="2">
        <v>30000</v>
      </c>
      <c r="CL486" s="2" t="s">
        <v>96</v>
      </c>
      <c r="CM486" s="2" t="s">
        <v>95</v>
      </c>
      <c r="CN486" s="2" t="s">
        <v>2176</v>
      </c>
      <c r="CO486" s="3">
        <v>41243</v>
      </c>
      <c r="CP486" s="3">
        <v>43634</v>
      </c>
    </row>
    <row r="487" spans="1:94" x14ac:dyDescent="0.25">
      <c r="A487" s="2" t="s">
        <v>2294</v>
      </c>
      <c r="B487" s="2" t="str">
        <f xml:space="preserve"> "" &amp; 844349014362</f>
        <v>844349014362</v>
      </c>
      <c r="C487" s="2" t="s">
        <v>1805</v>
      </c>
      <c r="D487" s="2" t="s">
        <v>3679</v>
      </c>
      <c r="E487" s="2" t="s">
        <v>425</v>
      </c>
      <c r="F487" s="2" t="s">
        <v>1429</v>
      </c>
      <c r="G487" s="2">
        <v>1</v>
      </c>
      <c r="H487" s="2">
        <v>1</v>
      </c>
      <c r="I487" s="2" t="s">
        <v>94</v>
      </c>
      <c r="J487" s="6">
        <v>115</v>
      </c>
      <c r="K487" s="6">
        <v>345</v>
      </c>
      <c r="L487" s="2">
        <v>0</v>
      </c>
      <c r="N487" s="2">
        <v>0</v>
      </c>
      <c r="O487" s="2" t="s">
        <v>96</v>
      </c>
      <c r="P487" s="6">
        <v>239.95</v>
      </c>
      <c r="Q487" s="6"/>
      <c r="R487" s="7"/>
      <c r="S487" s="2">
        <v>19.5</v>
      </c>
      <c r="T487" s="2">
        <v>7</v>
      </c>
      <c r="U487" s="2">
        <v>5</v>
      </c>
      <c r="W487" s="2">
        <v>6.33</v>
      </c>
      <c r="X487" s="2">
        <v>1</v>
      </c>
      <c r="Y487" s="2">
        <v>7.25</v>
      </c>
      <c r="Z487" s="2">
        <v>22</v>
      </c>
      <c r="AA487" s="2">
        <v>9.25</v>
      </c>
      <c r="AB487" s="2">
        <v>0.85399999999999998</v>
      </c>
      <c r="AC487" s="2">
        <v>7.8</v>
      </c>
      <c r="AE487" s="2">
        <v>1</v>
      </c>
      <c r="AF487" s="2" t="s">
        <v>2005</v>
      </c>
      <c r="AG487" s="2">
        <v>8</v>
      </c>
      <c r="AK487" s="2" t="s">
        <v>96</v>
      </c>
      <c r="AM487" s="2" t="s">
        <v>95</v>
      </c>
      <c r="AN487" s="2" t="s">
        <v>96</v>
      </c>
      <c r="AO487" s="2" t="s">
        <v>95</v>
      </c>
      <c r="AP487" s="2" t="s">
        <v>97</v>
      </c>
      <c r="AQ487" s="2" t="s">
        <v>98</v>
      </c>
      <c r="AV487" s="2" t="s">
        <v>95</v>
      </c>
      <c r="AX487" s="2" t="s">
        <v>1483</v>
      </c>
      <c r="AZ487" s="2" t="s">
        <v>342</v>
      </c>
      <c r="BB487" s="2" t="s">
        <v>2197</v>
      </c>
      <c r="BC487" s="2" t="s">
        <v>2167</v>
      </c>
      <c r="BF487" s="2" t="s">
        <v>2295</v>
      </c>
      <c r="BG487" s="2" t="s">
        <v>95</v>
      </c>
      <c r="BH487" s="2" t="s">
        <v>95</v>
      </c>
      <c r="BI487" s="2" t="s">
        <v>95</v>
      </c>
      <c r="BK487" s="2" t="s">
        <v>100</v>
      </c>
      <c r="CA487" s="2" t="s">
        <v>2289</v>
      </c>
      <c r="CB487" s="2" t="s">
        <v>1483</v>
      </c>
      <c r="CG487" s="2">
        <v>3000</v>
      </c>
      <c r="CH487" s="2">
        <v>84</v>
      </c>
      <c r="CI487" s="2">
        <v>590</v>
      </c>
      <c r="CJ487" s="2">
        <v>442</v>
      </c>
      <c r="CK487" s="2">
        <v>30000</v>
      </c>
      <c r="CL487" s="2" t="s">
        <v>96</v>
      </c>
      <c r="CM487" s="2" t="s">
        <v>95</v>
      </c>
      <c r="CN487" s="2" t="s">
        <v>2201</v>
      </c>
      <c r="CO487" s="3">
        <v>41243</v>
      </c>
      <c r="CP487" s="3">
        <v>43634</v>
      </c>
    </row>
    <row r="488" spans="1:94" x14ac:dyDescent="0.25">
      <c r="A488" s="2" t="s">
        <v>2296</v>
      </c>
      <c r="B488" s="2" t="str">
        <f xml:space="preserve"> "" &amp; 844349014171</f>
        <v>844349014171</v>
      </c>
      <c r="C488" s="2" t="s">
        <v>2190</v>
      </c>
      <c r="D488" s="2" t="s">
        <v>3678</v>
      </c>
      <c r="E488" s="2" t="s">
        <v>425</v>
      </c>
      <c r="F488" s="2" t="s">
        <v>418</v>
      </c>
      <c r="G488" s="2">
        <v>1</v>
      </c>
      <c r="H488" s="2">
        <v>1</v>
      </c>
      <c r="I488" s="2" t="s">
        <v>94</v>
      </c>
      <c r="J488" s="6">
        <v>99</v>
      </c>
      <c r="K488" s="6">
        <v>297</v>
      </c>
      <c r="L488" s="2">
        <v>0</v>
      </c>
      <c r="N488" s="2">
        <v>0</v>
      </c>
      <c r="O488" s="2" t="s">
        <v>96</v>
      </c>
      <c r="P488" s="6">
        <v>207.95</v>
      </c>
      <c r="Q488" s="6"/>
      <c r="R488" s="7"/>
      <c r="S488" s="2">
        <v>6.25</v>
      </c>
      <c r="T488" s="2">
        <v>22</v>
      </c>
      <c r="U488" s="2">
        <v>14.75</v>
      </c>
      <c r="V488" s="2">
        <v>3.5</v>
      </c>
      <c r="W488" s="2">
        <v>3.17</v>
      </c>
      <c r="X488" s="2">
        <v>1</v>
      </c>
      <c r="Y488" s="2">
        <v>8</v>
      </c>
      <c r="Z488" s="2">
        <v>22</v>
      </c>
      <c r="AA488" s="2">
        <v>4.5</v>
      </c>
      <c r="AB488" s="2">
        <v>0.45800000000000002</v>
      </c>
      <c r="AC488" s="2">
        <v>4.34</v>
      </c>
      <c r="AE488" s="2">
        <v>1</v>
      </c>
      <c r="AF488" s="2" t="s">
        <v>2005</v>
      </c>
      <c r="AG488" s="2">
        <v>8</v>
      </c>
      <c r="AK488" s="2" t="s">
        <v>96</v>
      </c>
      <c r="AM488" s="2" t="s">
        <v>95</v>
      </c>
      <c r="AN488" s="2" t="s">
        <v>96</v>
      </c>
      <c r="AO488" s="2" t="s">
        <v>95</v>
      </c>
      <c r="AP488" s="2" t="s">
        <v>97</v>
      </c>
      <c r="AQ488" s="2" t="s">
        <v>98</v>
      </c>
      <c r="AV488" s="2" t="s">
        <v>95</v>
      </c>
      <c r="AX488" s="2" t="s">
        <v>395</v>
      </c>
      <c r="AZ488" s="2" t="s">
        <v>342</v>
      </c>
      <c r="BB488" s="2" t="s">
        <v>2197</v>
      </c>
      <c r="BC488" s="2" t="s">
        <v>397</v>
      </c>
      <c r="BF488" s="2" t="s">
        <v>2297</v>
      </c>
      <c r="BG488" s="2" t="s">
        <v>95</v>
      </c>
      <c r="BH488" s="2" t="s">
        <v>95</v>
      </c>
      <c r="BI488" s="2" t="s">
        <v>95</v>
      </c>
      <c r="BK488" s="2" t="s">
        <v>100</v>
      </c>
      <c r="BL488" s="2" t="s">
        <v>617</v>
      </c>
      <c r="BR488" s="2">
        <v>6.25</v>
      </c>
      <c r="BT488" s="2">
        <v>5</v>
      </c>
      <c r="CA488" s="2" t="s">
        <v>2298</v>
      </c>
      <c r="CB488" s="2" t="s">
        <v>395</v>
      </c>
      <c r="CG488" s="2">
        <v>3000</v>
      </c>
      <c r="CH488" s="2">
        <v>84</v>
      </c>
      <c r="CI488" s="2">
        <v>590</v>
      </c>
      <c r="CJ488" s="2">
        <v>438.76</v>
      </c>
      <c r="CK488" s="2">
        <v>30000</v>
      </c>
      <c r="CL488" s="2" t="s">
        <v>96</v>
      </c>
      <c r="CM488" s="2" t="s">
        <v>95</v>
      </c>
      <c r="CN488" s="2" t="s">
        <v>2201</v>
      </c>
      <c r="CO488" s="3">
        <v>41246</v>
      </c>
      <c r="CP488" s="3">
        <v>43634</v>
      </c>
    </row>
    <row r="489" spans="1:94" x14ac:dyDescent="0.25">
      <c r="A489" s="2" t="s">
        <v>2299</v>
      </c>
      <c r="B489" s="2" t="str">
        <f xml:space="preserve"> "" &amp; 844349014188</f>
        <v>844349014188</v>
      </c>
      <c r="C489" s="2" t="s">
        <v>2190</v>
      </c>
      <c r="D489" s="2" t="s">
        <v>3678</v>
      </c>
      <c r="E489" s="2" t="s">
        <v>425</v>
      </c>
      <c r="F489" s="2" t="s">
        <v>418</v>
      </c>
      <c r="G489" s="2">
        <v>1</v>
      </c>
      <c r="H489" s="2">
        <v>1</v>
      </c>
      <c r="I489" s="2" t="s">
        <v>94</v>
      </c>
      <c r="J489" s="6">
        <v>99</v>
      </c>
      <c r="K489" s="6">
        <v>297</v>
      </c>
      <c r="L489" s="2">
        <v>0</v>
      </c>
      <c r="N489" s="2">
        <v>0</v>
      </c>
      <c r="O489" s="2" t="s">
        <v>96</v>
      </c>
      <c r="P489" s="6">
        <v>207.95</v>
      </c>
      <c r="Q489" s="6"/>
      <c r="R489" s="7"/>
      <c r="S489" s="2">
        <v>6.25</v>
      </c>
      <c r="T489" s="2">
        <v>22</v>
      </c>
      <c r="U489" s="2">
        <v>14.75</v>
      </c>
      <c r="V489" s="2">
        <v>3.5</v>
      </c>
      <c r="W489" s="2">
        <v>3.17</v>
      </c>
      <c r="X489" s="2">
        <v>1</v>
      </c>
      <c r="Y489" s="2">
        <v>8</v>
      </c>
      <c r="Z489" s="2">
        <v>22</v>
      </c>
      <c r="AA489" s="2">
        <v>4.5</v>
      </c>
      <c r="AB489" s="2">
        <v>0.45800000000000002</v>
      </c>
      <c r="AC489" s="2">
        <v>4.34</v>
      </c>
      <c r="AE489" s="2">
        <v>1</v>
      </c>
      <c r="AF489" s="2" t="s">
        <v>2005</v>
      </c>
      <c r="AG489" s="2">
        <v>8</v>
      </c>
      <c r="AK489" s="2" t="s">
        <v>96</v>
      </c>
      <c r="AM489" s="2" t="s">
        <v>95</v>
      </c>
      <c r="AN489" s="2" t="s">
        <v>96</v>
      </c>
      <c r="AO489" s="2" t="s">
        <v>95</v>
      </c>
      <c r="AP489" s="2" t="s">
        <v>97</v>
      </c>
      <c r="AQ489" s="2" t="s">
        <v>98</v>
      </c>
      <c r="AV489" s="2" t="s">
        <v>95</v>
      </c>
      <c r="AX489" s="2" t="s">
        <v>116</v>
      </c>
      <c r="AZ489" s="2" t="s">
        <v>342</v>
      </c>
      <c r="BB489" s="2" t="s">
        <v>2197</v>
      </c>
      <c r="BC489" s="2" t="s">
        <v>135</v>
      </c>
      <c r="BF489" s="2" t="s">
        <v>2300</v>
      </c>
      <c r="BG489" s="2" t="s">
        <v>95</v>
      </c>
      <c r="BH489" s="2" t="s">
        <v>95</v>
      </c>
      <c r="BI489" s="2" t="s">
        <v>95</v>
      </c>
      <c r="BK489" s="2" t="s">
        <v>100</v>
      </c>
      <c r="BL489" s="2" t="s">
        <v>617</v>
      </c>
      <c r="BR489" s="2">
        <v>6.25</v>
      </c>
      <c r="BT489" s="2">
        <v>5</v>
      </c>
      <c r="CA489" s="2" t="s">
        <v>2298</v>
      </c>
      <c r="CB489" s="2" t="s">
        <v>116</v>
      </c>
      <c r="CG489" s="2">
        <v>3000</v>
      </c>
      <c r="CH489" s="2">
        <v>84</v>
      </c>
      <c r="CI489" s="2">
        <v>590</v>
      </c>
      <c r="CJ489" s="2">
        <v>438.76</v>
      </c>
      <c r="CK489" s="2">
        <v>30000</v>
      </c>
      <c r="CL489" s="2" t="s">
        <v>96</v>
      </c>
      <c r="CM489" s="2" t="s">
        <v>95</v>
      </c>
      <c r="CN489" s="2" t="s">
        <v>2201</v>
      </c>
      <c r="CO489" s="3">
        <v>41246</v>
      </c>
      <c r="CP489" s="3">
        <v>43634</v>
      </c>
    </row>
    <row r="490" spans="1:94" x14ac:dyDescent="0.25">
      <c r="A490" s="2" t="s">
        <v>2301</v>
      </c>
      <c r="B490" s="2" t="str">
        <f xml:space="preserve"> "" &amp; 844349014195</f>
        <v>844349014195</v>
      </c>
      <c r="C490" s="2" t="s">
        <v>2190</v>
      </c>
      <c r="D490" s="2" t="s">
        <v>3678</v>
      </c>
      <c r="E490" s="2" t="s">
        <v>425</v>
      </c>
      <c r="F490" s="2" t="s">
        <v>418</v>
      </c>
      <c r="G490" s="2">
        <v>1</v>
      </c>
      <c r="H490" s="2">
        <v>1</v>
      </c>
      <c r="I490" s="2" t="s">
        <v>94</v>
      </c>
      <c r="J490" s="6">
        <v>99</v>
      </c>
      <c r="K490" s="6">
        <v>297</v>
      </c>
      <c r="L490" s="2">
        <v>0</v>
      </c>
      <c r="N490" s="2">
        <v>0</v>
      </c>
      <c r="O490" s="2" t="s">
        <v>96</v>
      </c>
      <c r="P490" s="6">
        <v>207.95</v>
      </c>
      <c r="Q490" s="6"/>
      <c r="R490" s="7"/>
      <c r="S490" s="2">
        <v>6.25</v>
      </c>
      <c r="T490" s="2">
        <v>22</v>
      </c>
      <c r="U490" s="2">
        <v>14.75</v>
      </c>
      <c r="V490" s="2">
        <v>3.5</v>
      </c>
      <c r="W490" s="2">
        <v>3.17</v>
      </c>
      <c r="X490" s="2">
        <v>1</v>
      </c>
      <c r="Y490" s="2">
        <v>8</v>
      </c>
      <c r="Z490" s="2">
        <v>22</v>
      </c>
      <c r="AA490" s="2">
        <v>4.5</v>
      </c>
      <c r="AB490" s="2">
        <v>0.45800000000000002</v>
      </c>
      <c r="AC490" s="2">
        <v>4.34</v>
      </c>
      <c r="AE490" s="2">
        <v>1</v>
      </c>
      <c r="AF490" s="2" t="s">
        <v>2005</v>
      </c>
      <c r="AG490" s="2">
        <v>8</v>
      </c>
      <c r="AK490" s="2" t="s">
        <v>96</v>
      </c>
      <c r="AM490" s="2" t="s">
        <v>95</v>
      </c>
      <c r="AN490" s="2" t="s">
        <v>96</v>
      </c>
      <c r="AO490" s="2" t="s">
        <v>95</v>
      </c>
      <c r="AP490" s="2" t="s">
        <v>97</v>
      </c>
      <c r="AQ490" s="2" t="s">
        <v>98</v>
      </c>
      <c r="AV490" s="2" t="s">
        <v>95</v>
      </c>
      <c r="AX490" s="2" t="s">
        <v>1688</v>
      </c>
      <c r="AZ490" s="2" t="s">
        <v>342</v>
      </c>
      <c r="BB490" s="2" t="s">
        <v>2197</v>
      </c>
      <c r="BC490" s="2" t="s">
        <v>2198</v>
      </c>
      <c r="BF490" s="2" t="s">
        <v>2302</v>
      </c>
      <c r="BG490" s="2" t="s">
        <v>95</v>
      </c>
      <c r="BH490" s="2" t="s">
        <v>95</v>
      </c>
      <c r="BI490" s="2" t="s">
        <v>95</v>
      </c>
      <c r="BK490" s="2" t="s">
        <v>100</v>
      </c>
      <c r="BL490" s="2" t="s">
        <v>617</v>
      </c>
      <c r="BR490" s="2">
        <v>6.25</v>
      </c>
      <c r="BT490" s="2">
        <v>5</v>
      </c>
      <c r="CA490" s="2" t="s">
        <v>2298</v>
      </c>
      <c r="CB490" s="2" t="s">
        <v>1688</v>
      </c>
      <c r="CG490" s="2">
        <v>3000</v>
      </c>
      <c r="CH490" s="2">
        <v>84</v>
      </c>
      <c r="CI490" s="2">
        <v>590</v>
      </c>
      <c r="CJ490" s="2">
        <v>438.76</v>
      </c>
      <c r="CK490" s="2">
        <v>30000</v>
      </c>
      <c r="CL490" s="2" t="s">
        <v>96</v>
      </c>
      <c r="CM490" s="2" t="s">
        <v>95</v>
      </c>
      <c r="CN490" s="2" t="s">
        <v>2201</v>
      </c>
      <c r="CO490" s="3">
        <v>41246</v>
      </c>
      <c r="CP490" s="3">
        <v>43634</v>
      </c>
    </row>
    <row r="491" spans="1:94" x14ac:dyDescent="0.25">
      <c r="A491" s="2" t="s">
        <v>2303</v>
      </c>
      <c r="B491" s="2" t="str">
        <f xml:space="preserve"> "" &amp; 844349014218</f>
        <v>844349014218</v>
      </c>
      <c r="C491" s="2" t="s">
        <v>2190</v>
      </c>
      <c r="D491" s="2" t="s">
        <v>3678</v>
      </c>
      <c r="E491" s="2" t="s">
        <v>425</v>
      </c>
      <c r="F491" s="2" t="s">
        <v>418</v>
      </c>
      <c r="G491" s="2">
        <v>1</v>
      </c>
      <c r="H491" s="2">
        <v>1</v>
      </c>
      <c r="I491" s="2" t="s">
        <v>94</v>
      </c>
      <c r="J491" s="6">
        <v>99</v>
      </c>
      <c r="K491" s="6">
        <v>297</v>
      </c>
      <c r="L491" s="2">
        <v>0</v>
      </c>
      <c r="N491" s="2">
        <v>0</v>
      </c>
      <c r="O491" s="2" t="s">
        <v>96</v>
      </c>
      <c r="P491" s="6">
        <v>207.95</v>
      </c>
      <c r="Q491" s="6"/>
      <c r="R491" s="7"/>
      <c r="S491" s="2">
        <v>6.25</v>
      </c>
      <c r="T491" s="2">
        <v>22</v>
      </c>
      <c r="U491" s="2">
        <v>14.75</v>
      </c>
      <c r="V491" s="2">
        <v>3.5</v>
      </c>
      <c r="W491" s="2">
        <v>3.17</v>
      </c>
      <c r="X491" s="2">
        <v>1</v>
      </c>
      <c r="Y491" s="2">
        <v>8</v>
      </c>
      <c r="Z491" s="2">
        <v>22</v>
      </c>
      <c r="AA491" s="2">
        <v>4.5</v>
      </c>
      <c r="AB491" s="2">
        <v>0.45800000000000002</v>
      </c>
      <c r="AC491" s="2">
        <v>4.34</v>
      </c>
      <c r="AE491" s="2">
        <v>1</v>
      </c>
      <c r="AF491" s="2" t="s">
        <v>2005</v>
      </c>
      <c r="AG491" s="2">
        <v>8</v>
      </c>
      <c r="AK491" s="2" t="s">
        <v>96</v>
      </c>
      <c r="AM491" s="2" t="s">
        <v>95</v>
      </c>
      <c r="AN491" s="2" t="s">
        <v>96</v>
      </c>
      <c r="AO491" s="2" t="s">
        <v>95</v>
      </c>
      <c r="AP491" s="2" t="s">
        <v>97</v>
      </c>
      <c r="AQ491" s="2" t="s">
        <v>98</v>
      </c>
      <c r="AV491" s="2" t="s">
        <v>95</v>
      </c>
      <c r="AX491" s="2" t="s">
        <v>1483</v>
      </c>
      <c r="AZ491" s="2" t="s">
        <v>342</v>
      </c>
      <c r="BB491" s="2" t="s">
        <v>2164</v>
      </c>
      <c r="BC491" s="2" t="s">
        <v>2167</v>
      </c>
      <c r="BF491" s="2" t="s">
        <v>2304</v>
      </c>
      <c r="BG491" s="2" t="s">
        <v>95</v>
      </c>
      <c r="BH491" s="2" t="s">
        <v>95</v>
      </c>
      <c r="BI491" s="2" t="s">
        <v>95</v>
      </c>
      <c r="BK491" s="2" t="s">
        <v>100</v>
      </c>
      <c r="BR491" s="2">
        <v>6.25</v>
      </c>
      <c r="BT491" s="2">
        <v>5</v>
      </c>
      <c r="CA491" s="2" t="s">
        <v>2305</v>
      </c>
      <c r="CB491" s="2" t="s">
        <v>1483</v>
      </c>
      <c r="CG491" s="2">
        <v>3000</v>
      </c>
      <c r="CH491" s="2">
        <v>84</v>
      </c>
      <c r="CI491" s="2">
        <v>590</v>
      </c>
      <c r="CJ491" s="2">
        <v>438.76</v>
      </c>
      <c r="CK491" s="2">
        <v>30000</v>
      </c>
      <c r="CL491" s="2" t="s">
        <v>96</v>
      </c>
      <c r="CM491" s="2" t="s">
        <v>95</v>
      </c>
      <c r="CN491" s="2" t="s">
        <v>2176</v>
      </c>
      <c r="CO491" s="3">
        <v>41246</v>
      </c>
      <c r="CP491" s="3">
        <v>43634</v>
      </c>
    </row>
    <row r="492" spans="1:94" x14ac:dyDescent="0.25">
      <c r="A492" s="2" t="s">
        <v>2306</v>
      </c>
      <c r="B492" s="2" t="str">
        <f xml:space="preserve"> "" &amp; 844349014287</f>
        <v>844349014287</v>
      </c>
      <c r="C492" s="2" t="s">
        <v>2205</v>
      </c>
      <c r="D492" s="2" t="s">
        <v>3682</v>
      </c>
      <c r="E492" s="2" t="s">
        <v>425</v>
      </c>
      <c r="F492" s="2" t="s">
        <v>418</v>
      </c>
      <c r="G492" s="2">
        <v>1</v>
      </c>
      <c r="H492" s="2">
        <v>1</v>
      </c>
      <c r="I492" s="2" t="s">
        <v>94</v>
      </c>
      <c r="J492" s="6">
        <v>169</v>
      </c>
      <c r="K492" s="6">
        <v>507</v>
      </c>
      <c r="L492" s="2">
        <v>0</v>
      </c>
      <c r="N492" s="2">
        <v>0</v>
      </c>
      <c r="O492" s="2" t="s">
        <v>96</v>
      </c>
      <c r="P492" s="6">
        <v>354.95</v>
      </c>
      <c r="Q492" s="6"/>
      <c r="R492" s="7"/>
      <c r="S492" s="2">
        <v>4.5</v>
      </c>
      <c r="U492" s="2">
        <v>28.5</v>
      </c>
      <c r="V492" s="2">
        <v>3.5</v>
      </c>
      <c r="W492" s="2">
        <v>6.04</v>
      </c>
      <c r="X492" s="2">
        <v>1</v>
      </c>
      <c r="Y492" s="2">
        <v>7</v>
      </c>
      <c r="Z492" s="2">
        <v>29</v>
      </c>
      <c r="AA492" s="2">
        <v>5.75</v>
      </c>
      <c r="AB492" s="2">
        <v>0.67500000000000004</v>
      </c>
      <c r="AC492" s="2">
        <v>7.36</v>
      </c>
      <c r="AE492" s="2">
        <v>2</v>
      </c>
      <c r="AF492" s="2" t="s">
        <v>2005</v>
      </c>
      <c r="AG492" s="2">
        <v>8</v>
      </c>
      <c r="AK492" s="2" t="s">
        <v>96</v>
      </c>
      <c r="AL492" s="2">
        <v>2</v>
      </c>
      <c r="AM492" s="2" t="s">
        <v>95</v>
      </c>
      <c r="AN492" s="2" t="s">
        <v>96</v>
      </c>
      <c r="AO492" s="2" t="s">
        <v>95</v>
      </c>
      <c r="AP492" s="2" t="s">
        <v>97</v>
      </c>
      <c r="AQ492" s="2" t="s">
        <v>98</v>
      </c>
      <c r="AV492" s="2" t="s">
        <v>95</v>
      </c>
      <c r="AX492" s="2" t="s">
        <v>116</v>
      </c>
      <c r="AZ492" s="2" t="s">
        <v>342</v>
      </c>
      <c r="BB492" s="2" t="s">
        <v>2197</v>
      </c>
      <c r="BC492" s="2" t="s">
        <v>135</v>
      </c>
      <c r="BF492" s="2" t="s">
        <v>2307</v>
      </c>
      <c r="BG492" s="2" t="s">
        <v>95</v>
      </c>
      <c r="BH492" s="2" t="s">
        <v>95</v>
      </c>
      <c r="BI492" s="2" t="s">
        <v>95</v>
      </c>
      <c r="BK492" s="2" t="s">
        <v>2200</v>
      </c>
      <c r="BL492" s="2" t="s">
        <v>617</v>
      </c>
      <c r="BR492" s="2">
        <v>4.5</v>
      </c>
      <c r="BT492" s="2">
        <v>18</v>
      </c>
      <c r="CA492" s="2" t="s">
        <v>2308</v>
      </c>
      <c r="CB492" s="2" t="s">
        <v>116</v>
      </c>
      <c r="CG492" s="2">
        <v>3000</v>
      </c>
      <c r="CH492" s="2">
        <v>84</v>
      </c>
      <c r="CI492" s="2">
        <v>1900</v>
      </c>
      <c r="CJ492" s="2">
        <v>859.86</v>
      </c>
      <c r="CK492" s="2">
        <v>30000</v>
      </c>
      <c r="CL492" s="2" t="s">
        <v>96</v>
      </c>
      <c r="CM492" s="2" t="s">
        <v>95</v>
      </c>
      <c r="CN492" s="2" t="s">
        <v>2201</v>
      </c>
      <c r="CO492" s="3">
        <v>41246</v>
      </c>
      <c r="CP492" s="3">
        <v>43634</v>
      </c>
    </row>
    <row r="493" spans="1:94" x14ac:dyDescent="0.25">
      <c r="A493" s="2" t="s">
        <v>2309</v>
      </c>
      <c r="B493" s="2" t="str">
        <f xml:space="preserve"> "" &amp; 844349014317</f>
        <v>844349014317</v>
      </c>
      <c r="C493" s="2" t="s">
        <v>2205</v>
      </c>
      <c r="D493" s="2" t="s">
        <v>3682</v>
      </c>
      <c r="E493" s="2" t="s">
        <v>425</v>
      </c>
      <c r="F493" s="2" t="s">
        <v>418</v>
      </c>
      <c r="G493" s="2">
        <v>1</v>
      </c>
      <c r="H493" s="2">
        <v>1</v>
      </c>
      <c r="I493" s="2" t="s">
        <v>94</v>
      </c>
      <c r="J493" s="6">
        <v>169</v>
      </c>
      <c r="K493" s="6">
        <v>507</v>
      </c>
      <c r="L493" s="2">
        <v>0</v>
      </c>
      <c r="N493" s="2">
        <v>0</v>
      </c>
      <c r="O493" s="2" t="s">
        <v>96</v>
      </c>
      <c r="P493" s="6">
        <v>354.95</v>
      </c>
      <c r="Q493" s="6"/>
      <c r="R493" s="7"/>
      <c r="S493" s="2">
        <v>4.5</v>
      </c>
      <c r="U493" s="2">
        <v>28.5</v>
      </c>
      <c r="V493" s="2">
        <v>3.5</v>
      </c>
      <c r="W493" s="2">
        <v>6.04</v>
      </c>
      <c r="X493" s="2">
        <v>1</v>
      </c>
      <c r="Y493" s="2">
        <v>7</v>
      </c>
      <c r="Z493" s="2">
        <v>29</v>
      </c>
      <c r="AA493" s="2">
        <v>5.75</v>
      </c>
      <c r="AB493" s="2">
        <v>0.67500000000000004</v>
      </c>
      <c r="AC493" s="2">
        <v>7.36</v>
      </c>
      <c r="AE493" s="2">
        <v>2</v>
      </c>
      <c r="AF493" s="2" t="s">
        <v>2005</v>
      </c>
      <c r="AG493" s="2">
        <v>8</v>
      </c>
      <c r="AK493" s="2" t="s">
        <v>96</v>
      </c>
      <c r="AM493" s="2" t="s">
        <v>95</v>
      </c>
      <c r="AN493" s="2" t="s">
        <v>96</v>
      </c>
      <c r="AO493" s="2" t="s">
        <v>95</v>
      </c>
      <c r="AP493" s="2" t="s">
        <v>97</v>
      </c>
      <c r="AQ493" s="2" t="s">
        <v>98</v>
      </c>
      <c r="AR493" s="4">
        <v>41901</v>
      </c>
      <c r="AV493" s="2" t="s">
        <v>95</v>
      </c>
      <c r="AX493" s="2" t="s">
        <v>1483</v>
      </c>
      <c r="AZ493" s="2" t="s">
        <v>342</v>
      </c>
      <c r="BB493" s="2" t="s">
        <v>2197</v>
      </c>
      <c r="BC493" s="2" t="s">
        <v>2167</v>
      </c>
      <c r="BF493" s="2" t="s">
        <v>2310</v>
      </c>
      <c r="BG493" s="2" t="s">
        <v>95</v>
      </c>
      <c r="BH493" s="2" t="s">
        <v>95</v>
      </c>
      <c r="BI493" s="2" t="s">
        <v>95</v>
      </c>
      <c r="BK493" s="2" t="s">
        <v>2200</v>
      </c>
      <c r="BL493" s="2" t="s">
        <v>617</v>
      </c>
      <c r="BR493" s="2">
        <v>4.5</v>
      </c>
      <c r="BT493" s="2">
        <v>18</v>
      </c>
      <c r="CA493" s="2" t="s">
        <v>2308</v>
      </c>
      <c r="CB493" s="2" t="s">
        <v>1483</v>
      </c>
      <c r="CG493" s="2">
        <v>3000</v>
      </c>
      <c r="CH493" s="2">
        <v>84</v>
      </c>
      <c r="CI493" s="2">
        <v>1900</v>
      </c>
      <c r="CJ493" s="2">
        <v>859.86</v>
      </c>
      <c r="CK493" s="2">
        <v>30000</v>
      </c>
      <c r="CL493" s="2" t="s">
        <v>96</v>
      </c>
      <c r="CM493" s="2" t="s">
        <v>95</v>
      </c>
      <c r="CN493" s="2" t="s">
        <v>2201</v>
      </c>
      <c r="CO493" s="3">
        <v>41246</v>
      </c>
      <c r="CP493" s="3">
        <v>43634</v>
      </c>
    </row>
    <row r="494" spans="1:94" x14ac:dyDescent="0.25">
      <c r="A494" s="2" t="s">
        <v>2311</v>
      </c>
      <c r="B494" s="2" t="str">
        <f xml:space="preserve"> "" &amp; 844349018285</f>
        <v>844349018285</v>
      </c>
      <c r="C494" s="2" t="s">
        <v>2156</v>
      </c>
      <c r="D494" s="2" t="s">
        <v>3674</v>
      </c>
      <c r="E494" s="2" t="s">
        <v>425</v>
      </c>
      <c r="F494" s="2" t="s">
        <v>426</v>
      </c>
      <c r="G494" s="2">
        <v>1</v>
      </c>
      <c r="H494" s="2">
        <v>1</v>
      </c>
      <c r="I494" s="2" t="s">
        <v>94</v>
      </c>
      <c r="J494" s="6">
        <v>175</v>
      </c>
      <c r="K494" s="6">
        <v>525</v>
      </c>
      <c r="L494" s="2">
        <v>0</v>
      </c>
      <c r="N494" s="2">
        <v>0</v>
      </c>
      <c r="O494" s="2" t="s">
        <v>96</v>
      </c>
      <c r="P494" s="6">
        <v>367.95</v>
      </c>
      <c r="Q494" s="6"/>
      <c r="R494" s="7"/>
      <c r="S494" s="2">
        <v>50.5</v>
      </c>
      <c r="T494" s="2">
        <v>7.75</v>
      </c>
      <c r="U494" s="2">
        <v>6.5</v>
      </c>
      <c r="W494" s="2">
        <v>12.35</v>
      </c>
      <c r="X494" s="2">
        <v>1</v>
      </c>
      <c r="Y494" s="2">
        <v>9</v>
      </c>
      <c r="Z494" s="2">
        <v>55</v>
      </c>
      <c r="AA494" s="2">
        <v>10.25</v>
      </c>
      <c r="AB494" s="2">
        <v>2.9359999999999999</v>
      </c>
      <c r="AC494" s="2">
        <v>17.97</v>
      </c>
      <c r="AE494" s="2">
        <v>1</v>
      </c>
      <c r="AF494" s="2" t="s">
        <v>2005</v>
      </c>
      <c r="AG494" s="2">
        <v>8</v>
      </c>
      <c r="AK494" s="2" t="s">
        <v>96</v>
      </c>
      <c r="AM494" s="2" t="s">
        <v>95</v>
      </c>
      <c r="AN494" s="2" t="s">
        <v>96</v>
      </c>
      <c r="AO494" s="2" t="s">
        <v>95</v>
      </c>
      <c r="AP494" s="2" t="s">
        <v>97</v>
      </c>
      <c r="AQ494" s="2" t="s">
        <v>98</v>
      </c>
      <c r="AV494" s="2" t="s">
        <v>95</v>
      </c>
      <c r="AX494" s="2" t="s">
        <v>116</v>
      </c>
      <c r="AZ494" s="2" t="s">
        <v>342</v>
      </c>
      <c r="BB494" s="2" t="s">
        <v>910</v>
      </c>
      <c r="BC494" s="2" t="s">
        <v>135</v>
      </c>
      <c r="BF494" s="2" t="s">
        <v>2312</v>
      </c>
      <c r="BG494" s="2" t="s">
        <v>95</v>
      </c>
      <c r="BH494" s="2" t="s">
        <v>95</v>
      </c>
      <c r="BI494" s="2" t="s">
        <v>95</v>
      </c>
      <c r="BK494" s="2" t="s">
        <v>100</v>
      </c>
      <c r="CA494" s="2" t="s">
        <v>2313</v>
      </c>
      <c r="CB494" s="2" t="s">
        <v>116</v>
      </c>
      <c r="CG494" s="2">
        <v>3000</v>
      </c>
      <c r="CH494" s="2">
        <v>82</v>
      </c>
      <c r="CI494" s="2">
        <v>590</v>
      </c>
      <c r="CJ494" s="2">
        <v>463</v>
      </c>
      <c r="CK494" s="2">
        <v>30000</v>
      </c>
      <c r="CL494" s="2" t="s">
        <v>96</v>
      </c>
      <c r="CM494" s="2" t="s">
        <v>95</v>
      </c>
      <c r="CN494" s="2" t="s">
        <v>230</v>
      </c>
      <c r="CO494" s="3">
        <v>42094</v>
      </c>
      <c r="CP494" s="3">
        <v>43634</v>
      </c>
    </row>
    <row r="495" spans="1:94" x14ac:dyDescent="0.25">
      <c r="A495" s="2" t="s">
        <v>2314</v>
      </c>
      <c r="B495" s="2" t="str">
        <f xml:space="preserve"> "" &amp; 844349018292</f>
        <v>844349018292</v>
      </c>
      <c r="C495" s="2" t="s">
        <v>2156</v>
      </c>
      <c r="D495" s="2" t="s">
        <v>3674</v>
      </c>
      <c r="E495" s="2" t="s">
        <v>425</v>
      </c>
      <c r="F495" s="2" t="s">
        <v>426</v>
      </c>
      <c r="G495" s="2">
        <v>1</v>
      </c>
      <c r="H495" s="2">
        <v>1</v>
      </c>
      <c r="I495" s="2" t="s">
        <v>94</v>
      </c>
      <c r="J495" s="6">
        <v>175</v>
      </c>
      <c r="K495" s="6">
        <v>525</v>
      </c>
      <c r="L495" s="2">
        <v>0</v>
      </c>
      <c r="N495" s="2">
        <v>0</v>
      </c>
      <c r="O495" s="2" t="s">
        <v>96</v>
      </c>
      <c r="P495" s="6">
        <v>367.95</v>
      </c>
      <c r="Q495" s="6"/>
      <c r="R495" s="7"/>
      <c r="S495" s="2">
        <v>50.5</v>
      </c>
      <c r="T495" s="2">
        <v>7.75</v>
      </c>
      <c r="U495" s="2">
        <v>6.5</v>
      </c>
      <c r="W495" s="2">
        <v>12.35</v>
      </c>
      <c r="X495" s="2">
        <v>1</v>
      </c>
      <c r="Y495" s="2">
        <v>9</v>
      </c>
      <c r="Z495" s="2">
        <v>55</v>
      </c>
      <c r="AA495" s="2">
        <v>10.25</v>
      </c>
      <c r="AB495" s="2">
        <v>2.9359999999999999</v>
      </c>
      <c r="AC495" s="2">
        <v>17.97</v>
      </c>
      <c r="AE495" s="2">
        <v>1</v>
      </c>
      <c r="AF495" s="2" t="s">
        <v>2005</v>
      </c>
      <c r="AG495" s="2">
        <v>8</v>
      </c>
      <c r="AK495" s="2" t="s">
        <v>96</v>
      </c>
      <c r="AM495" s="2" t="s">
        <v>95</v>
      </c>
      <c r="AN495" s="2" t="s">
        <v>96</v>
      </c>
      <c r="AO495" s="2" t="s">
        <v>95</v>
      </c>
      <c r="AP495" s="2" t="s">
        <v>97</v>
      </c>
      <c r="AQ495" s="2" t="s">
        <v>98</v>
      </c>
      <c r="AV495" s="2" t="s">
        <v>95</v>
      </c>
      <c r="AX495" s="2" t="s">
        <v>1483</v>
      </c>
      <c r="AZ495" s="2" t="s">
        <v>342</v>
      </c>
      <c r="BB495" s="2" t="s">
        <v>910</v>
      </c>
      <c r="BC495" s="2" t="s">
        <v>2167</v>
      </c>
      <c r="BF495" s="2" t="s">
        <v>2315</v>
      </c>
      <c r="BG495" s="2" t="s">
        <v>95</v>
      </c>
      <c r="BH495" s="2" t="s">
        <v>95</v>
      </c>
      <c r="BI495" s="2" t="s">
        <v>95</v>
      </c>
      <c r="BK495" s="2" t="s">
        <v>100</v>
      </c>
      <c r="CA495" s="2" t="s">
        <v>2313</v>
      </c>
      <c r="CB495" s="2" t="s">
        <v>1483</v>
      </c>
      <c r="CG495" s="2">
        <v>3000</v>
      </c>
      <c r="CH495" s="2">
        <v>82</v>
      </c>
      <c r="CI495" s="2">
        <v>590</v>
      </c>
      <c r="CJ495" s="2">
        <v>463</v>
      </c>
      <c r="CK495" s="2">
        <v>30000</v>
      </c>
      <c r="CL495" s="2" t="s">
        <v>96</v>
      </c>
      <c r="CM495" s="2" t="s">
        <v>95</v>
      </c>
      <c r="CN495" s="2" t="s">
        <v>230</v>
      </c>
      <c r="CO495" s="3">
        <v>42094</v>
      </c>
      <c r="CP495" s="3">
        <v>43634</v>
      </c>
    </row>
    <row r="496" spans="1:94" x14ac:dyDescent="0.25">
      <c r="A496" s="2" t="s">
        <v>2316</v>
      </c>
      <c r="B496" s="2" t="str">
        <f xml:space="preserve"> "" &amp; 844349018261</f>
        <v>844349018261</v>
      </c>
      <c r="C496" s="2" t="s">
        <v>1805</v>
      </c>
      <c r="D496" s="2" t="s">
        <v>3679</v>
      </c>
      <c r="E496" s="2" t="s">
        <v>425</v>
      </c>
      <c r="F496" s="2" t="s">
        <v>1429</v>
      </c>
      <c r="G496" s="2">
        <v>1</v>
      </c>
      <c r="H496" s="2">
        <v>1</v>
      </c>
      <c r="I496" s="2" t="s">
        <v>94</v>
      </c>
      <c r="J496" s="6">
        <v>115</v>
      </c>
      <c r="K496" s="6">
        <v>345</v>
      </c>
      <c r="L496" s="2">
        <v>0</v>
      </c>
      <c r="N496" s="2">
        <v>0</v>
      </c>
      <c r="O496" s="2" t="s">
        <v>96</v>
      </c>
      <c r="P496" s="6">
        <v>239.95</v>
      </c>
      <c r="Q496" s="6"/>
      <c r="R496" s="7"/>
      <c r="S496" s="2">
        <v>19.75</v>
      </c>
      <c r="T496" s="2">
        <v>6.25</v>
      </c>
      <c r="U496" s="2">
        <v>5</v>
      </c>
      <c r="W496" s="2">
        <v>3.92</v>
      </c>
      <c r="X496" s="2">
        <v>1</v>
      </c>
      <c r="Y496" s="2">
        <v>7.25</v>
      </c>
      <c r="Z496" s="2">
        <v>22.5</v>
      </c>
      <c r="AA496" s="2">
        <v>8.75</v>
      </c>
      <c r="AB496" s="2">
        <v>0.82599999999999996</v>
      </c>
      <c r="AC496" s="2">
        <v>5.29</v>
      </c>
      <c r="AE496" s="2">
        <v>1</v>
      </c>
      <c r="AF496" s="2" t="s">
        <v>2005</v>
      </c>
      <c r="AG496" s="2">
        <v>8</v>
      </c>
      <c r="AK496" s="2" t="s">
        <v>96</v>
      </c>
      <c r="AM496" s="2" t="s">
        <v>95</v>
      </c>
      <c r="AN496" s="2" t="s">
        <v>96</v>
      </c>
      <c r="AO496" s="2" t="s">
        <v>95</v>
      </c>
      <c r="AP496" s="2" t="s">
        <v>97</v>
      </c>
      <c r="AQ496" s="2" t="s">
        <v>98</v>
      </c>
      <c r="AV496" s="2" t="s">
        <v>95</v>
      </c>
      <c r="AX496" s="2" t="s">
        <v>116</v>
      </c>
      <c r="AZ496" s="2" t="s">
        <v>342</v>
      </c>
      <c r="BB496" s="2" t="s">
        <v>910</v>
      </c>
      <c r="BC496" s="2" t="s">
        <v>135</v>
      </c>
      <c r="BF496" s="2" t="s">
        <v>2317</v>
      </c>
      <c r="BG496" s="2" t="s">
        <v>95</v>
      </c>
      <c r="BH496" s="2" t="s">
        <v>95</v>
      </c>
      <c r="BI496" s="2" t="s">
        <v>95</v>
      </c>
      <c r="BK496" s="2" t="s">
        <v>100</v>
      </c>
      <c r="CA496" s="2" t="s">
        <v>2318</v>
      </c>
      <c r="CB496" s="2" t="s">
        <v>116</v>
      </c>
      <c r="CG496" s="2">
        <v>3000</v>
      </c>
      <c r="CH496" s="2">
        <v>82</v>
      </c>
      <c r="CI496" s="2">
        <v>590</v>
      </c>
      <c r="CJ496" s="2">
        <v>463</v>
      </c>
      <c r="CK496" s="2">
        <v>30000</v>
      </c>
      <c r="CL496" s="2" t="s">
        <v>96</v>
      </c>
      <c r="CM496" s="2" t="s">
        <v>95</v>
      </c>
      <c r="CN496" s="2" t="s">
        <v>230</v>
      </c>
      <c r="CO496" s="3">
        <v>42094</v>
      </c>
      <c r="CP496" s="3">
        <v>43634</v>
      </c>
    </row>
    <row r="497" spans="1:94" x14ac:dyDescent="0.25">
      <c r="A497" s="2" t="s">
        <v>2319</v>
      </c>
      <c r="B497" s="2" t="str">
        <f xml:space="preserve"> "" &amp; 844349018278</f>
        <v>844349018278</v>
      </c>
      <c r="C497" s="2" t="s">
        <v>1805</v>
      </c>
      <c r="D497" s="2" t="s">
        <v>3679</v>
      </c>
      <c r="E497" s="2" t="s">
        <v>425</v>
      </c>
      <c r="F497" s="2" t="s">
        <v>1429</v>
      </c>
      <c r="G497" s="2">
        <v>1</v>
      </c>
      <c r="H497" s="2">
        <v>1</v>
      </c>
      <c r="I497" s="2" t="s">
        <v>94</v>
      </c>
      <c r="J497" s="6">
        <v>115</v>
      </c>
      <c r="K497" s="6">
        <v>345</v>
      </c>
      <c r="L497" s="2">
        <v>0</v>
      </c>
      <c r="N497" s="2">
        <v>0</v>
      </c>
      <c r="O497" s="2" t="s">
        <v>96</v>
      </c>
      <c r="P497" s="6">
        <v>239.95</v>
      </c>
      <c r="Q497" s="6"/>
      <c r="R497" s="7"/>
      <c r="S497" s="2">
        <v>19.75</v>
      </c>
      <c r="T497" s="2">
        <v>6.25</v>
      </c>
      <c r="U497" s="2">
        <v>5</v>
      </c>
      <c r="W497" s="2">
        <v>3.92</v>
      </c>
      <c r="X497" s="2">
        <v>1</v>
      </c>
      <c r="Y497" s="2">
        <v>7.25</v>
      </c>
      <c r="Z497" s="2">
        <v>22.5</v>
      </c>
      <c r="AA497" s="2">
        <v>8.75</v>
      </c>
      <c r="AB497" s="2">
        <v>0.82599999999999996</v>
      </c>
      <c r="AC497" s="2">
        <v>5.29</v>
      </c>
      <c r="AE497" s="2">
        <v>1</v>
      </c>
      <c r="AF497" s="2" t="s">
        <v>2005</v>
      </c>
      <c r="AG497" s="2">
        <v>8</v>
      </c>
      <c r="AK497" s="2" t="s">
        <v>96</v>
      </c>
      <c r="AM497" s="2" t="s">
        <v>95</v>
      </c>
      <c r="AN497" s="2" t="s">
        <v>96</v>
      </c>
      <c r="AO497" s="2" t="s">
        <v>95</v>
      </c>
      <c r="AP497" s="2" t="s">
        <v>97</v>
      </c>
      <c r="AQ497" s="2" t="s">
        <v>98</v>
      </c>
      <c r="AV497" s="2" t="s">
        <v>95</v>
      </c>
      <c r="AX497" s="2" t="s">
        <v>1483</v>
      </c>
      <c r="AZ497" s="2" t="s">
        <v>342</v>
      </c>
      <c r="BB497" s="2" t="s">
        <v>910</v>
      </c>
      <c r="BC497" s="2" t="s">
        <v>2167</v>
      </c>
      <c r="BF497" s="2" t="s">
        <v>2320</v>
      </c>
      <c r="BG497" s="2" t="s">
        <v>95</v>
      </c>
      <c r="BH497" s="2" t="s">
        <v>95</v>
      </c>
      <c r="BI497" s="2" t="s">
        <v>95</v>
      </c>
      <c r="BK497" s="2" t="s">
        <v>100</v>
      </c>
      <c r="CA497" s="2" t="s">
        <v>2318</v>
      </c>
      <c r="CB497" s="2" t="s">
        <v>1483</v>
      </c>
      <c r="CG497" s="2">
        <v>3000</v>
      </c>
      <c r="CH497" s="2">
        <v>82</v>
      </c>
      <c r="CI497" s="2">
        <v>590</v>
      </c>
      <c r="CJ497" s="2">
        <v>463</v>
      </c>
      <c r="CK497" s="2">
        <v>30000</v>
      </c>
      <c r="CL497" s="2" t="s">
        <v>96</v>
      </c>
      <c r="CM497" s="2" t="s">
        <v>95</v>
      </c>
      <c r="CN497" s="2" t="s">
        <v>230</v>
      </c>
      <c r="CO497" s="3">
        <v>42094</v>
      </c>
      <c r="CP497" s="3">
        <v>43634</v>
      </c>
    </row>
    <row r="498" spans="1:94" x14ac:dyDescent="0.25">
      <c r="A498" s="2" t="s">
        <v>2321</v>
      </c>
      <c r="B498" s="2" t="str">
        <f xml:space="preserve"> "" &amp; 844349018308</f>
        <v>844349018308</v>
      </c>
      <c r="C498" s="2" t="s">
        <v>2190</v>
      </c>
      <c r="D498" s="2" t="s">
        <v>3678</v>
      </c>
      <c r="E498" s="2" t="s">
        <v>425</v>
      </c>
      <c r="F498" s="2" t="s">
        <v>418</v>
      </c>
      <c r="G498" s="2">
        <v>1</v>
      </c>
      <c r="H498" s="2">
        <v>1</v>
      </c>
      <c r="I498" s="2" t="s">
        <v>94</v>
      </c>
      <c r="J498" s="6">
        <v>100</v>
      </c>
      <c r="K498" s="6">
        <v>300</v>
      </c>
      <c r="L498" s="2">
        <v>0</v>
      </c>
      <c r="N498" s="2">
        <v>0</v>
      </c>
      <c r="O498" s="2" t="s">
        <v>96</v>
      </c>
      <c r="P498" s="6">
        <v>209.95</v>
      </c>
      <c r="Q498" s="6"/>
      <c r="R498" s="7"/>
      <c r="S498" s="2">
        <v>7</v>
      </c>
      <c r="U498" s="2">
        <v>14</v>
      </c>
      <c r="V498" s="2">
        <v>4</v>
      </c>
      <c r="W498" s="2">
        <v>2.87</v>
      </c>
      <c r="X498" s="2">
        <v>1</v>
      </c>
      <c r="Y498" s="2">
        <v>9.25</v>
      </c>
      <c r="Z498" s="2">
        <v>24.5</v>
      </c>
      <c r="AA498" s="2">
        <v>4.75</v>
      </c>
      <c r="AB498" s="2">
        <v>0.623</v>
      </c>
      <c r="AC498" s="2">
        <v>3.97</v>
      </c>
      <c r="AE498" s="2">
        <v>1</v>
      </c>
      <c r="AF498" s="2" t="s">
        <v>2005</v>
      </c>
      <c r="AG498" s="2">
        <v>8</v>
      </c>
      <c r="AK498" s="2" t="s">
        <v>96</v>
      </c>
      <c r="AM498" s="2" t="s">
        <v>95</v>
      </c>
      <c r="AN498" s="2" t="s">
        <v>96</v>
      </c>
      <c r="AO498" s="2" t="s">
        <v>95</v>
      </c>
      <c r="AP498" s="2" t="s">
        <v>97</v>
      </c>
      <c r="AQ498" s="2" t="s">
        <v>98</v>
      </c>
      <c r="AV498" s="2" t="s">
        <v>95</v>
      </c>
      <c r="AX498" s="2" t="s">
        <v>116</v>
      </c>
      <c r="AZ498" s="2" t="s">
        <v>342</v>
      </c>
      <c r="BB498" s="2" t="s">
        <v>910</v>
      </c>
      <c r="BC498" s="2" t="s">
        <v>135</v>
      </c>
      <c r="BF498" s="2" t="s">
        <v>2322</v>
      </c>
      <c r="BG498" s="2" t="s">
        <v>95</v>
      </c>
      <c r="BH498" s="2" t="s">
        <v>95</v>
      </c>
      <c r="BI498" s="2" t="s">
        <v>95</v>
      </c>
      <c r="BK498" s="2" t="s">
        <v>100</v>
      </c>
      <c r="CA498" s="2" t="s">
        <v>2323</v>
      </c>
      <c r="CB498" s="2" t="s">
        <v>116</v>
      </c>
      <c r="CG498" s="2">
        <v>3000</v>
      </c>
      <c r="CH498" s="2">
        <v>82</v>
      </c>
      <c r="CI498" s="2">
        <v>590</v>
      </c>
      <c r="CJ498" s="2">
        <v>463</v>
      </c>
      <c r="CK498" s="2">
        <v>30000</v>
      </c>
      <c r="CL498" s="2" t="s">
        <v>96</v>
      </c>
      <c r="CM498" s="2" t="s">
        <v>95</v>
      </c>
      <c r="CN498" s="2" t="s">
        <v>230</v>
      </c>
      <c r="CO498" s="3">
        <v>42090</v>
      </c>
      <c r="CP498" s="3">
        <v>43634</v>
      </c>
    </row>
    <row r="499" spans="1:94" x14ac:dyDescent="0.25">
      <c r="A499" s="2" t="s">
        <v>2324</v>
      </c>
      <c r="B499" s="2" t="str">
        <f xml:space="preserve"> "" &amp; 844349018315</f>
        <v>844349018315</v>
      </c>
      <c r="C499" s="2" t="s">
        <v>2190</v>
      </c>
      <c r="D499" s="2" t="s">
        <v>3678</v>
      </c>
      <c r="E499" s="2" t="s">
        <v>425</v>
      </c>
      <c r="F499" s="2" t="s">
        <v>418</v>
      </c>
      <c r="G499" s="2">
        <v>1</v>
      </c>
      <c r="H499" s="2">
        <v>1</v>
      </c>
      <c r="I499" s="2" t="s">
        <v>94</v>
      </c>
      <c r="J499" s="6">
        <v>100</v>
      </c>
      <c r="K499" s="6">
        <v>300</v>
      </c>
      <c r="L499" s="2">
        <v>0</v>
      </c>
      <c r="N499" s="2">
        <v>0</v>
      </c>
      <c r="O499" s="2" t="s">
        <v>96</v>
      </c>
      <c r="P499" s="6">
        <v>209.95</v>
      </c>
      <c r="Q499" s="6"/>
      <c r="R499" s="7"/>
      <c r="S499" s="2">
        <v>7</v>
      </c>
      <c r="U499" s="2">
        <v>14</v>
      </c>
      <c r="V499" s="2">
        <v>4</v>
      </c>
      <c r="W499" s="2">
        <v>2.87</v>
      </c>
      <c r="X499" s="2">
        <v>1</v>
      </c>
      <c r="Y499" s="2">
        <v>9.25</v>
      </c>
      <c r="Z499" s="2">
        <v>24.5</v>
      </c>
      <c r="AA499" s="2">
        <v>4.75</v>
      </c>
      <c r="AB499" s="2">
        <v>0.623</v>
      </c>
      <c r="AC499" s="2">
        <v>3.97</v>
      </c>
      <c r="AE499" s="2">
        <v>1</v>
      </c>
      <c r="AF499" s="2" t="s">
        <v>2005</v>
      </c>
      <c r="AG499" s="2">
        <v>8</v>
      </c>
      <c r="AK499" s="2" t="s">
        <v>96</v>
      </c>
      <c r="AM499" s="2" t="s">
        <v>95</v>
      </c>
      <c r="AN499" s="2" t="s">
        <v>96</v>
      </c>
      <c r="AO499" s="2" t="s">
        <v>95</v>
      </c>
      <c r="AP499" s="2" t="s">
        <v>97</v>
      </c>
      <c r="AQ499" s="2" t="s">
        <v>98</v>
      </c>
      <c r="AV499" s="2" t="s">
        <v>95</v>
      </c>
      <c r="AX499" s="2" t="s">
        <v>1483</v>
      </c>
      <c r="AZ499" s="2" t="s">
        <v>342</v>
      </c>
      <c r="BB499" s="2" t="s">
        <v>910</v>
      </c>
      <c r="BC499" s="2" t="s">
        <v>2167</v>
      </c>
      <c r="BF499" s="2" t="s">
        <v>2325</v>
      </c>
      <c r="BG499" s="2" t="s">
        <v>95</v>
      </c>
      <c r="BH499" s="2" t="s">
        <v>95</v>
      </c>
      <c r="BI499" s="2" t="s">
        <v>95</v>
      </c>
      <c r="BK499" s="2" t="s">
        <v>100</v>
      </c>
      <c r="CA499" s="2" t="s">
        <v>2323</v>
      </c>
      <c r="CB499" s="2" t="s">
        <v>1483</v>
      </c>
      <c r="CG499" s="2">
        <v>3000</v>
      </c>
      <c r="CH499" s="2">
        <v>82</v>
      </c>
      <c r="CI499" s="2">
        <v>590</v>
      </c>
      <c r="CJ499" s="2">
        <v>463</v>
      </c>
      <c r="CK499" s="2">
        <v>30000</v>
      </c>
      <c r="CL499" s="2" t="s">
        <v>96</v>
      </c>
      <c r="CM499" s="2" t="s">
        <v>95</v>
      </c>
      <c r="CN499" s="2" t="s">
        <v>230</v>
      </c>
      <c r="CO499" s="3">
        <v>42090</v>
      </c>
      <c r="CP499" s="3">
        <v>43634</v>
      </c>
    </row>
    <row r="500" spans="1:94" x14ac:dyDescent="0.25">
      <c r="A500" s="2" t="s">
        <v>2326</v>
      </c>
      <c r="B500" s="2" t="str">
        <f xml:space="preserve"> "" &amp; 844349002772</f>
        <v>844349002772</v>
      </c>
      <c r="C500" s="2" t="s">
        <v>2327</v>
      </c>
      <c r="D500" s="2" t="s">
        <v>3669</v>
      </c>
      <c r="E500" s="2" t="s">
        <v>2328</v>
      </c>
      <c r="F500" s="2" t="s">
        <v>418</v>
      </c>
      <c r="G500" s="2">
        <v>1</v>
      </c>
      <c r="H500" s="2">
        <v>1</v>
      </c>
      <c r="I500" s="2" t="s">
        <v>94</v>
      </c>
      <c r="J500" s="6">
        <v>114</v>
      </c>
      <c r="K500" s="6">
        <v>342</v>
      </c>
      <c r="L500" s="2">
        <v>0</v>
      </c>
      <c r="N500" s="2">
        <v>0</v>
      </c>
      <c r="O500" s="2" t="s">
        <v>96</v>
      </c>
      <c r="P500" s="6">
        <v>239.95</v>
      </c>
      <c r="Q500" s="6"/>
      <c r="R500" s="7"/>
      <c r="S500" s="2">
        <v>13</v>
      </c>
      <c r="U500" s="2">
        <v>14.75</v>
      </c>
      <c r="V500" s="2">
        <v>14.75</v>
      </c>
      <c r="W500" s="2">
        <v>5.69</v>
      </c>
      <c r="X500" s="2">
        <v>1</v>
      </c>
      <c r="Y500" s="2">
        <v>11.25</v>
      </c>
      <c r="Z500" s="2">
        <v>17</v>
      </c>
      <c r="AA500" s="2">
        <v>17</v>
      </c>
      <c r="AB500" s="2">
        <v>1.8819999999999999</v>
      </c>
      <c r="AC500" s="2">
        <v>10.52</v>
      </c>
      <c r="AE500" s="2">
        <v>1</v>
      </c>
      <c r="AF500" s="2" t="s">
        <v>2329</v>
      </c>
      <c r="AG500" s="2">
        <v>10</v>
      </c>
      <c r="AH500" s="2">
        <v>0</v>
      </c>
      <c r="AJ500" s="2">
        <v>0</v>
      </c>
      <c r="AK500" s="2" t="s">
        <v>96</v>
      </c>
      <c r="AL500" s="2">
        <v>1</v>
      </c>
      <c r="AM500" s="2" t="s">
        <v>95</v>
      </c>
      <c r="AN500" s="2" t="s">
        <v>96</v>
      </c>
      <c r="AO500" s="2" t="s">
        <v>95</v>
      </c>
      <c r="AP500" s="2" t="s">
        <v>97</v>
      </c>
      <c r="AQ500" s="2" t="s">
        <v>98</v>
      </c>
      <c r="AV500" s="2" t="s">
        <v>95</v>
      </c>
      <c r="AX500" s="2" t="s">
        <v>395</v>
      </c>
      <c r="AZ500" s="2" t="s">
        <v>342</v>
      </c>
      <c r="BB500" s="2" t="s">
        <v>2330</v>
      </c>
      <c r="BC500" s="2" t="s">
        <v>2331</v>
      </c>
      <c r="BF500" s="2" t="s">
        <v>2332</v>
      </c>
      <c r="BG500" s="2" t="s">
        <v>95</v>
      </c>
      <c r="BH500" s="2" t="s">
        <v>95</v>
      </c>
      <c r="BI500" s="2" t="s">
        <v>95</v>
      </c>
      <c r="BK500" s="2" t="s">
        <v>100</v>
      </c>
      <c r="BL500" s="2" t="s">
        <v>476</v>
      </c>
      <c r="BM500" s="2">
        <v>4.5</v>
      </c>
      <c r="BN500" s="2">
        <v>6</v>
      </c>
      <c r="CA500" s="2" t="s">
        <v>2333</v>
      </c>
      <c r="CB500" s="2" t="s">
        <v>395</v>
      </c>
      <c r="CL500" s="2" t="s">
        <v>95</v>
      </c>
      <c r="CM500" s="2" t="s">
        <v>95</v>
      </c>
      <c r="CN500" s="2" t="s">
        <v>230</v>
      </c>
      <c r="CO500" s="3">
        <v>40323</v>
      </c>
      <c r="CP500" s="3">
        <v>43634</v>
      </c>
    </row>
    <row r="501" spans="1:94" x14ac:dyDescent="0.25">
      <c r="A501" s="2" t="s">
        <v>2334</v>
      </c>
      <c r="B501" s="2" t="str">
        <f xml:space="preserve"> "" &amp; 870540001771</f>
        <v>870540001771</v>
      </c>
      <c r="C501" s="2" t="s">
        <v>2327</v>
      </c>
      <c r="D501" s="2" t="s">
        <v>3669</v>
      </c>
      <c r="E501" s="2" t="s">
        <v>2328</v>
      </c>
      <c r="F501" s="2" t="s">
        <v>418</v>
      </c>
      <c r="G501" s="2">
        <v>1</v>
      </c>
      <c r="H501" s="2">
        <v>1</v>
      </c>
      <c r="I501" s="2" t="s">
        <v>94</v>
      </c>
      <c r="J501" s="6">
        <v>114</v>
      </c>
      <c r="K501" s="6">
        <v>342</v>
      </c>
      <c r="L501" s="2">
        <v>0</v>
      </c>
      <c r="N501" s="2">
        <v>0</v>
      </c>
      <c r="O501" s="2" t="s">
        <v>96</v>
      </c>
      <c r="P501" s="6">
        <v>239.95</v>
      </c>
      <c r="Q501" s="6"/>
      <c r="R501" s="7"/>
      <c r="S501" s="2">
        <v>13</v>
      </c>
      <c r="U501" s="2">
        <v>14.75</v>
      </c>
      <c r="V501" s="2">
        <v>14.75</v>
      </c>
      <c r="W501" s="2">
        <v>5.69</v>
      </c>
      <c r="X501" s="2">
        <v>1</v>
      </c>
      <c r="Y501" s="2">
        <v>11.25</v>
      </c>
      <c r="Z501" s="2">
        <v>17</v>
      </c>
      <c r="AA501" s="2">
        <v>17</v>
      </c>
      <c r="AB501" s="2">
        <v>1.8819999999999999</v>
      </c>
      <c r="AC501" s="2">
        <v>10.52</v>
      </c>
      <c r="AE501" s="2">
        <v>1</v>
      </c>
      <c r="AF501" s="2" t="s">
        <v>1430</v>
      </c>
      <c r="AG501" s="2">
        <v>10</v>
      </c>
      <c r="AK501" s="2" t="s">
        <v>96</v>
      </c>
      <c r="AL501" s="2">
        <v>1</v>
      </c>
      <c r="AM501" s="2" t="s">
        <v>95</v>
      </c>
      <c r="AN501" s="2" t="s">
        <v>96</v>
      </c>
      <c r="AO501" s="2" t="s">
        <v>95</v>
      </c>
      <c r="AP501" s="2" t="s">
        <v>97</v>
      </c>
      <c r="AQ501" s="2" t="s">
        <v>98</v>
      </c>
      <c r="AV501" s="2" t="s">
        <v>95</v>
      </c>
      <c r="AX501" s="2" t="s">
        <v>2335</v>
      </c>
      <c r="AZ501" s="2" t="s">
        <v>342</v>
      </c>
      <c r="BB501" s="2" t="s">
        <v>490</v>
      </c>
      <c r="BC501" s="2" t="s">
        <v>2331</v>
      </c>
      <c r="BF501" s="2" t="s">
        <v>2336</v>
      </c>
      <c r="BG501" s="2" t="s">
        <v>95</v>
      </c>
      <c r="BH501" s="2" t="s">
        <v>95</v>
      </c>
      <c r="BI501" s="2" t="s">
        <v>95</v>
      </c>
      <c r="BK501" s="2" t="s">
        <v>100</v>
      </c>
      <c r="BL501" s="2" t="s">
        <v>476</v>
      </c>
      <c r="BM501" s="2">
        <v>4.5</v>
      </c>
      <c r="BN501" s="2">
        <v>6</v>
      </c>
      <c r="CA501" s="2" t="s">
        <v>2333</v>
      </c>
      <c r="CB501" s="2" t="s">
        <v>2335</v>
      </c>
      <c r="CG501" s="2">
        <v>3000</v>
      </c>
      <c r="CK501" s="2">
        <v>25000</v>
      </c>
      <c r="CL501" s="2" t="s">
        <v>96</v>
      </c>
      <c r="CM501" s="2" t="s">
        <v>95</v>
      </c>
      <c r="CN501" s="2" t="s">
        <v>230</v>
      </c>
      <c r="CO501" s="3">
        <v>39767</v>
      </c>
      <c r="CP501" s="3">
        <v>43634</v>
      </c>
    </row>
    <row r="502" spans="1:94" x14ac:dyDescent="0.25">
      <c r="A502" s="2" t="s">
        <v>2337</v>
      </c>
      <c r="B502" s="2" t="str">
        <f xml:space="preserve"> "" &amp; 844349029014</f>
        <v>844349029014</v>
      </c>
      <c r="C502" s="2" t="s">
        <v>2338</v>
      </c>
      <c r="D502" s="2" t="s">
        <v>3653</v>
      </c>
      <c r="E502" s="2" t="s">
        <v>2339</v>
      </c>
      <c r="F502" s="2" t="s">
        <v>418</v>
      </c>
      <c r="G502" s="2">
        <v>1</v>
      </c>
      <c r="H502" s="2">
        <v>1</v>
      </c>
      <c r="I502" s="2" t="s">
        <v>94</v>
      </c>
      <c r="J502" s="6">
        <v>108</v>
      </c>
      <c r="K502" s="6">
        <v>324</v>
      </c>
      <c r="L502" s="2">
        <v>0</v>
      </c>
      <c r="N502" s="2">
        <v>0</v>
      </c>
      <c r="O502" s="2" t="s">
        <v>96</v>
      </c>
      <c r="P502" s="6">
        <v>226.95</v>
      </c>
      <c r="Q502" s="6"/>
      <c r="R502" s="7"/>
      <c r="S502" s="2">
        <v>9</v>
      </c>
      <c r="U502" s="2">
        <v>18.75</v>
      </c>
      <c r="V502" s="2">
        <v>9</v>
      </c>
      <c r="W502" s="2">
        <v>4.9400000000000004</v>
      </c>
      <c r="X502" s="2">
        <v>1</v>
      </c>
      <c r="Y502" s="2">
        <v>20.63</v>
      </c>
      <c r="Z502" s="2">
        <v>18</v>
      </c>
      <c r="AA502" s="2">
        <v>4.5</v>
      </c>
      <c r="AB502" s="2">
        <v>0.96699999999999997</v>
      </c>
      <c r="AC502" s="2">
        <v>6.94</v>
      </c>
      <c r="AE502" s="2">
        <v>2</v>
      </c>
      <c r="AF502" s="2" t="s">
        <v>2340</v>
      </c>
      <c r="AG502" s="2">
        <v>6</v>
      </c>
      <c r="AK502" s="2" t="s">
        <v>95</v>
      </c>
      <c r="AL502" s="2">
        <v>2</v>
      </c>
      <c r="AM502" s="2" t="s">
        <v>96</v>
      </c>
      <c r="AN502" s="2" t="s">
        <v>95</v>
      </c>
      <c r="AO502" s="2" t="s">
        <v>95</v>
      </c>
      <c r="AP502" s="2" t="s">
        <v>97</v>
      </c>
      <c r="AQ502" s="2" t="s">
        <v>98</v>
      </c>
      <c r="AV502" s="2" t="s">
        <v>95</v>
      </c>
      <c r="AX502" s="2" t="s">
        <v>116</v>
      </c>
      <c r="AZ502" s="2" t="s">
        <v>483</v>
      </c>
      <c r="BF502" s="2" t="s">
        <v>2341</v>
      </c>
      <c r="BG502" s="2" t="s">
        <v>95</v>
      </c>
      <c r="BH502" s="2" t="s">
        <v>95</v>
      </c>
      <c r="BI502" s="2" t="s">
        <v>95</v>
      </c>
      <c r="BK502" s="2" t="s">
        <v>100</v>
      </c>
      <c r="BL502" s="2" t="s">
        <v>617</v>
      </c>
      <c r="BM502" s="2">
        <v>4.5</v>
      </c>
      <c r="BN502" s="2">
        <v>1.18</v>
      </c>
      <c r="BP502" s="2">
        <v>15.75</v>
      </c>
      <c r="CB502" s="2" t="s">
        <v>116</v>
      </c>
      <c r="CG502" s="2">
        <v>2700</v>
      </c>
      <c r="CL502" s="2" t="s">
        <v>96</v>
      </c>
      <c r="CM502" s="2" t="s">
        <v>95</v>
      </c>
      <c r="CN502" s="2" t="s">
        <v>230</v>
      </c>
      <c r="CO502" s="3">
        <v>43623</v>
      </c>
      <c r="CP502" s="3">
        <v>43623</v>
      </c>
    </row>
    <row r="503" spans="1:94" x14ac:dyDescent="0.25">
      <c r="A503" s="2" t="s">
        <v>2342</v>
      </c>
      <c r="B503" s="2" t="str">
        <f xml:space="preserve"> "" &amp; 844349029038</f>
        <v>844349029038</v>
      </c>
      <c r="C503" s="2" t="s">
        <v>2343</v>
      </c>
      <c r="D503" s="2" t="s">
        <v>3654</v>
      </c>
      <c r="E503" s="2" t="s">
        <v>2339</v>
      </c>
      <c r="F503" s="2" t="s">
        <v>418</v>
      </c>
      <c r="G503" s="2">
        <v>1</v>
      </c>
      <c r="H503" s="2">
        <v>1</v>
      </c>
      <c r="I503" s="2" t="s">
        <v>94</v>
      </c>
      <c r="J503" s="6">
        <v>69</v>
      </c>
      <c r="K503" s="6">
        <v>207</v>
      </c>
      <c r="L503" s="2">
        <v>0</v>
      </c>
      <c r="N503" s="2">
        <v>0</v>
      </c>
      <c r="O503" s="2" t="s">
        <v>96</v>
      </c>
      <c r="P503" s="6">
        <v>144.94999999999999</v>
      </c>
      <c r="Q503" s="6"/>
      <c r="R503" s="7"/>
      <c r="S503" s="2">
        <v>18.75</v>
      </c>
      <c r="U503" s="2">
        <v>4.5</v>
      </c>
      <c r="V503" s="2">
        <v>9</v>
      </c>
      <c r="W503" s="2">
        <v>2.36</v>
      </c>
      <c r="X503" s="2">
        <v>1</v>
      </c>
      <c r="Y503" s="2">
        <v>21.65</v>
      </c>
      <c r="Z503" s="2">
        <v>16.57</v>
      </c>
      <c r="AA503" s="2">
        <v>15.39</v>
      </c>
      <c r="AB503" s="2">
        <v>3.1949999999999998</v>
      </c>
      <c r="AC503" s="2">
        <v>3.09</v>
      </c>
      <c r="AE503" s="2">
        <v>1</v>
      </c>
      <c r="AF503" s="2" t="s">
        <v>2344</v>
      </c>
      <c r="AG503" s="2">
        <v>6</v>
      </c>
      <c r="AK503" s="2" t="s">
        <v>95</v>
      </c>
      <c r="AL503" s="2">
        <v>1</v>
      </c>
      <c r="AM503" s="2" t="s">
        <v>96</v>
      </c>
      <c r="AN503" s="2" t="s">
        <v>95</v>
      </c>
      <c r="AO503" s="2" t="s">
        <v>95</v>
      </c>
      <c r="AP503" s="2" t="s">
        <v>97</v>
      </c>
      <c r="AQ503" s="2" t="s">
        <v>98</v>
      </c>
      <c r="AV503" s="2" t="s">
        <v>95</v>
      </c>
      <c r="AX503" s="2" t="s">
        <v>116</v>
      </c>
      <c r="AZ503" s="2" t="s">
        <v>483</v>
      </c>
      <c r="BF503" s="2" t="s">
        <v>2345</v>
      </c>
      <c r="BG503" s="2" t="s">
        <v>95</v>
      </c>
      <c r="BH503" s="2" t="s">
        <v>95</v>
      </c>
      <c r="BI503" s="2" t="s">
        <v>95</v>
      </c>
      <c r="BK503" s="2" t="s">
        <v>100</v>
      </c>
      <c r="BL503" s="2" t="s">
        <v>617</v>
      </c>
      <c r="BM503" s="2">
        <v>4.5</v>
      </c>
      <c r="BN503" s="2">
        <v>1.18</v>
      </c>
      <c r="BP503" s="2">
        <v>4.5</v>
      </c>
      <c r="CB503" s="2" t="s">
        <v>116</v>
      </c>
      <c r="CG503" s="2">
        <v>2700</v>
      </c>
      <c r="CL503" s="2" t="s">
        <v>96</v>
      </c>
      <c r="CM503" s="2" t="s">
        <v>95</v>
      </c>
      <c r="CN503" s="2" t="s">
        <v>230</v>
      </c>
      <c r="CO503" s="3">
        <v>43623</v>
      </c>
      <c r="CP503" s="3">
        <v>43623</v>
      </c>
    </row>
    <row r="504" spans="1:94" x14ac:dyDescent="0.25">
      <c r="A504" s="2" t="s">
        <v>2346</v>
      </c>
      <c r="B504" s="2" t="str">
        <f xml:space="preserve"> "" &amp; 844349029021</f>
        <v>844349029021</v>
      </c>
      <c r="C504" s="2" t="s">
        <v>2343</v>
      </c>
      <c r="D504" s="2" t="s">
        <v>3654</v>
      </c>
      <c r="E504" s="2" t="s">
        <v>2339</v>
      </c>
      <c r="F504" s="2" t="s">
        <v>418</v>
      </c>
      <c r="G504" s="2">
        <v>1</v>
      </c>
      <c r="H504" s="2">
        <v>1</v>
      </c>
      <c r="I504" s="2" t="s">
        <v>94</v>
      </c>
      <c r="J504" s="6">
        <v>69</v>
      </c>
      <c r="K504" s="6">
        <v>207</v>
      </c>
      <c r="L504" s="2">
        <v>0</v>
      </c>
      <c r="N504" s="2">
        <v>0</v>
      </c>
      <c r="O504" s="2" t="s">
        <v>96</v>
      </c>
      <c r="P504" s="6">
        <v>144.94999999999999</v>
      </c>
      <c r="Q504" s="6"/>
      <c r="R504" s="7"/>
      <c r="S504" s="2">
        <v>18.75</v>
      </c>
      <c r="U504" s="2">
        <v>4.5</v>
      </c>
      <c r="V504" s="2">
        <v>9</v>
      </c>
      <c r="W504" s="2">
        <v>2.36</v>
      </c>
      <c r="X504" s="2">
        <v>1</v>
      </c>
      <c r="Y504" s="2">
        <v>21.652999999999999</v>
      </c>
      <c r="Z504" s="2">
        <v>16.535</v>
      </c>
      <c r="AA504" s="2">
        <v>15.353999999999999</v>
      </c>
      <c r="AB504" s="2">
        <v>3.181</v>
      </c>
      <c r="AC504" s="2">
        <v>3.09</v>
      </c>
      <c r="AE504" s="2">
        <v>1</v>
      </c>
      <c r="AF504" s="2" t="s">
        <v>2347</v>
      </c>
      <c r="AK504" s="2" t="s">
        <v>95</v>
      </c>
      <c r="AL504" s="2">
        <v>1</v>
      </c>
      <c r="AM504" s="2" t="s">
        <v>96</v>
      </c>
      <c r="AN504" s="2" t="s">
        <v>95</v>
      </c>
      <c r="AO504" s="2" t="s">
        <v>95</v>
      </c>
      <c r="AP504" s="2" t="s">
        <v>97</v>
      </c>
      <c r="AQ504" s="2" t="s">
        <v>98</v>
      </c>
      <c r="AV504" s="2" t="s">
        <v>95</v>
      </c>
      <c r="AX504" s="2" t="s">
        <v>120</v>
      </c>
      <c r="AZ504" s="2" t="s">
        <v>483</v>
      </c>
      <c r="BF504" s="2" t="s">
        <v>2348</v>
      </c>
      <c r="BG504" s="2" t="s">
        <v>95</v>
      </c>
      <c r="BH504" s="2" t="s">
        <v>95</v>
      </c>
      <c r="BI504" s="2" t="s">
        <v>95</v>
      </c>
      <c r="BK504" s="2" t="s">
        <v>100</v>
      </c>
      <c r="BL504" s="2" t="s">
        <v>617</v>
      </c>
      <c r="BM504" s="2">
        <v>4.5</v>
      </c>
      <c r="BN504" s="2">
        <v>1.18</v>
      </c>
      <c r="BP504" s="2">
        <v>4.5</v>
      </c>
      <c r="CB504" s="2" t="s">
        <v>120</v>
      </c>
      <c r="CG504" s="2">
        <v>2700</v>
      </c>
      <c r="CL504" s="2" t="s">
        <v>96</v>
      </c>
      <c r="CM504" s="2" t="s">
        <v>95</v>
      </c>
      <c r="CN504" s="2" t="s">
        <v>230</v>
      </c>
      <c r="CO504" s="3">
        <v>43623</v>
      </c>
      <c r="CP504" s="3">
        <v>43623</v>
      </c>
    </row>
    <row r="505" spans="1:94" x14ac:dyDescent="0.25">
      <c r="A505" s="2" t="s">
        <v>2349</v>
      </c>
      <c r="B505" s="2" t="str">
        <f xml:space="preserve"> "" &amp; 844349028994</f>
        <v>844349028994</v>
      </c>
      <c r="C505" s="2" t="s">
        <v>2338</v>
      </c>
      <c r="D505" s="2" t="s">
        <v>3655</v>
      </c>
      <c r="E505" s="2" t="s">
        <v>2339</v>
      </c>
      <c r="F505" s="2" t="s">
        <v>418</v>
      </c>
      <c r="G505" s="2">
        <v>1</v>
      </c>
      <c r="H505" s="2">
        <v>1</v>
      </c>
      <c r="I505" s="2" t="s">
        <v>94</v>
      </c>
      <c r="J505" s="6">
        <v>79</v>
      </c>
      <c r="K505" s="6">
        <v>237</v>
      </c>
      <c r="L505" s="2">
        <v>0</v>
      </c>
      <c r="N505" s="2">
        <v>0</v>
      </c>
      <c r="O505" s="2" t="s">
        <v>96</v>
      </c>
      <c r="P505" s="6">
        <v>165.95</v>
      </c>
      <c r="Q505" s="6"/>
      <c r="R505" s="7"/>
      <c r="S505" s="2">
        <v>4.75</v>
      </c>
      <c r="U505" s="2">
        <v>24.25</v>
      </c>
      <c r="V505" s="2">
        <v>12</v>
      </c>
      <c r="W505" s="2">
        <v>3.15</v>
      </c>
      <c r="X505" s="2">
        <v>1</v>
      </c>
      <c r="Y505" s="2">
        <v>25.98</v>
      </c>
      <c r="Z505" s="2">
        <v>8.86</v>
      </c>
      <c r="AA505" s="2">
        <v>7.48</v>
      </c>
      <c r="AB505" s="2">
        <v>0.996</v>
      </c>
      <c r="AC505" s="2">
        <v>4.63</v>
      </c>
      <c r="AE505" s="2">
        <v>2</v>
      </c>
      <c r="AF505" s="2" t="s">
        <v>2350</v>
      </c>
      <c r="AG505" s="2">
        <v>6</v>
      </c>
      <c r="AK505" s="2" t="s">
        <v>95</v>
      </c>
      <c r="AL505" s="2">
        <v>2</v>
      </c>
      <c r="AM505" s="2" t="s">
        <v>96</v>
      </c>
      <c r="AN505" s="2" t="s">
        <v>95</v>
      </c>
      <c r="AO505" s="2" t="s">
        <v>95</v>
      </c>
      <c r="AP505" s="2" t="s">
        <v>97</v>
      </c>
      <c r="AQ505" s="2" t="s">
        <v>98</v>
      </c>
      <c r="AV505" s="2" t="s">
        <v>95</v>
      </c>
      <c r="AX505" s="2" t="s">
        <v>116</v>
      </c>
      <c r="AZ505" s="2" t="s">
        <v>483</v>
      </c>
      <c r="BF505" s="2" t="s">
        <v>2351</v>
      </c>
      <c r="BG505" s="2" t="s">
        <v>95</v>
      </c>
      <c r="BH505" s="2" t="s">
        <v>95</v>
      </c>
      <c r="BI505" s="2" t="s">
        <v>95</v>
      </c>
      <c r="BK505" s="2" t="s">
        <v>100</v>
      </c>
      <c r="BL505" s="2" t="s">
        <v>476</v>
      </c>
      <c r="BM505" s="2">
        <v>4.75</v>
      </c>
      <c r="BN505" s="2">
        <v>1</v>
      </c>
      <c r="BP505" s="2">
        <v>4.75</v>
      </c>
      <c r="CB505" s="2" t="s">
        <v>116</v>
      </c>
      <c r="CG505" s="2">
        <v>3000</v>
      </c>
      <c r="CL505" s="2" t="s">
        <v>96</v>
      </c>
      <c r="CM505" s="2" t="s">
        <v>95</v>
      </c>
      <c r="CN505" s="2" t="s">
        <v>230</v>
      </c>
      <c r="CO505" s="3">
        <v>43623</v>
      </c>
      <c r="CP505" s="3">
        <v>43623</v>
      </c>
    </row>
    <row r="506" spans="1:94" x14ac:dyDescent="0.25">
      <c r="A506" s="2" t="s">
        <v>2352</v>
      </c>
      <c r="B506" s="2" t="str">
        <f xml:space="preserve"> "" &amp; 844349029007</f>
        <v>844349029007</v>
      </c>
      <c r="C506" s="2" t="s">
        <v>2338</v>
      </c>
      <c r="D506" s="2" t="s">
        <v>3655</v>
      </c>
      <c r="E506" s="2" t="s">
        <v>2339</v>
      </c>
      <c r="F506" s="2" t="s">
        <v>418</v>
      </c>
      <c r="G506" s="2">
        <v>1</v>
      </c>
      <c r="H506" s="2">
        <v>1</v>
      </c>
      <c r="I506" s="2" t="s">
        <v>94</v>
      </c>
      <c r="J506" s="6">
        <v>79</v>
      </c>
      <c r="K506" s="6">
        <v>237</v>
      </c>
      <c r="L506" s="2">
        <v>0</v>
      </c>
      <c r="N506" s="2">
        <v>0</v>
      </c>
      <c r="O506" s="2" t="s">
        <v>96</v>
      </c>
      <c r="P506" s="6">
        <v>165.95</v>
      </c>
      <c r="Q506" s="6"/>
      <c r="R506" s="7"/>
      <c r="S506" s="2">
        <v>4.75</v>
      </c>
      <c r="U506" s="2">
        <v>24.25</v>
      </c>
      <c r="V506" s="2">
        <v>12</v>
      </c>
      <c r="W506" s="2">
        <v>3.15</v>
      </c>
      <c r="X506" s="2">
        <v>1</v>
      </c>
      <c r="Y506" s="2">
        <v>26</v>
      </c>
      <c r="Z506" s="2">
        <v>8.8800000000000008</v>
      </c>
      <c r="AA506" s="2">
        <v>7.5</v>
      </c>
      <c r="AB506" s="2">
        <v>1.002</v>
      </c>
      <c r="AC506" s="2">
        <v>4.63</v>
      </c>
      <c r="AE506" s="2">
        <v>2</v>
      </c>
      <c r="AF506" s="2" t="s">
        <v>2350</v>
      </c>
      <c r="AG506" s="2">
        <v>6</v>
      </c>
      <c r="AK506" s="2" t="s">
        <v>95</v>
      </c>
      <c r="AL506" s="2">
        <v>2</v>
      </c>
      <c r="AM506" s="2" t="s">
        <v>96</v>
      </c>
      <c r="AN506" s="2" t="s">
        <v>95</v>
      </c>
      <c r="AO506" s="2" t="s">
        <v>95</v>
      </c>
      <c r="AP506" s="2" t="s">
        <v>97</v>
      </c>
      <c r="AQ506" s="2" t="s">
        <v>98</v>
      </c>
      <c r="AV506" s="2" t="s">
        <v>95</v>
      </c>
      <c r="AX506" s="2" t="s">
        <v>2353</v>
      </c>
      <c r="AZ506" s="2" t="s">
        <v>483</v>
      </c>
      <c r="BF506" s="2" t="s">
        <v>2354</v>
      </c>
      <c r="BG506" s="2" t="s">
        <v>95</v>
      </c>
      <c r="BH506" s="2" t="s">
        <v>95</v>
      </c>
      <c r="BI506" s="2" t="s">
        <v>95</v>
      </c>
      <c r="BK506" s="2" t="s">
        <v>100</v>
      </c>
      <c r="BL506" s="2" t="s">
        <v>476</v>
      </c>
      <c r="BM506" s="2">
        <v>4.75</v>
      </c>
      <c r="BN506" s="2">
        <v>1</v>
      </c>
      <c r="BP506" s="2">
        <v>4.75</v>
      </c>
      <c r="CB506" s="2" t="s">
        <v>2353</v>
      </c>
      <c r="CG506" s="2">
        <v>3000</v>
      </c>
      <c r="CL506" s="2" t="s">
        <v>96</v>
      </c>
      <c r="CM506" s="2" t="s">
        <v>95</v>
      </c>
      <c r="CO506" s="3">
        <v>43623</v>
      </c>
      <c r="CP506" s="3">
        <v>43623</v>
      </c>
    </row>
    <row r="507" spans="1:94" x14ac:dyDescent="0.25">
      <c r="A507" s="2" t="s">
        <v>2355</v>
      </c>
      <c r="B507" s="2" t="str">
        <f xml:space="preserve"> "" &amp; 844349018346</f>
        <v>844349018346</v>
      </c>
      <c r="C507" s="2" t="s">
        <v>1994</v>
      </c>
      <c r="D507" s="2" t="s">
        <v>2356</v>
      </c>
      <c r="F507" s="2" t="s">
        <v>418</v>
      </c>
      <c r="G507" s="2">
        <v>1</v>
      </c>
      <c r="H507" s="2">
        <v>1</v>
      </c>
      <c r="I507" s="2" t="s">
        <v>94</v>
      </c>
      <c r="J507" s="6">
        <v>119</v>
      </c>
      <c r="K507" s="6">
        <v>357</v>
      </c>
      <c r="L507" s="2">
        <v>0</v>
      </c>
      <c r="N507" s="2">
        <v>0</v>
      </c>
      <c r="O507" s="2" t="s">
        <v>96</v>
      </c>
      <c r="P507" s="6">
        <v>249.95</v>
      </c>
      <c r="Q507" s="6"/>
      <c r="R507" s="7"/>
      <c r="S507" s="2">
        <v>7.5</v>
      </c>
      <c r="U507" s="2">
        <v>16</v>
      </c>
      <c r="V507" s="2">
        <v>4.5</v>
      </c>
      <c r="W507" s="2">
        <v>3.55</v>
      </c>
      <c r="X507" s="2">
        <v>1</v>
      </c>
      <c r="Y507" s="2">
        <v>8.5</v>
      </c>
      <c r="Z507" s="2">
        <v>19</v>
      </c>
      <c r="AA507" s="2">
        <v>7.25</v>
      </c>
      <c r="AB507" s="2">
        <v>0.67800000000000005</v>
      </c>
      <c r="AC507" s="2">
        <v>4.67</v>
      </c>
      <c r="AE507" s="2">
        <v>1</v>
      </c>
      <c r="AF507" s="2" t="s">
        <v>347</v>
      </c>
      <c r="AG507" s="2">
        <v>8</v>
      </c>
      <c r="AK507" s="2" t="s">
        <v>96</v>
      </c>
      <c r="AM507" s="2" t="s">
        <v>95</v>
      </c>
      <c r="AN507" s="2" t="s">
        <v>96</v>
      </c>
      <c r="AO507" s="2" t="s">
        <v>95</v>
      </c>
      <c r="AP507" s="2" t="s">
        <v>97</v>
      </c>
      <c r="AQ507" s="2" t="s">
        <v>98</v>
      </c>
      <c r="AV507" s="2" t="s">
        <v>95</v>
      </c>
      <c r="AX507" s="2" t="s">
        <v>116</v>
      </c>
      <c r="AZ507" s="2" t="s">
        <v>342</v>
      </c>
      <c r="BB507" s="2" t="s">
        <v>329</v>
      </c>
      <c r="BC507" s="2" t="s">
        <v>451</v>
      </c>
      <c r="BF507" s="2" t="s">
        <v>2357</v>
      </c>
      <c r="BG507" s="2" t="s">
        <v>95</v>
      </c>
      <c r="BH507" s="2" t="s">
        <v>95</v>
      </c>
      <c r="BI507" s="2" t="s">
        <v>95</v>
      </c>
      <c r="BK507" s="2" t="s">
        <v>100</v>
      </c>
      <c r="BR507" s="2">
        <v>1</v>
      </c>
      <c r="BS507" s="2">
        <v>6.25</v>
      </c>
      <c r="BT507" s="2">
        <v>5</v>
      </c>
      <c r="CA507" s="2" t="s">
        <v>2358</v>
      </c>
      <c r="CB507" s="2" t="s">
        <v>116</v>
      </c>
      <c r="CG507" s="2">
        <v>3000</v>
      </c>
      <c r="CH507" s="2">
        <v>82</v>
      </c>
      <c r="CI507" s="2">
        <v>590</v>
      </c>
      <c r="CJ507" s="2">
        <v>508</v>
      </c>
      <c r="CK507" s="2">
        <v>30000</v>
      </c>
      <c r="CL507" s="2" t="s">
        <v>96</v>
      </c>
      <c r="CM507" s="2" t="s">
        <v>95</v>
      </c>
      <c r="CN507" s="2" t="s">
        <v>460</v>
      </c>
      <c r="CO507" s="3">
        <v>42094</v>
      </c>
      <c r="CP507" s="3">
        <v>43634</v>
      </c>
    </row>
    <row r="508" spans="1:94" x14ac:dyDescent="0.25">
      <c r="A508" s="2" t="s">
        <v>2359</v>
      </c>
      <c r="B508" s="2" t="str">
        <f xml:space="preserve"> "" &amp; 844349018353</f>
        <v>844349018353</v>
      </c>
      <c r="C508" s="2" t="s">
        <v>1994</v>
      </c>
      <c r="D508" s="2" t="s">
        <v>2356</v>
      </c>
      <c r="F508" s="2" t="s">
        <v>418</v>
      </c>
      <c r="G508" s="2">
        <v>1</v>
      </c>
      <c r="H508" s="2">
        <v>1</v>
      </c>
      <c r="I508" s="2" t="s">
        <v>94</v>
      </c>
      <c r="J508" s="6">
        <v>119</v>
      </c>
      <c r="K508" s="6">
        <v>357</v>
      </c>
      <c r="L508" s="2">
        <v>0</v>
      </c>
      <c r="N508" s="2">
        <v>0</v>
      </c>
      <c r="O508" s="2" t="s">
        <v>96</v>
      </c>
      <c r="P508" s="6">
        <v>249.95</v>
      </c>
      <c r="Q508" s="6"/>
      <c r="R508" s="7"/>
      <c r="S508" s="2">
        <v>7.5</v>
      </c>
      <c r="U508" s="2">
        <v>16</v>
      </c>
      <c r="V508" s="2">
        <v>4.5</v>
      </c>
      <c r="W508" s="2">
        <v>3.55</v>
      </c>
      <c r="X508" s="2">
        <v>1</v>
      </c>
      <c r="Y508" s="2">
        <v>8.5</v>
      </c>
      <c r="Z508" s="2">
        <v>19</v>
      </c>
      <c r="AA508" s="2">
        <v>7.25</v>
      </c>
      <c r="AB508" s="2">
        <v>0.67800000000000005</v>
      </c>
      <c r="AC508" s="2">
        <v>4.67</v>
      </c>
      <c r="AE508" s="2">
        <v>1</v>
      </c>
      <c r="AF508" s="2" t="s">
        <v>347</v>
      </c>
      <c r="AG508" s="2">
        <v>8</v>
      </c>
      <c r="AK508" s="2" t="s">
        <v>96</v>
      </c>
      <c r="AM508" s="2" t="s">
        <v>95</v>
      </c>
      <c r="AN508" s="2" t="s">
        <v>96</v>
      </c>
      <c r="AO508" s="2" t="s">
        <v>95</v>
      </c>
      <c r="AP508" s="2" t="s">
        <v>97</v>
      </c>
      <c r="AQ508" s="2" t="s">
        <v>98</v>
      </c>
      <c r="AV508" s="2" t="s">
        <v>95</v>
      </c>
      <c r="AX508" s="2" t="s">
        <v>1483</v>
      </c>
      <c r="AZ508" s="2" t="s">
        <v>342</v>
      </c>
      <c r="BB508" s="2" t="s">
        <v>329</v>
      </c>
      <c r="BC508" s="2" t="s">
        <v>451</v>
      </c>
      <c r="BF508" s="2" t="s">
        <v>2360</v>
      </c>
      <c r="BG508" s="2" t="s">
        <v>95</v>
      </c>
      <c r="BH508" s="2" t="s">
        <v>95</v>
      </c>
      <c r="BI508" s="2" t="s">
        <v>95</v>
      </c>
      <c r="BK508" s="2" t="s">
        <v>100</v>
      </c>
      <c r="BR508" s="2">
        <v>1</v>
      </c>
      <c r="BS508" s="2">
        <v>6.25</v>
      </c>
      <c r="BT508" s="2">
        <v>5</v>
      </c>
      <c r="CA508" s="2" t="s">
        <v>2358</v>
      </c>
      <c r="CB508" s="2" t="s">
        <v>1483</v>
      </c>
      <c r="CG508" s="2">
        <v>3000</v>
      </c>
      <c r="CH508" s="2">
        <v>82</v>
      </c>
      <c r="CI508" s="2">
        <v>590</v>
      </c>
      <c r="CJ508" s="2">
        <v>508</v>
      </c>
      <c r="CK508" s="2">
        <v>30000</v>
      </c>
      <c r="CL508" s="2" t="s">
        <v>96</v>
      </c>
      <c r="CM508" s="2" t="s">
        <v>95</v>
      </c>
      <c r="CN508" s="2" t="s">
        <v>460</v>
      </c>
      <c r="CO508" s="3">
        <v>42094</v>
      </c>
      <c r="CP508" s="3">
        <v>43634</v>
      </c>
    </row>
    <row r="509" spans="1:94" x14ac:dyDescent="0.25">
      <c r="A509" s="2" t="s">
        <v>2361</v>
      </c>
      <c r="B509" s="2" t="str">
        <f xml:space="preserve"> "" &amp; 844349018339</f>
        <v>844349018339</v>
      </c>
      <c r="C509" s="2" t="s">
        <v>1805</v>
      </c>
      <c r="D509" s="2" t="s">
        <v>3679</v>
      </c>
      <c r="E509" s="2" t="s">
        <v>425</v>
      </c>
      <c r="F509" s="2" t="s">
        <v>1429</v>
      </c>
      <c r="G509" s="2">
        <v>1</v>
      </c>
      <c r="H509" s="2">
        <v>1</v>
      </c>
      <c r="I509" s="2" t="s">
        <v>94</v>
      </c>
      <c r="J509" s="6">
        <v>129</v>
      </c>
      <c r="K509" s="6">
        <v>387</v>
      </c>
      <c r="L509" s="2">
        <v>0</v>
      </c>
      <c r="N509" s="2">
        <v>0</v>
      </c>
      <c r="O509" s="2" t="s">
        <v>96</v>
      </c>
      <c r="P509" s="6">
        <v>270.95</v>
      </c>
      <c r="Q509" s="6"/>
      <c r="R509" s="7"/>
      <c r="S509" s="2">
        <v>1</v>
      </c>
      <c r="T509" s="2">
        <v>19.75</v>
      </c>
      <c r="U509" s="2">
        <v>6.75</v>
      </c>
      <c r="W509" s="2">
        <v>7.08</v>
      </c>
      <c r="X509" s="2">
        <v>1</v>
      </c>
      <c r="Y509" s="2">
        <v>8.8800000000000008</v>
      </c>
      <c r="Z509" s="2">
        <v>23</v>
      </c>
      <c r="AA509" s="2">
        <v>10.5</v>
      </c>
      <c r="AB509" s="2">
        <v>1.2410000000000001</v>
      </c>
      <c r="AC509" s="2">
        <v>8.84</v>
      </c>
      <c r="AE509" s="2">
        <v>1</v>
      </c>
      <c r="AF509" s="2" t="s">
        <v>347</v>
      </c>
      <c r="AG509" s="2">
        <v>8</v>
      </c>
      <c r="AK509" s="2" t="s">
        <v>96</v>
      </c>
      <c r="AM509" s="2" t="s">
        <v>95</v>
      </c>
      <c r="AN509" s="2" t="s">
        <v>96</v>
      </c>
      <c r="AO509" s="2" t="s">
        <v>95</v>
      </c>
      <c r="AP509" s="2" t="s">
        <v>97</v>
      </c>
      <c r="AQ509" s="2" t="s">
        <v>98</v>
      </c>
      <c r="AR509" s="4">
        <v>42199</v>
      </c>
      <c r="AV509" s="2" t="s">
        <v>95</v>
      </c>
      <c r="AX509" s="2" t="s">
        <v>1483</v>
      </c>
      <c r="BB509" s="2" t="s">
        <v>329</v>
      </c>
      <c r="BC509" s="2" t="s">
        <v>451</v>
      </c>
      <c r="BF509" s="2" t="s">
        <v>2362</v>
      </c>
      <c r="BG509" s="2" t="s">
        <v>95</v>
      </c>
      <c r="BH509" s="2" t="s">
        <v>95</v>
      </c>
      <c r="BI509" s="2" t="s">
        <v>95</v>
      </c>
      <c r="BK509" s="2" t="s">
        <v>100</v>
      </c>
      <c r="CA509" s="2" t="s">
        <v>2363</v>
      </c>
      <c r="CB509" s="2" t="s">
        <v>1483</v>
      </c>
      <c r="CG509" s="2">
        <v>3000</v>
      </c>
      <c r="CH509" s="2">
        <v>82</v>
      </c>
      <c r="CI509" s="2">
        <v>590</v>
      </c>
      <c r="CJ509" s="2">
        <v>492</v>
      </c>
      <c r="CK509" s="2">
        <v>30000</v>
      </c>
      <c r="CL509" s="2" t="s">
        <v>96</v>
      </c>
      <c r="CM509" s="2" t="s">
        <v>95</v>
      </c>
      <c r="CN509" s="2" t="s">
        <v>460</v>
      </c>
      <c r="CO509" s="3">
        <v>42094</v>
      </c>
      <c r="CP509" s="3">
        <v>43634</v>
      </c>
    </row>
    <row r="510" spans="1:94" x14ac:dyDescent="0.25">
      <c r="A510" s="2" t="s">
        <v>2364</v>
      </c>
      <c r="B510" s="2" t="str">
        <f xml:space="preserve"> "" &amp; 844349007869</f>
        <v>844349007869</v>
      </c>
      <c r="C510" s="2" t="s">
        <v>417</v>
      </c>
      <c r="D510" s="2" t="s">
        <v>417</v>
      </c>
      <c r="F510" s="2" t="s">
        <v>418</v>
      </c>
      <c r="G510" s="2">
        <v>1</v>
      </c>
      <c r="H510" s="2">
        <v>1</v>
      </c>
      <c r="I510" s="2" t="s">
        <v>94</v>
      </c>
      <c r="J510" s="6">
        <v>69</v>
      </c>
      <c r="K510" s="6">
        <v>207</v>
      </c>
      <c r="L510" s="2">
        <v>0</v>
      </c>
      <c r="N510" s="2">
        <v>0</v>
      </c>
      <c r="O510" s="2" t="s">
        <v>96</v>
      </c>
      <c r="P510" s="6">
        <v>144.94999999999999</v>
      </c>
      <c r="Q510" s="6"/>
      <c r="R510" s="7"/>
      <c r="S510" s="2">
        <v>13.5</v>
      </c>
      <c r="U510" s="2">
        <v>6.25</v>
      </c>
      <c r="V510" s="2">
        <v>4</v>
      </c>
      <c r="W510" s="2">
        <v>4.63</v>
      </c>
      <c r="X510" s="2">
        <v>1</v>
      </c>
      <c r="Y510" s="2">
        <v>10</v>
      </c>
      <c r="Z510" s="2">
        <v>16.5</v>
      </c>
      <c r="AA510" s="2">
        <v>9</v>
      </c>
      <c r="AB510" s="2">
        <v>0.85899999999999999</v>
      </c>
      <c r="AC510" s="2">
        <v>6.22</v>
      </c>
      <c r="AE510" s="2">
        <v>1</v>
      </c>
      <c r="AF510" s="2" t="s">
        <v>1289</v>
      </c>
      <c r="AG510" s="2">
        <v>60</v>
      </c>
      <c r="AK510" s="2" t="s">
        <v>95</v>
      </c>
      <c r="AM510" s="2" t="s">
        <v>95</v>
      </c>
      <c r="AN510" s="2" t="s">
        <v>96</v>
      </c>
      <c r="AO510" s="2" t="s">
        <v>95</v>
      </c>
      <c r="AP510" s="2" t="s">
        <v>97</v>
      </c>
      <c r="AQ510" s="2" t="s">
        <v>98</v>
      </c>
      <c r="AV510" s="2" t="s">
        <v>95</v>
      </c>
      <c r="AX510" s="2" t="s">
        <v>116</v>
      </c>
      <c r="AZ510" s="2" t="s">
        <v>342</v>
      </c>
      <c r="BB510" s="2" t="s">
        <v>54</v>
      </c>
      <c r="BC510" s="2" t="s">
        <v>865</v>
      </c>
      <c r="BF510" s="2" t="s">
        <v>2365</v>
      </c>
      <c r="BG510" s="2" t="s">
        <v>95</v>
      </c>
      <c r="BH510" s="2" t="s">
        <v>96</v>
      </c>
      <c r="BI510" s="2" t="s">
        <v>95</v>
      </c>
      <c r="BK510" s="2" t="s">
        <v>414</v>
      </c>
      <c r="BL510" s="2" t="s">
        <v>476</v>
      </c>
      <c r="BM510" s="2">
        <v>5</v>
      </c>
      <c r="BN510" s="2">
        <v>13.13</v>
      </c>
      <c r="CA510" s="2" t="s">
        <v>2366</v>
      </c>
      <c r="CB510" s="2" t="s">
        <v>116</v>
      </c>
      <c r="CL510" s="2" t="s">
        <v>96</v>
      </c>
      <c r="CM510" s="2" t="s">
        <v>95</v>
      </c>
      <c r="CN510" s="2" t="s">
        <v>1404</v>
      </c>
      <c r="CO510" s="3">
        <v>40632</v>
      </c>
      <c r="CP510" s="3">
        <v>43634</v>
      </c>
    </row>
    <row r="511" spans="1:94" x14ac:dyDescent="0.25">
      <c r="A511" s="2" t="s">
        <v>2367</v>
      </c>
      <c r="B511" s="2" t="str">
        <f xml:space="preserve"> "" &amp; 844349013679</f>
        <v>844349013679</v>
      </c>
      <c r="C511" s="2" t="s">
        <v>2368</v>
      </c>
      <c r="D511" s="2" t="s">
        <v>526</v>
      </c>
      <c r="F511" s="2" t="s">
        <v>418</v>
      </c>
      <c r="G511" s="2">
        <v>1</v>
      </c>
      <c r="H511" s="2">
        <v>1</v>
      </c>
      <c r="I511" s="2" t="s">
        <v>94</v>
      </c>
      <c r="J511" s="6">
        <v>139</v>
      </c>
      <c r="K511" s="6">
        <v>417</v>
      </c>
      <c r="L511" s="2">
        <v>0</v>
      </c>
      <c r="N511" s="2">
        <v>0</v>
      </c>
      <c r="O511" s="2" t="s">
        <v>96</v>
      </c>
      <c r="P511" s="6">
        <v>292.95</v>
      </c>
      <c r="Q511" s="6"/>
      <c r="R511" s="7"/>
      <c r="S511" s="2">
        <v>12</v>
      </c>
      <c r="U511" s="2">
        <v>5.5</v>
      </c>
      <c r="V511" s="2">
        <v>3.75</v>
      </c>
      <c r="W511" s="2">
        <v>4.3899999999999997</v>
      </c>
      <c r="X511" s="2">
        <v>1</v>
      </c>
      <c r="Y511" s="2">
        <v>9.5</v>
      </c>
      <c r="Z511" s="2">
        <v>14.25</v>
      </c>
      <c r="AA511" s="2">
        <v>7.5</v>
      </c>
      <c r="AB511" s="2">
        <v>0.58799999999999997</v>
      </c>
      <c r="AC511" s="2">
        <v>5.51</v>
      </c>
      <c r="AE511" s="2">
        <v>1</v>
      </c>
      <c r="AF511" s="2" t="s">
        <v>2369</v>
      </c>
      <c r="AG511" s="2">
        <v>20</v>
      </c>
      <c r="AK511" s="2" t="s">
        <v>96</v>
      </c>
      <c r="AM511" s="2" t="s">
        <v>95</v>
      </c>
      <c r="AN511" s="2" t="s">
        <v>96</v>
      </c>
      <c r="AO511" s="2" t="s">
        <v>95</v>
      </c>
      <c r="AP511" s="2" t="s">
        <v>97</v>
      </c>
      <c r="AQ511" s="2" t="s">
        <v>98</v>
      </c>
      <c r="AV511" s="2" t="s">
        <v>95</v>
      </c>
      <c r="AX511" s="2" t="s">
        <v>116</v>
      </c>
      <c r="AZ511" s="2" t="s">
        <v>342</v>
      </c>
      <c r="BB511" s="2" t="s">
        <v>54</v>
      </c>
      <c r="BC511" s="2" t="s">
        <v>976</v>
      </c>
      <c r="BF511" s="2" t="s">
        <v>2370</v>
      </c>
      <c r="BG511" s="2" t="s">
        <v>95</v>
      </c>
      <c r="BH511" s="2" t="s">
        <v>96</v>
      </c>
      <c r="BI511" s="2" t="s">
        <v>95</v>
      </c>
      <c r="BK511" s="2" t="s">
        <v>539</v>
      </c>
      <c r="BL511" s="2" t="s">
        <v>476</v>
      </c>
      <c r="BM511" s="2">
        <v>5.5</v>
      </c>
      <c r="BN511" s="2">
        <v>12</v>
      </c>
      <c r="CA511" s="2" t="s">
        <v>2371</v>
      </c>
      <c r="CB511" s="2" t="s">
        <v>116</v>
      </c>
      <c r="CG511" s="2">
        <v>3000</v>
      </c>
      <c r="CH511" s="2">
        <v>90</v>
      </c>
      <c r="CI511" s="2">
        <v>1653.44</v>
      </c>
      <c r="CJ511" s="2">
        <v>992.17</v>
      </c>
      <c r="CK511" s="2">
        <v>30000</v>
      </c>
      <c r="CL511" s="2" t="s">
        <v>96</v>
      </c>
      <c r="CM511" s="2" t="s">
        <v>95</v>
      </c>
      <c r="CN511" s="2" t="s">
        <v>2372</v>
      </c>
      <c r="CO511" s="3">
        <v>41238</v>
      </c>
      <c r="CP511" s="3">
        <v>43634</v>
      </c>
    </row>
    <row r="512" spans="1:94" x14ac:dyDescent="0.25">
      <c r="A512" s="2" t="s">
        <v>2373</v>
      </c>
      <c r="B512" s="2" t="str">
        <f xml:space="preserve"> "" &amp; 844349002468</f>
        <v>844349002468</v>
      </c>
      <c r="C512" s="2" t="s">
        <v>417</v>
      </c>
      <c r="D512" s="2" t="s">
        <v>417</v>
      </c>
      <c r="F512" s="2" t="s">
        <v>418</v>
      </c>
      <c r="G512" s="2">
        <v>1</v>
      </c>
      <c r="H512" s="2">
        <v>1</v>
      </c>
      <c r="I512" s="2" t="s">
        <v>94</v>
      </c>
      <c r="J512" s="6">
        <v>39</v>
      </c>
      <c r="K512" s="6">
        <v>117</v>
      </c>
      <c r="L512" s="2">
        <v>0</v>
      </c>
      <c r="N512" s="2">
        <v>0</v>
      </c>
      <c r="O512" s="2" t="s">
        <v>96</v>
      </c>
      <c r="P512" s="6">
        <v>81.95</v>
      </c>
      <c r="Q512" s="6"/>
      <c r="R512" s="7"/>
      <c r="S512" s="2">
        <v>11.25</v>
      </c>
      <c r="T512" s="2">
        <v>11</v>
      </c>
      <c r="U512" s="2">
        <v>7</v>
      </c>
      <c r="V512" s="2">
        <v>4</v>
      </c>
      <c r="W512" s="2">
        <v>1.26</v>
      </c>
      <c r="X512" s="2">
        <v>1</v>
      </c>
      <c r="Y512" s="2">
        <v>6</v>
      </c>
      <c r="Z512" s="2">
        <v>11</v>
      </c>
      <c r="AA512" s="2">
        <v>9</v>
      </c>
      <c r="AB512" s="2">
        <v>0.34399999999999997</v>
      </c>
      <c r="AC512" s="2">
        <v>2.0699999999999998</v>
      </c>
      <c r="AE512" s="2">
        <v>1</v>
      </c>
      <c r="AF512" s="2" t="s">
        <v>519</v>
      </c>
      <c r="AG512" s="2">
        <v>60</v>
      </c>
      <c r="AK512" s="2" t="s">
        <v>95</v>
      </c>
      <c r="AL512" s="2">
        <v>1</v>
      </c>
      <c r="AM512" s="2" t="s">
        <v>95</v>
      </c>
      <c r="AN512" s="2" t="s">
        <v>96</v>
      </c>
      <c r="AO512" s="2" t="s">
        <v>95</v>
      </c>
      <c r="AP512" s="2" t="s">
        <v>97</v>
      </c>
      <c r="AQ512" s="2" t="s">
        <v>98</v>
      </c>
      <c r="AV512" s="2" t="s">
        <v>95</v>
      </c>
      <c r="AX512" s="2" t="s">
        <v>395</v>
      </c>
      <c r="AZ512" s="2" t="s">
        <v>342</v>
      </c>
      <c r="BB512" s="2" t="s">
        <v>490</v>
      </c>
      <c r="BC512" s="2" t="s">
        <v>379</v>
      </c>
      <c r="BF512" s="2" t="s">
        <v>2374</v>
      </c>
      <c r="BG512" s="2" t="s">
        <v>95</v>
      </c>
      <c r="BH512" s="2" t="s">
        <v>96</v>
      </c>
      <c r="BI512" s="2" t="s">
        <v>95</v>
      </c>
      <c r="BK512" s="2" t="s">
        <v>414</v>
      </c>
      <c r="BL512" s="2" t="s">
        <v>476</v>
      </c>
      <c r="BM512" s="2">
        <v>4.5</v>
      </c>
      <c r="BN512" s="2">
        <v>4.75</v>
      </c>
      <c r="CA512" s="2" t="s">
        <v>2375</v>
      </c>
      <c r="CB512" s="2" t="s">
        <v>395</v>
      </c>
      <c r="CL512" s="2" t="s">
        <v>96</v>
      </c>
      <c r="CM512" s="2" t="s">
        <v>95</v>
      </c>
      <c r="CN512" s="2" t="s">
        <v>2376</v>
      </c>
      <c r="CO512" s="3">
        <v>39538</v>
      </c>
      <c r="CP512" s="3">
        <v>43634</v>
      </c>
    </row>
    <row r="513" spans="1:94" x14ac:dyDescent="0.25">
      <c r="A513" s="2" t="s">
        <v>2377</v>
      </c>
      <c r="B513" s="2" t="str">
        <f xml:space="preserve"> "" &amp; 844349024347</f>
        <v>844349024347</v>
      </c>
      <c r="C513" s="2" t="s">
        <v>526</v>
      </c>
      <c r="D513" s="2" t="s">
        <v>526</v>
      </c>
      <c r="F513" s="2" t="s">
        <v>418</v>
      </c>
      <c r="G513" s="2">
        <v>1</v>
      </c>
      <c r="H513" s="2">
        <v>1</v>
      </c>
      <c r="I513" s="2" t="s">
        <v>94</v>
      </c>
      <c r="J513" s="6">
        <v>66</v>
      </c>
      <c r="K513" s="6">
        <v>198</v>
      </c>
      <c r="L513" s="2">
        <v>0</v>
      </c>
      <c r="N513" s="2">
        <v>0</v>
      </c>
      <c r="O513" s="2" t="s">
        <v>96</v>
      </c>
      <c r="P513" s="6">
        <v>139.94999999999999</v>
      </c>
      <c r="Q513" s="6"/>
      <c r="R513" s="7"/>
      <c r="S513" s="2">
        <v>11</v>
      </c>
      <c r="U513" s="2">
        <v>7.75</v>
      </c>
      <c r="V513" s="2">
        <v>4</v>
      </c>
      <c r="W513" s="2">
        <v>3.15</v>
      </c>
      <c r="X513" s="2">
        <v>1</v>
      </c>
      <c r="Y513" s="2">
        <v>10.5</v>
      </c>
      <c r="Z513" s="2">
        <v>13.38</v>
      </c>
      <c r="AA513" s="2">
        <v>9.8800000000000008</v>
      </c>
      <c r="AB513" s="2">
        <v>0.80300000000000005</v>
      </c>
      <c r="AC513" s="2">
        <v>4.32</v>
      </c>
      <c r="AE513" s="2">
        <v>1</v>
      </c>
      <c r="AF513" s="2" t="s">
        <v>347</v>
      </c>
      <c r="AG513" s="2">
        <v>8</v>
      </c>
      <c r="AK513" s="2" t="s">
        <v>96</v>
      </c>
      <c r="AM513" s="2" t="s">
        <v>95</v>
      </c>
      <c r="AN513" s="2" t="s">
        <v>96</v>
      </c>
      <c r="AO513" s="2" t="s">
        <v>95</v>
      </c>
      <c r="AP513" s="2" t="s">
        <v>97</v>
      </c>
      <c r="AQ513" s="2" t="s">
        <v>98</v>
      </c>
      <c r="AV513" s="2" t="s">
        <v>95</v>
      </c>
      <c r="AX513" s="2" t="s">
        <v>395</v>
      </c>
      <c r="AZ513" s="2" t="s">
        <v>449</v>
      </c>
      <c r="BB513" s="2" t="s">
        <v>490</v>
      </c>
      <c r="BC513" s="2" t="s">
        <v>379</v>
      </c>
      <c r="BF513" s="2" t="s">
        <v>2378</v>
      </c>
      <c r="BG513" s="2" t="s">
        <v>95</v>
      </c>
      <c r="BH513" s="2" t="s">
        <v>95</v>
      </c>
      <c r="BI513" s="2" t="s">
        <v>95</v>
      </c>
      <c r="BK513" s="2" t="s">
        <v>414</v>
      </c>
      <c r="BM513" s="2">
        <v>7</v>
      </c>
      <c r="BN513" s="2">
        <v>10.75</v>
      </c>
      <c r="CA513" s="2" t="s">
        <v>2375</v>
      </c>
      <c r="CB513" s="2" t="s">
        <v>395</v>
      </c>
      <c r="CG513" s="2">
        <v>3000</v>
      </c>
      <c r="CH513" s="2">
        <v>92</v>
      </c>
      <c r="CI513" s="2">
        <v>639</v>
      </c>
      <c r="CJ513" s="2">
        <v>321</v>
      </c>
      <c r="CK513" s="2">
        <v>30000</v>
      </c>
      <c r="CL513" s="2" t="s">
        <v>96</v>
      </c>
      <c r="CM513" s="2" t="s">
        <v>95</v>
      </c>
      <c r="CN513" s="2" t="s">
        <v>2379</v>
      </c>
      <c r="CO513" s="3">
        <v>43096</v>
      </c>
      <c r="CP513" s="3">
        <v>43634</v>
      </c>
    </row>
    <row r="514" spans="1:94" x14ac:dyDescent="0.25">
      <c r="A514" s="2" t="s">
        <v>2380</v>
      </c>
      <c r="B514" s="2" t="str">
        <f xml:space="preserve"> "" &amp; 874944002549</f>
        <v>874944002549</v>
      </c>
      <c r="C514" s="2" t="s">
        <v>417</v>
      </c>
      <c r="D514" s="2" t="s">
        <v>417</v>
      </c>
      <c r="F514" s="2" t="s">
        <v>418</v>
      </c>
      <c r="G514" s="2">
        <v>1</v>
      </c>
      <c r="H514" s="2">
        <v>1</v>
      </c>
      <c r="I514" s="2" t="s">
        <v>94</v>
      </c>
      <c r="J514" s="6">
        <v>39</v>
      </c>
      <c r="K514" s="6">
        <v>117</v>
      </c>
      <c r="L514" s="2">
        <v>0</v>
      </c>
      <c r="N514" s="2">
        <v>0</v>
      </c>
      <c r="O514" s="2" t="s">
        <v>96</v>
      </c>
      <c r="P514" s="6">
        <v>81.95</v>
      </c>
      <c r="Q514" s="6"/>
      <c r="R514" s="7"/>
      <c r="S514" s="2">
        <v>11.25</v>
      </c>
      <c r="T514" s="2">
        <v>11</v>
      </c>
      <c r="U514" s="2">
        <v>7</v>
      </c>
      <c r="V514" s="2">
        <v>4</v>
      </c>
      <c r="W514" s="2">
        <v>1.26</v>
      </c>
      <c r="X514" s="2">
        <v>1</v>
      </c>
      <c r="Y514" s="2">
        <v>6</v>
      </c>
      <c r="Z514" s="2">
        <v>11</v>
      </c>
      <c r="AA514" s="2">
        <v>9</v>
      </c>
      <c r="AB514" s="2">
        <v>0.34399999999999997</v>
      </c>
      <c r="AC514" s="2">
        <v>2.0699999999999998</v>
      </c>
      <c r="AE514" s="2">
        <v>1</v>
      </c>
      <c r="AF514" s="2" t="s">
        <v>474</v>
      </c>
      <c r="AG514" s="2">
        <v>60</v>
      </c>
      <c r="AK514" s="2" t="s">
        <v>95</v>
      </c>
      <c r="AL514" s="2">
        <v>1</v>
      </c>
      <c r="AM514" s="2" t="s">
        <v>95</v>
      </c>
      <c r="AN514" s="2" t="s">
        <v>96</v>
      </c>
      <c r="AO514" s="2" t="s">
        <v>95</v>
      </c>
      <c r="AP514" s="2" t="s">
        <v>97</v>
      </c>
      <c r="AQ514" s="2" t="s">
        <v>98</v>
      </c>
      <c r="AV514" s="2" t="s">
        <v>95</v>
      </c>
      <c r="AX514" s="2" t="s">
        <v>116</v>
      </c>
      <c r="AZ514" s="2" t="s">
        <v>342</v>
      </c>
      <c r="BB514" s="2" t="s">
        <v>490</v>
      </c>
      <c r="BC514" s="2" t="s">
        <v>379</v>
      </c>
      <c r="BF514" s="2" t="s">
        <v>2381</v>
      </c>
      <c r="BG514" s="2" t="s">
        <v>95</v>
      </c>
      <c r="BH514" s="2" t="s">
        <v>96</v>
      </c>
      <c r="BI514" s="2" t="s">
        <v>95</v>
      </c>
      <c r="BK514" s="2" t="s">
        <v>414</v>
      </c>
      <c r="BL514" s="2" t="s">
        <v>476</v>
      </c>
      <c r="BM514" s="2">
        <v>4.5</v>
      </c>
      <c r="BN514" s="2">
        <v>4.75</v>
      </c>
      <c r="CA514" s="2" t="s">
        <v>2375</v>
      </c>
      <c r="CB514" s="2" t="s">
        <v>116</v>
      </c>
      <c r="CL514" s="2" t="s">
        <v>96</v>
      </c>
      <c r="CM514" s="2" t="s">
        <v>95</v>
      </c>
      <c r="CN514" s="2" t="s">
        <v>2382</v>
      </c>
      <c r="CO514" s="3">
        <v>38682</v>
      </c>
      <c r="CP514" s="3">
        <v>43634</v>
      </c>
    </row>
    <row r="515" spans="1:94" x14ac:dyDescent="0.25">
      <c r="A515" s="2" t="s">
        <v>2383</v>
      </c>
      <c r="B515" s="2" t="str">
        <f xml:space="preserve"> "" &amp; 844349017721</f>
        <v>844349017721</v>
      </c>
      <c r="C515" s="2" t="s">
        <v>446</v>
      </c>
      <c r="D515" s="2" t="s">
        <v>526</v>
      </c>
      <c r="F515" s="2" t="s">
        <v>418</v>
      </c>
      <c r="G515" s="2">
        <v>1</v>
      </c>
      <c r="H515" s="2">
        <v>1</v>
      </c>
      <c r="I515" s="2" t="s">
        <v>94</v>
      </c>
      <c r="J515" s="6">
        <v>66</v>
      </c>
      <c r="K515" s="6">
        <v>198</v>
      </c>
      <c r="L515" s="2">
        <v>0</v>
      </c>
      <c r="N515" s="2">
        <v>0</v>
      </c>
      <c r="O515" s="2" t="s">
        <v>96</v>
      </c>
      <c r="P515" s="6">
        <v>138.94999999999999</v>
      </c>
      <c r="Q515" s="6"/>
      <c r="R515" s="7"/>
      <c r="S515" s="2">
        <v>11</v>
      </c>
      <c r="U515" s="2">
        <v>7.75</v>
      </c>
      <c r="V515" s="2">
        <v>4</v>
      </c>
      <c r="W515" s="2">
        <v>3.15</v>
      </c>
      <c r="X515" s="2">
        <v>1</v>
      </c>
      <c r="Y515" s="2">
        <v>10.5</v>
      </c>
      <c r="Z515" s="2">
        <v>13.38</v>
      </c>
      <c r="AA515" s="2">
        <v>9.8800000000000008</v>
      </c>
      <c r="AB515" s="2">
        <v>0.80300000000000005</v>
      </c>
      <c r="AC515" s="2">
        <v>4.32</v>
      </c>
      <c r="AE515" s="2">
        <v>1</v>
      </c>
      <c r="AF515" s="2" t="s">
        <v>347</v>
      </c>
      <c r="AG515" s="2">
        <v>8</v>
      </c>
      <c r="AK515" s="2" t="s">
        <v>96</v>
      </c>
      <c r="AM515" s="2" t="s">
        <v>95</v>
      </c>
      <c r="AN515" s="2" t="s">
        <v>96</v>
      </c>
      <c r="AO515" s="2" t="s">
        <v>95</v>
      </c>
      <c r="AP515" s="2" t="s">
        <v>97</v>
      </c>
      <c r="AQ515" s="2" t="s">
        <v>98</v>
      </c>
      <c r="AV515" s="2" t="s">
        <v>95</v>
      </c>
      <c r="AX515" s="2" t="s">
        <v>116</v>
      </c>
      <c r="AZ515" s="2" t="s">
        <v>342</v>
      </c>
      <c r="BB515" s="2" t="s">
        <v>490</v>
      </c>
      <c r="BC515" s="2" t="s">
        <v>379</v>
      </c>
      <c r="BF515" s="2" t="s">
        <v>2384</v>
      </c>
      <c r="BG515" s="2" t="s">
        <v>95</v>
      </c>
      <c r="BH515" s="2" t="s">
        <v>96</v>
      </c>
      <c r="BI515" s="2" t="s">
        <v>95</v>
      </c>
      <c r="BK515" s="2" t="s">
        <v>414</v>
      </c>
      <c r="BR515" s="2">
        <v>10.75</v>
      </c>
      <c r="BT515" s="2">
        <v>7</v>
      </c>
      <c r="CA515" s="2" t="s">
        <v>2375</v>
      </c>
      <c r="CB515" s="2" t="s">
        <v>116</v>
      </c>
      <c r="CG515" s="2">
        <v>3000</v>
      </c>
      <c r="CH515" s="2">
        <v>92</v>
      </c>
      <c r="CI515" s="2">
        <v>639</v>
      </c>
      <c r="CJ515" s="2">
        <v>321</v>
      </c>
      <c r="CK515" s="2">
        <v>30000</v>
      </c>
      <c r="CL515" s="2" t="s">
        <v>96</v>
      </c>
      <c r="CM515" s="2" t="s">
        <v>95</v>
      </c>
      <c r="CN515" s="2" t="s">
        <v>2379</v>
      </c>
      <c r="CO515" s="3">
        <v>42024</v>
      </c>
      <c r="CP515" s="3">
        <v>43634</v>
      </c>
    </row>
    <row r="516" spans="1:94" x14ac:dyDescent="0.25">
      <c r="A516" s="2" t="s">
        <v>2385</v>
      </c>
      <c r="B516" s="2" t="str">
        <f xml:space="preserve"> "" &amp; 844349010975</f>
        <v>844349010975</v>
      </c>
      <c r="C516" s="2" t="s">
        <v>417</v>
      </c>
      <c r="D516" s="2" t="s">
        <v>417</v>
      </c>
      <c r="F516" s="2" t="s">
        <v>418</v>
      </c>
      <c r="G516" s="2">
        <v>1</v>
      </c>
      <c r="H516" s="2">
        <v>1</v>
      </c>
      <c r="I516" s="2" t="s">
        <v>94</v>
      </c>
      <c r="J516" s="6">
        <v>39</v>
      </c>
      <c r="K516" s="6">
        <v>117</v>
      </c>
      <c r="L516" s="2">
        <v>0</v>
      </c>
      <c r="N516" s="2">
        <v>0</v>
      </c>
      <c r="O516" s="2" t="s">
        <v>96</v>
      </c>
      <c r="P516" s="6">
        <v>81.95</v>
      </c>
      <c r="Q516" s="6"/>
      <c r="R516" s="7"/>
      <c r="S516" s="2">
        <v>11.25</v>
      </c>
      <c r="T516" s="2">
        <v>11</v>
      </c>
      <c r="U516" s="2">
        <v>7</v>
      </c>
      <c r="V516" s="2">
        <v>4</v>
      </c>
      <c r="W516" s="2">
        <v>1.26</v>
      </c>
      <c r="X516" s="2">
        <v>1</v>
      </c>
      <c r="Y516" s="2">
        <v>6</v>
      </c>
      <c r="Z516" s="2">
        <v>11</v>
      </c>
      <c r="AA516" s="2">
        <v>9</v>
      </c>
      <c r="AB516" s="2">
        <v>0.34399999999999997</v>
      </c>
      <c r="AC516" s="2">
        <v>2.0699999999999998</v>
      </c>
      <c r="AE516" s="2">
        <v>1</v>
      </c>
      <c r="AF516" s="2" t="s">
        <v>519</v>
      </c>
      <c r="AG516" s="2">
        <v>60</v>
      </c>
      <c r="AK516" s="2" t="s">
        <v>95</v>
      </c>
      <c r="AL516" s="2">
        <v>1</v>
      </c>
      <c r="AM516" s="2" t="s">
        <v>95</v>
      </c>
      <c r="AN516" s="2" t="s">
        <v>96</v>
      </c>
      <c r="AO516" s="2" t="s">
        <v>95</v>
      </c>
      <c r="AP516" s="2" t="s">
        <v>97</v>
      </c>
      <c r="AQ516" s="2" t="s">
        <v>98</v>
      </c>
      <c r="AV516" s="2" t="s">
        <v>95</v>
      </c>
      <c r="AX516" s="2" t="s">
        <v>1688</v>
      </c>
      <c r="AZ516" s="2" t="s">
        <v>342</v>
      </c>
      <c r="BB516" s="2" t="s">
        <v>490</v>
      </c>
      <c r="BC516" s="2" t="s">
        <v>379</v>
      </c>
      <c r="BF516" s="2" t="s">
        <v>2386</v>
      </c>
      <c r="BG516" s="2" t="s">
        <v>95</v>
      </c>
      <c r="BH516" s="2" t="s">
        <v>96</v>
      </c>
      <c r="BI516" s="2" t="s">
        <v>95</v>
      </c>
      <c r="BK516" s="2" t="s">
        <v>414</v>
      </c>
      <c r="BL516" s="2" t="s">
        <v>476</v>
      </c>
      <c r="BM516" s="2">
        <v>4.5</v>
      </c>
      <c r="BN516" s="2">
        <v>4.75</v>
      </c>
      <c r="CA516" s="2" t="s">
        <v>2375</v>
      </c>
      <c r="CB516" s="2" t="s">
        <v>1688</v>
      </c>
      <c r="CL516" s="2" t="s">
        <v>96</v>
      </c>
      <c r="CM516" s="2" t="s">
        <v>95</v>
      </c>
      <c r="CN516" s="2" t="s">
        <v>2382</v>
      </c>
      <c r="CO516" s="3">
        <v>40865</v>
      </c>
      <c r="CP516" s="3">
        <v>43634</v>
      </c>
    </row>
    <row r="517" spans="1:94" x14ac:dyDescent="0.25">
      <c r="A517" s="2" t="s">
        <v>2387</v>
      </c>
      <c r="B517" s="2" t="str">
        <f xml:space="preserve"> "" &amp; 874944002556</f>
        <v>874944002556</v>
      </c>
      <c r="C517" s="2" t="s">
        <v>417</v>
      </c>
      <c r="D517" s="2" t="s">
        <v>417</v>
      </c>
      <c r="F517" s="2" t="s">
        <v>418</v>
      </c>
      <c r="G517" s="2">
        <v>1</v>
      </c>
      <c r="H517" s="2">
        <v>1</v>
      </c>
      <c r="I517" s="2" t="s">
        <v>94</v>
      </c>
      <c r="J517" s="6">
        <v>39</v>
      </c>
      <c r="K517" s="6">
        <v>117</v>
      </c>
      <c r="L517" s="2">
        <v>0</v>
      </c>
      <c r="N517" s="2">
        <v>0</v>
      </c>
      <c r="O517" s="2" t="s">
        <v>96</v>
      </c>
      <c r="P517" s="6">
        <v>81.95</v>
      </c>
      <c r="Q517" s="6"/>
      <c r="R517" s="7"/>
      <c r="S517" s="2">
        <v>11.25</v>
      </c>
      <c r="T517" s="2">
        <v>11</v>
      </c>
      <c r="U517" s="2">
        <v>7</v>
      </c>
      <c r="V517" s="2">
        <v>4</v>
      </c>
      <c r="W517" s="2">
        <v>1.26</v>
      </c>
      <c r="X517" s="2">
        <v>1</v>
      </c>
      <c r="Y517" s="2">
        <v>6</v>
      </c>
      <c r="Z517" s="2">
        <v>11</v>
      </c>
      <c r="AA517" s="2">
        <v>9</v>
      </c>
      <c r="AB517" s="2">
        <v>0.34399999999999997</v>
      </c>
      <c r="AC517" s="2">
        <v>2.0699999999999998</v>
      </c>
      <c r="AE517" s="2">
        <v>1</v>
      </c>
      <c r="AF517" s="2" t="s">
        <v>394</v>
      </c>
      <c r="AG517" s="2">
        <v>60</v>
      </c>
      <c r="AH517" s="2">
        <v>0</v>
      </c>
      <c r="AJ517" s="2">
        <v>0</v>
      </c>
      <c r="AK517" s="2" t="s">
        <v>95</v>
      </c>
      <c r="AL517" s="2">
        <v>1</v>
      </c>
      <c r="AM517" s="2" t="s">
        <v>95</v>
      </c>
      <c r="AN517" s="2" t="s">
        <v>96</v>
      </c>
      <c r="AO517" s="2" t="s">
        <v>95</v>
      </c>
      <c r="AP517" s="2" t="s">
        <v>97</v>
      </c>
      <c r="AQ517" s="2" t="s">
        <v>98</v>
      </c>
      <c r="AV517" s="2" t="s">
        <v>95</v>
      </c>
      <c r="AX517" s="2" t="s">
        <v>674</v>
      </c>
      <c r="AZ517" s="2" t="s">
        <v>342</v>
      </c>
      <c r="BB517" s="2" t="s">
        <v>490</v>
      </c>
      <c r="BC517" s="2" t="s">
        <v>379</v>
      </c>
      <c r="BF517" s="2" t="s">
        <v>2388</v>
      </c>
      <c r="BG517" s="2" t="s">
        <v>95</v>
      </c>
      <c r="BH517" s="2" t="s">
        <v>96</v>
      </c>
      <c r="BI517" s="2" t="s">
        <v>95</v>
      </c>
      <c r="BK517" s="2" t="s">
        <v>414</v>
      </c>
      <c r="BL517" s="2" t="s">
        <v>476</v>
      </c>
      <c r="BM517" s="2">
        <v>4.5</v>
      </c>
      <c r="BN517" s="2">
        <v>4.75</v>
      </c>
      <c r="CA517" s="2" t="s">
        <v>2375</v>
      </c>
      <c r="CB517" s="2" t="s">
        <v>674</v>
      </c>
      <c r="CL517" s="2" t="s">
        <v>96</v>
      </c>
      <c r="CM517" s="2" t="s">
        <v>95</v>
      </c>
      <c r="CN517" s="2" t="s">
        <v>2376</v>
      </c>
      <c r="CO517" s="3">
        <v>38682</v>
      </c>
      <c r="CP517" s="3">
        <v>43634</v>
      </c>
    </row>
    <row r="518" spans="1:94" x14ac:dyDescent="0.25">
      <c r="A518" s="2" t="s">
        <v>2389</v>
      </c>
      <c r="B518" s="2" t="str">
        <f xml:space="preserve"> "" &amp; 844349017738</f>
        <v>844349017738</v>
      </c>
      <c r="C518" s="2" t="s">
        <v>446</v>
      </c>
      <c r="D518" s="2" t="s">
        <v>526</v>
      </c>
      <c r="F518" s="2" t="s">
        <v>418</v>
      </c>
      <c r="G518" s="2">
        <v>1</v>
      </c>
      <c r="H518" s="2">
        <v>1</v>
      </c>
      <c r="I518" s="2" t="s">
        <v>94</v>
      </c>
      <c r="J518" s="6">
        <v>66</v>
      </c>
      <c r="K518" s="6">
        <v>198</v>
      </c>
      <c r="L518" s="2">
        <v>0</v>
      </c>
      <c r="N518" s="2">
        <v>0</v>
      </c>
      <c r="O518" s="2" t="s">
        <v>96</v>
      </c>
      <c r="P518" s="6">
        <v>138.94999999999999</v>
      </c>
      <c r="Q518" s="6"/>
      <c r="R518" s="7"/>
      <c r="S518" s="2">
        <v>11</v>
      </c>
      <c r="U518" s="2">
        <v>7.75</v>
      </c>
      <c r="V518" s="2">
        <v>4</v>
      </c>
      <c r="W518" s="2">
        <v>3.15</v>
      </c>
      <c r="X518" s="2">
        <v>1</v>
      </c>
      <c r="Y518" s="2">
        <v>10.5</v>
      </c>
      <c r="Z518" s="2">
        <v>13.38</v>
      </c>
      <c r="AA518" s="2">
        <v>9.8800000000000008</v>
      </c>
      <c r="AB518" s="2">
        <v>0.80300000000000005</v>
      </c>
      <c r="AC518" s="2">
        <v>4.32</v>
      </c>
      <c r="AE518" s="2">
        <v>1</v>
      </c>
      <c r="AF518" s="2" t="s">
        <v>347</v>
      </c>
      <c r="AG518" s="2">
        <v>8</v>
      </c>
      <c r="AK518" s="2" t="s">
        <v>96</v>
      </c>
      <c r="AM518" s="2" t="s">
        <v>95</v>
      </c>
      <c r="AN518" s="2" t="s">
        <v>96</v>
      </c>
      <c r="AO518" s="2" t="s">
        <v>95</v>
      </c>
      <c r="AP518" s="2" t="s">
        <v>97</v>
      </c>
      <c r="AQ518" s="2" t="s">
        <v>98</v>
      </c>
      <c r="AV518" s="2" t="s">
        <v>95</v>
      </c>
      <c r="AX518" s="2" t="s">
        <v>674</v>
      </c>
      <c r="AZ518" s="2" t="s">
        <v>342</v>
      </c>
      <c r="BB518" s="2" t="s">
        <v>490</v>
      </c>
      <c r="BC518" s="2" t="s">
        <v>2390</v>
      </c>
      <c r="BF518" s="2" t="s">
        <v>2391</v>
      </c>
      <c r="BG518" s="2" t="s">
        <v>95</v>
      </c>
      <c r="BH518" s="2" t="s">
        <v>96</v>
      </c>
      <c r="BI518" s="2" t="s">
        <v>95</v>
      </c>
      <c r="BK518" s="2" t="s">
        <v>414</v>
      </c>
      <c r="BR518" s="2">
        <v>10.75</v>
      </c>
      <c r="BT518" s="2">
        <v>7</v>
      </c>
      <c r="CA518" s="2" t="s">
        <v>2375</v>
      </c>
      <c r="CB518" s="2" t="s">
        <v>674</v>
      </c>
      <c r="CG518" s="2">
        <v>3000</v>
      </c>
      <c r="CH518" s="2">
        <v>92</v>
      </c>
      <c r="CI518" s="2">
        <v>639</v>
      </c>
      <c r="CJ518" s="2">
        <v>321</v>
      </c>
      <c r="CK518" s="2">
        <v>30000</v>
      </c>
      <c r="CL518" s="2" t="s">
        <v>96</v>
      </c>
      <c r="CM518" s="2" t="s">
        <v>95</v>
      </c>
      <c r="CN518" s="2" t="s">
        <v>2379</v>
      </c>
      <c r="CO518" s="3">
        <v>42025</v>
      </c>
      <c r="CP518" s="3">
        <v>43634</v>
      </c>
    </row>
    <row r="519" spans="1:94" x14ac:dyDescent="0.25">
      <c r="A519" s="2" t="s">
        <v>2392</v>
      </c>
      <c r="B519" s="2" t="str">
        <f xml:space="preserve"> "" &amp; 844349002475</f>
        <v>844349002475</v>
      </c>
      <c r="C519" s="2" t="s">
        <v>1691</v>
      </c>
      <c r="D519" s="2" t="s">
        <v>1691</v>
      </c>
      <c r="F519" s="2" t="s">
        <v>418</v>
      </c>
      <c r="G519" s="2">
        <v>1</v>
      </c>
      <c r="H519" s="2">
        <v>1</v>
      </c>
      <c r="I519" s="2" t="s">
        <v>94</v>
      </c>
      <c r="J519" s="6">
        <v>69</v>
      </c>
      <c r="K519" s="6">
        <v>207</v>
      </c>
      <c r="L519" s="2">
        <v>0</v>
      </c>
      <c r="N519" s="2">
        <v>0</v>
      </c>
      <c r="O519" s="2" t="s">
        <v>96</v>
      </c>
      <c r="P519" s="6">
        <v>124.95</v>
      </c>
      <c r="Q519" s="6"/>
      <c r="R519" s="7"/>
      <c r="S519" s="2">
        <v>11</v>
      </c>
      <c r="U519" s="2">
        <v>16</v>
      </c>
      <c r="V519" s="2">
        <v>7</v>
      </c>
      <c r="W519" s="2">
        <v>2.2000000000000002</v>
      </c>
      <c r="X519" s="2">
        <v>1</v>
      </c>
      <c r="Y519" s="2">
        <v>9.5</v>
      </c>
      <c r="Z519" s="2">
        <v>18</v>
      </c>
      <c r="AA519" s="2">
        <v>8</v>
      </c>
      <c r="AB519" s="2">
        <v>0.79200000000000004</v>
      </c>
      <c r="AC519" s="2">
        <v>3.31</v>
      </c>
      <c r="AE519" s="2">
        <v>2</v>
      </c>
      <c r="AF519" s="2" t="s">
        <v>2393</v>
      </c>
      <c r="AG519" s="2">
        <v>60</v>
      </c>
      <c r="AK519" s="2" t="s">
        <v>95</v>
      </c>
      <c r="AM519" s="2" t="s">
        <v>95</v>
      </c>
      <c r="AN519" s="2" t="s">
        <v>96</v>
      </c>
      <c r="AO519" s="2" t="s">
        <v>95</v>
      </c>
      <c r="AP519" s="2" t="s">
        <v>97</v>
      </c>
      <c r="AQ519" s="2" t="s">
        <v>98</v>
      </c>
      <c r="AV519" s="2" t="s">
        <v>95</v>
      </c>
      <c r="AX519" s="2" t="s">
        <v>395</v>
      </c>
      <c r="AZ519" s="2" t="s">
        <v>449</v>
      </c>
      <c r="BB519" s="2" t="s">
        <v>490</v>
      </c>
      <c r="BC519" s="2" t="s">
        <v>2394</v>
      </c>
      <c r="BF519" s="2" t="s">
        <v>2395</v>
      </c>
      <c r="BG519" s="2" t="s">
        <v>95</v>
      </c>
      <c r="BH519" s="2" t="s">
        <v>95</v>
      </c>
      <c r="BI519" s="2" t="s">
        <v>95</v>
      </c>
      <c r="BK519" s="2" t="s">
        <v>414</v>
      </c>
      <c r="BL519" s="2" t="s">
        <v>476</v>
      </c>
      <c r="BM519" s="2">
        <v>5</v>
      </c>
      <c r="BN519" s="2">
        <v>5</v>
      </c>
      <c r="CA519" s="2" t="s">
        <v>2396</v>
      </c>
      <c r="CB519" s="2" t="s">
        <v>395</v>
      </c>
      <c r="CL519" s="2" t="s">
        <v>96</v>
      </c>
      <c r="CM519" s="2" t="s">
        <v>95</v>
      </c>
      <c r="CN519" s="2" t="s">
        <v>2376</v>
      </c>
      <c r="CO519" s="3">
        <v>39538</v>
      </c>
      <c r="CP519" s="3">
        <v>43634</v>
      </c>
    </row>
    <row r="520" spans="1:94" x14ac:dyDescent="0.25">
      <c r="A520" s="2" t="s">
        <v>2397</v>
      </c>
      <c r="B520" s="2" t="str">
        <f xml:space="preserve"> "" &amp; 844349024354</f>
        <v>844349024354</v>
      </c>
      <c r="C520" s="2" t="s">
        <v>526</v>
      </c>
      <c r="D520" s="2" t="s">
        <v>526</v>
      </c>
      <c r="F520" s="2" t="s">
        <v>418</v>
      </c>
      <c r="G520" s="2">
        <v>1</v>
      </c>
      <c r="H520" s="2">
        <v>1</v>
      </c>
      <c r="I520" s="2" t="s">
        <v>94</v>
      </c>
      <c r="J520" s="6">
        <v>119</v>
      </c>
      <c r="K520" s="6">
        <v>357</v>
      </c>
      <c r="L520" s="2">
        <v>0</v>
      </c>
      <c r="N520" s="2">
        <v>0</v>
      </c>
      <c r="O520" s="2" t="s">
        <v>96</v>
      </c>
      <c r="P520" s="6">
        <v>249.95</v>
      </c>
      <c r="Q520" s="6"/>
      <c r="R520" s="7"/>
      <c r="S520" s="2">
        <v>11</v>
      </c>
      <c r="U520" s="2">
        <v>16.75</v>
      </c>
      <c r="V520" s="2">
        <v>4</v>
      </c>
      <c r="W520" s="2">
        <v>5.4</v>
      </c>
      <c r="X520" s="2">
        <v>1</v>
      </c>
      <c r="Y520" s="2">
        <v>10</v>
      </c>
      <c r="Z520" s="2">
        <v>19.38</v>
      </c>
      <c r="AA520" s="2">
        <v>13.75</v>
      </c>
      <c r="AB520" s="2">
        <v>1.542</v>
      </c>
      <c r="AC520" s="2">
        <v>7.5</v>
      </c>
      <c r="AE520" s="2">
        <v>1</v>
      </c>
      <c r="AF520" s="2" t="s">
        <v>347</v>
      </c>
      <c r="AG520" s="2">
        <v>21</v>
      </c>
      <c r="AK520" s="2" t="s">
        <v>96</v>
      </c>
      <c r="AM520" s="2" t="s">
        <v>95</v>
      </c>
      <c r="AN520" s="2" t="s">
        <v>96</v>
      </c>
      <c r="AO520" s="2" t="s">
        <v>95</v>
      </c>
      <c r="AP520" s="2" t="s">
        <v>97</v>
      </c>
      <c r="AQ520" s="2" t="s">
        <v>98</v>
      </c>
      <c r="AV520" s="2" t="s">
        <v>95</v>
      </c>
      <c r="AX520" s="2" t="s">
        <v>379</v>
      </c>
      <c r="AZ520" s="2" t="s">
        <v>449</v>
      </c>
      <c r="BB520" s="2" t="s">
        <v>490</v>
      </c>
      <c r="BC520" s="2" t="s">
        <v>379</v>
      </c>
      <c r="BF520" s="2" t="s">
        <v>2398</v>
      </c>
      <c r="BG520" s="2" t="s">
        <v>95</v>
      </c>
      <c r="BH520" s="2" t="s">
        <v>95</v>
      </c>
      <c r="BI520" s="2" t="s">
        <v>95</v>
      </c>
      <c r="BK520" s="2" t="s">
        <v>414</v>
      </c>
      <c r="BM520" s="2">
        <v>16.25</v>
      </c>
      <c r="BN520" s="2">
        <v>10.75</v>
      </c>
      <c r="CA520" s="2" t="s">
        <v>2396</v>
      </c>
      <c r="CB520" s="2" t="s">
        <v>379</v>
      </c>
      <c r="CG520" s="2">
        <v>3000</v>
      </c>
      <c r="CH520" s="2">
        <v>97</v>
      </c>
      <c r="CI520" s="2">
        <v>1203</v>
      </c>
      <c r="CJ520" s="2">
        <v>667</v>
      </c>
      <c r="CK520" s="2">
        <v>30000</v>
      </c>
      <c r="CL520" s="2" t="s">
        <v>96</v>
      </c>
      <c r="CM520" s="2" t="s">
        <v>95</v>
      </c>
      <c r="CN520" s="2" t="s">
        <v>2379</v>
      </c>
      <c r="CO520" s="3">
        <v>43096</v>
      </c>
      <c r="CP520" s="3">
        <v>43634</v>
      </c>
    </row>
    <row r="521" spans="1:94" x14ac:dyDescent="0.25">
      <c r="A521" s="2" t="s">
        <v>2399</v>
      </c>
      <c r="B521" s="2" t="str">
        <f xml:space="preserve"> "" &amp; 874944002570</f>
        <v>874944002570</v>
      </c>
      <c r="C521" s="2" t="s">
        <v>1691</v>
      </c>
      <c r="D521" s="2" t="s">
        <v>1691</v>
      </c>
      <c r="F521" s="2" t="s">
        <v>418</v>
      </c>
      <c r="G521" s="2">
        <v>1</v>
      </c>
      <c r="H521" s="2">
        <v>1</v>
      </c>
      <c r="I521" s="2" t="s">
        <v>94</v>
      </c>
      <c r="J521" s="6">
        <v>69</v>
      </c>
      <c r="K521" s="6">
        <v>207</v>
      </c>
      <c r="L521" s="2">
        <v>0</v>
      </c>
      <c r="N521" s="2">
        <v>0</v>
      </c>
      <c r="O521" s="2" t="s">
        <v>96</v>
      </c>
      <c r="P521" s="6">
        <v>124.95</v>
      </c>
      <c r="Q521" s="6"/>
      <c r="R521" s="7"/>
      <c r="S521" s="2">
        <v>11</v>
      </c>
      <c r="U521" s="2">
        <v>16</v>
      </c>
      <c r="V521" s="2">
        <v>7</v>
      </c>
      <c r="W521" s="2">
        <v>2.2000000000000002</v>
      </c>
      <c r="X521" s="2">
        <v>1</v>
      </c>
      <c r="Y521" s="2">
        <v>9.5</v>
      </c>
      <c r="Z521" s="2">
        <v>18</v>
      </c>
      <c r="AA521" s="2">
        <v>8</v>
      </c>
      <c r="AB521" s="2">
        <v>0.79200000000000004</v>
      </c>
      <c r="AC521" s="2">
        <v>3.31</v>
      </c>
      <c r="AE521" s="2">
        <v>2</v>
      </c>
      <c r="AF521" s="2" t="s">
        <v>2393</v>
      </c>
      <c r="AG521" s="2">
        <v>60</v>
      </c>
      <c r="AK521" s="2" t="s">
        <v>95</v>
      </c>
      <c r="AL521" s="2">
        <v>2</v>
      </c>
      <c r="AM521" s="2" t="s">
        <v>95</v>
      </c>
      <c r="AN521" s="2" t="s">
        <v>96</v>
      </c>
      <c r="AO521" s="2" t="s">
        <v>95</v>
      </c>
      <c r="AP521" s="2" t="s">
        <v>97</v>
      </c>
      <c r="AQ521" s="2" t="s">
        <v>98</v>
      </c>
      <c r="AV521" s="2" t="s">
        <v>95</v>
      </c>
      <c r="AX521" s="2" t="s">
        <v>116</v>
      </c>
      <c r="AZ521" s="2" t="s">
        <v>449</v>
      </c>
      <c r="BB521" s="2" t="s">
        <v>490</v>
      </c>
      <c r="BC521" s="2" t="s">
        <v>379</v>
      </c>
      <c r="BF521" s="2" t="s">
        <v>2400</v>
      </c>
      <c r="BG521" s="2" t="s">
        <v>95</v>
      </c>
      <c r="BH521" s="2" t="s">
        <v>95</v>
      </c>
      <c r="BI521" s="2" t="s">
        <v>95</v>
      </c>
      <c r="BK521" s="2" t="s">
        <v>414</v>
      </c>
      <c r="BL521" s="2" t="s">
        <v>476</v>
      </c>
      <c r="BM521" s="2">
        <v>5</v>
      </c>
      <c r="BN521" s="2">
        <v>5</v>
      </c>
      <c r="CA521" s="2" t="s">
        <v>2396</v>
      </c>
      <c r="CB521" s="2" t="s">
        <v>116</v>
      </c>
      <c r="CL521" s="2" t="s">
        <v>96</v>
      </c>
      <c r="CM521" s="2" t="s">
        <v>95</v>
      </c>
      <c r="CN521" s="2" t="s">
        <v>2376</v>
      </c>
      <c r="CO521" s="3">
        <v>38682</v>
      </c>
      <c r="CP521" s="3">
        <v>43634</v>
      </c>
    </row>
    <row r="522" spans="1:94" x14ac:dyDescent="0.25">
      <c r="A522" s="2" t="s">
        <v>2401</v>
      </c>
      <c r="B522" s="2" t="str">
        <f xml:space="preserve"> "" &amp; 844349017745</f>
        <v>844349017745</v>
      </c>
      <c r="C522" s="2" t="s">
        <v>526</v>
      </c>
      <c r="D522" s="2" t="s">
        <v>526</v>
      </c>
      <c r="F522" s="2" t="s">
        <v>418</v>
      </c>
      <c r="G522" s="2">
        <v>1</v>
      </c>
      <c r="H522" s="2">
        <v>1</v>
      </c>
      <c r="I522" s="2" t="s">
        <v>94</v>
      </c>
      <c r="J522" s="6">
        <v>119</v>
      </c>
      <c r="K522" s="6">
        <v>357</v>
      </c>
      <c r="L522" s="2">
        <v>0</v>
      </c>
      <c r="N522" s="2">
        <v>0</v>
      </c>
      <c r="O522" s="2" t="s">
        <v>96</v>
      </c>
      <c r="P522" s="6">
        <v>249.95</v>
      </c>
      <c r="Q522" s="6"/>
      <c r="R522" s="7"/>
      <c r="S522" s="2">
        <v>11</v>
      </c>
      <c r="U522" s="2">
        <v>16.75</v>
      </c>
      <c r="V522" s="2">
        <v>4</v>
      </c>
      <c r="W522" s="2">
        <v>5.4</v>
      </c>
      <c r="X522" s="2">
        <v>1</v>
      </c>
      <c r="Y522" s="2">
        <v>10</v>
      </c>
      <c r="Z522" s="2">
        <v>19.38</v>
      </c>
      <c r="AA522" s="2">
        <v>13.75</v>
      </c>
      <c r="AB522" s="2">
        <v>1.542</v>
      </c>
      <c r="AC522" s="2">
        <v>7.5</v>
      </c>
      <c r="AE522" s="2">
        <v>1</v>
      </c>
      <c r="AF522" s="2" t="s">
        <v>347</v>
      </c>
      <c r="AG522" s="2">
        <v>21</v>
      </c>
      <c r="AK522" s="2" t="s">
        <v>96</v>
      </c>
      <c r="AM522" s="2" t="s">
        <v>95</v>
      </c>
      <c r="AN522" s="2" t="s">
        <v>96</v>
      </c>
      <c r="AO522" s="2" t="s">
        <v>95</v>
      </c>
      <c r="AP522" s="2" t="s">
        <v>97</v>
      </c>
      <c r="AQ522" s="2" t="s">
        <v>98</v>
      </c>
      <c r="AV522" s="2" t="s">
        <v>95</v>
      </c>
      <c r="AX522" s="2" t="s">
        <v>116</v>
      </c>
      <c r="AZ522" s="2" t="s">
        <v>342</v>
      </c>
      <c r="BB522" s="2" t="s">
        <v>490</v>
      </c>
      <c r="BC522" s="2" t="s">
        <v>379</v>
      </c>
      <c r="BF522" s="2" t="s">
        <v>2402</v>
      </c>
      <c r="BG522" s="2" t="s">
        <v>95</v>
      </c>
      <c r="BH522" s="2" t="s">
        <v>96</v>
      </c>
      <c r="BI522" s="2" t="s">
        <v>95</v>
      </c>
      <c r="BK522" s="2" t="s">
        <v>414</v>
      </c>
      <c r="BM522" s="2">
        <v>16.25</v>
      </c>
      <c r="BN522" s="2">
        <v>10.75</v>
      </c>
      <c r="CA522" s="2" t="s">
        <v>2396</v>
      </c>
      <c r="CB522" s="2" t="s">
        <v>116</v>
      </c>
      <c r="CG522" s="2">
        <v>3000</v>
      </c>
      <c r="CH522" s="2">
        <v>97</v>
      </c>
      <c r="CI522" s="2">
        <v>1203</v>
      </c>
      <c r="CJ522" s="2">
        <v>667</v>
      </c>
      <c r="CK522" s="2">
        <v>30000</v>
      </c>
      <c r="CL522" s="2" t="s">
        <v>96</v>
      </c>
      <c r="CM522" s="2" t="s">
        <v>95</v>
      </c>
      <c r="CN522" s="2" t="s">
        <v>2379</v>
      </c>
      <c r="CO522" s="3">
        <v>42025</v>
      </c>
      <c r="CP522" s="3">
        <v>43634</v>
      </c>
    </row>
    <row r="523" spans="1:94" x14ac:dyDescent="0.25">
      <c r="A523" s="2" t="s">
        <v>2403</v>
      </c>
      <c r="B523" s="2" t="str">
        <f xml:space="preserve"> "" &amp; 844349010982</f>
        <v>844349010982</v>
      </c>
      <c r="C523" s="2" t="s">
        <v>1691</v>
      </c>
      <c r="D523" s="2" t="s">
        <v>1691</v>
      </c>
      <c r="F523" s="2" t="s">
        <v>418</v>
      </c>
      <c r="G523" s="2">
        <v>1</v>
      </c>
      <c r="H523" s="2">
        <v>1</v>
      </c>
      <c r="I523" s="2" t="s">
        <v>94</v>
      </c>
      <c r="J523" s="6">
        <v>69</v>
      </c>
      <c r="K523" s="6">
        <v>207</v>
      </c>
      <c r="L523" s="2">
        <v>0</v>
      </c>
      <c r="N523" s="2">
        <v>0</v>
      </c>
      <c r="O523" s="2" t="s">
        <v>96</v>
      </c>
      <c r="P523" s="6">
        <v>124.95</v>
      </c>
      <c r="Q523" s="6"/>
      <c r="R523" s="7"/>
      <c r="S523" s="2">
        <v>11</v>
      </c>
      <c r="U523" s="2">
        <v>16</v>
      </c>
      <c r="V523" s="2">
        <v>7</v>
      </c>
      <c r="W523" s="2">
        <v>2.2000000000000002</v>
      </c>
      <c r="X523" s="2">
        <v>1</v>
      </c>
      <c r="Y523" s="2">
        <v>9.5</v>
      </c>
      <c r="Z523" s="2">
        <v>18</v>
      </c>
      <c r="AA523" s="2">
        <v>8</v>
      </c>
      <c r="AB523" s="2">
        <v>0.79200000000000004</v>
      </c>
      <c r="AC523" s="2">
        <v>3.31</v>
      </c>
      <c r="AE523" s="2">
        <v>2</v>
      </c>
      <c r="AF523" s="2" t="s">
        <v>2404</v>
      </c>
      <c r="AG523" s="2">
        <v>60</v>
      </c>
      <c r="AK523" s="2" t="s">
        <v>95</v>
      </c>
      <c r="AL523" s="2">
        <v>2</v>
      </c>
      <c r="AM523" s="2" t="s">
        <v>95</v>
      </c>
      <c r="AN523" s="2" t="s">
        <v>96</v>
      </c>
      <c r="AO523" s="2" t="s">
        <v>95</v>
      </c>
      <c r="AP523" s="2" t="s">
        <v>97</v>
      </c>
      <c r="AQ523" s="2" t="s">
        <v>98</v>
      </c>
      <c r="AV523" s="2" t="s">
        <v>95</v>
      </c>
      <c r="AX523" s="2" t="s">
        <v>1688</v>
      </c>
      <c r="AZ523" s="2" t="s">
        <v>449</v>
      </c>
      <c r="BB523" s="2" t="s">
        <v>490</v>
      </c>
      <c r="BC523" s="2" t="s">
        <v>379</v>
      </c>
      <c r="BF523" s="2" t="s">
        <v>2405</v>
      </c>
      <c r="BG523" s="2" t="s">
        <v>95</v>
      </c>
      <c r="BH523" s="2" t="s">
        <v>95</v>
      </c>
      <c r="BI523" s="2" t="s">
        <v>95</v>
      </c>
      <c r="BK523" s="2" t="s">
        <v>414</v>
      </c>
      <c r="BL523" s="2" t="s">
        <v>476</v>
      </c>
      <c r="BM523" s="2">
        <v>5</v>
      </c>
      <c r="BN523" s="2">
        <v>5</v>
      </c>
      <c r="CA523" s="2" t="s">
        <v>2396</v>
      </c>
      <c r="CB523" s="2" t="s">
        <v>1688</v>
      </c>
      <c r="CL523" s="2" t="s">
        <v>96</v>
      </c>
      <c r="CM523" s="2" t="s">
        <v>95</v>
      </c>
      <c r="CN523" s="2" t="s">
        <v>2382</v>
      </c>
      <c r="CO523" s="3">
        <v>40865</v>
      </c>
      <c r="CP523" s="3">
        <v>43634</v>
      </c>
    </row>
    <row r="524" spans="1:94" x14ac:dyDescent="0.25">
      <c r="A524" s="2" t="s">
        <v>2406</v>
      </c>
      <c r="B524" s="2" t="str">
        <f xml:space="preserve"> "" &amp; 874944002587</f>
        <v>874944002587</v>
      </c>
      <c r="C524" s="2" t="s">
        <v>1691</v>
      </c>
      <c r="D524" s="2" t="s">
        <v>1691</v>
      </c>
      <c r="F524" s="2" t="s">
        <v>418</v>
      </c>
      <c r="G524" s="2">
        <v>1</v>
      </c>
      <c r="H524" s="2">
        <v>1</v>
      </c>
      <c r="I524" s="2" t="s">
        <v>94</v>
      </c>
      <c r="J524" s="6">
        <v>69</v>
      </c>
      <c r="K524" s="6">
        <v>207</v>
      </c>
      <c r="L524" s="2">
        <v>0</v>
      </c>
      <c r="N524" s="2">
        <v>0</v>
      </c>
      <c r="O524" s="2" t="s">
        <v>96</v>
      </c>
      <c r="P524" s="6">
        <v>124.95</v>
      </c>
      <c r="Q524" s="6"/>
      <c r="R524" s="7"/>
      <c r="S524" s="2">
        <v>11</v>
      </c>
      <c r="U524" s="2">
        <v>16</v>
      </c>
      <c r="V524" s="2">
        <v>7</v>
      </c>
      <c r="W524" s="2">
        <v>2.2000000000000002</v>
      </c>
      <c r="X524" s="2">
        <v>1</v>
      </c>
      <c r="Y524" s="2">
        <v>9.5</v>
      </c>
      <c r="Z524" s="2">
        <v>18</v>
      </c>
      <c r="AA524" s="2">
        <v>8</v>
      </c>
      <c r="AB524" s="2">
        <v>0.79200000000000004</v>
      </c>
      <c r="AC524" s="2">
        <v>3.31</v>
      </c>
      <c r="AE524" s="2">
        <v>2</v>
      </c>
      <c r="AF524" s="2" t="s">
        <v>2407</v>
      </c>
      <c r="AG524" s="2">
        <v>60</v>
      </c>
      <c r="AK524" s="2" t="s">
        <v>95</v>
      </c>
      <c r="AL524" s="2">
        <v>2</v>
      </c>
      <c r="AM524" s="2" t="s">
        <v>95</v>
      </c>
      <c r="AN524" s="2" t="s">
        <v>96</v>
      </c>
      <c r="AO524" s="2" t="s">
        <v>95</v>
      </c>
      <c r="AP524" s="2" t="s">
        <v>97</v>
      </c>
      <c r="AQ524" s="2" t="s">
        <v>98</v>
      </c>
      <c r="AV524" s="2" t="s">
        <v>95</v>
      </c>
      <c r="AX524" s="2" t="s">
        <v>674</v>
      </c>
      <c r="AZ524" s="2" t="s">
        <v>449</v>
      </c>
      <c r="BB524" s="2" t="s">
        <v>490</v>
      </c>
      <c r="BC524" s="2" t="s">
        <v>2394</v>
      </c>
      <c r="BF524" s="2" t="s">
        <v>2408</v>
      </c>
      <c r="BG524" s="2" t="s">
        <v>95</v>
      </c>
      <c r="BH524" s="2" t="s">
        <v>95</v>
      </c>
      <c r="BI524" s="2" t="s">
        <v>95</v>
      </c>
      <c r="BK524" s="2" t="s">
        <v>414</v>
      </c>
      <c r="BL524" s="2" t="s">
        <v>476</v>
      </c>
      <c r="BM524" s="2">
        <v>5</v>
      </c>
      <c r="BN524" s="2">
        <v>5</v>
      </c>
      <c r="CA524" s="2" t="s">
        <v>2396</v>
      </c>
      <c r="CB524" s="2" t="s">
        <v>674</v>
      </c>
      <c r="CL524" s="2" t="s">
        <v>96</v>
      </c>
      <c r="CM524" s="2" t="s">
        <v>95</v>
      </c>
      <c r="CN524" s="2" t="s">
        <v>2376</v>
      </c>
      <c r="CO524" s="3">
        <v>38682</v>
      </c>
      <c r="CP524" s="3">
        <v>43634</v>
      </c>
    </row>
    <row r="525" spans="1:94" x14ac:dyDescent="0.25">
      <c r="A525" s="2" t="s">
        <v>2409</v>
      </c>
      <c r="B525" s="2" t="str">
        <f xml:space="preserve"> "" &amp; 844349017752</f>
        <v>844349017752</v>
      </c>
      <c r="C525" s="2" t="s">
        <v>526</v>
      </c>
      <c r="D525" s="2" t="s">
        <v>526</v>
      </c>
      <c r="F525" s="2" t="s">
        <v>418</v>
      </c>
      <c r="G525" s="2">
        <v>1</v>
      </c>
      <c r="H525" s="2">
        <v>1</v>
      </c>
      <c r="I525" s="2" t="s">
        <v>94</v>
      </c>
      <c r="J525" s="6">
        <v>119</v>
      </c>
      <c r="K525" s="6">
        <v>357</v>
      </c>
      <c r="L525" s="2">
        <v>0</v>
      </c>
      <c r="N525" s="2">
        <v>0</v>
      </c>
      <c r="O525" s="2" t="s">
        <v>96</v>
      </c>
      <c r="P525" s="6">
        <v>249.95</v>
      </c>
      <c r="Q525" s="6"/>
      <c r="R525" s="7"/>
      <c r="S525" s="2">
        <v>11</v>
      </c>
      <c r="U525" s="2">
        <v>17</v>
      </c>
      <c r="V525" s="2">
        <v>4</v>
      </c>
      <c r="W525" s="2">
        <v>5.4</v>
      </c>
      <c r="X525" s="2">
        <v>1</v>
      </c>
      <c r="Y525" s="2">
        <v>10</v>
      </c>
      <c r="Z525" s="2">
        <v>19.38</v>
      </c>
      <c r="AA525" s="2">
        <v>13.75</v>
      </c>
      <c r="AB525" s="2">
        <v>1.542</v>
      </c>
      <c r="AC525" s="2">
        <v>7.5</v>
      </c>
      <c r="AE525" s="2">
        <v>1</v>
      </c>
      <c r="AF525" s="2" t="s">
        <v>347</v>
      </c>
      <c r="AG525" s="2">
        <v>21</v>
      </c>
      <c r="AK525" s="2" t="s">
        <v>96</v>
      </c>
      <c r="AM525" s="2" t="s">
        <v>95</v>
      </c>
      <c r="AN525" s="2" t="s">
        <v>96</v>
      </c>
      <c r="AO525" s="2" t="s">
        <v>95</v>
      </c>
      <c r="AP525" s="2" t="s">
        <v>97</v>
      </c>
      <c r="AQ525" s="2" t="s">
        <v>98</v>
      </c>
      <c r="AV525" s="2" t="s">
        <v>95</v>
      </c>
      <c r="AX525" s="2" t="s">
        <v>674</v>
      </c>
      <c r="AZ525" s="2" t="s">
        <v>342</v>
      </c>
      <c r="BB525" s="2" t="s">
        <v>490</v>
      </c>
      <c r="BC525" s="2" t="s">
        <v>2410</v>
      </c>
      <c r="BF525" s="2" t="s">
        <v>2411</v>
      </c>
      <c r="BG525" s="2" t="s">
        <v>95</v>
      </c>
      <c r="BH525" s="2" t="s">
        <v>96</v>
      </c>
      <c r="BI525" s="2" t="s">
        <v>95</v>
      </c>
      <c r="BK525" s="2" t="s">
        <v>414</v>
      </c>
      <c r="BM525" s="2">
        <v>16.25</v>
      </c>
      <c r="BN525" s="2">
        <v>10.75</v>
      </c>
      <c r="CA525" s="2" t="s">
        <v>2396</v>
      </c>
      <c r="CB525" s="2" t="s">
        <v>674</v>
      </c>
      <c r="CG525" s="2">
        <v>3000</v>
      </c>
      <c r="CH525" s="2">
        <v>92</v>
      </c>
      <c r="CI525" s="2">
        <v>1651</v>
      </c>
      <c r="CJ525" s="2">
        <v>934</v>
      </c>
      <c r="CK525" s="2">
        <v>30000</v>
      </c>
      <c r="CL525" s="2" t="s">
        <v>96</v>
      </c>
      <c r="CM525" s="2" t="s">
        <v>95</v>
      </c>
      <c r="CN525" s="2" t="s">
        <v>2379</v>
      </c>
      <c r="CO525" s="3">
        <v>42025</v>
      </c>
      <c r="CP525" s="3">
        <v>43634</v>
      </c>
    </row>
    <row r="526" spans="1:94" x14ac:dyDescent="0.25">
      <c r="A526" s="2" t="s">
        <v>2412</v>
      </c>
      <c r="B526" s="2" t="str">
        <f xml:space="preserve"> "" &amp; 874944008541</f>
        <v>874944008541</v>
      </c>
      <c r="C526" s="2" t="s">
        <v>2413</v>
      </c>
      <c r="D526" s="2" t="s">
        <v>3678</v>
      </c>
      <c r="E526" s="2" t="s">
        <v>425</v>
      </c>
      <c r="F526" s="2" t="s">
        <v>418</v>
      </c>
      <c r="G526" s="2">
        <v>1</v>
      </c>
      <c r="H526" s="2">
        <v>1</v>
      </c>
      <c r="I526" s="2" t="s">
        <v>94</v>
      </c>
      <c r="J526" s="6">
        <v>114</v>
      </c>
      <c r="K526" s="6">
        <v>342</v>
      </c>
      <c r="L526" s="2">
        <v>0</v>
      </c>
      <c r="N526" s="2">
        <v>0</v>
      </c>
      <c r="O526" s="2" t="s">
        <v>96</v>
      </c>
      <c r="P526" s="6">
        <v>239.95</v>
      </c>
      <c r="Q526" s="6"/>
      <c r="R526" s="7"/>
      <c r="S526" s="2">
        <v>20</v>
      </c>
      <c r="U526" s="2">
        <v>7.25</v>
      </c>
      <c r="V526" s="2">
        <v>10.25</v>
      </c>
      <c r="W526" s="2">
        <v>6.92</v>
      </c>
      <c r="X526" s="2">
        <v>1</v>
      </c>
      <c r="Y526" s="2">
        <v>8.25</v>
      </c>
      <c r="Z526" s="2">
        <v>18.75</v>
      </c>
      <c r="AA526" s="2">
        <v>12.75</v>
      </c>
      <c r="AB526" s="2">
        <v>1.141</v>
      </c>
      <c r="AC526" s="2">
        <v>9.83</v>
      </c>
      <c r="AE526" s="2">
        <v>1</v>
      </c>
      <c r="AF526" s="2" t="s">
        <v>1430</v>
      </c>
      <c r="AG526" s="2">
        <v>10</v>
      </c>
      <c r="AH526" s="2">
        <v>1</v>
      </c>
      <c r="AI526" s="2" t="s">
        <v>347</v>
      </c>
      <c r="AJ526" s="2">
        <v>3</v>
      </c>
      <c r="AK526" s="2" t="s">
        <v>96</v>
      </c>
      <c r="AL526" s="2">
        <v>2</v>
      </c>
      <c r="AM526" s="2" t="s">
        <v>95</v>
      </c>
      <c r="AN526" s="2" t="s">
        <v>96</v>
      </c>
      <c r="AO526" s="2" t="s">
        <v>95</v>
      </c>
      <c r="AP526" s="2" t="s">
        <v>97</v>
      </c>
      <c r="AQ526" s="2" t="s">
        <v>98</v>
      </c>
      <c r="AV526" s="2" t="s">
        <v>95</v>
      </c>
      <c r="AX526" s="2" t="s">
        <v>395</v>
      </c>
      <c r="AZ526" s="2" t="s">
        <v>342</v>
      </c>
      <c r="BB526" s="2" t="s">
        <v>490</v>
      </c>
      <c r="BC526" s="2" t="s">
        <v>379</v>
      </c>
      <c r="BF526" s="2" t="s">
        <v>2414</v>
      </c>
      <c r="BG526" s="2" t="s">
        <v>95</v>
      </c>
      <c r="BH526" s="2" t="s">
        <v>95</v>
      </c>
      <c r="BI526" s="2" t="s">
        <v>95</v>
      </c>
      <c r="BK526" s="2" t="s">
        <v>100</v>
      </c>
      <c r="BL526" s="2" t="s">
        <v>476</v>
      </c>
      <c r="BM526" s="2">
        <v>5</v>
      </c>
      <c r="BN526" s="2">
        <v>8</v>
      </c>
      <c r="CA526" s="2" t="s">
        <v>2415</v>
      </c>
      <c r="CB526" s="2" t="s">
        <v>395</v>
      </c>
      <c r="CG526" s="2">
        <v>3000</v>
      </c>
      <c r="CK526" s="2">
        <v>25000</v>
      </c>
      <c r="CL526" s="2" t="s">
        <v>95</v>
      </c>
      <c r="CM526" s="2" t="s">
        <v>95</v>
      </c>
      <c r="CN526" s="2" t="s">
        <v>2416</v>
      </c>
      <c r="CO526" s="3">
        <v>39906</v>
      </c>
      <c r="CP526" s="3">
        <v>43634</v>
      </c>
    </row>
    <row r="527" spans="1:94" x14ac:dyDescent="0.25">
      <c r="A527" s="2" t="s">
        <v>2417</v>
      </c>
      <c r="B527" s="2" t="str">
        <f xml:space="preserve"> "" &amp; 874944008558</f>
        <v>874944008558</v>
      </c>
      <c r="C527" s="2" t="s">
        <v>2413</v>
      </c>
      <c r="D527" s="2" t="s">
        <v>3678</v>
      </c>
      <c r="E527" s="2" t="s">
        <v>425</v>
      </c>
      <c r="F527" s="2" t="s">
        <v>418</v>
      </c>
      <c r="G527" s="2">
        <v>1</v>
      </c>
      <c r="H527" s="2">
        <v>1</v>
      </c>
      <c r="I527" s="2" t="s">
        <v>94</v>
      </c>
      <c r="J527" s="6">
        <v>114</v>
      </c>
      <c r="K527" s="6">
        <v>342</v>
      </c>
      <c r="L527" s="2">
        <v>0</v>
      </c>
      <c r="N527" s="2">
        <v>0</v>
      </c>
      <c r="O527" s="2" t="s">
        <v>96</v>
      </c>
      <c r="P527" s="6">
        <v>239.95</v>
      </c>
      <c r="Q527" s="6"/>
      <c r="R527" s="7"/>
      <c r="S527" s="2">
        <v>25</v>
      </c>
      <c r="T527" s="2">
        <v>10</v>
      </c>
      <c r="U527" s="2">
        <v>10</v>
      </c>
      <c r="V527" s="2">
        <v>10</v>
      </c>
      <c r="W527" s="2">
        <v>7.14</v>
      </c>
      <c r="X527" s="2">
        <v>1</v>
      </c>
      <c r="Y527" s="2">
        <v>11.5</v>
      </c>
      <c r="Z527" s="2">
        <v>16.5</v>
      </c>
      <c r="AA527" s="2">
        <v>15</v>
      </c>
      <c r="AB527" s="2">
        <v>1.647</v>
      </c>
      <c r="AC527" s="2">
        <v>10.050000000000001</v>
      </c>
      <c r="AE527" s="2">
        <v>1</v>
      </c>
      <c r="AF527" s="2" t="s">
        <v>1430</v>
      </c>
      <c r="AG527" s="2">
        <v>10</v>
      </c>
      <c r="AH527" s="2">
        <v>1</v>
      </c>
      <c r="AI527" s="2" t="s">
        <v>347</v>
      </c>
      <c r="AJ527" s="2">
        <v>3</v>
      </c>
      <c r="AK527" s="2" t="s">
        <v>96</v>
      </c>
      <c r="AL527" s="2">
        <v>2</v>
      </c>
      <c r="AM527" s="2" t="s">
        <v>95</v>
      </c>
      <c r="AN527" s="2" t="s">
        <v>96</v>
      </c>
      <c r="AO527" s="2" t="s">
        <v>95</v>
      </c>
      <c r="AP527" s="2" t="s">
        <v>97</v>
      </c>
      <c r="AQ527" s="2" t="s">
        <v>98</v>
      </c>
      <c r="AV527" s="2" t="s">
        <v>95</v>
      </c>
      <c r="AX527" s="2" t="s">
        <v>395</v>
      </c>
      <c r="AZ527" s="2" t="s">
        <v>342</v>
      </c>
      <c r="BB527" s="2" t="s">
        <v>490</v>
      </c>
      <c r="BC527" s="2" t="s">
        <v>379</v>
      </c>
      <c r="BF527" s="2" t="s">
        <v>2418</v>
      </c>
      <c r="BG527" s="2" t="s">
        <v>95</v>
      </c>
      <c r="BH527" s="2" t="s">
        <v>95</v>
      </c>
      <c r="BI527" s="2" t="s">
        <v>95</v>
      </c>
      <c r="BK527" s="2" t="s">
        <v>100</v>
      </c>
      <c r="BL527" s="2" t="s">
        <v>476</v>
      </c>
      <c r="BM527" s="2">
        <v>4.5</v>
      </c>
      <c r="BN527" s="2">
        <v>7.5</v>
      </c>
      <c r="CA527" s="2" t="s">
        <v>2419</v>
      </c>
      <c r="CB527" s="2" t="s">
        <v>395</v>
      </c>
      <c r="CG527" s="2">
        <v>3000</v>
      </c>
      <c r="CK527" s="2">
        <v>25000</v>
      </c>
      <c r="CL527" s="2" t="s">
        <v>95</v>
      </c>
      <c r="CM527" s="2" t="s">
        <v>95</v>
      </c>
      <c r="CN527" s="2" t="s">
        <v>2416</v>
      </c>
      <c r="CO527" s="3">
        <v>40008</v>
      </c>
      <c r="CP527" s="3">
        <v>43634</v>
      </c>
    </row>
    <row r="528" spans="1:94" x14ac:dyDescent="0.25">
      <c r="A528" s="2" t="s">
        <v>2420</v>
      </c>
      <c r="B528" s="2" t="str">
        <f xml:space="preserve"> "" &amp; 870540001856</f>
        <v>870540001856</v>
      </c>
      <c r="C528" s="2" t="s">
        <v>1001</v>
      </c>
      <c r="D528" s="2" t="s">
        <v>2421</v>
      </c>
      <c r="E528" s="2" t="s">
        <v>2422</v>
      </c>
      <c r="F528" s="2" t="s">
        <v>658</v>
      </c>
      <c r="G528" s="2">
        <v>1</v>
      </c>
      <c r="H528" s="2">
        <v>1</v>
      </c>
      <c r="I528" s="2" t="s">
        <v>94</v>
      </c>
      <c r="J528" s="6">
        <v>95</v>
      </c>
      <c r="K528" s="6">
        <v>285</v>
      </c>
      <c r="L528" s="2">
        <v>0</v>
      </c>
      <c r="N528" s="2">
        <v>0</v>
      </c>
      <c r="O528" s="2" t="s">
        <v>96</v>
      </c>
      <c r="P528" s="6">
        <v>199.95</v>
      </c>
      <c r="Q528" s="6"/>
      <c r="R528" s="7"/>
      <c r="S528" s="2">
        <v>7.75</v>
      </c>
      <c r="T528" s="2">
        <v>20.625</v>
      </c>
      <c r="U528" s="2">
        <v>16</v>
      </c>
      <c r="V528" s="2">
        <v>6.25</v>
      </c>
      <c r="W528" s="2">
        <v>3.33</v>
      </c>
      <c r="X528" s="2">
        <v>1</v>
      </c>
      <c r="Y528" s="2">
        <v>7.5</v>
      </c>
      <c r="Z528" s="2">
        <v>20.625</v>
      </c>
      <c r="AA528" s="2">
        <v>9.625</v>
      </c>
      <c r="AB528" s="2">
        <v>0.86199999999999999</v>
      </c>
      <c r="AC528" s="2">
        <v>4.7</v>
      </c>
      <c r="AE528" s="2">
        <v>3</v>
      </c>
      <c r="AF528" s="2" t="s">
        <v>2423</v>
      </c>
      <c r="AG528" s="2">
        <v>50</v>
      </c>
      <c r="AH528" s="2">
        <v>0</v>
      </c>
      <c r="AJ528" s="2">
        <v>0</v>
      </c>
      <c r="AK528" s="2" t="s">
        <v>96</v>
      </c>
      <c r="AM528" s="2" t="s">
        <v>95</v>
      </c>
      <c r="AN528" s="2" t="s">
        <v>95</v>
      </c>
      <c r="AO528" s="2" t="s">
        <v>96</v>
      </c>
      <c r="AP528" s="2" t="s">
        <v>97</v>
      </c>
      <c r="AQ528" s="2" t="s">
        <v>98</v>
      </c>
      <c r="AV528" s="2" t="s">
        <v>95</v>
      </c>
      <c r="AX528" s="2" t="s">
        <v>2424</v>
      </c>
      <c r="AZ528" s="2" t="s">
        <v>342</v>
      </c>
      <c r="BB528" s="2" t="s">
        <v>329</v>
      </c>
      <c r="BC528" s="2" t="s">
        <v>2425</v>
      </c>
      <c r="BF528" s="2" t="s">
        <v>2426</v>
      </c>
      <c r="BG528" s="2" t="s">
        <v>95</v>
      </c>
      <c r="BH528" s="2" t="s">
        <v>95</v>
      </c>
      <c r="BI528" s="2" t="s">
        <v>95</v>
      </c>
      <c r="BK528" s="2" t="s">
        <v>414</v>
      </c>
      <c r="BL528" s="2" t="s">
        <v>993</v>
      </c>
      <c r="BR528" s="2">
        <v>5.38</v>
      </c>
      <c r="BT528" s="2">
        <v>5.38</v>
      </c>
      <c r="CA528" s="2" t="s">
        <v>2427</v>
      </c>
      <c r="CB528" s="2" t="s">
        <v>2424</v>
      </c>
      <c r="CL528" s="2" t="s">
        <v>96</v>
      </c>
      <c r="CM528" s="2" t="s">
        <v>95</v>
      </c>
      <c r="CN528" s="2" t="s">
        <v>1404</v>
      </c>
      <c r="CO528" s="3">
        <v>39408</v>
      </c>
      <c r="CP528" s="3">
        <v>43634</v>
      </c>
    </row>
    <row r="529" spans="1:94" x14ac:dyDescent="0.25">
      <c r="A529" s="2" t="s">
        <v>2428</v>
      </c>
      <c r="B529" s="2" t="str">
        <f xml:space="preserve"> "" &amp; 870540001863</f>
        <v>870540001863</v>
      </c>
      <c r="C529" s="2" t="s">
        <v>1006</v>
      </c>
      <c r="D529" s="2" t="s">
        <v>2429</v>
      </c>
      <c r="E529" s="2" t="s">
        <v>2422</v>
      </c>
      <c r="F529" s="2" t="s">
        <v>658</v>
      </c>
      <c r="G529" s="2">
        <v>1</v>
      </c>
      <c r="H529" s="2">
        <v>1</v>
      </c>
      <c r="I529" s="2" t="s">
        <v>94</v>
      </c>
      <c r="J529" s="6">
        <v>110</v>
      </c>
      <c r="K529" s="6">
        <v>330</v>
      </c>
      <c r="L529" s="2">
        <v>0</v>
      </c>
      <c r="N529" s="2">
        <v>0</v>
      </c>
      <c r="O529" s="2" t="s">
        <v>96</v>
      </c>
      <c r="P529" s="6">
        <v>231.95</v>
      </c>
      <c r="Q529" s="6"/>
      <c r="R529" s="7"/>
      <c r="S529" s="2">
        <v>7.75</v>
      </c>
      <c r="U529" s="2">
        <v>22.5</v>
      </c>
      <c r="V529" s="2">
        <v>6.25</v>
      </c>
      <c r="W529" s="2">
        <v>4.0599999999999996</v>
      </c>
      <c r="X529" s="2">
        <v>1</v>
      </c>
      <c r="Y529" s="2">
        <v>7.5</v>
      </c>
      <c r="Z529" s="2">
        <v>25.38</v>
      </c>
      <c r="AA529" s="2">
        <v>9.6300000000000008</v>
      </c>
      <c r="AB529" s="2">
        <v>1.0609999999999999</v>
      </c>
      <c r="AC529" s="2">
        <v>5.73</v>
      </c>
      <c r="AE529" s="2">
        <v>4</v>
      </c>
      <c r="AF529" s="2" t="s">
        <v>2430</v>
      </c>
      <c r="AG529" s="2">
        <v>50</v>
      </c>
      <c r="AH529" s="2">
        <v>0</v>
      </c>
      <c r="AJ529" s="2">
        <v>0</v>
      </c>
      <c r="AK529" s="2" t="s">
        <v>96</v>
      </c>
      <c r="AM529" s="2" t="s">
        <v>95</v>
      </c>
      <c r="AN529" s="2" t="s">
        <v>95</v>
      </c>
      <c r="AO529" s="2" t="s">
        <v>96</v>
      </c>
      <c r="AP529" s="2" t="s">
        <v>97</v>
      </c>
      <c r="AQ529" s="2" t="s">
        <v>98</v>
      </c>
      <c r="AV529" s="2" t="s">
        <v>95</v>
      </c>
      <c r="AX529" s="2" t="s">
        <v>2424</v>
      </c>
      <c r="AZ529" s="2" t="s">
        <v>342</v>
      </c>
      <c r="BB529" s="2" t="s">
        <v>329</v>
      </c>
      <c r="BC529" s="2" t="s">
        <v>2425</v>
      </c>
      <c r="BF529" s="2" t="s">
        <v>2431</v>
      </c>
      <c r="BG529" s="2" t="s">
        <v>95</v>
      </c>
      <c r="BH529" s="2" t="s">
        <v>95</v>
      </c>
      <c r="BI529" s="2" t="s">
        <v>95</v>
      </c>
      <c r="BK529" s="2" t="s">
        <v>414</v>
      </c>
      <c r="BL529" s="2" t="s">
        <v>993</v>
      </c>
      <c r="BR529" s="2">
        <v>5.38</v>
      </c>
      <c r="BT529" s="2">
        <v>5.38</v>
      </c>
      <c r="CA529" s="2" t="s">
        <v>2432</v>
      </c>
      <c r="CB529" s="2" t="s">
        <v>2424</v>
      </c>
      <c r="CL529" s="2" t="s">
        <v>96</v>
      </c>
      <c r="CM529" s="2" t="s">
        <v>95</v>
      </c>
      <c r="CN529" s="2" t="s">
        <v>1404</v>
      </c>
      <c r="CO529" s="3">
        <v>39408</v>
      </c>
      <c r="CP529" s="3">
        <v>43634</v>
      </c>
    </row>
    <row r="530" spans="1:94" x14ac:dyDescent="0.25">
      <c r="A530" s="2" t="s">
        <v>2433</v>
      </c>
      <c r="B530" s="2" t="str">
        <f xml:space="preserve"> "" &amp; 870540001870</f>
        <v>870540001870</v>
      </c>
      <c r="C530" s="2" t="s">
        <v>2434</v>
      </c>
      <c r="D530" s="2" t="s">
        <v>2435</v>
      </c>
      <c r="E530" s="2" t="s">
        <v>2422</v>
      </c>
      <c r="F530" s="2" t="s">
        <v>658</v>
      </c>
      <c r="G530" s="2">
        <v>1</v>
      </c>
      <c r="H530" s="2">
        <v>1</v>
      </c>
      <c r="I530" s="2" t="s">
        <v>94</v>
      </c>
      <c r="J530" s="6">
        <v>139</v>
      </c>
      <c r="K530" s="6">
        <v>417</v>
      </c>
      <c r="L530" s="2">
        <v>0</v>
      </c>
      <c r="N530" s="2">
        <v>0</v>
      </c>
      <c r="O530" s="2" t="s">
        <v>96</v>
      </c>
      <c r="P530" s="6">
        <v>291.95</v>
      </c>
      <c r="Q530" s="6"/>
      <c r="R530" s="7"/>
      <c r="S530" s="2">
        <v>7.75</v>
      </c>
      <c r="U530" s="2">
        <v>28.88</v>
      </c>
      <c r="V530" s="2">
        <v>6.25</v>
      </c>
      <c r="W530" s="2">
        <v>4.83</v>
      </c>
      <c r="X530" s="2">
        <v>1</v>
      </c>
      <c r="Y530" s="2">
        <v>7.5</v>
      </c>
      <c r="Z530" s="2">
        <v>31.63</v>
      </c>
      <c r="AA530" s="2">
        <v>9.6300000000000008</v>
      </c>
      <c r="AB530" s="2">
        <v>1.3220000000000001</v>
      </c>
      <c r="AC530" s="2">
        <v>6.99</v>
      </c>
      <c r="AE530" s="2">
        <v>5</v>
      </c>
      <c r="AF530" s="2" t="s">
        <v>2436</v>
      </c>
      <c r="AG530" s="2">
        <v>50</v>
      </c>
      <c r="AH530" s="2">
        <v>0</v>
      </c>
      <c r="AJ530" s="2">
        <v>0</v>
      </c>
      <c r="AK530" s="2" t="s">
        <v>96</v>
      </c>
      <c r="AM530" s="2" t="s">
        <v>95</v>
      </c>
      <c r="AN530" s="2" t="s">
        <v>95</v>
      </c>
      <c r="AO530" s="2" t="s">
        <v>96</v>
      </c>
      <c r="AP530" s="2" t="s">
        <v>97</v>
      </c>
      <c r="AQ530" s="2" t="s">
        <v>98</v>
      </c>
      <c r="AV530" s="2" t="s">
        <v>95</v>
      </c>
      <c r="AX530" s="2" t="s">
        <v>2424</v>
      </c>
      <c r="AZ530" s="2" t="s">
        <v>342</v>
      </c>
      <c r="BB530" s="2" t="s">
        <v>329</v>
      </c>
      <c r="BC530" s="2" t="s">
        <v>2437</v>
      </c>
      <c r="BF530" s="2" t="s">
        <v>2438</v>
      </c>
      <c r="BG530" s="2" t="s">
        <v>95</v>
      </c>
      <c r="BH530" s="2" t="s">
        <v>95</v>
      </c>
      <c r="BI530" s="2" t="s">
        <v>95</v>
      </c>
      <c r="BK530" s="2" t="s">
        <v>414</v>
      </c>
      <c r="BL530" s="2" t="s">
        <v>993</v>
      </c>
      <c r="BR530" s="2">
        <v>5.38</v>
      </c>
      <c r="BT530" s="2">
        <v>5.38</v>
      </c>
      <c r="CA530" s="2" t="s">
        <v>2439</v>
      </c>
      <c r="CB530" s="2" t="s">
        <v>2424</v>
      </c>
      <c r="CL530" s="2" t="s">
        <v>96</v>
      </c>
      <c r="CM530" s="2" t="s">
        <v>95</v>
      </c>
      <c r="CN530" s="2" t="s">
        <v>1404</v>
      </c>
      <c r="CO530" s="3">
        <v>39408</v>
      </c>
      <c r="CP530" s="3">
        <v>43634</v>
      </c>
    </row>
    <row r="531" spans="1:94" x14ac:dyDescent="0.25">
      <c r="A531" s="2" t="s">
        <v>2440</v>
      </c>
      <c r="B531" s="2" t="str">
        <f xml:space="preserve"> "" &amp; 870540001900</f>
        <v>870540001900</v>
      </c>
      <c r="C531" s="2" t="s">
        <v>1001</v>
      </c>
      <c r="D531" s="2" t="s">
        <v>2441</v>
      </c>
      <c r="E531" s="2" t="s">
        <v>2442</v>
      </c>
      <c r="F531" s="2" t="s">
        <v>658</v>
      </c>
      <c r="G531" s="2">
        <v>1</v>
      </c>
      <c r="H531" s="2">
        <v>1</v>
      </c>
      <c r="I531" s="2" t="s">
        <v>94</v>
      </c>
      <c r="J531" s="6">
        <v>99</v>
      </c>
      <c r="K531" s="6">
        <v>297</v>
      </c>
      <c r="L531" s="2">
        <v>0</v>
      </c>
      <c r="N531" s="2">
        <v>0</v>
      </c>
      <c r="O531" s="2" t="s">
        <v>96</v>
      </c>
      <c r="P531" s="6">
        <v>207.95</v>
      </c>
      <c r="Q531" s="6"/>
      <c r="R531" s="7"/>
      <c r="S531" s="2">
        <v>7.5</v>
      </c>
      <c r="T531" s="2">
        <v>24.125</v>
      </c>
      <c r="U531" s="2">
        <v>22</v>
      </c>
      <c r="V531" s="2">
        <v>12.5</v>
      </c>
      <c r="W531" s="2">
        <v>3.31</v>
      </c>
      <c r="X531" s="2">
        <v>1</v>
      </c>
      <c r="Y531" s="2">
        <v>10.5</v>
      </c>
      <c r="Z531" s="2">
        <v>24.125</v>
      </c>
      <c r="AA531" s="2">
        <v>6.625</v>
      </c>
      <c r="AB531" s="2">
        <v>0.97099999999999997</v>
      </c>
      <c r="AC531" s="2">
        <v>4.8499999999999996</v>
      </c>
      <c r="AE531" s="2">
        <v>3</v>
      </c>
      <c r="AF531" s="2" t="s">
        <v>2443</v>
      </c>
      <c r="AG531" s="2">
        <v>50</v>
      </c>
      <c r="AH531" s="2">
        <v>0</v>
      </c>
      <c r="AJ531" s="2">
        <v>0</v>
      </c>
      <c r="AK531" s="2" t="s">
        <v>96</v>
      </c>
      <c r="AM531" s="2" t="s">
        <v>95</v>
      </c>
      <c r="AN531" s="2" t="s">
        <v>95</v>
      </c>
      <c r="AO531" s="2" t="s">
        <v>96</v>
      </c>
      <c r="AP531" s="2" t="s">
        <v>97</v>
      </c>
      <c r="AQ531" s="2" t="s">
        <v>98</v>
      </c>
      <c r="AV531" s="2" t="s">
        <v>95</v>
      </c>
      <c r="AX531" s="2" t="s">
        <v>116</v>
      </c>
      <c r="AZ531" s="2" t="s">
        <v>342</v>
      </c>
      <c r="BB531" s="2" t="s">
        <v>2444</v>
      </c>
      <c r="BC531" s="2" t="s">
        <v>2425</v>
      </c>
      <c r="BF531" s="2" t="s">
        <v>2445</v>
      </c>
      <c r="BG531" s="2" t="s">
        <v>95</v>
      </c>
      <c r="BH531" s="2" t="s">
        <v>95</v>
      </c>
      <c r="BI531" s="2" t="s">
        <v>95</v>
      </c>
      <c r="BK531" s="2" t="s">
        <v>414</v>
      </c>
      <c r="BL531" s="2" t="s">
        <v>993</v>
      </c>
      <c r="BR531" s="2">
        <v>4.88</v>
      </c>
      <c r="BT531" s="2">
        <v>12.63</v>
      </c>
      <c r="CA531" s="2" t="s">
        <v>2446</v>
      </c>
      <c r="CB531" s="2" t="s">
        <v>116</v>
      </c>
      <c r="CL531" s="2" t="s">
        <v>96</v>
      </c>
      <c r="CM531" s="2" t="s">
        <v>95</v>
      </c>
      <c r="CN531" s="2" t="s">
        <v>460</v>
      </c>
      <c r="CO531" s="3">
        <v>37615</v>
      </c>
      <c r="CP531" s="3">
        <v>43634</v>
      </c>
    </row>
    <row r="532" spans="1:94" x14ac:dyDescent="0.25">
      <c r="A532" s="2" t="s">
        <v>2447</v>
      </c>
      <c r="B532" s="2" t="str">
        <f xml:space="preserve"> "" &amp; 870540001917</f>
        <v>870540001917</v>
      </c>
      <c r="C532" s="2" t="s">
        <v>1006</v>
      </c>
      <c r="D532" s="2" t="s">
        <v>2448</v>
      </c>
      <c r="E532" s="2" t="s">
        <v>2442</v>
      </c>
      <c r="F532" s="2" t="s">
        <v>658</v>
      </c>
      <c r="G532" s="2">
        <v>1</v>
      </c>
      <c r="H532" s="2">
        <v>1</v>
      </c>
      <c r="I532" s="2" t="s">
        <v>94</v>
      </c>
      <c r="J532" s="6">
        <v>115</v>
      </c>
      <c r="K532" s="6">
        <v>345</v>
      </c>
      <c r="L532" s="2">
        <v>0</v>
      </c>
      <c r="N532" s="2">
        <v>0</v>
      </c>
      <c r="O532" s="2" t="s">
        <v>96</v>
      </c>
      <c r="P532" s="6">
        <v>239.95</v>
      </c>
      <c r="Q532" s="6"/>
      <c r="R532" s="7"/>
      <c r="S532" s="2">
        <v>7.5</v>
      </c>
      <c r="U532" s="2">
        <v>30.5</v>
      </c>
      <c r="V532" s="2">
        <v>12.5</v>
      </c>
      <c r="W532" s="2">
        <v>4.08</v>
      </c>
      <c r="X532" s="2">
        <v>1</v>
      </c>
      <c r="Y532" s="2">
        <v>10.5</v>
      </c>
      <c r="Z532" s="2">
        <v>32.380000000000003</v>
      </c>
      <c r="AA532" s="2">
        <v>6.63</v>
      </c>
      <c r="AB532" s="2">
        <v>1.304</v>
      </c>
      <c r="AC532" s="2">
        <v>6.17</v>
      </c>
      <c r="AE532" s="2">
        <v>4</v>
      </c>
      <c r="AF532" s="2" t="s">
        <v>2443</v>
      </c>
      <c r="AG532" s="2">
        <v>40</v>
      </c>
      <c r="AH532" s="2">
        <v>0</v>
      </c>
      <c r="AJ532" s="2">
        <v>0</v>
      </c>
      <c r="AK532" s="2" t="s">
        <v>96</v>
      </c>
      <c r="AM532" s="2" t="s">
        <v>95</v>
      </c>
      <c r="AN532" s="2" t="s">
        <v>95</v>
      </c>
      <c r="AO532" s="2" t="s">
        <v>95</v>
      </c>
      <c r="AP532" s="2" t="s">
        <v>97</v>
      </c>
      <c r="AQ532" s="2" t="s">
        <v>98</v>
      </c>
      <c r="AV532" s="2" t="s">
        <v>95</v>
      </c>
      <c r="AX532" s="2" t="s">
        <v>116</v>
      </c>
      <c r="AZ532" s="2" t="s">
        <v>342</v>
      </c>
      <c r="BB532" s="2" t="s">
        <v>329</v>
      </c>
      <c r="BC532" s="2" t="s">
        <v>2425</v>
      </c>
      <c r="BF532" s="2" t="s">
        <v>2449</v>
      </c>
      <c r="BG532" s="2" t="s">
        <v>95</v>
      </c>
      <c r="BH532" s="2" t="s">
        <v>95</v>
      </c>
      <c r="BI532" s="2" t="s">
        <v>95</v>
      </c>
      <c r="BK532" s="2" t="s">
        <v>414</v>
      </c>
      <c r="BL532" s="2" t="s">
        <v>993</v>
      </c>
      <c r="BR532" s="2">
        <v>4.88</v>
      </c>
      <c r="BT532" s="2">
        <v>12.63</v>
      </c>
      <c r="CA532" s="2" t="s">
        <v>2450</v>
      </c>
      <c r="CB532" s="2" t="s">
        <v>116</v>
      </c>
      <c r="CL532" s="2" t="s">
        <v>96</v>
      </c>
      <c r="CM532" s="2" t="s">
        <v>95</v>
      </c>
      <c r="CN532" s="2" t="s">
        <v>1404</v>
      </c>
      <c r="CO532" s="3">
        <v>39387</v>
      </c>
      <c r="CP532" s="3">
        <v>43634</v>
      </c>
    </row>
    <row r="533" spans="1:94" x14ac:dyDescent="0.25">
      <c r="A533" s="2" t="s">
        <v>2451</v>
      </c>
      <c r="B533" s="2" t="str">
        <f xml:space="preserve"> "" &amp; 870540001924</f>
        <v>870540001924</v>
      </c>
      <c r="C533" s="2" t="s">
        <v>2434</v>
      </c>
      <c r="D533" s="2" t="s">
        <v>2452</v>
      </c>
      <c r="E533" s="2" t="s">
        <v>2442</v>
      </c>
      <c r="F533" s="2" t="s">
        <v>658</v>
      </c>
      <c r="G533" s="2">
        <v>1</v>
      </c>
      <c r="H533" s="2">
        <v>1</v>
      </c>
      <c r="I533" s="2" t="s">
        <v>94</v>
      </c>
      <c r="J533" s="6">
        <v>139</v>
      </c>
      <c r="K533" s="6">
        <v>417</v>
      </c>
      <c r="L533" s="2">
        <v>0</v>
      </c>
      <c r="N533" s="2">
        <v>0</v>
      </c>
      <c r="O533" s="2" t="s">
        <v>96</v>
      </c>
      <c r="P533" s="6">
        <v>291.95</v>
      </c>
      <c r="Q533" s="6"/>
      <c r="R533" s="7"/>
      <c r="S533" s="2">
        <v>7.5</v>
      </c>
      <c r="U533" s="2">
        <v>39</v>
      </c>
      <c r="V533" s="2">
        <v>12.5</v>
      </c>
      <c r="W533" s="2">
        <v>4.8499999999999996</v>
      </c>
      <c r="X533" s="2">
        <v>1</v>
      </c>
      <c r="Y533" s="2">
        <v>10.5</v>
      </c>
      <c r="Z533" s="2">
        <v>41.5</v>
      </c>
      <c r="AA533" s="2">
        <v>6.63</v>
      </c>
      <c r="AB533" s="2">
        <v>1.6719999999999999</v>
      </c>
      <c r="AC533" s="2">
        <v>7.39</v>
      </c>
      <c r="AE533" s="2">
        <v>5</v>
      </c>
      <c r="AF533" s="2" t="s">
        <v>2453</v>
      </c>
      <c r="AG533" s="2">
        <v>40</v>
      </c>
      <c r="AH533" s="2">
        <v>0</v>
      </c>
      <c r="AJ533" s="2">
        <v>0</v>
      </c>
      <c r="AK533" s="2" t="s">
        <v>96</v>
      </c>
      <c r="AM533" s="2" t="s">
        <v>95</v>
      </c>
      <c r="AN533" s="2" t="s">
        <v>95</v>
      </c>
      <c r="AO533" s="2" t="s">
        <v>96</v>
      </c>
      <c r="AP533" s="2" t="s">
        <v>97</v>
      </c>
      <c r="AQ533" s="2" t="s">
        <v>98</v>
      </c>
      <c r="AV533" s="2" t="s">
        <v>95</v>
      </c>
      <c r="AX533" s="2" t="s">
        <v>116</v>
      </c>
      <c r="AZ533" s="2" t="s">
        <v>342</v>
      </c>
      <c r="BB533" s="2" t="s">
        <v>329</v>
      </c>
      <c r="BC533" s="2" t="s">
        <v>2425</v>
      </c>
      <c r="BF533" s="2" t="s">
        <v>2454</v>
      </c>
      <c r="BG533" s="2" t="s">
        <v>95</v>
      </c>
      <c r="BH533" s="2" t="s">
        <v>95</v>
      </c>
      <c r="BI533" s="2" t="s">
        <v>95</v>
      </c>
      <c r="BK533" s="2" t="s">
        <v>414</v>
      </c>
      <c r="BL533" s="2" t="s">
        <v>993</v>
      </c>
      <c r="BR533" s="2">
        <v>4.88</v>
      </c>
      <c r="BT533" s="2">
        <v>12.63</v>
      </c>
      <c r="CA533" s="2" t="s">
        <v>2455</v>
      </c>
      <c r="CB533" s="2" t="s">
        <v>116</v>
      </c>
      <c r="CL533" s="2" t="s">
        <v>96</v>
      </c>
      <c r="CM533" s="2" t="s">
        <v>95</v>
      </c>
      <c r="CN533" s="2" t="s">
        <v>1404</v>
      </c>
      <c r="CO533" s="3">
        <v>37615</v>
      </c>
      <c r="CP533" s="3">
        <v>43634</v>
      </c>
    </row>
    <row r="534" spans="1:94" x14ac:dyDescent="0.25">
      <c r="A534" s="2" t="s">
        <v>2456</v>
      </c>
      <c r="B534" s="2" t="str">
        <f xml:space="preserve"> "" &amp; 844349002932</f>
        <v>844349002932</v>
      </c>
      <c r="C534" s="2" t="s">
        <v>1691</v>
      </c>
      <c r="D534" s="2" t="s">
        <v>2457</v>
      </c>
      <c r="E534" s="2" t="s">
        <v>613</v>
      </c>
      <c r="F534" s="2" t="s">
        <v>418</v>
      </c>
      <c r="G534" s="2">
        <v>1</v>
      </c>
      <c r="H534" s="2">
        <v>1</v>
      </c>
      <c r="I534" s="2" t="s">
        <v>94</v>
      </c>
      <c r="J534" s="6">
        <v>69</v>
      </c>
      <c r="K534" s="6">
        <v>207</v>
      </c>
      <c r="L534" s="2">
        <v>0</v>
      </c>
      <c r="N534" s="2">
        <v>0</v>
      </c>
      <c r="O534" s="2" t="s">
        <v>96</v>
      </c>
      <c r="P534" s="6">
        <v>144.94999999999999</v>
      </c>
      <c r="Q534" s="6"/>
      <c r="R534" s="7"/>
      <c r="S534" s="2">
        <v>13.25</v>
      </c>
      <c r="U534" s="2">
        <v>4.75</v>
      </c>
      <c r="V534" s="2">
        <v>4</v>
      </c>
      <c r="W534" s="2">
        <v>3.37</v>
      </c>
      <c r="X534" s="2">
        <v>1</v>
      </c>
      <c r="Y534" s="2">
        <v>5.5</v>
      </c>
      <c r="Z534" s="2">
        <v>14.5</v>
      </c>
      <c r="AA534" s="2">
        <v>7.75</v>
      </c>
      <c r="AB534" s="2">
        <v>0.35799999999999998</v>
      </c>
      <c r="AC534" s="2">
        <v>3.75</v>
      </c>
      <c r="AE534" s="2">
        <v>2</v>
      </c>
      <c r="AF534" s="2" t="s">
        <v>1693</v>
      </c>
      <c r="AG534" s="2">
        <v>60</v>
      </c>
      <c r="AK534" s="2" t="s">
        <v>96</v>
      </c>
      <c r="AL534" s="2">
        <v>1</v>
      </c>
      <c r="AM534" s="2" t="s">
        <v>95</v>
      </c>
      <c r="AN534" s="2" t="s">
        <v>96</v>
      </c>
      <c r="AO534" s="2" t="s">
        <v>95</v>
      </c>
      <c r="AP534" s="2" t="s">
        <v>97</v>
      </c>
      <c r="AQ534" s="2" t="s">
        <v>98</v>
      </c>
      <c r="AV534" s="2" t="s">
        <v>95</v>
      </c>
      <c r="AX534" s="2" t="s">
        <v>395</v>
      </c>
      <c r="AZ534" s="2" t="s">
        <v>342</v>
      </c>
      <c r="BB534" s="2" t="s">
        <v>329</v>
      </c>
      <c r="BC534" s="2" t="s">
        <v>593</v>
      </c>
      <c r="BF534" s="2" t="s">
        <v>2458</v>
      </c>
      <c r="BG534" s="2" t="s">
        <v>95</v>
      </c>
      <c r="BH534" s="2" t="s">
        <v>96</v>
      </c>
      <c r="BI534" s="2" t="s">
        <v>95</v>
      </c>
      <c r="BK534" s="2" t="s">
        <v>414</v>
      </c>
      <c r="BL534" s="2" t="s">
        <v>476</v>
      </c>
      <c r="BR534" s="2">
        <v>6.13</v>
      </c>
      <c r="BT534" s="2">
        <v>4.38</v>
      </c>
      <c r="CA534" s="2" t="s">
        <v>2459</v>
      </c>
      <c r="CB534" s="2" t="s">
        <v>395</v>
      </c>
      <c r="CL534" s="2" t="s">
        <v>96</v>
      </c>
      <c r="CM534" s="2" t="s">
        <v>95</v>
      </c>
      <c r="CN534" s="2" t="s">
        <v>2460</v>
      </c>
      <c r="CO534" s="3">
        <v>42573</v>
      </c>
      <c r="CP534" s="3">
        <v>43634</v>
      </c>
    </row>
    <row r="535" spans="1:94" x14ac:dyDescent="0.25">
      <c r="A535" s="2" t="s">
        <v>2461</v>
      </c>
      <c r="B535" s="2" t="str">
        <f xml:space="preserve"> "" &amp; 844349010661</f>
        <v>844349010661</v>
      </c>
      <c r="C535" s="2" t="s">
        <v>526</v>
      </c>
      <c r="D535" s="2" t="s">
        <v>2462</v>
      </c>
      <c r="E535" s="2" t="s">
        <v>613</v>
      </c>
      <c r="F535" s="2" t="s">
        <v>418</v>
      </c>
      <c r="G535" s="2">
        <v>1</v>
      </c>
      <c r="H535" s="2">
        <v>1</v>
      </c>
      <c r="I535" s="2" t="s">
        <v>94</v>
      </c>
      <c r="J535" s="6">
        <v>95</v>
      </c>
      <c r="K535" s="6">
        <v>285</v>
      </c>
      <c r="L535" s="2">
        <v>0</v>
      </c>
      <c r="N535" s="2">
        <v>0</v>
      </c>
      <c r="O535" s="2" t="s">
        <v>96</v>
      </c>
      <c r="P535" s="6">
        <v>199.95</v>
      </c>
      <c r="Q535" s="6"/>
      <c r="R535" s="7"/>
      <c r="S535" s="2">
        <v>13.25</v>
      </c>
      <c r="U535" s="2">
        <v>4.75</v>
      </c>
      <c r="V535" s="2">
        <v>4</v>
      </c>
      <c r="W535" s="2">
        <v>2.82</v>
      </c>
      <c r="X535" s="2">
        <v>1</v>
      </c>
      <c r="Y535" s="2">
        <v>5.5</v>
      </c>
      <c r="Z535" s="2">
        <v>14.5</v>
      </c>
      <c r="AA535" s="2">
        <v>7.75</v>
      </c>
      <c r="AB535" s="2">
        <v>0.35799999999999998</v>
      </c>
      <c r="AC535" s="2">
        <v>3.59</v>
      </c>
      <c r="AE535" s="2">
        <v>1</v>
      </c>
      <c r="AF535" s="2" t="s">
        <v>347</v>
      </c>
      <c r="AG535" s="2">
        <v>12</v>
      </c>
      <c r="AK535" s="2" t="s">
        <v>96</v>
      </c>
      <c r="AM535" s="2" t="s">
        <v>95</v>
      </c>
      <c r="AN535" s="2" t="s">
        <v>96</v>
      </c>
      <c r="AO535" s="2" t="s">
        <v>95</v>
      </c>
      <c r="AP535" s="2" t="s">
        <v>97</v>
      </c>
      <c r="AQ535" s="2" t="s">
        <v>98</v>
      </c>
      <c r="AV535" s="2" t="s">
        <v>95</v>
      </c>
      <c r="AX535" s="2" t="s">
        <v>395</v>
      </c>
      <c r="AZ535" s="2" t="s">
        <v>449</v>
      </c>
      <c r="BB535" s="2" t="s">
        <v>329</v>
      </c>
      <c r="BC535" s="2" t="s">
        <v>593</v>
      </c>
      <c r="BF535" s="2" t="s">
        <v>2463</v>
      </c>
      <c r="BG535" s="2" t="s">
        <v>95</v>
      </c>
      <c r="BH535" s="2" t="s">
        <v>96</v>
      </c>
      <c r="BI535" s="2" t="s">
        <v>96</v>
      </c>
      <c r="BK535" s="2" t="s">
        <v>414</v>
      </c>
      <c r="BL535" s="2" t="s">
        <v>476</v>
      </c>
      <c r="BM535" s="2">
        <v>4.75</v>
      </c>
      <c r="BN535" s="2">
        <v>6.5</v>
      </c>
      <c r="CA535" s="2" t="s">
        <v>2464</v>
      </c>
      <c r="CB535" s="2" t="s">
        <v>395</v>
      </c>
      <c r="CG535" s="2">
        <v>3000</v>
      </c>
      <c r="CH535" s="2">
        <v>92</v>
      </c>
      <c r="CI535" s="2">
        <v>936</v>
      </c>
      <c r="CJ535" s="2">
        <v>633.29999999999995</v>
      </c>
      <c r="CK535" s="2">
        <v>30000</v>
      </c>
      <c r="CL535" s="2" t="s">
        <v>96</v>
      </c>
      <c r="CM535" s="2" t="s">
        <v>95</v>
      </c>
      <c r="CN535" s="2" t="s">
        <v>2465</v>
      </c>
      <c r="CO535" s="3">
        <v>40812</v>
      </c>
      <c r="CP535" s="3">
        <v>43637</v>
      </c>
    </row>
    <row r="536" spans="1:94" x14ac:dyDescent="0.25">
      <c r="A536" s="2" t="s">
        <v>2466</v>
      </c>
      <c r="B536" s="2" t="str">
        <f xml:space="preserve"> "" &amp; 870540007339</f>
        <v>870540007339</v>
      </c>
      <c r="C536" s="2" t="s">
        <v>1691</v>
      </c>
      <c r="D536" s="2" t="s">
        <v>2457</v>
      </c>
      <c r="E536" s="2" t="s">
        <v>613</v>
      </c>
      <c r="F536" s="2" t="s">
        <v>418</v>
      </c>
      <c r="G536" s="2">
        <v>1</v>
      </c>
      <c r="H536" s="2">
        <v>1</v>
      </c>
      <c r="I536" s="2" t="s">
        <v>94</v>
      </c>
      <c r="J536" s="6">
        <v>69</v>
      </c>
      <c r="K536" s="6">
        <v>207</v>
      </c>
      <c r="L536" s="2">
        <v>0</v>
      </c>
      <c r="N536" s="2">
        <v>0</v>
      </c>
      <c r="O536" s="2" t="s">
        <v>96</v>
      </c>
      <c r="P536" s="6">
        <v>144.94999999999999</v>
      </c>
      <c r="Q536" s="6"/>
      <c r="R536" s="7"/>
      <c r="S536" s="2">
        <v>13.25</v>
      </c>
      <c r="U536" s="2">
        <v>4.75</v>
      </c>
      <c r="V536" s="2">
        <v>4</v>
      </c>
      <c r="W536" s="2">
        <v>3.37</v>
      </c>
      <c r="X536" s="2">
        <v>1</v>
      </c>
      <c r="Y536" s="2">
        <v>5.5</v>
      </c>
      <c r="Z536" s="2">
        <v>14.5</v>
      </c>
      <c r="AA536" s="2">
        <v>7.75</v>
      </c>
      <c r="AB536" s="2">
        <v>0.35799999999999998</v>
      </c>
      <c r="AC536" s="2">
        <v>3.75</v>
      </c>
      <c r="AE536" s="2">
        <v>2</v>
      </c>
      <c r="AF536" s="2" t="s">
        <v>1693</v>
      </c>
      <c r="AG536" s="2">
        <v>60</v>
      </c>
      <c r="AK536" s="2" t="s">
        <v>96</v>
      </c>
      <c r="AL536" s="2">
        <v>1</v>
      </c>
      <c r="AM536" s="2" t="s">
        <v>95</v>
      </c>
      <c r="AN536" s="2" t="s">
        <v>96</v>
      </c>
      <c r="AO536" s="2" t="s">
        <v>95</v>
      </c>
      <c r="AP536" s="2" t="s">
        <v>97</v>
      </c>
      <c r="AQ536" s="2" t="s">
        <v>98</v>
      </c>
      <c r="AV536" s="2" t="s">
        <v>95</v>
      </c>
      <c r="AX536" s="2" t="s">
        <v>116</v>
      </c>
      <c r="AZ536" s="2" t="s">
        <v>342</v>
      </c>
      <c r="BB536" s="2" t="s">
        <v>329</v>
      </c>
      <c r="BC536" s="2" t="s">
        <v>593</v>
      </c>
      <c r="BF536" s="2" t="s">
        <v>2467</v>
      </c>
      <c r="BG536" s="2" t="s">
        <v>95</v>
      </c>
      <c r="BH536" s="2" t="s">
        <v>96</v>
      </c>
      <c r="BI536" s="2" t="s">
        <v>95</v>
      </c>
      <c r="BK536" s="2" t="s">
        <v>414</v>
      </c>
      <c r="BL536" s="2" t="s">
        <v>476</v>
      </c>
      <c r="BM536" s="2">
        <v>4.75</v>
      </c>
      <c r="BN536" s="2">
        <v>6.5</v>
      </c>
      <c r="CA536" s="2" t="s">
        <v>2459</v>
      </c>
      <c r="CB536" s="2" t="s">
        <v>116</v>
      </c>
      <c r="CL536" s="2" t="s">
        <v>96</v>
      </c>
      <c r="CM536" s="2" t="s">
        <v>95</v>
      </c>
      <c r="CN536" s="2" t="s">
        <v>2460</v>
      </c>
      <c r="CO536" s="3">
        <v>42573</v>
      </c>
      <c r="CP536" s="3">
        <v>43634</v>
      </c>
    </row>
    <row r="537" spans="1:94" x14ac:dyDescent="0.25">
      <c r="A537" s="2" t="s">
        <v>2468</v>
      </c>
      <c r="B537" s="2" t="str">
        <f xml:space="preserve"> "" &amp; 844349010685</f>
        <v>844349010685</v>
      </c>
      <c r="C537" s="2" t="s">
        <v>526</v>
      </c>
      <c r="D537" s="2" t="s">
        <v>2462</v>
      </c>
      <c r="E537" s="2" t="s">
        <v>613</v>
      </c>
      <c r="F537" s="2" t="s">
        <v>418</v>
      </c>
      <c r="G537" s="2">
        <v>1</v>
      </c>
      <c r="H537" s="2">
        <v>1</v>
      </c>
      <c r="I537" s="2" t="s">
        <v>94</v>
      </c>
      <c r="J537" s="6">
        <v>95</v>
      </c>
      <c r="K537" s="6">
        <v>285</v>
      </c>
      <c r="L537" s="2">
        <v>0</v>
      </c>
      <c r="N537" s="2">
        <v>0</v>
      </c>
      <c r="O537" s="2" t="s">
        <v>96</v>
      </c>
      <c r="P537" s="6">
        <v>199.95</v>
      </c>
      <c r="Q537" s="6"/>
      <c r="R537" s="7"/>
      <c r="S537" s="2">
        <v>13.25</v>
      </c>
      <c r="U537" s="2">
        <v>4.75</v>
      </c>
      <c r="V537" s="2">
        <v>4</v>
      </c>
      <c r="W537" s="2">
        <v>2.82</v>
      </c>
      <c r="X537" s="2">
        <v>1</v>
      </c>
      <c r="Y537" s="2">
        <v>5.5</v>
      </c>
      <c r="Z537" s="2">
        <v>14.5</v>
      </c>
      <c r="AA537" s="2">
        <v>7.75</v>
      </c>
      <c r="AB537" s="2">
        <v>0.35799999999999998</v>
      </c>
      <c r="AC537" s="2">
        <v>3.59</v>
      </c>
      <c r="AE537" s="2">
        <v>1</v>
      </c>
      <c r="AF537" s="2" t="s">
        <v>347</v>
      </c>
      <c r="AG537" s="2">
        <v>12</v>
      </c>
      <c r="AK537" s="2" t="s">
        <v>96</v>
      </c>
      <c r="AL537" s="2">
        <v>1</v>
      </c>
      <c r="AM537" s="2" t="s">
        <v>95</v>
      </c>
      <c r="AN537" s="2" t="s">
        <v>96</v>
      </c>
      <c r="AO537" s="2" t="s">
        <v>95</v>
      </c>
      <c r="AP537" s="2" t="s">
        <v>97</v>
      </c>
      <c r="AQ537" s="2" t="s">
        <v>98</v>
      </c>
      <c r="AV537" s="2" t="s">
        <v>95</v>
      </c>
      <c r="AX537" s="2" t="s">
        <v>116</v>
      </c>
      <c r="AZ537" s="2" t="s">
        <v>449</v>
      </c>
      <c r="BB537" s="2" t="s">
        <v>329</v>
      </c>
      <c r="BC537" s="2" t="s">
        <v>593</v>
      </c>
      <c r="BF537" s="2" t="s">
        <v>2469</v>
      </c>
      <c r="BG537" s="2" t="s">
        <v>95</v>
      </c>
      <c r="BH537" s="2" t="s">
        <v>96</v>
      </c>
      <c r="BI537" s="2" t="s">
        <v>96</v>
      </c>
      <c r="BK537" s="2" t="s">
        <v>414</v>
      </c>
      <c r="BL537" s="2" t="s">
        <v>476</v>
      </c>
      <c r="BM537" s="2">
        <v>4.75</v>
      </c>
      <c r="BN537" s="2">
        <v>6.5</v>
      </c>
      <c r="CA537" s="2" t="s">
        <v>2464</v>
      </c>
      <c r="CB537" s="2" t="s">
        <v>116</v>
      </c>
      <c r="CG537" s="2">
        <v>3000</v>
      </c>
      <c r="CH537" s="2">
        <v>92</v>
      </c>
      <c r="CI537" s="2">
        <v>936</v>
      </c>
      <c r="CJ537" s="2">
        <v>633.29999999999995</v>
      </c>
      <c r="CK537" s="2">
        <v>30000</v>
      </c>
      <c r="CL537" s="2" t="s">
        <v>96</v>
      </c>
      <c r="CM537" s="2" t="s">
        <v>95</v>
      </c>
      <c r="CN537" s="2" t="s">
        <v>2460</v>
      </c>
      <c r="CO537" s="3">
        <v>40812</v>
      </c>
      <c r="CP537" s="3">
        <v>43637</v>
      </c>
    </row>
    <row r="538" spans="1:94" x14ac:dyDescent="0.25">
      <c r="A538" s="2" t="s">
        <v>2470</v>
      </c>
      <c r="B538" s="2" t="str">
        <f xml:space="preserve"> "" &amp; 844349012160</f>
        <v>844349012160</v>
      </c>
      <c r="C538" s="2" t="s">
        <v>1691</v>
      </c>
      <c r="D538" s="2" t="s">
        <v>2457</v>
      </c>
      <c r="E538" s="2" t="s">
        <v>613</v>
      </c>
      <c r="F538" s="2" t="s">
        <v>418</v>
      </c>
      <c r="G538" s="2">
        <v>1</v>
      </c>
      <c r="H538" s="2">
        <v>1</v>
      </c>
      <c r="I538" s="2" t="s">
        <v>94</v>
      </c>
      <c r="J538" s="6">
        <v>69</v>
      </c>
      <c r="K538" s="6">
        <v>207</v>
      </c>
      <c r="L538" s="2">
        <v>0</v>
      </c>
      <c r="N538" s="2">
        <v>0</v>
      </c>
      <c r="O538" s="2" t="s">
        <v>96</v>
      </c>
      <c r="P538" s="6">
        <v>144.94999999999999</v>
      </c>
      <c r="Q538" s="6"/>
      <c r="R538" s="7"/>
      <c r="S538" s="2">
        <v>13.25</v>
      </c>
      <c r="U538" s="2">
        <v>4.75</v>
      </c>
      <c r="V538" s="2">
        <v>4</v>
      </c>
      <c r="W538" s="2">
        <v>3.37</v>
      </c>
      <c r="X538" s="2">
        <v>1</v>
      </c>
      <c r="Y538" s="2">
        <v>5.5</v>
      </c>
      <c r="Z538" s="2">
        <v>14.5</v>
      </c>
      <c r="AA538" s="2">
        <v>7.75</v>
      </c>
      <c r="AB538" s="2">
        <v>0.35799999999999998</v>
      </c>
      <c r="AC538" s="2">
        <v>3.75</v>
      </c>
      <c r="AE538" s="2">
        <v>2</v>
      </c>
      <c r="AF538" s="2" t="s">
        <v>1693</v>
      </c>
      <c r="AG538" s="2">
        <v>60</v>
      </c>
      <c r="AK538" s="2" t="s">
        <v>96</v>
      </c>
      <c r="AL538" s="2">
        <v>1</v>
      </c>
      <c r="AM538" s="2" t="s">
        <v>95</v>
      </c>
      <c r="AN538" s="2" t="s">
        <v>96</v>
      </c>
      <c r="AO538" s="2" t="s">
        <v>95</v>
      </c>
      <c r="AP538" s="2" t="s">
        <v>97</v>
      </c>
      <c r="AQ538" s="2" t="s">
        <v>98</v>
      </c>
      <c r="AV538" s="2" t="s">
        <v>95</v>
      </c>
      <c r="AX538" s="2" t="s">
        <v>1688</v>
      </c>
      <c r="AZ538" s="2" t="s">
        <v>342</v>
      </c>
      <c r="BB538" s="2" t="s">
        <v>329</v>
      </c>
      <c r="BC538" s="2" t="s">
        <v>593</v>
      </c>
      <c r="BF538" s="2" t="s">
        <v>2471</v>
      </c>
      <c r="BG538" s="2" t="s">
        <v>95</v>
      </c>
      <c r="BH538" s="2" t="s">
        <v>96</v>
      </c>
      <c r="BI538" s="2" t="s">
        <v>95</v>
      </c>
      <c r="BK538" s="2" t="s">
        <v>414</v>
      </c>
      <c r="BL538" s="2" t="s">
        <v>476</v>
      </c>
      <c r="BM538" s="2">
        <v>4.75</v>
      </c>
      <c r="BN538" s="2">
        <v>6.5</v>
      </c>
      <c r="CA538" s="2" t="s">
        <v>2459</v>
      </c>
      <c r="CB538" s="2" t="s">
        <v>1688</v>
      </c>
      <c r="CL538" s="2" t="s">
        <v>96</v>
      </c>
      <c r="CM538" s="2" t="s">
        <v>95</v>
      </c>
      <c r="CN538" s="2" t="s">
        <v>2472</v>
      </c>
      <c r="CO538" s="3">
        <v>42573</v>
      </c>
      <c r="CP538" s="3">
        <v>43634</v>
      </c>
    </row>
    <row r="539" spans="1:94" x14ac:dyDescent="0.25">
      <c r="A539" s="2" t="s">
        <v>2473</v>
      </c>
      <c r="B539" s="2" t="str">
        <f xml:space="preserve"> "" &amp; 844349024361</f>
        <v>844349024361</v>
      </c>
      <c r="C539" s="2" t="s">
        <v>526</v>
      </c>
      <c r="D539" s="2" t="s">
        <v>2474</v>
      </c>
      <c r="E539" s="2" t="s">
        <v>613</v>
      </c>
      <c r="F539" s="2" t="s">
        <v>418</v>
      </c>
      <c r="G539" s="2">
        <v>1</v>
      </c>
      <c r="H539" s="2">
        <v>1</v>
      </c>
      <c r="I539" s="2" t="s">
        <v>94</v>
      </c>
      <c r="J539" s="6">
        <v>95</v>
      </c>
      <c r="K539" s="6">
        <v>285</v>
      </c>
      <c r="L539" s="2">
        <v>0</v>
      </c>
      <c r="N539" s="2">
        <v>0</v>
      </c>
      <c r="O539" s="2" t="s">
        <v>96</v>
      </c>
      <c r="P539" s="6">
        <v>199.95</v>
      </c>
      <c r="Q539" s="6"/>
      <c r="R539" s="7"/>
      <c r="S539" s="2">
        <v>13.25</v>
      </c>
      <c r="U539" s="2">
        <v>4.75</v>
      </c>
      <c r="V539" s="2">
        <v>4</v>
      </c>
      <c r="W539" s="2">
        <v>2.82</v>
      </c>
      <c r="X539" s="2">
        <v>1</v>
      </c>
      <c r="Y539" s="2">
        <v>5.5</v>
      </c>
      <c r="Z539" s="2">
        <v>14.5</v>
      </c>
      <c r="AA539" s="2">
        <v>7.75</v>
      </c>
      <c r="AB539" s="2">
        <v>0.35799999999999998</v>
      </c>
      <c r="AC539" s="2">
        <v>3.59</v>
      </c>
      <c r="AE539" s="2">
        <v>1</v>
      </c>
      <c r="AF539" s="2" t="s">
        <v>347</v>
      </c>
      <c r="AG539" s="2">
        <v>12</v>
      </c>
      <c r="AK539" s="2" t="s">
        <v>96</v>
      </c>
      <c r="AL539" s="2">
        <v>1</v>
      </c>
      <c r="AM539" s="2" t="s">
        <v>95</v>
      </c>
      <c r="AN539" s="2" t="s">
        <v>96</v>
      </c>
      <c r="AO539" s="2" t="s">
        <v>95</v>
      </c>
      <c r="AP539" s="2" t="s">
        <v>97</v>
      </c>
      <c r="AQ539" s="2" t="s">
        <v>98</v>
      </c>
      <c r="AV539" s="2" t="s">
        <v>95</v>
      </c>
      <c r="AX539" s="2" t="s">
        <v>1688</v>
      </c>
      <c r="AZ539" s="2" t="s">
        <v>449</v>
      </c>
      <c r="BB539" s="2" t="s">
        <v>329</v>
      </c>
      <c r="BC539" s="2" t="s">
        <v>2475</v>
      </c>
      <c r="BF539" s="2" t="s">
        <v>2476</v>
      </c>
      <c r="BG539" s="2" t="s">
        <v>95</v>
      </c>
      <c r="BH539" s="2" t="s">
        <v>96</v>
      </c>
      <c r="BI539" s="2" t="s">
        <v>95</v>
      </c>
      <c r="BK539" s="2" t="s">
        <v>414</v>
      </c>
      <c r="BL539" s="2" t="s">
        <v>476</v>
      </c>
      <c r="BM539" s="2">
        <v>4.75</v>
      </c>
      <c r="BN539" s="2">
        <v>6.5</v>
      </c>
      <c r="CA539" s="2" t="s">
        <v>2459</v>
      </c>
      <c r="CB539" s="2" t="s">
        <v>1688</v>
      </c>
      <c r="CG539" s="2">
        <v>3000</v>
      </c>
      <c r="CH539" s="2">
        <v>92</v>
      </c>
      <c r="CI539" s="2">
        <v>936</v>
      </c>
      <c r="CJ539" s="2">
        <v>633.29999999999995</v>
      </c>
      <c r="CK539" s="2">
        <v>30000</v>
      </c>
      <c r="CL539" s="2" t="s">
        <v>96</v>
      </c>
      <c r="CM539" s="2" t="s">
        <v>95</v>
      </c>
      <c r="CN539" s="2" t="s">
        <v>2477</v>
      </c>
      <c r="CO539" s="3">
        <v>43096</v>
      </c>
      <c r="CP539" s="3">
        <v>43637</v>
      </c>
    </row>
    <row r="540" spans="1:94" x14ac:dyDescent="0.25">
      <c r="A540" s="2" t="s">
        <v>2478</v>
      </c>
      <c r="B540" s="2" t="str">
        <f xml:space="preserve"> "" &amp; 870540009739</f>
        <v>870540009739</v>
      </c>
      <c r="C540" s="2" t="s">
        <v>1691</v>
      </c>
      <c r="D540" s="2" t="s">
        <v>2457</v>
      </c>
      <c r="E540" s="2" t="s">
        <v>613</v>
      </c>
      <c r="F540" s="2" t="s">
        <v>418</v>
      </c>
      <c r="G540" s="2">
        <v>1</v>
      </c>
      <c r="H540" s="2">
        <v>1</v>
      </c>
      <c r="I540" s="2" t="s">
        <v>94</v>
      </c>
      <c r="J540" s="6">
        <v>69</v>
      </c>
      <c r="K540" s="6">
        <v>207</v>
      </c>
      <c r="L540" s="2">
        <v>0</v>
      </c>
      <c r="N540" s="2">
        <v>0</v>
      </c>
      <c r="O540" s="2" t="s">
        <v>96</v>
      </c>
      <c r="P540" s="6">
        <v>144.94999999999999</v>
      </c>
      <c r="Q540" s="6"/>
      <c r="R540" s="7"/>
      <c r="S540" s="2">
        <v>13.25</v>
      </c>
      <c r="U540" s="2">
        <v>4.75</v>
      </c>
      <c r="V540" s="2">
        <v>4</v>
      </c>
      <c r="W540" s="2">
        <v>3.37</v>
      </c>
      <c r="X540" s="2">
        <v>1</v>
      </c>
      <c r="Y540" s="2">
        <v>5.5</v>
      </c>
      <c r="Z540" s="2">
        <v>14.5</v>
      </c>
      <c r="AA540" s="2">
        <v>7.75</v>
      </c>
      <c r="AB540" s="2">
        <v>0.35799999999999998</v>
      </c>
      <c r="AC540" s="2">
        <v>4.0999999999999996</v>
      </c>
      <c r="AE540" s="2">
        <v>2</v>
      </c>
      <c r="AF540" s="2" t="s">
        <v>1693</v>
      </c>
      <c r="AG540" s="2">
        <v>60</v>
      </c>
      <c r="AH540" s="2">
        <v>0</v>
      </c>
      <c r="AJ540" s="2">
        <v>0</v>
      </c>
      <c r="AK540" s="2" t="s">
        <v>96</v>
      </c>
      <c r="AL540" s="2">
        <v>1</v>
      </c>
      <c r="AM540" s="2" t="s">
        <v>95</v>
      </c>
      <c r="AN540" s="2" t="s">
        <v>96</v>
      </c>
      <c r="AO540" s="2" t="s">
        <v>95</v>
      </c>
      <c r="AP540" s="2" t="s">
        <v>97</v>
      </c>
      <c r="AQ540" s="2" t="s">
        <v>98</v>
      </c>
      <c r="AV540" s="2" t="s">
        <v>95</v>
      </c>
      <c r="AX540" s="2" t="s">
        <v>2353</v>
      </c>
      <c r="AZ540" s="2" t="s">
        <v>342</v>
      </c>
      <c r="BB540" s="2" t="s">
        <v>329</v>
      </c>
      <c r="BC540" s="2" t="s">
        <v>593</v>
      </c>
      <c r="BF540" s="2" t="s">
        <v>2479</v>
      </c>
      <c r="BG540" s="2" t="s">
        <v>95</v>
      </c>
      <c r="BH540" s="2" t="s">
        <v>96</v>
      </c>
      <c r="BI540" s="2" t="s">
        <v>95</v>
      </c>
      <c r="BK540" s="2" t="s">
        <v>414</v>
      </c>
      <c r="BL540" s="2" t="s">
        <v>476</v>
      </c>
      <c r="BM540" s="2">
        <v>4.75</v>
      </c>
      <c r="BN540" s="2">
        <v>6.5</v>
      </c>
      <c r="CA540" s="2" t="s">
        <v>2459</v>
      </c>
      <c r="CB540" s="2" t="s">
        <v>2353</v>
      </c>
      <c r="CL540" s="2" t="s">
        <v>96</v>
      </c>
      <c r="CM540" s="2" t="s">
        <v>95</v>
      </c>
      <c r="CN540" s="2" t="s">
        <v>2460</v>
      </c>
      <c r="CO540" s="3">
        <v>42573</v>
      </c>
      <c r="CP540" s="3">
        <v>43634</v>
      </c>
    </row>
    <row r="541" spans="1:94" x14ac:dyDescent="0.25">
      <c r="A541" s="2" t="s">
        <v>2480</v>
      </c>
      <c r="B541" s="2" t="str">
        <f xml:space="preserve"> "" &amp; 844349010708</f>
        <v>844349010708</v>
      </c>
      <c r="C541" s="2" t="s">
        <v>526</v>
      </c>
      <c r="D541" s="2" t="s">
        <v>2462</v>
      </c>
      <c r="E541" s="2" t="s">
        <v>613</v>
      </c>
      <c r="F541" s="2" t="s">
        <v>418</v>
      </c>
      <c r="G541" s="2">
        <v>1</v>
      </c>
      <c r="H541" s="2">
        <v>1</v>
      </c>
      <c r="I541" s="2" t="s">
        <v>94</v>
      </c>
      <c r="J541" s="6">
        <v>95</v>
      </c>
      <c r="K541" s="6">
        <v>285</v>
      </c>
      <c r="L541" s="2">
        <v>0</v>
      </c>
      <c r="N541" s="2">
        <v>0</v>
      </c>
      <c r="O541" s="2" t="s">
        <v>96</v>
      </c>
      <c r="P541" s="6">
        <v>199.95</v>
      </c>
      <c r="Q541" s="6"/>
      <c r="R541" s="7"/>
      <c r="S541" s="2">
        <v>13.25</v>
      </c>
      <c r="U541" s="2">
        <v>4.75</v>
      </c>
      <c r="V541" s="2">
        <v>4</v>
      </c>
      <c r="W541" s="2">
        <v>2.82</v>
      </c>
      <c r="X541" s="2">
        <v>1</v>
      </c>
      <c r="Y541" s="2">
        <v>5.5</v>
      </c>
      <c r="Z541" s="2">
        <v>14.5</v>
      </c>
      <c r="AA541" s="2">
        <v>7.75</v>
      </c>
      <c r="AB541" s="2">
        <v>0.35799999999999998</v>
      </c>
      <c r="AC541" s="2">
        <v>3.59</v>
      </c>
      <c r="AE541" s="2">
        <v>1</v>
      </c>
      <c r="AF541" s="2" t="s">
        <v>347</v>
      </c>
      <c r="AG541" s="2">
        <v>12</v>
      </c>
      <c r="AK541" s="2" t="s">
        <v>96</v>
      </c>
      <c r="AL541" s="2">
        <v>1</v>
      </c>
      <c r="AM541" s="2" t="s">
        <v>95</v>
      </c>
      <c r="AN541" s="2" t="s">
        <v>96</v>
      </c>
      <c r="AO541" s="2" t="s">
        <v>95</v>
      </c>
      <c r="AP541" s="2" t="s">
        <v>97</v>
      </c>
      <c r="AQ541" s="2" t="s">
        <v>98</v>
      </c>
      <c r="AV541" s="2" t="s">
        <v>95</v>
      </c>
      <c r="AX541" s="2" t="s">
        <v>2353</v>
      </c>
      <c r="AZ541" s="2" t="s">
        <v>449</v>
      </c>
      <c r="BB541" s="2" t="s">
        <v>329</v>
      </c>
      <c r="BC541" s="2" t="s">
        <v>330</v>
      </c>
      <c r="BF541" s="2" t="s">
        <v>2481</v>
      </c>
      <c r="BG541" s="2" t="s">
        <v>95</v>
      </c>
      <c r="BH541" s="2" t="s">
        <v>96</v>
      </c>
      <c r="BI541" s="2" t="s">
        <v>96</v>
      </c>
      <c r="BK541" s="2" t="s">
        <v>414</v>
      </c>
      <c r="BL541" s="2" t="s">
        <v>476</v>
      </c>
      <c r="BM541" s="2">
        <v>4.75</v>
      </c>
      <c r="BN541" s="2">
        <v>6.5</v>
      </c>
      <c r="CA541" s="2" t="s">
        <v>2464</v>
      </c>
      <c r="CB541" s="2" t="s">
        <v>2353</v>
      </c>
      <c r="CG541" s="2">
        <v>3000</v>
      </c>
      <c r="CH541" s="2">
        <v>92</v>
      </c>
      <c r="CI541" s="2">
        <v>936</v>
      </c>
      <c r="CJ541" s="2">
        <v>633.29999999999995</v>
      </c>
      <c r="CK541" s="2">
        <v>30000</v>
      </c>
      <c r="CL541" s="2" t="s">
        <v>96</v>
      </c>
      <c r="CM541" s="2" t="s">
        <v>95</v>
      </c>
      <c r="CN541" s="2" t="s">
        <v>2460</v>
      </c>
      <c r="CO541" s="3">
        <v>40812</v>
      </c>
      <c r="CP541" s="3">
        <v>43637</v>
      </c>
    </row>
    <row r="542" spans="1:94" x14ac:dyDescent="0.25">
      <c r="A542" s="2" t="s">
        <v>2482</v>
      </c>
      <c r="B542" s="2" t="str">
        <f xml:space="preserve"> "" &amp; 874944009227</f>
        <v>874944009227</v>
      </c>
      <c r="C542" s="2" t="s">
        <v>417</v>
      </c>
      <c r="D542" s="2" t="s">
        <v>2483</v>
      </c>
      <c r="E542" s="2" t="s">
        <v>2484</v>
      </c>
      <c r="F542" s="2" t="s">
        <v>418</v>
      </c>
      <c r="G542" s="2">
        <v>1</v>
      </c>
      <c r="H542" s="2">
        <v>1</v>
      </c>
      <c r="I542" s="2" t="s">
        <v>94</v>
      </c>
      <c r="J542" s="6">
        <v>42</v>
      </c>
      <c r="K542" s="6">
        <v>126</v>
      </c>
      <c r="L542" s="2">
        <v>0</v>
      </c>
      <c r="N542" s="2">
        <v>0</v>
      </c>
      <c r="O542" s="2" t="s">
        <v>96</v>
      </c>
      <c r="P542" s="6">
        <v>87.95</v>
      </c>
      <c r="Q542" s="6"/>
      <c r="R542" s="7"/>
      <c r="S542" s="2">
        <v>12.5</v>
      </c>
      <c r="T542" s="2">
        <v>12</v>
      </c>
      <c r="U542" s="2">
        <v>4.75</v>
      </c>
      <c r="V542" s="2">
        <v>4.75</v>
      </c>
      <c r="W542" s="2">
        <v>1.43</v>
      </c>
      <c r="X542" s="2">
        <v>1</v>
      </c>
      <c r="Y542" s="2">
        <v>6</v>
      </c>
      <c r="Z542" s="2">
        <v>12</v>
      </c>
      <c r="AA542" s="2">
        <v>7.5</v>
      </c>
      <c r="AB542" s="2">
        <v>0.313</v>
      </c>
      <c r="AC542" s="2">
        <v>2.09</v>
      </c>
      <c r="AE542" s="2">
        <v>1</v>
      </c>
      <c r="AF542" s="2" t="s">
        <v>1181</v>
      </c>
      <c r="AG542" s="2">
        <v>60</v>
      </c>
      <c r="AH542" s="2">
        <v>0</v>
      </c>
      <c r="AJ542" s="2">
        <v>0</v>
      </c>
      <c r="AK542" s="2" t="s">
        <v>95</v>
      </c>
      <c r="AL542" s="2">
        <v>1</v>
      </c>
      <c r="AM542" s="2" t="s">
        <v>95</v>
      </c>
      <c r="AN542" s="2" t="s">
        <v>96</v>
      </c>
      <c r="AO542" s="2" t="s">
        <v>95</v>
      </c>
      <c r="AP542" s="2" t="s">
        <v>97</v>
      </c>
      <c r="AQ542" s="2" t="s">
        <v>98</v>
      </c>
      <c r="AV542" s="2" t="s">
        <v>95</v>
      </c>
      <c r="AX542" s="2" t="s">
        <v>395</v>
      </c>
      <c r="AZ542" s="2" t="s">
        <v>342</v>
      </c>
      <c r="BB542" s="2" t="s">
        <v>329</v>
      </c>
      <c r="BC542" s="2" t="s">
        <v>865</v>
      </c>
      <c r="BF542" s="2" t="s">
        <v>2485</v>
      </c>
      <c r="BG542" s="2" t="s">
        <v>95</v>
      </c>
      <c r="BH542" s="2" t="s">
        <v>95</v>
      </c>
      <c r="BI542" s="2" t="s">
        <v>95</v>
      </c>
      <c r="BK542" s="2" t="s">
        <v>414</v>
      </c>
      <c r="BL542" s="2" t="s">
        <v>476</v>
      </c>
      <c r="BR542" s="2">
        <v>0.5</v>
      </c>
      <c r="BT542" s="2">
        <v>4.75</v>
      </c>
      <c r="CA542" s="2" t="s">
        <v>2486</v>
      </c>
      <c r="CB542" s="2" t="s">
        <v>395</v>
      </c>
      <c r="CL542" s="2" t="s">
        <v>96</v>
      </c>
      <c r="CM542" s="2" t="s">
        <v>95</v>
      </c>
      <c r="CN542" s="2" t="s">
        <v>2487</v>
      </c>
      <c r="CO542" s="3">
        <v>39379</v>
      </c>
      <c r="CP542" s="3">
        <v>43634</v>
      </c>
    </row>
    <row r="543" spans="1:94" x14ac:dyDescent="0.25">
      <c r="A543" s="2" t="s">
        <v>2488</v>
      </c>
      <c r="B543" s="2" t="str">
        <f xml:space="preserve"> "" &amp; 844349013587</f>
        <v>844349013587</v>
      </c>
      <c r="C543" s="2" t="s">
        <v>526</v>
      </c>
      <c r="D543" s="2" t="s">
        <v>2489</v>
      </c>
      <c r="E543" s="2" t="s">
        <v>2527</v>
      </c>
      <c r="F543" s="2" t="s">
        <v>418</v>
      </c>
      <c r="G543" s="2">
        <v>1</v>
      </c>
      <c r="H543" s="2">
        <v>1</v>
      </c>
      <c r="I543" s="2" t="s">
        <v>94</v>
      </c>
      <c r="J543" s="6">
        <v>69</v>
      </c>
      <c r="K543" s="6">
        <v>207</v>
      </c>
      <c r="L543" s="2">
        <v>0</v>
      </c>
      <c r="N543" s="2">
        <v>0</v>
      </c>
      <c r="O543" s="2" t="s">
        <v>96</v>
      </c>
      <c r="P543" s="6">
        <v>144.94999999999999</v>
      </c>
      <c r="Q543" s="6"/>
      <c r="R543" s="7"/>
      <c r="S543" s="2">
        <v>12</v>
      </c>
      <c r="U543" s="2">
        <v>4.75</v>
      </c>
      <c r="V543" s="2">
        <v>3.75</v>
      </c>
      <c r="W543" s="2">
        <v>1.52</v>
      </c>
      <c r="X543" s="2">
        <v>1</v>
      </c>
      <c r="Y543" s="2">
        <v>7</v>
      </c>
      <c r="Z543" s="2">
        <v>14.25</v>
      </c>
      <c r="AA543" s="2">
        <v>9.5</v>
      </c>
      <c r="AB543" s="2">
        <v>0.54800000000000004</v>
      </c>
      <c r="AC543" s="2">
        <v>2.4900000000000002</v>
      </c>
      <c r="AE543" s="2">
        <v>1</v>
      </c>
      <c r="AF543" s="2" t="s">
        <v>347</v>
      </c>
      <c r="AG543" s="2">
        <v>12</v>
      </c>
      <c r="AK543" s="2" t="s">
        <v>96</v>
      </c>
      <c r="AL543" s="2">
        <v>1</v>
      </c>
      <c r="AM543" s="2" t="s">
        <v>95</v>
      </c>
      <c r="AN543" s="2" t="s">
        <v>96</v>
      </c>
      <c r="AO543" s="2" t="s">
        <v>95</v>
      </c>
      <c r="AP543" s="2" t="s">
        <v>97</v>
      </c>
      <c r="AQ543" s="2" t="s">
        <v>98</v>
      </c>
      <c r="AR543" s="4">
        <v>41733</v>
      </c>
      <c r="AV543" s="2" t="s">
        <v>95</v>
      </c>
      <c r="AX543" s="2" t="s">
        <v>395</v>
      </c>
      <c r="AZ543" s="2" t="s">
        <v>342</v>
      </c>
      <c r="BB543" s="2" t="s">
        <v>329</v>
      </c>
      <c r="BC543" s="2" t="s">
        <v>330</v>
      </c>
      <c r="BF543" s="2" t="s">
        <v>2490</v>
      </c>
      <c r="BG543" s="2" t="s">
        <v>95</v>
      </c>
      <c r="BH543" s="2" t="s">
        <v>96</v>
      </c>
      <c r="BI543" s="2" t="s">
        <v>96</v>
      </c>
      <c r="BK543" s="2" t="s">
        <v>414</v>
      </c>
      <c r="BL543" s="2" t="s">
        <v>476</v>
      </c>
      <c r="BM543" s="2">
        <v>4.75</v>
      </c>
      <c r="BN543" s="2">
        <v>0.5</v>
      </c>
      <c r="CA543" s="2" t="s">
        <v>2486</v>
      </c>
      <c r="CB543" s="2" t="s">
        <v>395</v>
      </c>
      <c r="CG543" s="2">
        <v>3000</v>
      </c>
      <c r="CH543" s="2">
        <v>93</v>
      </c>
      <c r="CI543" s="2">
        <v>841</v>
      </c>
      <c r="CJ543" s="2">
        <v>554.29999999999995</v>
      </c>
      <c r="CK543" s="2">
        <v>30000</v>
      </c>
      <c r="CL543" s="2" t="s">
        <v>96</v>
      </c>
      <c r="CM543" s="2" t="s">
        <v>95</v>
      </c>
      <c r="CN543" s="2" t="s">
        <v>2491</v>
      </c>
      <c r="CO543" s="3">
        <v>41238</v>
      </c>
      <c r="CP543" s="3">
        <v>43637</v>
      </c>
    </row>
    <row r="544" spans="1:94" x14ac:dyDescent="0.25">
      <c r="A544" s="2" t="s">
        <v>2492</v>
      </c>
      <c r="B544" s="2" t="str">
        <f xml:space="preserve"> "" &amp; 844349002956</f>
        <v>844349002956</v>
      </c>
      <c r="C544" s="2" t="s">
        <v>417</v>
      </c>
      <c r="D544" s="2" t="s">
        <v>2483</v>
      </c>
      <c r="E544" s="2" t="s">
        <v>2484</v>
      </c>
      <c r="F544" s="2" t="s">
        <v>418</v>
      </c>
      <c r="G544" s="2">
        <v>1</v>
      </c>
      <c r="H544" s="2">
        <v>1</v>
      </c>
      <c r="I544" s="2" t="s">
        <v>94</v>
      </c>
      <c r="J544" s="6">
        <v>54</v>
      </c>
      <c r="K544" s="6">
        <v>162</v>
      </c>
      <c r="L544" s="2">
        <v>0</v>
      </c>
      <c r="N544" s="2">
        <v>0</v>
      </c>
      <c r="O544" s="2" t="s">
        <v>96</v>
      </c>
      <c r="P544" s="6">
        <v>112.95</v>
      </c>
      <c r="Q544" s="6"/>
      <c r="R544" s="7"/>
      <c r="S544" s="2">
        <v>12.5</v>
      </c>
      <c r="T544" s="2">
        <v>12</v>
      </c>
      <c r="U544" s="2">
        <v>4.75</v>
      </c>
      <c r="V544" s="2">
        <v>5.75</v>
      </c>
      <c r="W544" s="2">
        <v>2.34</v>
      </c>
      <c r="X544" s="2">
        <v>1</v>
      </c>
      <c r="Y544" s="2">
        <v>6.75</v>
      </c>
      <c r="Z544" s="2">
        <v>12</v>
      </c>
      <c r="AA544" s="2">
        <v>7.5</v>
      </c>
      <c r="AB544" s="2">
        <v>0.35199999999999998</v>
      </c>
      <c r="AC544" s="2">
        <v>3.2</v>
      </c>
      <c r="AE544" s="2">
        <v>1</v>
      </c>
      <c r="AF544" s="2" t="s">
        <v>2493</v>
      </c>
      <c r="AG544" s="2">
        <v>13</v>
      </c>
      <c r="AH544" s="2">
        <v>0</v>
      </c>
      <c r="AJ544" s="2">
        <v>0</v>
      </c>
      <c r="AK544" s="2" t="s">
        <v>96</v>
      </c>
      <c r="AL544" s="2">
        <v>1</v>
      </c>
      <c r="AM544" s="2" t="s">
        <v>95</v>
      </c>
      <c r="AN544" s="2" t="s">
        <v>96</v>
      </c>
      <c r="AO544" s="2" t="s">
        <v>95</v>
      </c>
      <c r="AP544" s="2" t="s">
        <v>97</v>
      </c>
      <c r="AQ544" s="2" t="s">
        <v>98</v>
      </c>
      <c r="AV544" s="2" t="s">
        <v>95</v>
      </c>
      <c r="AX544" s="2" t="s">
        <v>395</v>
      </c>
      <c r="AZ544" s="2" t="s">
        <v>342</v>
      </c>
      <c r="BB544" s="2" t="s">
        <v>329</v>
      </c>
      <c r="BC544" s="2" t="s">
        <v>976</v>
      </c>
      <c r="BF544" s="2" t="s">
        <v>2494</v>
      </c>
      <c r="BG544" s="2" t="s">
        <v>95</v>
      </c>
      <c r="BH544" s="2" t="s">
        <v>95</v>
      </c>
      <c r="BI544" s="2" t="s">
        <v>95</v>
      </c>
      <c r="BK544" s="2" t="s">
        <v>414</v>
      </c>
      <c r="BL544" s="2" t="s">
        <v>476</v>
      </c>
      <c r="BM544" s="2">
        <v>4.75</v>
      </c>
      <c r="BN544" s="2">
        <v>2</v>
      </c>
      <c r="CA544" s="2" t="s">
        <v>2495</v>
      </c>
      <c r="CB544" s="2" t="s">
        <v>395</v>
      </c>
      <c r="CL544" s="2" t="s">
        <v>95</v>
      </c>
      <c r="CM544" s="2" t="s">
        <v>95</v>
      </c>
      <c r="CN544" s="2" t="s">
        <v>2487</v>
      </c>
      <c r="CO544" s="3">
        <v>39666</v>
      </c>
      <c r="CP544" s="3">
        <v>43634</v>
      </c>
    </row>
    <row r="545" spans="1:94" x14ac:dyDescent="0.25">
      <c r="A545" s="2" t="s">
        <v>2496</v>
      </c>
      <c r="B545" s="2" t="str">
        <f xml:space="preserve"> "" &amp; 870540002044</f>
        <v>870540002044</v>
      </c>
      <c r="C545" s="2" t="s">
        <v>417</v>
      </c>
      <c r="D545" s="2" t="s">
        <v>2483</v>
      </c>
      <c r="E545" s="2" t="s">
        <v>2484</v>
      </c>
      <c r="F545" s="2" t="s">
        <v>418</v>
      </c>
      <c r="G545" s="2">
        <v>1</v>
      </c>
      <c r="H545" s="2">
        <v>1</v>
      </c>
      <c r="I545" s="2" t="s">
        <v>94</v>
      </c>
      <c r="J545" s="6">
        <v>42</v>
      </c>
      <c r="K545" s="6">
        <v>126</v>
      </c>
      <c r="L545" s="2">
        <v>0</v>
      </c>
      <c r="N545" s="2">
        <v>0</v>
      </c>
      <c r="O545" s="2" t="s">
        <v>96</v>
      </c>
      <c r="P545" s="6">
        <v>87.95</v>
      </c>
      <c r="Q545" s="6"/>
      <c r="R545" s="7"/>
      <c r="S545" s="2">
        <v>12.5</v>
      </c>
      <c r="T545" s="2">
        <v>12</v>
      </c>
      <c r="U545" s="2">
        <v>5</v>
      </c>
      <c r="V545" s="2">
        <v>4.75</v>
      </c>
      <c r="W545" s="2">
        <v>1.43</v>
      </c>
      <c r="X545" s="2">
        <v>1</v>
      </c>
      <c r="Y545" s="2">
        <v>6</v>
      </c>
      <c r="Z545" s="2">
        <v>12</v>
      </c>
      <c r="AA545" s="2">
        <v>7.5</v>
      </c>
      <c r="AB545" s="2">
        <v>0.313</v>
      </c>
      <c r="AC545" s="2">
        <v>2.09</v>
      </c>
      <c r="AE545" s="2">
        <v>1</v>
      </c>
      <c r="AF545" s="2" t="s">
        <v>1181</v>
      </c>
      <c r="AG545" s="2">
        <v>60</v>
      </c>
      <c r="AH545" s="2">
        <v>0</v>
      </c>
      <c r="AJ545" s="2">
        <v>0</v>
      </c>
      <c r="AK545" s="2" t="s">
        <v>95</v>
      </c>
      <c r="AL545" s="2">
        <v>1</v>
      </c>
      <c r="AM545" s="2" t="s">
        <v>95</v>
      </c>
      <c r="AN545" s="2" t="s">
        <v>96</v>
      </c>
      <c r="AO545" s="2" t="s">
        <v>95</v>
      </c>
      <c r="AP545" s="2" t="s">
        <v>97</v>
      </c>
      <c r="AQ545" s="2" t="s">
        <v>98</v>
      </c>
      <c r="AV545" s="2" t="s">
        <v>95</v>
      </c>
      <c r="AX545" s="2" t="s">
        <v>116</v>
      </c>
      <c r="AZ545" s="2" t="s">
        <v>342</v>
      </c>
      <c r="BB545" s="2" t="s">
        <v>329</v>
      </c>
      <c r="BC545" s="2" t="s">
        <v>865</v>
      </c>
      <c r="BF545" s="2" t="s">
        <v>2497</v>
      </c>
      <c r="BG545" s="2" t="s">
        <v>95</v>
      </c>
      <c r="BH545" s="2" t="s">
        <v>95</v>
      </c>
      <c r="BI545" s="2" t="s">
        <v>95</v>
      </c>
      <c r="BK545" s="2" t="s">
        <v>414</v>
      </c>
      <c r="BL545" s="2" t="s">
        <v>476</v>
      </c>
      <c r="BR545" s="2">
        <v>0.5</v>
      </c>
      <c r="BT545" s="2">
        <v>4.75</v>
      </c>
      <c r="CA545" s="2" t="s">
        <v>2486</v>
      </c>
      <c r="CB545" s="2" t="s">
        <v>116</v>
      </c>
      <c r="CL545" s="2" t="s">
        <v>96</v>
      </c>
      <c r="CM545" s="2" t="s">
        <v>95</v>
      </c>
      <c r="CN545" s="2" t="s">
        <v>460</v>
      </c>
      <c r="CO545" s="3">
        <v>42340</v>
      </c>
      <c r="CP545" s="3">
        <v>43634</v>
      </c>
    </row>
    <row r="546" spans="1:94" x14ac:dyDescent="0.25">
      <c r="A546" s="2" t="s">
        <v>2498</v>
      </c>
      <c r="B546" s="2" t="str">
        <f xml:space="preserve"> "" &amp; 844349013594</f>
        <v>844349013594</v>
      </c>
      <c r="C546" s="2" t="s">
        <v>526</v>
      </c>
      <c r="D546" s="2" t="s">
        <v>2489</v>
      </c>
      <c r="E546" s="2" t="s">
        <v>2527</v>
      </c>
      <c r="F546" s="2" t="s">
        <v>418</v>
      </c>
      <c r="G546" s="2">
        <v>1</v>
      </c>
      <c r="H546" s="2">
        <v>1</v>
      </c>
      <c r="I546" s="2" t="s">
        <v>94</v>
      </c>
      <c r="J546" s="6">
        <v>69</v>
      </c>
      <c r="K546" s="6">
        <v>207</v>
      </c>
      <c r="L546" s="2">
        <v>0</v>
      </c>
      <c r="N546" s="2">
        <v>0</v>
      </c>
      <c r="O546" s="2" t="s">
        <v>96</v>
      </c>
      <c r="P546" s="6">
        <v>144.94999999999999</v>
      </c>
      <c r="Q546" s="6"/>
      <c r="R546" s="7"/>
      <c r="S546" s="2">
        <v>12</v>
      </c>
      <c r="U546" s="2">
        <v>4.75</v>
      </c>
      <c r="V546" s="2">
        <v>3.75</v>
      </c>
      <c r="W546" s="2">
        <v>1.52</v>
      </c>
      <c r="X546" s="2">
        <v>1</v>
      </c>
      <c r="Y546" s="2">
        <v>7</v>
      </c>
      <c r="Z546" s="2">
        <v>14.25</v>
      </c>
      <c r="AA546" s="2">
        <v>9.5</v>
      </c>
      <c r="AB546" s="2">
        <v>0.54800000000000004</v>
      </c>
      <c r="AC546" s="2">
        <v>2.4900000000000002</v>
      </c>
      <c r="AE546" s="2">
        <v>1</v>
      </c>
      <c r="AF546" s="2" t="s">
        <v>2499</v>
      </c>
      <c r="AG546" s="2">
        <v>12</v>
      </c>
      <c r="AK546" s="2" t="s">
        <v>96</v>
      </c>
      <c r="AL546" s="2">
        <v>1</v>
      </c>
      <c r="AM546" s="2" t="s">
        <v>95</v>
      </c>
      <c r="AN546" s="2" t="s">
        <v>96</v>
      </c>
      <c r="AO546" s="2" t="s">
        <v>95</v>
      </c>
      <c r="AP546" s="2" t="s">
        <v>97</v>
      </c>
      <c r="AQ546" s="2" t="s">
        <v>98</v>
      </c>
      <c r="AR546" s="4">
        <v>41733</v>
      </c>
      <c r="AV546" s="2" t="s">
        <v>95</v>
      </c>
      <c r="AX546" s="2" t="s">
        <v>116</v>
      </c>
      <c r="AZ546" s="2" t="s">
        <v>449</v>
      </c>
      <c r="BB546" s="2" t="s">
        <v>329</v>
      </c>
      <c r="BC546" s="2" t="s">
        <v>593</v>
      </c>
      <c r="BF546" s="2" t="s">
        <v>2500</v>
      </c>
      <c r="BG546" s="2" t="s">
        <v>95</v>
      </c>
      <c r="BH546" s="2" t="s">
        <v>96</v>
      </c>
      <c r="BI546" s="2" t="s">
        <v>96</v>
      </c>
      <c r="BK546" s="2" t="s">
        <v>100</v>
      </c>
      <c r="BL546" s="2" t="s">
        <v>476</v>
      </c>
      <c r="BM546" s="2">
        <v>4.75</v>
      </c>
      <c r="BN546" s="2">
        <v>0.5</v>
      </c>
      <c r="CA546" s="2" t="s">
        <v>2486</v>
      </c>
      <c r="CB546" s="2" t="s">
        <v>116</v>
      </c>
      <c r="CG546" s="2">
        <v>3000</v>
      </c>
      <c r="CH546" s="2">
        <v>92</v>
      </c>
      <c r="CI546" s="2">
        <v>841</v>
      </c>
      <c r="CJ546" s="2">
        <v>554.29999999999995</v>
      </c>
      <c r="CK546" s="2">
        <v>30000</v>
      </c>
      <c r="CL546" s="2" t="s">
        <v>96</v>
      </c>
      <c r="CM546" s="2" t="s">
        <v>95</v>
      </c>
      <c r="CN546" s="2" t="s">
        <v>577</v>
      </c>
      <c r="CO546" s="3">
        <v>41238</v>
      </c>
      <c r="CP546" s="3">
        <v>43637</v>
      </c>
    </row>
    <row r="547" spans="1:94" x14ac:dyDescent="0.25">
      <c r="A547" s="2" t="s">
        <v>2501</v>
      </c>
      <c r="B547" s="2" t="str">
        <f xml:space="preserve"> "" &amp; 844349010142</f>
        <v>844349010142</v>
      </c>
      <c r="C547" s="2" t="s">
        <v>417</v>
      </c>
      <c r="D547" s="2" t="s">
        <v>2483</v>
      </c>
      <c r="E547" s="2" t="s">
        <v>2484</v>
      </c>
      <c r="F547" s="2" t="s">
        <v>418</v>
      </c>
      <c r="G547" s="2">
        <v>1</v>
      </c>
      <c r="H547" s="2">
        <v>1</v>
      </c>
      <c r="I547" s="2" t="s">
        <v>94</v>
      </c>
      <c r="J547" s="6">
        <v>42</v>
      </c>
      <c r="K547" s="6">
        <v>126</v>
      </c>
      <c r="L547" s="2">
        <v>0</v>
      </c>
      <c r="N547" s="2">
        <v>0</v>
      </c>
      <c r="O547" s="2" t="s">
        <v>96</v>
      </c>
      <c r="P547" s="6">
        <v>87.95</v>
      </c>
      <c r="Q547" s="6"/>
      <c r="R547" s="7"/>
      <c r="S547" s="2">
        <v>12.5</v>
      </c>
      <c r="T547" s="2">
        <v>12</v>
      </c>
      <c r="U547" s="2">
        <v>4.75</v>
      </c>
      <c r="V547" s="2">
        <v>4.75</v>
      </c>
      <c r="W547" s="2">
        <v>1.32</v>
      </c>
      <c r="X547" s="2">
        <v>1</v>
      </c>
      <c r="Y547" s="2">
        <v>6.5</v>
      </c>
      <c r="Z547" s="2">
        <v>12</v>
      </c>
      <c r="AA547" s="2">
        <v>8.5</v>
      </c>
      <c r="AB547" s="2">
        <v>0.38400000000000001</v>
      </c>
      <c r="AC547" s="2">
        <v>2.2000000000000002</v>
      </c>
      <c r="AE547" s="2">
        <v>1</v>
      </c>
      <c r="AF547" s="2" t="s">
        <v>1302</v>
      </c>
      <c r="AG547" s="2">
        <v>60</v>
      </c>
      <c r="AK547" s="2" t="s">
        <v>95</v>
      </c>
      <c r="AL547" s="2">
        <v>1</v>
      </c>
      <c r="AM547" s="2" t="s">
        <v>96</v>
      </c>
      <c r="AN547" s="2" t="s">
        <v>95</v>
      </c>
      <c r="AO547" s="2" t="s">
        <v>95</v>
      </c>
      <c r="AP547" s="2" t="s">
        <v>97</v>
      </c>
      <c r="AQ547" s="2" t="s">
        <v>98</v>
      </c>
      <c r="AV547" s="2" t="s">
        <v>95</v>
      </c>
      <c r="AX547" s="2" t="s">
        <v>883</v>
      </c>
      <c r="AZ547" s="2" t="s">
        <v>342</v>
      </c>
      <c r="BB547" s="2" t="s">
        <v>2502</v>
      </c>
      <c r="BC547" s="2" t="s">
        <v>593</v>
      </c>
      <c r="BF547" s="2" t="s">
        <v>2503</v>
      </c>
      <c r="BG547" s="2" t="s">
        <v>95</v>
      </c>
      <c r="BH547" s="2" t="s">
        <v>95</v>
      </c>
      <c r="BI547" s="2" t="s">
        <v>95</v>
      </c>
      <c r="BK547" s="2" t="s">
        <v>414</v>
      </c>
      <c r="BL547" s="2" t="s">
        <v>476</v>
      </c>
      <c r="BR547" s="2">
        <v>0.5</v>
      </c>
      <c r="BT547" s="2">
        <v>4.75</v>
      </c>
      <c r="CA547" s="2" t="s">
        <v>2486</v>
      </c>
      <c r="CB547" s="2" t="s">
        <v>883</v>
      </c>
      <c r="CL547" s="2" t="s">
        <v>96</v>
      </c>
      <c r="CM547" s="2" t="s">
        <v>95</v>
      </c>
      <c r="CN547" s="2" t="s">
        <v>460</v>
      </c>
      <c r="CO547" s="3">
        <v>40695</v>
      </c>
      <c r="CP547" s="3">
        <v>43634</v>
      </c>
    </row>
    <row r="548" spans="1:94" x14ac:dyDescent="0.25">
      <c r="A548" s="2" t="s">
        <v>2504</v>
      </c>
      <c r="B548" s="2" t="str">
        <f xml:space="preserve"> "" &amp; 844349012177</f>
        <v>844349012177</v>
      </c>
      <c r="C548" s="2" t="s">
        <v>417</v>
      </c>
      <c r="D548" s="2" t="s">
        <v>2483</v>
      </c>
      <c r="E548" s="2" t="s">
        <v>2484</v>
      </c>
      <c r="F548" s="2" t="s">
        <v>418</v>
      </c>
      <c r="G548" s="2">
        <v>1</v>
      </c>
      <c r="H548" s="2">
        <v>1</v>
      </c>
      <c r="I548" s="2" t="s">
        <v>94</v>
      </c>
      <c r="J548" s="6">
        <v>42</v>
      </c>
      <c r="K548" s="6">
        <v>126</v>
      </c>
      <c r="L548" s="2">
        <v>0</v>
      </c>
      <c r="N548" s="2">
        <v>0</v>
      </c>
      <c r="O548" s="2" t="s">
        <v>96</v>
      </c>
      <c r="P548" s="6">
        <v>87.95</v>
      </c>
      <c r="Q548" s="6"/>
      <c r="R548" s="7"/>
      <c r="S548" s="2">
        <v>12.5</v>
      </c>
      <c r="T548" s="2">
        <v>12</v>
      </c>
      <c r="U548" s="2">
        <v>4.75</v>
      </c>
      <c r="V548" s="2">
        <v>4.75</v>
      </c>
      <c r="W548" s="2">
        <v>1.32</v>
      </c>
      <c r="X548" s="2">
        <v>1</v>
      </c>
      <c r="Y548" s="2">
        <v>6</v>
      </c>
      <c r="Z548" s="2">
        <v>12</v>
      </c>
      <c r="AA548" s="2">
        <v>7.5</v>
      </c>
      <c r="AB548" s="2">
        <v>0.313</v>
      </c>
      <c r="AC548" s="2">
        <v>2.2000000000000002</v>
      </c>
      <c r="AE548" s="2">
        <v>1</v>
      </c>
      <c r="AF548" s="2" t="s">
        <v>1307</v>
      </c>
      <c r="AG548" s="2">
        <v>60</v>
      </c>
      <c r="AK548" s="2" t="s">
        <v>95</v>
      </c>
      <c r="AL548" s="2">
        <v>1</v>
      </c>
      <c r="AM548" s="2" t="s">
        <v>95</v>
      </c>
      <c r="AN548" s="2" t="s">
        <v>96</v>
      </c>
      <c r="AO548" s="2" t="s">
        <v>95</v>
      </c>
      <c r="AP548" s="2" t="s">
        <v>97</v>
      </c>
      <c r="AQ548" s="2" t="s">
        <v>98</v>
      </c>
      <c r="AV548" s="2" t="s">
        <v>95</v>
      </c>
      <c r="AX548" s="2" t="s">
        <v>1688</v>
      </c>
      <c r="AZ548" s="2" t="s">
        <v>342</v>
      </c>
      <c r="BB548" s="2" t="s">
        <v>2502</v>
      </c>
      <c r="BC548" s="2" t="s">
        <v>593</v>
      </c>
      <c r="BF548" s="2" t="s">
        <v>2505</v>
      </c>
      <c r="BG548" s="2" t="s">
        <v>95</v>
      </c>
      <c r="BH548" s="2" t="s">
        <v>95</v>
      </c>
      <c r="BI548" s="2" t="s">
        <v>95</v>
      </c>
      <c r="BK548" s="2" t="s">
        <v>414</v>
      </c>
      <c r="BL548" s="2" t="s">
        <v>476</v>
      </c>
      <c r="BR548" s="2">
        <v>0.5</v>
      </c>
      <c r="BT548" s="2">
        <v>4.75</v>
      </c>
      <c r="CA548" s="2" t="s">
        <v>2486</v>
      </c>
      <c r="CB548" s="2" t="s">
        <v>1688</v>
      </c>
      <c r="CL548" s="2" t="s">
        <v>96</v>
      </c>
      <c r="CM548" s="2" t="s">
        <v>95</v>
      </c>
      <c r="CN548" s="2" t="s">
        <v>460</v>
      </c>
      <c r="CO548" s="3">
        <v>40864</v>
      </c>
      <c r="CP548" s="3">
        <v>43634</v>
      </c>
    </row>
    <row r="549" spans="1:94" x14ac:dyDescent="0.25">
      <c r="A549" s="2" t="s">
        <v>2506</v>
      </c>
      <c r="B549" s="2" t="str">
        <f xml:space="preserve"> "" &amp; 844349009818</f>
        <v>844349009818</v>
      </c>
      <c r="C549" s="2" t="s">
        <v>417</v>
      </c>
      <c r="D549" s="2" t="s">
        <v>2483</v>
      </c>
      <c r="E549" s="2" t="s">
        <v>2484</v>
      </c>
      <c r="F549" s="2" t="s">
        <v>418</v>
      </c>
      <c r="G549" s="2">
        <v>1</v>
      </c>
      <c r="H549" s="2">
        <v>1</v>
      </c>
      <c r="I549" s="2" t="s">
        <v>94</v>
      </c>
      <c r="J549" s="6">
        <v>42</v>
      </c>
      <c r="K549" s="6">
        <v>126</v>
      </c>
      <c r="L549" s="2">
        <v>0</v>
      </c>
      <c r="N549" s="2">
        <v>0</v>
      </c>
      <c r="O549" s="2" t="s">
        <v>96</v>
      </c>
      <c r="P549" s="6">
        <v>87.95</v>
      </c>
      <c r="Q549" s="6"/>
      <c r="R549" s="7"/>
      <c r="S549" s="2">
        <v>12.5</v>
      </c>
      <c r="T549" s="2">
        <v>12.5</v>
      </c>
      <c r="U549" s="2">
        <v>4.75</v>
      </c>
      <c r="V549" s="2">
        <v>4.75</v>
      </c>
      <c r="W549" s="2">
        <v>1.32</v>
      </c>
      <c r="X549" s="2">
        <v>1</v>
      </c>
      <c r="Y549" s="2">
        <v>6.5</v>
      </c>
      <c r="Z549" s="2">
        <v>12.5</v>
      </c>
      <c r="AA549" s="2">
        <v>8.5</v>
      </c>
      <c r="AB549" s="2">
        <v>0.4</v>
      </c>
      <c r="AC549" s="2">
        <v>2.2000000000000002</v>
      </c>
      <c r="AE549" s="2">
        <v>1</v>
      </c>
      <c r="AF549" s="2" t="s">
        <v>1307</v>
      </c>
      <c r="AG549" s="2">
        <v>60</v>
      </c>
      <c r="AK549" s="2" t="s">
        <v>95</v>
      </c>
      <c r="AL549" s="2">
        <v>1</v>
      </c>
      <c r="AM549" s="2" t="s">
        <v>95</v>
      </c>
      <c r="AN549" s="2" t="s">
        <v>96</v>
      </c>
      <c r="AO549" s="2" t="s">
        <v>95</v>
      </c>
      <c r="AP549" s="2" t="s">
        <v>97</v>
      </c>
      <c r="AQ549" s="2" t="s">
        <v>98</v>
      </c>
      <c r="AV549" s="2" t="s">
        <v>95</v>
      </c>
      <c r="AX549" s="2" t="s">
        <v>2507</v>
      </c>
      <c r="AZ549" s="2" t="s">
        <v>342</v>
      </c>
      <c r="BB549" s="2" t="s">
        <v>329</v>
      </c>
      <c r="BC549" s="2" t="s">
        <v>593</v>
      </c>
      <c r="BF549" s="2" t="s">
        <v>2508</v>
      </c>
      <c r="BG549" s="2" t="s">
        <v>95</v>
      </c>
      <c r="BH549" s="2" t="s">
        <v>95</v>
      </c>
      <c r="BI549" s="2" t="s">
        <v>95</v>
      </c>
      <c r="BK549" s="2" t="s">
        <v>414</v>
      </c>
      <c r="BL549" s="2" t="s">
        <v>476</v>
      </c>
      <c r="BR549" s="2">
        <v>0.5</v>
      </c>
      <c r="BT549" s="2">
        <v>4.75</v>
      </c>
      <c r="CA549" s="2" t="s">
        <v>2486</v>
      </c>
      <c r="CB549" s="2" t="s">
        <v>2507</v>
      </c>
      <c r="CL549" s="2" t="s">
        <v>96</v>
      </c>
      <c r="CM549" s="2" t="s">
        <v>95</v>
      </c>
      <c r="CN549" s="2" t="s">
        <v>460</v>
      </c>
      <c r="CO549" s="3">
        <v>40607</v>
      </c>
      <c r="CP549" s="3">
        <v>43634</v>
      </c>
    </row>
    <row r="550" spans="1:94" x14ac:dyDescent="0.25">
      <c r="A550" s="2" t="s">
        <v>2509</v>
      </c>
      <c r="B550" s="2" t="str">
        <f xml:space="preserve"> "" &amp; 844349002963</f>
        <v>844349002963</v>
      </c>
      <c r="C550" s="2" t="s">
        <v>996</v>
      </c>
      <c r="D550" s="2" t="s">
        <v>2510</v>
      </c>
      <c r="E550" s="2" t="s">
        <v>2484</v>
      </c>
      <c r="F550" s="2" t="s">
        <v>418</v>
      </c>
      <c r="G550" s="2">
        <v>1</v>
      </c>
      <c r="H550" s="2">
        <v>1</v>
      </c>
      <c r="I550" s="2" t="s">
        <v>94</v>
      </c>
      <c r="J550" s="6">
        <v>52</v>
      </c>
      <c r="K550" s="6">
        <v>156</v>
      </c>
      <c r="L550" s="2">
        <v>0</v>
      </c>
      <c r="N550" s="2">
        <v>0</v>
      </c>
      <c r="O550" s="2" t="s">
        <v>96</v>
      </c>
      <c r="P550" s="6">
        <v>97.95</v>
      </c>
      <c r="Q550" s="6"/>
      <c r="R550" s="7"/>
      <c r="S550" s="2">
        <v>4.75</v>
      </c>
      <c r="T550" s="2">
        <v>12</v>
      </c>
      <c r="U550" s="2">
        <v>20</v>
      </c>
      <c r="V550" s="2">
        <v>4.75</v>
      </c>
      <c r="W550" s="2">
        <v>1.98</v>
      </c>
      <c r="X550" s="2">
        <v>1</v>
      </c>
      <c r="Y550" s="2">
        <v>6.25</v>
      </c>
      <c r="Z550" s="2">
        <v>12</v>
      </c>
      <c r="AA550" s="2">
        <v>11</v>
      </c>
      <c r="AB550" s="2">
        <v>0.47699999999999998</v>
      </c>
      <c r="AC550" s="2">
        <v>3.31</v>
      </c>
      <c r="AE550" s="2">
        <v>2</v>
      </c>
      <c r="AF550" s="2" t="s">
        <v>2511</v>
      </c>
      <c r="AG550" s="2">
        <v>60</v>
      </c>
      <c r="AH550" s="2">
        <v>0</v>
      </c>
      <c r="AJ550" s="2">
        <v>0</v>
      </c>
      <c r="AK550" s="2" t="s">
        <v>95</v>
      </c>
      <c r="AM550" s="2" t="s">
        <v>95</v>
      </c>
      <c r="AN550" s="2" t="s">
        <v>96</v>
      </c>
      <c r="AO550" s="2" t="s">
        <v>95</v>
      </c>
      <c r="AP550" s="2" t="s">
        <v>97</v>
      </c>
      <c r="AQ550" s="2" t="s">
        <v>98</v>
      </c>
      <c r="AV550" s="2" t="s">
        <v>95</v>
      </c>
      <c r="AX550" s="2" t="s">
        <v>395</v>
      </c>
      <c r="AZ550" s="2" t="s">
        <v>342</v>
      </c>
      <c r="BB550" s="2" t="s">
        <v>329</v>
      </c>
      <c r="BC550" s="2" t="s">
        <v>865</v>
      </c>
      <c r="BF550" s="2" t="s">
        <v>2512</v>
      </c>
      <c r="BG550" s="2" t="s">
        <v>95</v>
      </c>
      <c r="BH550" s="2" t="s">
        <v>95</v>
      </c>
      <c r="BI550" s="2" t="s">
        <v>95</v>
      </c>
      <c r="BK550" s="2" t="s">
        <v>414</v>
      </c>
      <c r="BL550" s="2" t="s">
        <v>350</v>
      </c>
      <c r="BR550" s="2">
        <v>0.5</v>
      </c>
      <c r="BT550" s="2">
        <v>4.75</v>
      </c>
      <c r="CA550" s="2" t="s">
        <v>2513</v>
      </c>
      <c r="CB550" s="2" t="s">
        <v>395</v>
      </c>
      <c r="CL550" s="2" t="s">
        <v>96</v>
      </c>
      <c r="CM550" s="2" t="s">
        <v>95</v>
      </c>
      <c r="CN550" s="2" t="s">
        <v>1404</v>
      </c>
      <c r="CO550" s="3">
        <v>39665</v>
      </c>
      <c r="CP550" s="3">
        <v>43634</v>
      </c>
    </row>
    <row r="551" spans="1:94" x14ac:dyDescent="0.25">
      <c r="A551" s="2" t="s">
        <v>2514</v>
      </c>
      <c r="B551" s="2" t="str">
        <f xml:space="preserve"> "" &amp; 844349013600</f>
        <v>844349013600</v>
      </c>
      <c r="C551" s="2" t="s">
        <v>655</v>
      </c>
      <c r="D551" s="2" t="s">
        <v>2515</v>
      </c>
      <c r="E551" s="2" t="s">
        <v>2527</v>
      </c>
      <c r="F551" s="2" t="s">
        <v>418</v>
      </c>
      <c r="G551" s="2">
        <v>1</v>
      </c>
      <c r="H551" s="2">
        <v>1</v>
      </c>
      <c r="I551" s="2" t="s">
        <v>94</v>
      </c>
      <c r="J551" s="6">
        <v>115</v>
      </c>
      <c r="K551" s="6">
        <v>345</v>
      </c>
      <c r="L551" s="2">
        <v>0</v>
      </c>
      <c r="N551" s="2">
        <v>0</v>
      </c>
      <c r="O551" s="2" t="s">
        <v>96</v>
      </c>
      <c r="P551" s="6">
        <v>207.95</v>
      </c>
      <c r="Q551" s="6"/>
      <c r="R551" s="7"/>
      <c r="S551" s="2">
        <v>5.25</v>
      </c>
      <c r="U551" s="2">
        <v>21</v>
      </c>
      <c r="V551" s="2">
        <v>4.5</v>
      </c>
      <c r="W551" s="2">
        <v>2.6</v>
      </c>
      <c r="X551" s="2">
        <v>1</v>
      </c>
      <c r="Y551" s="2">
        <v>7</v>
      </c>
      <c r="Z551" s="2">
        <v>24</v>
      </c>
      <c r="AA551" s="2">
        <v>9.8800000000000008</v>
      </c>
      <c r="AB551" s="2">
        <v>0.96099999999999997</v>
      </c>
      <c r="AC551" s="2">
        <v>4.12</v>
      </c>
      <c r="AE551" s="2">
        <v>1</v>
      </c>
      <c r="AF551" s="2" t="s">
        <v>347</v>
      </c>
      <c r="AG551" s="2">
        <v>20</v>
      </c>
      <c r="AK551" s="2" t="s">
        <v>96</v>
      </c>
      <c r="AM551" s="2" t="s">
        <v>95</v>
      </c>
      <c r="AN551" s="2" t="s">
        <v>96</v>
      </c>
      <c r="AO551" s="2" t="s">
        <v>95</v>
      </c>
      <c r="AP551" s="2" t="s">
        <v>97</v>
      </c>
      <c r="AQ551" s="2" t="s">
        <v>98</v>
      </c>
      <c r="AV551" s="2" t="s">
        <v>95</v>
      </c>
      <c r="AX551" s="2" t="s">
        <v>395</v>
      </c>
      <c r="AZ551" s="2" t="s">
        <v>449</v>
      </c>
      <c r="BB551" s="2" t="s">
        <v>329</v>
      </c>
      <c r="BC551" s="2" t="s">
        <v>330</v>
      </c>
      <c r="BF551" s="2" t="s">
        <v>2516</v>
      </c>
      <c r="BG551" s="2" t="s">
        <v>95</v>
      </c>
      <c r="BH551" s="2" t="s">
        <v>95</v>
      </c>
      <c r="BI551" s="2" t="s">
        <v>96</v>
      </c>
      <c r="BK551" s="2" t="s">
        <v>414</v>
      </c>
      <c r="BL551" s="2" t="s">
        <v>350</v>
      </c>
      <c r="BM551" s="2">
        <v>5.25</v>
      </c>
      <c r="BN551" s="2">
        <v>1.5</v>
      </c>
      <c r="CA551" s="2" t="s">
        <v>2517</v>
      </c>
      <c r="CB551" s="2" t="s">
        <v>395</v>
      </c>
      <c r="CG551" s="2">
        <v>3000</v>
      </c>
      <c r="CH551" s="2">
        <v>93</v>
      </c>
      <c r="CI551" s="2">
        <v>1587</v>
      </c>
      <c r="CJ551" s="2">
        <v>1174.8</v>
      </c>
      <c r="CK551" s="2">
        <v>30000</v>
      </c>
      <c r="CL551" s="2" t="s">
        <v>96</v>
      </c>
      <c r="CM551" s="2" t="s">
        <v>95</v>
      </c>
      <c r="CN551" s="2" t="s">
        <v>2491</v>
      </c>
      <c r="CO551" s="3">
        <v>41238</v>
      </c>
      <c r="CP551" s="3">
        <v>43637</v>
      </c>
    </row>
    <row r="552" spans="1:94" x14ac:dyDescent="0.25">
      <c r="A552" s="2" t="s">
        <v>2518</v>
      </c>
      <c r="B552" s="2" t="str">
        <f xml:space="preserve"> "" &amp; 844349002970</f>
        <v>844349002970</v>
      </c>
      <c r="C552" s="2" t="s">
        <v>996</v>
      </c>
      <c r="D552" s="2" t="s">
        <v>2510</v>
      </c>
      <c r="E552" s="2" t="s">
        <v>2484</v>
      </c>
      <c r="F552" s="2" t="s">
        <v>418</v>
      </c>
      <c r="G552" s="2">
        <v>1</v>
      </c>
      <c r="H552" s="2">
        <v>1</v>
      </c>
      <c r="I552" s="2" t="s">
        <v>94</v>
      </c>
      <c r="J552" s="6">
        <v>68</v>
      </c>
      <c r="K552" s="6">
        <v>204</v>
      </c>
      <c r="L552" s="2">
        <v>0</v>
      </c>
      <c r="N552" s="2">
        <v>0</v>
      </c>
      <c r="O552" s="2" t="s">
        <v>96</v>
      </c>
      <c r="P552" s="6">
        <v>119.95</v>
      </c>
      <c r="Q552" s="6"/>
      <c r="R552" s="7"/>
      <c r="S552" s="2">
        <v>4.75</v>
      </c>
      <c r="T552" s="2">
        <v>12</v>
      </c>
      <c r="U552" s="2">
        <v>20.25</v>
      </c>
      <c r="V552" s="2">
        <v>4.75</v>
      </c>
      <c r="W552" s="2">
        <v>3.37</v>
      </c>
      <c r="X552" s="2">
        <v>1</v>
      </c>
      <c r="Y552" s="2">
        <v>7.25</v>
      </c>
      <c r="Z552" s="2">
        <v>12</v>
      </c>
      <c r="AA552" s="2">
        <v>10.75</v>
      </c>
      <c r="AB552" s="2">
        <v>0.54100000000000004</v>
      </c>
      <c r="AC552" s="2">
        <v>4.3</v>
      </c>
      <c r="AE552" s="2">
        <v>2</v>
      </c>
      <c r="AF552" s="2" t="s">
        <v>2519</v>
      </c>
      <c r="AG552" s="2">
        <v>13</v>
      </c>
      <c r="AH552" s="2">
        <v>0</v>
      </c>
      <c r="AJ552" s="2">
        <v>0</v>
      </c>
      <c r="AK552" s="2" t="s">
        <v>96</v>
      </c>
      <c r="AM552" s="2" t="s">
        <v>95</v>
      </c>
      <c r="AN552" s="2" t="s">
        <v>96</v>
      </c>
      <c r="AO552" s="2" t="s">
        <v>96</v>
      </c>
      <c r="AP552" s="2" t="s">
        <v>97</v>
      </c>
      <c r="AQ552" s="2" t="s">
        <v>98</v>
      </c>
      <c r="AV552" s="2" t="s">
        <v>95</v>
      </c>
      <c r="AX552" s="2" t="s">
        <v>395</v>
      </c>
      <c r="AZ552" s="2" t="s">
        <v>342</v>
      </c>
      <c r="BB552" s="2" t="s">
        <v>2520</v>
      </c>
      <c r="BC552" s="2" t="s">
        <v>593</v>
      </c>
      <c r="BF552" s="2" t="s">
        <v>2521</v>
      </c>
      <c r="BG552" s="2" t="s">
        <v>95</v>
      </c>
      <c r="BH552" s="2" t="s">
        <v>96</v>
      </c>
      <c r="BI552" s="2" t="s">
        <v>95</v>
      </c>
      <c r="BK552" s="2" t="s">
        <v>414</v>
      </c>
      <c r="BL552" s="2" t="s">
        <v>350</v>
      </c>
      <c r="BM552" s="2">
        <v>4.75</v>
      </c>
      <c r="BN552" s="2">
        <v>2</v>
      </c>
      <c r="CA552" s="2" t="s">
        <v>2522</v>
      </c>
      <c r="CB552" s="2" t="s">
        <v>395</v>
      </c>
      <c r="CL552" s="2" t="s">
        <v>95</v>
      </c>
      <c r="CM552" s="2" t="s">
        <v>95</v>
      </c>
      <c r="CN552" s="2" t="s">
        <v>547</v>
      </c>
      <c r="CO552" s="3">
        <v>39666</v>
      </c>
      <c r="CP552" s="3">
        <v>43634</v>
      </c>
    </row>
    <row r="553" spans="1:94" x14ac:dyDescent="0.25">
      <c r="A553" s="2" t="s">
        <v>2523</v>
      </c>
      <c r="B553" s="2" t="str">
        <f xml:space="preserve"> "" &amp; 870540002051</f>
        <v>870540002051</v>
      </c>
      <c r="C553" s="2" t="s">
        <v>996</v>
      </c>
      <c r="D553" s="2" t="s">
        <v>2510</v>
      </c>
      <c r="E553" s="2" t="s">
        <v>2484</v>
      </c>
      <c r="F553" s="2" t="s">
        <v>418</v>
      </c>
      <c r="G553" s="2">
        <v>1</v>
      </c>
      <c r="H553" s="2">
        <v>1</v>
      </c>
      <c r="I553" s="2" t="s">
        <v>94</v>
      </c>
      <c r="J553" s="6">
        <v>52</v>
      </c>
      <c r="K553" s="6">
        <v>156</v>
      </c>
      <c r="L553" s="2">
        <v>0</v>
      </c>
      <c r="N553" s="2">
        <v>0</v>
      </c>
      <c r="O553" s="2" t="s">
        <v>96</v>
      </c>
      <c r="P553" s="6">
        <v>97.95</v>
      </c>
      <c r="Q553" s="6"/>
      <c r="R553" s="7"/>
      <c r="S553" s="2">
        <v>4.75</v>
      </c>
      <c r="T553" s="2">
        <v>12</v>
      </c>
      <c r="U553" s="2">
        <v>20</v>
      </c>
      <c r="V553" s="2">
        <v>4.75</v>
      </c>
      <c r="W553" s="2">
        <v>1.98</v>
      </c>
      <c r="X553" s="2">
        <v>1</v>
      </c>
      <c r="Y553" s="2">
        <v>6.25</v>
      </c>
      <c r="Z553" s="2">
        <v>12</v>
      </c>
      <c r="AA553" s="2">
        <v>11</v>
      </c>
      <c r="AB553" s="2">
        <v>0.47699999999999998</v>
      </c>
      <c r="AC553" s="2">
        <v>3.31</v>
      </c>
      <c r="AE553" s="2">
        <v>2</v>
      </c>
      <c r="AF553" s="2" t="s">
        <v>2524</v>
      </c>
      <c r="AG553" s="2">
        <v>60</v>
      </c>
      <c r="AH553" s="2">
        <v>0</v>
      </c>
      <c r="AJ553" s="2">
        <v>0</v>
      </c>
      <c r="AK553" s="2" t="s">
        <v>95</v>
      </c>
      <c r="AM553" s="2" t="s">
        <v>95</v>
      </c>
      <c r="AN553" s="2" t="s">
        <v>96</v>
      </c>
      <c r="AO553" s="2" t="s">
        <v>95</v>
      </c>
      <c r="AP553" s="2" t="s">
        <v>97</v>
      </c>
      <c r="AQ553" s="2" t="s">
        <v>98</v>
      </c>
      <c r="AV553" s="2" t="s">
        <v>95</v>
      </c>
      <c r="AX553" s="2" t="s">
        <v>116</v>
      </c>
      <c r="AZ553" s="2" t="s">
        <v>342</v>
      </c>
      <c r="BB553" s="2" t="s">
        <v>329</v>
      </c>
      <c r="BC553" s="2" t="s">
        <v>865</v>
      </c>
      <c r="BF553" s="2" t="s">
        <v>2525</v>
      </c>
      <c r="BG553" s="2" t="s">
        <v>95</v>
      </c>
      <c r="BH553" s="2" t="s">
        <v>95</v>
      </c>
      <c r="BI553" s="2" t="s">
        <v>95</v>
      </c>
      <c r="BK553" s="2" t="s">
        <v>414</v>
      </c>
      <c r="BL553" s="2" t="s">
        <v>350</v>
      </c>
      <c r="BR553" s="2">
        <v>0.5</v>
      </c>
      <c r="BT553" s="2">
        <v>4.75</v>
      </c>
      <c r="CA553" s="2" t="s">
        <v>2513</v>
      </c>
      <c r="CB553" s="2" t="s">
        <v>116</v>
      </c>
      <c r="CL553" s="2" t="s">
        <v>96</v>
      </c>
      <c r="CM553" s="2" t="s">
        <v>95</v>
      </c>
      <c r="CN553" s="2" t="s">
        <v>552</v>
      </c>
      <c r="CO553" s="3">
        <v>37615</v>
      </c>
      <c r="CP553" s="3">
        <v>43634</v>
      </c>
    </row>
    <row r="554" spans="1:94" x14ac:dyDescent="0.25">
      <c r="A554" s="2" t="s">
        <v>2526</v>
      </c>
      <c r="B554" s="2" t="str">
        <f xml:space="preserve"> "" &amp; 844349013617</f>
        <v>844349013617</v>
      </c>
      <c r="C554" s="2" t="s">
        <v>655</v>
      </c>
      <c r="D554" s="2" t="s">
        <v>2515</v>
      </c>
      <c r="E554" s="2" t="s">
        <v>2527</v>
      </c>
      <c r="F554" s="2" t="s">
        <v>658</v>
      </c>
      <c r="G554" s="2">
        <v>1</v>
      </c>
      <c r="H554" s="2">
        <v>1</v>
      </c>
      <c r="I554" s="2" t="s">
        <v>94</v>
      </c>
      <c r="J554" s="6">
        <v>115</v>
      </c>
      <c r="K554" s="6">
        <v>345</v>
      </c>
      <c r="L554" s="2">
        <v>0</v>
      </c>
      <c r="N554" s="2">
        <v>0</v>
      </c>
      <c r="O554" s="2" t="s">
        <v>96</v>
      </c>
      <c r="P554" s="6">
        <v>207.95</v>
      </c>
      <c r="Q554" s="6"/>
      <c r="R554" s="7"/>
      <c r="S554" s="2">
        <v>5.25</v>
      </c>
      <c r="U554" s="2">
        <v>21</v>
      </c>
      <c r="V554" s="2">
        <v>4.5</v>
      </c>
      <c r="W554" s="2">
        <v>2.6</v>
      </c>
      <c r="X554" s="2">
        <v>1</v>
      </c>
      <c r="Y554" s="2">
        <v>7</v>
      </c>
      <c r="Z554" s="2">
        <v>24</v>
      </c>
      <c r="AA554" s="2">
        <v>9.8800000000000008</v>
      </c>
      <c r="AB554" s="2">
        <v>0.96099999999999997</v>
      </c>
      <c r="AC554" s="2">
        <v>4.12</v>
      </c>
      <c r="AE554" s="2">
        <v>1</v>
      </c>
      <c r="AF554" s="2" t="s">
        <v>2528</v>
      </c>
      <c r="AG554" s="2">
        <v>20</v>
      </c>
      <c r="AK554" s="2" t="s">
        <v>96</v>
      </c>
      <c r="AM554" s="2" t="s">
        <v>95</v>
      </c>
      <c r="AN554" s="2" t="s">
        <v>96</v>
      </c>
      <c r="AO554" s="2" t="s">
        <v>95</v>
      </c>
      <c r="AP554" s="2" t="s">
        <v>97</v>
      </c>
      <c r="AQ554" s="2" t="s">
        <v>98</v>
      </c>
      <c r="AV554" s="2" t="s">
        <v>95</v>
      </c>
      <c r="AX554" s="2" t="s">
        <v>116</v>
      </c>
      <c r="AZ554" s="2" t="s">
        <v>449</v>
      </c>
      <c r="BB554" s="2" t="s">
        <v>329</v>
      </c>
      <c r="BC554" s="2" t="s">
        <v>593</v>
      </c>
      <c r="BF554" s="2" t="s">
        <v>2529</v>
      </c>
      <c r="BG554" s="2" t="s">
        <v>95</v>
      </c>
      <c r="BH554" s="2" t="s">
        <v>95</v>
      </c>
      <c r="BI554" s="2" t="s">
        <v>96</v>
      </c>
      <c r="BK554" s="2" t="s">
        <v>414</v>
      </c>
      <c r="BL554" s="2" t="s">
        <v>350</v>
      </c>
      <c r="BM554" s="2">
        <v>5.25</v>
      </c>
      <c r="BN554" s="2">
        <v>1.5</v>
      </c>
      <c r="CA554" s="2" t="s">
        <v>2517</v>
      </c>
      <c r="CB554" s="2" t="s">
        <v>116</v>
      </c>
      <c r="CG554" s="2">
        <v>3000</v>
      </c>
      <c r="CH554" s="2">
        <v>93</v>
      </c>
      <c r="CI554" s="2">
        <v>1587</v>
      </c>
      <c r="CJ554" s="2">
        <v>1174.8</v>
      </c>
      <c r="CK554" s="2">
        <v>30000</v>
      </c>
      <c r="CL554" s="2" t="s">
        <v>96</v>
      </c>
      <c r="CM554" s="2" t="s">
        <v>95</v>
      </c>
      <c r="CN554" s="2" t="s">
        <v>2491</v>
      </c>
      <c r="CO554" s="3">
        <v>41238</v>
      </c>
      <c r="CP554" s="3">
        <v>43637</v>
      </c>
    </row>
    <row r="555" spans="1:94" x14ac:dyDescent="0.25">
      <c r="A555" s="2" t="s">
        <v>2530</v>
      </c>
      <c r="B555" s="2" t="str">
        <f xml:space="preserve"> "" &amp; 844349010159</f>
        <v>844349010159</v>
      </c>
      <c r="C555" s="2" t="s">
        <v>996</v>
      </c>
      <c r="D555" s="2" t="s">
        <v>2531</v>
      </c>
      <c r="E555" s="2" t="s">
        <v>2484</v>
      </c>
      <c r="F555" s="2" t="s">
        <v>418</v>
      </c>
      <c r="G555" s="2">
        <v>1</v>
      </c>
      <c r="H555" s="2">
        <v>1</v>
      </c>
      <c r="I555" s="2" t="s">
        <v>94</v>
      </c>
      <c r="J555" s="6">
        <v>52</v>
      </c>
      <c r="K555" s="6">
        <v>156</v>
      </c>
      <c r="L555" s="2">
        <v>0</v>
      </c>
      <c r="N555" s="2">
        <v>0</v>
      </c>
      <c r="O555" s="2" t="s">
        <v>96</v>
      </c>
      <c r="P555" s="6">
        <v>97.95</v>
      </c>
      <c r="Q555" s="6"/>
      <c r="R555" s="7"/>
      <c r="S555" s="2">
        <v>4.75</v>
      </c>
      <c r="T555" s="2">
        <v>12</v>
      </c>
      <c r="U555" s="2">
        <v>20</v>
      </c>
      <c r="V555" s="2">
        <v>4.75</v>
      </c>
      <c r="W555" s="2">
        <v>1.98</v>
      </c>
      <c r="X555" s="2">
        <v>1</v>
      </c>
      <c r="Y555" s="2">
        <v>6.25</v>
      </c>
      <c r="Z555" s="2">
        <v>12</v>
      </c>
      <c r="AA555" s="2">
        <v>11</v>
      </c>
      <c r="AB555" s="2">
        <v>0.47699999999999998</v>
      </c>
      <c r="AC555" s="2">
        <v>3.31</v>
      </c>
      <c r="AE555" s="2">
        <v>2</v>
      </c>
      <c r="AF555" s="2" t="s">
        <v>1302</v>
      </c>
      <c r="AG555" s="2">
        <v>60</v>
      </c>
      <c r="AK555" s="2" t="s">
        <v>95</v>
      </c>
      <c r="AM555" s="2" t="s">
        <v>96</v>
      </c>
      <c r="AN555" s="2" t="s">
        <v>95</v>
      </c>
      <c r="AO555" s="2" t="s">
        <v>95</v>
      </c>
      <c r="AP555" s="2" t="s">
        <v>97</v>
      </c>
      <c r="AQ555" s="2" t="s">
        <v>98</v>
      </c>
      <c r="AV555" s="2" t="s">
        <v>95</v>
      </c>
      <c r="AX555" s="2" t="s">
        <v>883</v>
      </c>
      <c r="AZ555" s="2" t="s">
        <v>342</v>
      </c>
      <c r="BB555" s="2" t="s">
        <v>329</v>
      </c>
      <c r="BC555" s="2" t="s">
        <v>593</v>
      </c>
      <c r="BF555" s="2" t="s">
        <v>2532</v>
      </c>
      <c r="BG555" s="2" t="s">
        <v>95</v>
      </c>
      <c r="BH555" s="2" t="s">
        <v>95</v>
      </c>
      <c r="BI555" s="2" t="s">
        <v>95</v>
      </c>
      <c r="BK555" s="2" t="s">
        <v>414</v>
      </c>
      <c r="BL555" s="2" t="s">
        <v>350</v>
      </c>
      <c r="BR555" s="2">
        <v>0.5</v>
      </c>
      <c r="BT555" s="2">
        <v>4.75</v>
      </c>
      <c r="CA555" s="2" t="s">
        <v>2513</v>
      </c>
      <c r="CB555" s="2" t="s">
        <v>883</v>
      </c>
      <c r="CL555" s="2" t="s">
        <v>96</v>
      </c>
      <c r="CM555" s="2" t="s">
        <v>95</v>
      </c>
      <c r="CN555" s="2" t="s">
        <v>460</v>
      </c>
      <c r="CO555" s="3">
        <v>40695</v>
      </c>
      <c r="CP555" s="3">
        <v>43634</v>
      </c>
    </row>
    <row r="556" spans="1:94" x14ac:dyDescent="0.25">
      <c r="A556" s="2" t="s">
        <v>2533</v>
      </c>
      <c r="B556" s="2" t="str">
        <f xml:space="preserve"> "" &amp; 844349012184</f>
        <v>844349012184</v>
      </c>
      <c r="C556" s="2" t="s">
        <v>996</v>
      </c>
      <c r="D556" s="2" t="s">
        <v>2510</v>
      </c>
      <c r="E556" s="2" t="s">
        <v>2484</v>
      </c>
      <c r="F556" s="2" t="s">
        <v>418</v>
      </c>
      <c r="G556" s="2">
        <v>1</v>
      </c>
      <c r="H556" s="2">
        <v>1</v>
      </c>
      <c r="I556" s="2" t="s">
        <v>94</v>
      </c>
      <c r="J556" s="6">
        <v>52</v>
      </c>
      <c r="K556" s="6">
        <v>156</v>
      </c>
      <c r="L556" s="2">
        <v>0</v>
      </c>
      <c r="N556" s="2">
        <v>0</v>
      </c>
      <c r="O556" s="2" t="s">
        <v>96</v>
      </c>
      <c r="P556" s="6">
        <v>97.95</v>
      </c>
      <c r="Q556" s="6"/>
      <c r="R556" s="7"/>
      <c r="S556" s="2">
        <v>4.75</v>
      </c>
      <c r="T556" s="2">
        <v>12</v>
      </c>
      <c r="U556" s="2">
        <v>20</v>
      </c>
      <c r="V556" s="2">
        <v>4.75</v>
      </c>
      <c r="W556" s="2">
        <v>1.98</v>
      </c>
      <c r="X556" s="2">
        <v>1</v>
      </c>
      <c r="Y556" s="2">
        <v>6.25</v>
      </c>
      <c r="Z556" s="2">
        <v>12</v>
      </c>
      <c r="AA556" s="2">
        <v>11</v>
      </c>
      <c r="AB556" s="2">
        <v>0.47699999999999998</v>
      </c>
      <c r="AC556" s="2">
        <v>3.31</v>
      </c>
      <c r="AE556" s="2">
        <v>2</v>
      </c>
      <c r="AF556" s="2" t="s">
        <v>1307</v>
      </c>
      <c r="AG556" s="2">
        <v>60</v>
      </c>
      <c r="AK556" s="2" t="s">
        <v>95</v>
      </c>
      <c r="AM556" s="2" t="s">
        <v>95</v>
      </c>
      <c r="AN556" s="2" t="s">
        <v>96</v>
      </c>
      <c r="AO556" s="2" t="s">
        <v>95</v>
      </c>
      <c r="AP556" s="2" t="s">
        <v>97</v>
      </c>
      <c r="AQ556" s="2" t="s">
        <v>98</v>
      </c>
      <c r="AV556" s="2" t="s">
        <v>95</v>
      </c>
      <c r="AX556" s="2" t="s">
        <v>1688</v>
      </c>
      <c r="AZ556" s="2" t="s">
        <v>342</v>
      </c>
      <c r="BB556" s="2" t="s">
        <v>329</v>
      </c>
      <c r="BC556" s="2" t="s">
        <v>593</v>
      </c>
      <c r="BF556" s="2" t="s">
        <v>2534</v>
      </c>
      <c r="BG556" s="2" t="s">
        <v>95</v>
      </c>
      <c r="BH556" s="2" t="s">
        <v>95</v>
      </c>
      <c r="BI556" s="2" t="s">
        <v>95</v>
      </c>
      <c r="BK556" s="2" t="s">
        <v>414</v>
      </c>
      <c r="BL556" s="2" t="s">
        <v>350</v>
      </c>
      <c r="BR556" s="2">
        <v>0.5</v>
      </c>
      <c r="BT556" s="2">
        <v>4.75</v>
      </c>
      <c r="CA556" s="2" t="s">
        <v>2513</v>
      </c>
      <c r="CB556" s="2" t="s">
        <v>1688</v>
      </c>
      <c r="CL556" s="2" t="s">
        <v>96</v>
      </c>
      <c r="CM556" s="2" t="s">
        <v>95</v>
      </c>
      <c r="CN556" s="2" t="s">
        <v>460</v>
      </c>
      <c r="CO556" s="3">
        <v>40864</v>
      </c>
      <c r="CP556" s="3">
        <v>43634</v>
      </c>
    </row>
    <row r="557" spans="1:94" x14ac:dyDescent="0.25">
      <c r="A557" s="2" t="s">
        <v>2535</v>
      </c>
      <c r="B557" s="2" t="str">
        <f xml:space="preserve"> "" &amp; 844349009825</f>
        <v>844349009825</v>
      </c>
      <c r="C557" s="2" t="s">
        <v>996</v>
      </c>
      <c r="D557" s="2" t="s">
        <v>2510</v>
      </c>
      <c r="E557" s="2" t="s">
        <v>2484</v>
      </c>
      <c r="F557" s="2" t="s">
        <v>658</v>
      </c>
      <c r="G557" s="2">
        <v>1</v>
      </c>
      <c r="H557" s="2">
        <v>1</v>
      </c>
      <c r="I557" s="2" t="s">
        <v>94</v>
      </c>
      <c r="J557" s="6">
        <v>52</v>
      </c>
      <c r="K557" s="6">
        <v>156</v>
      </c>
      <c r="L557" s="2">
        <v>0</v>
      </c>
      <c r="N557" s="2">
        <v>0</v>
      </c>
      <c r="O557" s="2" t="s">
        <v>96</v>
      </c>
      <c r="P557" s="6">
        <v>97.95</v>
      </c>
      <c r="Q557" s="6"/>
      <c r="R557" s="7"/>
      <c r="S557" s="2">
        <v>4.75</v>
      </c>
      <c r="T557" s="2">
        <v>12</v>
      </c>
      <c r="U557" s="2">
        <v>20</v>
      </c>
      <c r="V557" s="2">
        <v>4.75</v>
      </c>
      <c r="W557" s="2">
        <v>1.98</v>
      </c>
      <c r="X557" s="2">
        <v>1</v>
      </c>
      <c r="Y557" s="2">
        <v>6.25</v>
      </c>
      <c r="Z557" s="2">
        <v>12</v>
      </c>
      <c r="AA557" s="2">
        <v>11</v>
      </c>
      <c r="AB557" s="2">
        <v>0.47699999999999998</v>
      </c>
      <c r="AC557" s="2">
        <v>3.31</v>
      </c>
      <c r="AE557" s="2">
        <v>2</v>
      </c>
      <c r="AF557" s="2" t="s">
        <v>1307</v>
      </c>
      <c r="AG557" s="2">
        <v>60</v>
      </c>
      <c r="AK557" s="2" t="s">
        <v>95</v>
      </c>
      <c r="AM557" s="2" t="s">
        <v>95</v>
      </c>
      <c r="AN557" s="2" t="s">
        <v>96</v>
      </c>
      <c r="AO557" s="2" t="s">
        <v>95</v>
      </c>
      <c r="AP557" s="2" t="s">
        <v>97</v>
      </c>
      <c r="AQ557" s="2" t="s">
        <v>98</v>
      </c>
      <c r="AV557" s="2" t="s">
        <v>95</v>
      </c>
      <c r="AX557" s="2" t="s">
        <v>2507</v>
      </c>
      <c r="AZ557" s="2" t="s">
        <v>342</v>
      </c>
      <c r="BB557" s="2" t="s">
        <v>329</v>
      </c>
      <c r="BC557" s="2" t="s">
        <v>593</v>
      </c>
      <c r="BF557" s="2" t="s">
        <v>2536</v>
      </c>
      <c r="BG557" s="2" t="s">
        <v>95</v>
      </c>
      <c r="BH557" s="2" t="s">
        <v>95</v>
      </c>
      <c r="BI557" s="2" t="s">
        <v>95</v>
      </c>
      <c r="BK557" s="2" t="s">
        <v>414</v>
      </c>
      <c r="BL557" s="2" t="s">
        <v>350</v>
      </c>
      <c r="BR557" s="2">
        <v>0.5</v>
      </c>
      <c r="BT557" s="2">
        <v>4.75</v>
      </c>
      <c r="CA557" s="2" t="s">
        <v>2513</v>
      </c>
      <c r="CB557" s="2" t="s">
        <v>2507</v>
      </c>
      <c r="CL557" s="2" t="s">
        <v>96</v>
      </c>
      <c r="CM557" s="2" t="s">
        <v>95</v>
      </c>
      <c r="CN557" s="2" t="s">
        <v>460</v>
      </c>
      <c r="CO557" s="3">
        <v>40607</v>
      </c>
      <c r="CP557" s="3">
        <v>43634</v>
      </c>
    </row>
    <row r="558" spans="1:94" x14ac:dyDescent="0.25">
      <c r="A558" s="2" t="s">
        <v>2537</v>
      </c>
      <c r="B558" s="2" t="str">
        <f xml:space="preserve"> "" &amp; 844349002987</f>
        <v>844349002987</v>
      </c>
      <c r="C558" s="2" t="s">
        <v>1001</v>
      </c>
      <c r="D558" s="2" t="s">
        <v>2538</v>
      </c>
      <c r="E558" s="2" t="s">
        <v>613</v>
      </c>
      <c r="F558" s="2" t="s">
        <v>418</v>
      </c>
      <c r="G558" s="2">
        <v>1</v>
      </c>
      <c r="H558" s="2">
        <v>1</v>
      </c>
      <c r="I558" s="2" t="s">
        <v>94</v>
      </c>
      <c r="J558" s="6">
        <v>95</v>
      </c>
      <c r="K558" s="6">
        <v>285</v>
      </c>
      <c r="L558" s="2">
        <v>0</v>
      </c>
      <c r="N558" s="2">
        <v>0</v>
      </c>
      <c r="O558" s="2" t="s">
        <v>96</v>
      </c>
      <c r="P558" s="6">
        <v>199.95</v>
      </c>
      <c r="Q558" s="6"/>
      <c r="R558" s="7"/>
      <c r="S558" s="2">
        <v>4.75</v>
      </c>
      <c r="U558" s="2">
        <v>20.5</v>
      </c>
      <c r="V558" s="2">
        <v>4</v>
      </c>
      <c r="W558" s="2">
        <v>4.34</v>
      </c>
      <c r="X558" s="2">
        <v>1</v>
      </c>
      <c r="Y558" s="2">
        <v>5.5</v>
      </c>
      <c r="Z558" s="2">
        <v>22</v>
      </c>
      <c r="AA558" s="2">
        <v>7.75</v>
      </c>
      <c r="AB558" s="2">
        <v>0.54300000000000004</v>
      </c>
      <c r="AC558" s="2">
        <v>5.27</v>
      </c>
      <c r="AE558" s="2">
        <v>3</v>
      </c>
      <c r="AF558" s="2" t="s">
        <v>1693</v>
      </c>
      <c r="AG558" s="2">
        <v>60</v>
      </c>
      <c r="AH558" s="2">
        <v>0</v>
      </c>
      <c r="AJ558" s="2">
        <v>0</v>
      </c>
      <c r="AK558" s="2" t="s">
        <v>96</v>
      </c>
      <c r="AM558" s="2" t="s">
        <v>95</v>
      </c>
      <c r="AN558" s="2" t="s">
        <v>96</v>
      </c>
      <c r="AO558" s="2" t="s">
        <v>95</v>
      </c>
      <c r="AP558" s="2" t="s">
        <v>97</v>
      </c>
      <c r="AQ558" s="2" t="s">
        <v>98</v>
      </c>
      <c r="AV558" s="2" t="s">
        <v>95</v>
      </c>
      <c r="AX558" s="2" t="s">
        <v>395</v>
      </c>
      <c r="AZ558" s="2" t="s">
        <v>342</v>
      </c>
      <c r="BB558" s="2" t="s">
        <v>329</v>
      </c>
      <c r="BC558" s="2" t="s">
        <v>593</v>
      </c>
      <c r="BF558" s="2" t="s">
        <v>2539</v>
      </c>
      <c r="BG558" s="2" t="s">
        <v>95</v>
      </c>
      <c r="BH558" s="2" t="s">
        <v>96</v>
      </c>
      <c r="BI558" s="2" t="s">
        <v>95</v>
      </c>
      <c r="BK558" s="2" t="s">
        <v>414</v>
      </c>
      <c r="BL558" s="2" t="s">
        <v>350</v>
      </c>
      <c r="BM558" s="2">
        <v>6.5</v>
      </c>
      <c r="BN558" s="2">
        <v>4.75</v>
      </c>
      <c r="CA558" s="2" t="s">
        <v>2540</v>
      </c>
      <c r="CB558" s="2" t="s">
        <v>395</v>
      </c>
      <c r="CL558" s="2" t="s">
        <v>96</v>
      </c>
      <c r="CM558" s="2" t="s">
        <v>95</v>
      </c>
      <c r="CN558" s="2" t="s">
        <v>2460</v>
      </c>
      <c r="CO558" s="3">
        <v>42573</v>
      </c>
      <c r="CP558" s="3">
        <v>43634</v>
      </c>
    </row>
    <row r="559" spans="1:94" x14ac:dyDescent="0.25">
      <c r="A559" s="2" t="s">
        <v>2541</v>
      </c>
      <c r="B559" s="2" t="str">
        <f xml:space="preserve"> "" &amp; 844349010678</f>
        <v>844349010678</v>
      </c>
      <c r="C559" s="2" t="s">
        <v>655</v>
      </c>
      <c r="D559" s="2" t="s">
        <v>2542</v>
      </c>
      <c r="E559" s="2" t="s">
        <v>613</v>
      </c>
      <c r="F559" s="2" t="s">
        <v>658</v>
      </c>
      <c r="G559" s="2">
        <v>1</v>
      </c>
      <c r="H559" s="2">
        <v>1</v>
      </c>
      <c r="I559" s="2" t="s">
        <v>94</v>
      </c>
      <c r="J559" s="6">
        <v>129</v>
      </c>
      <c r="K559" s="6">
        <v>387</v>
      </c>
      <c r="L559" s="2">
        <v>0</v>
      </c>
      <c r="N559" s="2">
        <v>0</v>
      </c>
      <c r="O559" s="2" t="s">
        <v>96</v>
      </c>
      <c r="P559" s="6">
        <v>269.95</v>
      </c>
      <c r="Q559" s="6"/>
      <c r="R559" s="7"/>
      <c r="S559" s="2">
        <v>4.75</v>
      </c>
      <c r="U559" s="2">
        <v>20.5</v>
      </c>
      <c r="V559" s="2">
        <v>4.25</v>
      </c>
      <c r="W559" s="2">
        <v>3.68</v>
      </c>
      <c r="X559" s="2">
        <v>1</v>
      </c>
      <c r="Y559" s="2">
        <v>5.5</v>
      </c>
      <c r="Z559" s="2">
        <v>22</v>
      </c>
      <c r="AA559" s="2">
        <v>7.75</v>
      </c>
      <c r="AB559" s="2">
        <v>0.54300000000000004</v>
      </c>
      <c r="AC559" s="2">
        <v>4.6500000000000004</v>
      </c>
      <c r="AE559" s="2">
        <v>1</v>
      </c>
      <c r="AF559" s="2" t="s">
        <v>347</v>
      </c>
      <c r="AG559" s="2">
        <v>20</v>
      </c>
      <c r="AK559" s="2" t="s">
        <v>96</v>
      </c>
      <c r="AM559" s="2" t="s">
        <v>95</v>
      </c>
      <c r="AN559" s="2" t="s">
        <v>96</v>
      </c>
      <c r="AO559" s="2" t="s">
        <v>95</v>
      </c>
      <c r="AP559" s="2" t="s">
        <v>97</v>
      </c>
      <c r="AQ559" s="2" t="s">
        <v>98</v>
      </c>
      <c r="AV559" s="2" t="s">
        <v>95</v>
      </c>
      <c r="AX559" s="2" t="s">
        <v>395</v>
      </c>
      <c r="AZ559" s="2" t="s">
        <v>449</v>
      </c>
      <c r="BB559" s="2" t="s">
        <v>329</v>
      </c>
      <c r="BC559" s="2" t="s">
        <v>330</v>
      </c>
      <c r="BF559" s="2" t="s">
        <v>2543</v>
      </c>
      <c r="BG559" s="2" t="s">
        <v>95</v>
      </c>
      <c r="BH559" s="2" t="s">
        <v>95</v>
      </c>
      <c r="BI559" s="2" t="s">
        <v>96</v>
      </c>
      <c r="BK559" s="2" t="s">
        <v>414</v>
      </c>
      <c r="BL559" s="2" t="s">
        <v>350</v>
      </c>
      <c r="BM559" s="2">
        <v>6.5</v>
      </c>
      <c r="BN559" s="2">
        <v>4.75</v>
      </c>
      <c r="CA559" s="2" t="s">
        <v>2544</v>
      </c>
      <c r="CB559" s="2" t="s">
        <v>395</v>
      </c>
      <c r="CG559" s="2">
        <v>3000</v>
      </c>
      <c r="CH559" s="2">
        <v>92</v>
      </c>
      <c r="CI559" s="2">
        <v>1857</v>
      </c>
      <c r="CJ559" s="2">
        <v>1344.1</v>
      </c>
      <c r="CK559" s="2">
        <v>30000</v>
      </c>
      <c r="CL559" s="2" t="s">
        <v>96</v>
      </c>
      <c r="CM559" s="2" t="s">
        <v>95</v>
      </c>
      <c r="CN559" s="2" t="s">
        <v>2491</v>
      </c>
      <c r="CO559" s="3">
        <v>40812</v>
      </c>
      <c r="CP559" s="3">
        <v>43637</v>
      </c>
    </row>
    <row r="560" spans="1:94" x14ac:dyDescent="0.25">
      <c r="A560" s="2" t="s">
        <v>2545</v>
      </c>
      <c r="B560" s="2" t="str">
        <f xml:space="preserve"> "" &amp; 844349002994</f>
        <v>844349002994</v>
      </c>
      <c r="C560" s="2" t="s">
        <v>996</v>
      </c>
      <c r="D560" s="2" t="s">
        <v>2546</v>
      </c>
      <c r="E560" s="2" t="s">
        <v>613</v>
      </c>
      <c r="F560" s="2" t="s">
        <v>418</v>
      </c>
      <c r="G560" s="2">
        <v>1</v>
      </c>
      <c r="H560" s="2">
        <v>1</v>
      </c>
      <c r="I560" s="2" t="s">
        <v>94</v>
      </c>
      <c r="J560" s="6">
        <v>115</v>
      </c>
      <c r="K560" s="6">
        <v>345</v>
      </c>
      <c r="L560" s="2">
        <v>0</v>
      </c>
      <c r="N560" s="2">
        <v>0</v>
      </c>
      <c r="O560" s="2" t="s">
        <v>96</v>
      </c>
      <c r="P560" s="6">
        <v>239.95</v>
      </c>
      <c r="Q560" s="6"/>
      <c r="R560" s="7"/>
      <c r="S560" s="2">
        <v>4.75</v>
      </c>
      <c r="U560" s="2">
        <v>20.5</v>
      </c>
      <c r="V560" s="2">
        <v>4.25</v>
      </c>
      <c r="W560" s="2">
        <v>4.76</v>
      </c>
      <c r="X560" s="2">
        <v>1</v>
      </c>
      <c r="Y560" s="2">
        <v>6.25</v>
      </c>
      <c r="Z560" s="2">
        <v>22</v>
      </c>
      <c r="AA560" s="2">
        <v>7.75</v>
      </c>
      <c r="AB560" s="2">
        <v>0.61699999999999999</v>
      </c>
      <c r="AC560" s="2">
        <v>5.8</v>
      </c>
      <c r="AE560" s="2">
        <v>2</v>
      </c>
      <c r="AF560" s="2" t="s">
        <v>2547</v>
      </c>
      <c r="AG560" s="2">
        <v>13</v>
      </c>
      <c r="AH560" s="2">
        <v>0</v>
      </c>
      <c r="AJ560" s="2">
        <v>0</v>
      </c>
      <c r="AK560" s="2" t="s">
        <v>96</v>
      </c>
      <c r="AM560" s="2" t="s">
        <v>95</v>
      </c>
      <c r="AN560" s="2" t="s">
        <v>96</v>
      </c>
      <c r="AO560" s="2" t="s">
        <v>95</v>
      </c>
      <c r="AP560" s="2" t="s">
        <v>97</v>
      </c>
      <c r="AQ560" s="2" t="s">
        <v>98</v>
      </c>
      <c r="AV560" s="2" t="s">
        <v>95</v>
      </c>
      <c r="AX560" s="2" t="s">
        <v>395</v>
      </c>
      <c r="AZ560" s="2" t="s">
        <v>342</v>
      </c>
      <c r="BB560" s="2" t="s">
        <v>329</v>
      </c>
      <c r="BC560" s="2" t="s">
        <v>593</v>
      </c>
      <c r="BF560" s="2" t="s">
        <v>2548</v>
      </c>
      <c r="BG560" s="2" t="s">
        <v>95</v>
      </c>
      <c r="BH560" s="2" t="s">
        <v>95</v>
      </c>
      <c r="BI560" s="2" t="s">
        <v>95</v>
      </c>
      <c r="BK560" s="2" t="s">
        <v>414</v>
      </c>
      <c r="BL560" s="2" t="s">
        <v>350</v>
      </c>
      <c r="BM560" s="2">
        <v>6.5</v>
      </c>
      <c r="BN560" s="2">
        <v>4.75</v>
      </c>
      <c r="CA560" s="2" t="s">
        <v>2549</v>
      </c>
      <c r="CB560" s="2" t="s">
        <v>395</v>
      </c>
      <c r="CL560" s="2" t="s">
        <v>95</v>
      </c>
      <c r="CM560" s="2" t="s">
        <v>95</v>
      </c>
      <c r="CN560" s="2" t="s">
        <v>2550</v>
      </c>
      <c r="CO560" s="3">
        <v>42573</v>
      </c>
      <c r="CP560" s="3">
        <v>43634</v>
      </c>
    </row>
    <row r="561" spans="1:94" x14ac:dyDescent="0.25">
      <c r="A561" s="2" t="s">
        <v>2551</v>
      </c>
      <c r="B561" s="2" t="str">
        <f xml:space="preserve"> "" &amp; 870540007346</f>
        <v>870540007346</v>
      </c>
      <c r="C561" s="2" t="s">
        <v>2552</v>
      </c>
      <c r="D561" s="2" t="s">
        <v>2538</v>
      </c>
      <c r="E561" s="2" t="s">
        <v>613</v>
      </c>
      <c r="F561" s="2" t="s">
        <v>418</v>
      </c>
      <c r="G561" s="2">
        <v>1</v>
      </c>
      <c r="H561" s="2">
        <v>1</v>
      </c>
      <c r="I561" s="2" t="s">
        <v>94</v>
      </c>
      <c r="J561" s="6">
        <v>95</v>
      </c>
      <c r="K561" s="6">
        <v>285</v>
      </c>
      <c r="L561" s="2">
        <v>0</v>
      </c>
      <c r="N561" s="2">
        <v>0</v>
      </c>
      <c r="O561" s="2" t="s">
        <v>96</v>
      </c>
      <c r="P561" s="6">
        <v>199.95</v>
      </c>
      <c r="Q561" s="6"/>
      <c r="R561" s="7"/>
      <c r="S561" s="2">
        <v>4.75</v>
      </c>
      <c r="U561" s="2">
        <v>20.5</v>
      </c>
      <c r="V561" s="2">
        <v>4</v>
      </c>
      <c r="W561" s="2">
        <v>4.34</v>
      </c>
      <c r="X561" s="2">
        <v>1</v>
      </c>
      <c r="Y561" s="2">
        <v>5.5</v>
      </c>
      <c r="Z561" s="2">
        <v>22</v>
      </c>
      <c r="AA561" s="2">
        <v>7.75</v>
      </c>
      <c r="AB561" s="2">
        <v>0.54300000000000004</v>
      </c>
      <c r="AC561" s="2">
        <v>5.27</v>
      </c>
      <c r="AE561" s="2">
        <v>3</v>
      </c>
      <c r="AF561" s="2" t="s">
        <v>1693</v>
      </c>
      <c r="AG561" s="2">
        <v>60</v>
      </c>
      <c r="AH561" s="2">
        <v>0</v>
      </c>
      <c r="AJ561" s="2">
        <v>0</v>
      </c>
      <c r="AK561" s="2" t="s">
        <v>96</v>
      </c>
      <c r="AM561" s="2" t="s">
        <v>95</v>
      </c>
      <c r="AN561" s="2" t="s">
        <v>96</v>
      </c>
      <c r="AO561" s="2" t="s">
        <v>95</v>
      </c>
      <c r="AP561" s="2" t="s">
        <v>97</v>
      </c>
      <c r="AQ561" s="2" t="s">
        <v>98</v>
      </c>
      <c r="AV561" s="2" t="s">
        <v>95</v>
      </c>
      <c r="AX561" s="2" t="s">
        <v>116</v>
      </c>
      <c r="AZ561" s="2" t="s">
        <v>342</v>
      </c>
      <c r="BB561" s="2" t="s">
        <v>329</v>
      </c>
      <c r="BC561" s="2" t="s">
        <v>593</v>
      </c>
      <c r="BF561" s="2" t="s">
        <v>2553</v>
      </c>
      <c r="BG561" s="2" t="s">
        <v>95</v>
      </c>
      <c r="BH561" s="2" t="s">
        <v>96</v>
      </c>
      <c r="BI561" s="2" t="s">
        <v>95</v>
      </c>
      <c r="BK561" s="2" t="s">
        <v>414</v>
      </c>
      <c r="BL561" s="2" t="s">
        <v>350</v>
      </c>
      <c r="BM561" s="2">
        <v>6.5</v>
      </c>
      <c r="BN561" s="2">
        <v>4.75</v>
      </c>
      <c r="CA561" s="2" t="s">
        <v>2540</v>
      </c>
      <c r="CB561" s="2" t="s">
        <v>116</v>
      </c>
      <c r="CL561" s="2" t="s">
        <v>96</v>
      </c>
      <c r="CM561" s="2" t="s">
        <v>95</v>
      </c>
      <c r="CN561" s="2" t="s">
        <v>2460</v>
      </c>
      <c r="CO561" s="3">
        <v>42573</v>
      </c>
      <c r="CP561" s="3">
        <v>43634</v>
      </c>
    </row>
    <row r="562" spans="1:94" x14ac:dyDescent="0.25">
      <c r="A562" s="2" t="s">
        <v>2554</v>
      </c>
      <c r="B562" s="2" t="str">
        <f xml:space="preserve"> "" &amp; 844349010692</f>
        <v>844349010692</v>
      </c>
      <c r="C562" s="2" t="s">
        <v>655</v>
      </c>
      <c r="D562" s="2" t="s">
        <v>2542</v>
      </c>
      <c r="E562" s="2" t="s">
        <v>613</v>
      </c>
      <c r="F562" s="2" t="s">
        <v>658</v>
      </c>
      <c r="G562" s="2">
        <v>1</v>
      </c>
      <c r="H562" s="2">
        <v>1</v>
      </c>
      <c r="I562" s="2" t="s">
        <v>94</v>
      </c>
      <c r="J562" s="6">
        <v>129</v>
      </c>
      <c r="K562" s="6">
        <v>387</v>
      </c>
      <c r="L562" s="2">
        <v>0</v>
      </c>
      <c r="N562" s="2">
        <v>0</v>
      </c>
      <c r="O562" s="2" t="s">
        <v>96</v>
      </c>
      <c r="P562" s="6">
        <v>269.95</v>
      </c>
      <c r="Q562" s="6"/>
      <c r="R562" s="7"/>
      <c r="S562" s="2">
        <v>4.75</v>
      </c>
      <c r="U562" s="2">
        <v>20.5</v>
      </c>
      <c r="V562" s="2">
        <v>4.25</v>
      </c>
      <c r="W562" s="2">
        <v>3.68</v>
      </c>
      <c r="X562" s="2">
        <v>1</v>
      </c>
      <c r="Y562" s="2">
        <v>5.5</v>
      </c>
      <c r="Z562" s="2">
        <v>22</v>
      </c>
      <c r="AA562" s="2">
        <v>7.75</v>
      </c>
      <c r="AB562" s="2">
        <v>0.54300000000000004</v>
      </c>
      <c r="AC562" s="2">
        <v>4.6500000000000004</v>
      </c>
      <c r="AE562" s="2">
        <v>1</v>
      </c>
      <c r="AF562" s="2" t="s">
        <v>347</v>
      </c>
      <c r="AG562" s="2">
        <v>20</v>
      </c>
      <c r="AK562" s="2" t="s">
        <v>96</v>
      </c>
      <c r="AM562" s="2" t="s">
        <v>95</v>
      </c>
      <c r="AN562" s="2" t="s">
        <v>96</v>
      </c>
      <c r="AO562" s="2" t="s">
        <v>95</v>
      </c>
      <c r="AP562" s="2" t="s">
        <v>97</v>
      </c>
      <c r="AQ562" s="2" t="s">
        <v>98</v>
      </c>
      <c r="AV562" s="2" t="s">
        <v>95</v>
      </c>
      <c r="AX562" s="2" t="s">
        <v>116</v>
      </c>
      <c r="AZ562" s="2" t="s">
        <v>342</v>
      </c>
      <c r="BB562" s="2" t="s">
        <v>329</v>
      </c>
      <c r="BC562" s="2" t="s">
        <v>593</v>
      </c>
      <c r="BF562" s="2" t="s">
        <v>2555</v>
      </c>
      <c r="BG562" s="2" t="s">
        <v>95</v>
      </c>
      <c r="BH562" s="2" t="s">
        <v>95</v>
      </c>
      <c r="BI562" s="2" t="s">
        <v>96</v>
      </c>
      <c r="BK562" s="2" t="s">
        <v>414</v>
      </c>
      <c r="BL562" s="2" t="s">
        <v>350</v>
      </c>
      <c r="BM562" s="2">
        <v>6.5</v>
      </c>
      <c r="BN562" s="2">
        <v>4.75</v>
      </c>
      <c r="CA562" s="2" t="s">
        <v>2544</v>
      </c>
      <c r="CB562" s="2" t="s">
        <v>116</v>
      </c>
      <c r="CG562" s="2">
        <v>3000</v>
      </c>
      <c r="CH562" s="2">
        <v>92</v>
      </c>
      <c r="CI562" s="2">
        <v>1857</v>
      </c>
      <c r="CJ562" s="2">
        <v>1344.1</v>
      </c>
      <c r="CK562" s="2">
        <v>30000</v>
      </c>
      <c r="CL562" s="2" t="s">
        <v>96</v>
      </c>
      <c r="CM562" s="2" t="s">
        <v>95</v>
      </c>
      <c r="CN562" s="2" t="s">
        <v>2556</v>
      </c>
      <c r="CO562" s="3">
        <v>40812</v>
      </c>
      <c r="CP562" s="3">
        <v>43637</v>
      </c>
    </row>
    <row r="563" spans="1:94" x14ac:dyDescent="0.25">
      <c r="A563" s="2" t="s">
        <v>2557</v>
      </c>
      <c r="B563" s="2" t="str">
        <f xml:space="preserve"> "" &amp; 844349012191</f>
        <v>844349012191</v>
      </c>
      <c r="C563" s="2" t="s">
        <v>2558</v>
      </c>
      <c r="D563" s="2" t="s">
        <v>2559</v>
      </c>
      <c r="E563" s="2" t="s">
        <v>613</v>
      </c>
      <c r="F563" s="2" t="s">
        <v>418</v>
      </c>
      <c r="G563" s="2">
        <v>1</v>
      </c>
      <c r="H563" s="2">
        <v>1</v>
      </c>
      <c r="I563" s="2" t="s">
        <v>94</v>
      </c>
      <c r="J563" s="6">
        <v>95</v>
      </c>
      <c r="K563" s="6">
        <v>285</v>
      </c>
      <c r="L563" s="2">
        <v>0</v>
      </c>
      <c r="N563" s="2">
        <v>0</v>
      </c>
      <c r="O563" s="2" t="s">
        <v>96</v>
      </c>
      <c r="P563" s="6">
        <v>199.95</v>
      </c>
      <c r="Q563" s="6"/>
      <c r="R563" s="7"/>
      <c r="S563" s="2">
        <v>4.75</v>
      </c>
      <c r="U563" s="2">
        <v>20.5</v>
      </c>
      <c r="V563" s="2">
        <v>4</v>
      </c>
      <c r="W563" s="2">
        <v>4.34</v>
      </c>
      <c r="X563" s="2">
        <v>1</v>
      </c>
      <c r="Y563" s="2">
        <v>5.5</v>
      </c>
      <c r="Z563" s="2">
        <v>22</v>
      </c>
      <c r="AA563" s="2">
        <v>7.75</v>
      </c>
      <c r="AB563" s="2">
        <v>0.54300000000000004</v>
      </c>
      <c r="AC563" s="2">
        <v>5.27</v>
      </c>
      <c r="AE563" s="2">
        <v>3</v>
      </c>
      <c r="AF563" s="2" t="s">
        <v>1693</v>
      </c>
      <c r="AG563" s="2">
        <v>60</v>
      </c>
      <c r="AK563" s="2" t="s">
        <v>96</v>
      </c>
      <c r="AM563" s="2" t="s">
        <v>95</v>
      </c>
      <c r="AN563" s="2" t="s">
        <v>96</v>
      </c>
      <c r="AO563" s="2" t="s">
        <v>95</v>
      </c>
      <c r="AP563" s="2" t="s">
        <v>97</v>
      </c>
      <c r="AQ563" s="2" t="s">
        <v>98</v>
      </c>
      <c r="AV563" s="2" t="s">
        <v>95</v>
      </c>
      <c r="AX563" s="2" t="s">
        <v>1688</v>
      </c>
      <c r="AZ563" s="2" t="s">
        <v>342</v>
      </c>
      <c r="BB563" s="2" t="s">
        <v>54</v>
      </c>
      <c r="BC563" s="2" t="s">
        <v>593</v>
      </c>
      <c r="BF563" s="2" t="s">
        <v>2560</v>
      </c>
      <c r="BG563" s="2" t="s">
        <v>95</v>
      </c>
      <c r="BH563" s="2" t="s">
        <v>96</v>
      </c>
      <c r="BI563" s="2" t="s">
        <v>95</v>
      </c>
      <c r="BK563" s="2" t="s">
        <v>539</v>
      </c>
      <c r="BL563" s="2" t="s">
        <v>350</v>
      </c>
      <c r="BM563" s="2">
        <v>6.5</v>
      </c>
      <c r="BN563" s="2">
        <v>4.75</v>
      </c>
      <c r="CA563" s="2" t="s">
        <v>2540</v>
      </c>
      <c r="CB563" s="2" t="s">
        <v>1688</v>
      </c>
      <c r="CL563" s="2" t="s">
        <v>96</v>
      </c>
      <c r="CM563" s="2" t="s">
        <v>95</v>
      </c>
      <c r="CN563" s="2" t="s">
        <v>2561</v>
      </c>
      <c r="CO563" s="3">
        <v>42573</v>
      </c>
      <c r="CP563" s="3">
        <v>43634</v>
      </c>
    </row>
    <row r="564" spans="1:94" x14ac:dyDescent="0.25">
      <c r="A564" s="2" t="s">
        <v>2562</v>
      </c>
      <c r="B564" s="2" t="str">
        <f xml:space="preserve"> "" &amp; 844349024378</f>
        <v>844349024378</v>
      </c>
      <c r="C564" s="2" t="s">
        <v>526</v>
      </c>
      <c r="D564" s="2" t="s">
        <v>2474</v>
      </c>
      <c r="E564" s="2" t="s">
        <v>613</v>
      </c>
      <c r="F564" s="2" t="s">
        <v>418</v>
      </c>
      <c r="G564" s="2">
        <v>1</v>
      </c>
      <c r="H564" s="2">
        <v>1</v>
      </c>
      <c r="I564" s="2" t="s">
        <v>94</v>
      </c>
      <c r="J564" s="6">
        <v>129</v>
      </c>
      <c r="K564" s="6">
        <v>387</v>
      </c>
      <c r="L564" s="2">
        <v>0</v>
      </c>
      <c r="N564" s="2">
        <v>0</v>
      </c>
      <c r="O564" s="2" t="s">
        <v>96</v>
      </c>
      <c r="P564" s="6">
        <v>269.95</v>
      </c>
      <c r="Q564" s="6"/>
      <c r="R564" s="7"/>
      <c r="S564" s="2">
        <v>4.75</v>
      </c>
      <c r="U564" s="2">
        <v>20.5</v>
      </c>
      <c r="V564" s="2">
        <v>4.25</v>
      </c>
      <c r="W564" s="2">
        <v>3.68</v>
      </c>
      <c r="X564" s="2">
        <v>1</v>
      </c>
      <c r="Y564" s="2">
        <v>5.5</v>
      </c>
      <c r="Z564" s="2">
        <v>22</v>
      </c>
      <c r="AA564" s="2">
        <v>7.75</v>
      </c>
      <c r="AB564" s="2">
        <v>0.54300000000000004</v>
      </c>
      <c r="AC564" s="2">
        <v>4.6500000000000004</v>
      </c>
      <c r="AE564" s="2">
        <v>1</v>
      </c>
      <c r="AF564" s="2" t="s">
        <v>347</v>
      </c>
      <c r="AG564" s="2">
        <v>20</v>
      </c>
      <c r="AK564" s="2" t="s">
        <v>96</v>
      </c>
      <c r="AM564" s="2" t="s">
        <v>95</v>
      </c>
      <c r="AN564" s="2" t="s">
        <v>96</v>
      </c>
      <c r="AO564" s="2" t="s">
        <v>95</v>
      </c>
      <c r="AP564" s="2" t="s">
        <v>97</v>
      </c>
      <c r="AQ564" s="2" t="s">
        <v>98</v>
      </c>
      <c r="AV564" s="2" t="s">
        <v>95</v>
      </c>
      <c r="AX564" s="2" t="s">
        <v>1688</v>
      </c>
      <c r="AZ564" s="2" t="s">
        <v>449</v>
      </c>
      <c r="BB564" s="2" t="s">
        <v>329</v>
      </c>
      <c r="BC564" s="2" t="s">
        <v>593</v>
      </c>
      <c r="BF564" s="2" t="s">
        <v>2563</v>
      </c>
      <c r="BG564" s="2" t="s">
        <v>95</v>
      </c>
      <c r="BH564" s="2" t="s">
        <v>95</v>
      </c>
      <c r="BI564" s="2" t="s">
        <v>95</v>
      </c>
      <c r="BK564" s="2" t="s">
        <v>414</v>
      </c>
      <c r="BL564" s="2" t="s">
        <v>350</v>
      </c>
      <c r="BM564" s="2">
        <v>6.5</v>
      </c>
      <c r="BN564" s="2">
        <v>4.75</v>
      </c>
      <c r="CA564" s="2" t="s">
        <v>2540</v>
      </c>
      <c r="CB564" s="2" t="s">
        <v>1688</v>
      </c>
      <c r="CG564" s="2">
        <v>3000</v>
      </c>
      <c r="CH564" s="2">
        <v>92</v>
      </c>
      <c r="CI564" s="2">
        <v>1857</v>
      </c>
      <c r="CJ564" s="2">
        <v>1344.1</v>
      </c>
      <c r="CK564" s="2">
        <v>30000</v>
      </c>
      <c r="CL564" s="2" t="s">
        <v>96</v>
      </c>
      <c r="CM564" s="2" t="s">
        <v>95</v>
      </c>
      <c r="CN564" s="2" t="s">
        <v>2477</v>
      </c>
      <c r="CO564" s="3">
        <v>43096</v>
      </c>
      <c r="CP564" s="3">
        <v>43637</v>
      </c>
    </row>
    <row r="565" spans="1:94" x14ac:dyDescent="0.25">
      <c r="A565" s="2" t="s">
        <v>2564</v>
      </c>
      <c r="B565" s="2" t="str">
        <f xml:space="preserve"> "" &amp; 870540009746</f>
        <v>870540009746</v>
      </c>
      <c r="C565" s="2" t="s">
        <v>1001</v>
      </c>
      <c r="D565" s="2" t="s">
        <v>2538</v>
      </c>
      <c r="E565" s="2" t="s">
        <v>613</v>
      </c>
      <c r="F565" s="2" t="s">
        <v>658</v>
      </c>
      <c r="G565" s="2">
        <v>1</v>
      </c>
      <c r="H565" s="2">
        <v>1</v>
      </c>
      <c r="I565" s="2" t="s">
        <v>94</v>
      </c>
      <c r="J565" s="6">
        <v>95</v>
      </c>
      <c r="K565" s="6">
        <v>285</v>
      </c>
      <c r="L565" s="2">
        <v>0</v>
      </c>
      <c r="N565" s="2">
        <v>0</v>
      </c>
      <c r="O565" s="2" t="s">
        <v>96</v>
      </c>
      <c r="P565" s="6">
        <v>199.95</v>
      </c>
      <c r="Q565" s="6"/>
      <c r="R565" s="7"/>
      <c r="S565" s="2">
        <v>4.75</v>
      </c>
      <c r="U565" s="2">
        <v>20.5</v>
      </c>
      <c r="V565" s="2">
        <v>4</v>
      </c>
      <c r="W565" s="2">
        <v>4.34</v>
      </c>
      <c r="X565" s="2">
        <v>1</v>
      </c>
      <c r="Y565" s="2">
        <v>5.5</v>
      </c>
      <c r="Z565" s="2">
        <v>22</v>
      </c>
      <c r="AA565" s="2">
        <v>7.75</v>
      </c>
      <c r="AB565" s="2">
        <v>0.54300000000000004</v>
      </c>
      <c r="AC565" s="2">
        <v>5.27</v>
      </c>
      <c r="AE565" s="2">
        <v>3</v>
      </c>
      <c r="AF565" s="2" t="s">
        <v>2565</v>
      </c>
      <c r="AG565" s="2">
        <v>60</v>
      </c>
      <c r="AH565" s="2">
        <v>0</v>
      </c>
      <c r="AJ565" s="2">
        <v>0</v>
      </c>
      <c r="AK565" s="2" t="s">
        <v>96</v>
      </c>
      <c r="AM565" s="2" t="s">
        <v>95</v>
      </c>
      <c r="AN565" s="2" t="s">
        <v>96</v>
      </c>
      <c r="AO565" s="2" t="s">
        <v>95</v>
      </c>
      <c r="AP565" s="2" t="s">
        <v>97</v>
      </c>
      <c r="AQ565" s="2" t="s">
        <v>98</v>
      </c>
      <c r="AV565" s="2" t="s">
        <v>95</v>
      </c>
      <c r="AX565" s="2" t="s">
        <v>2353</v>
      </c>
      <c r="AZ565" s="2" t="s">
        <v>342</v>
      </c>
      <c r="BB565" s="2" t="s">
        <v>329</v>
      </c>
      <c r="BC565" s="2" t="s">
        <v>593</v>
      </c>
      <c r="BF565" s="2" t="s">
        <v>2566</v>
      </c>
      <c r="BG565" s="2" t="s">
        <v>95</v>
      </c>
      <c r="BH565" s="2" t="s">
        <v>96</v>
      </c>
      <c r="BI565" s="2" t="s">
        <v>95</v>
      </c>
      <c r="BK565" s="2" t="s">
        <v>414</v>
      </c>
      <c r="BL565" s="2" t="s">
        <v>350</v>
      </c>
      <c r="BM565" s="2">
        <v>6.5</v>
      </c>
      <c r="BN565" s="2">
        <v>4.75</v>
      </c>
      <c r="CA565" s="2" t="s">
        <v>2540</v>
      </c>
      <c r="CB565" s="2" t="s">
        <v>2353</v>
      </c>
      <c r="CL565" s="2" t="s">
        <v>96</v>
      </c>
      <c r="CM565" s="2" t="s">
        <v>95</v>
      </c>
      <c r="CN565" s="2" t="s">
        <v>2460</v>
      </c>
      <c r="CO565" s="3">
        <v>42573</v>
      </c>
      <c r="CP565" s="3">
        <v>43634</v>
      </c>
    </row>
    <row r="566" spans="1:94" x14ac:dyDescent="0.25">
      <c r="A566" s="2" t="s">
        <v>2567</v>
      </c>
      <c r="B566" s="2" t="str">
        <f xml:space="preserve"> "" &amp; 844349010715</f>
        <v>844349010715</v>
      </c>
      <c r="C566" s="2" t="s">
        <v>655</v>
      </c>
      <c r="D566" s="2" t="s">
        <v>2542</v>
      </c>
      <c r="E566" s="2" t="s">
        <v>613</v>
      </c>
      <c r="F566" s="2" t="s">
        <v>658</v>
      </c>
      <c r="G566" s="2">
        <v>1</v>
      </c>
      <c r="H566" s="2">
        <v>1</v>
      </c>
      <c r="I566" s="2" t="s">
        <v>94</v>
      </c>
      <c r="J566" s="6">
        <v>129</v>
      </c>
      <c r="K566" s="6">
        <v>387</v>
      </c>
      <c r="L566" s="2">
        <v>0</v>
      </c>
      <c r="N566" s="2">
        <v>0</v>
      </c>
      <c r="O566" s="2" t="s">
        <v>96</v>
      </c>
      <c r="P566" s="6">
        <v>269.95</v>
      </c>
      <c r="Q566" s="6"/>
      <c r="R566" s="7"/>
      <c r="S566" s="2">
        <v>4.75</v>
      </c>
      <c r="U566" s="2">
        <v>20.5</v>
      </c>
      <c r="V566" s="2">
        <v>4.25</v>
      </c>
      <c r="W566" s="2">
        <v>3.68</v>
      </c>
      <c r="X566" s="2">
        <v>1</v>
      </c>
      <c r="Y566" s="2">
        <v>5.5</v>
      </c>
      <c r="Z566" s="2">
        <v>22</v>
      </c>
      <c r="AA566" s="2">
        <v>7.75</v>
      </c>
      <c r="AB566" s="2">
        <v>0.54300000000000004</v>
      </c>
      <c r="AC566" s="2">
        <v>4.6500000000000004</v>
      </c>
      <c r="AE566" s="2">
        <v>1</v>
      </c>
      <c r="AF566" s="2" t="s">
        <v>347</v>
      </c>
      <c r="AG566" s="2">
        <v>20</v>
      </c>
      <c r="AK566" s="2" t="s">
        <v>96</v>
      </c>
      <c r="AM566" s="2" t="s">
        <v>95</v>
      </c>
      <c r="AN566" s="2" t="s">
        <v>96</v>
      </c>
      <c r="AO566" s="2" t="s">
        <v>95</v>
      </c>
      <c r="AP566" s="2" t="s">
        <v>97</v>
      </c>
      <c r="AQ566" s="2" t="s">
        <v>98</v>
      </c>
      <c r="AV566" s="2" t="s">
        <v>95</v>
      </c>
      <c r="AX566" s="2" t="s">
        <v>2353</v>
      </c>
      <c r="AZ566" s="2" t="s">
        <v>449</v>
      </c>
      <c r="BB566" s="2" t="s">
        <v>329</v>
      </c>
      <c r="BC566" s="2" t="s">
        <v>330</v>
      </c>
      <c r="BF566" s="2" t="s">
        <v>2568</v>
      </c>
      <c r="BG566" s="2" t="s">
        <v>95</v>
      </c>
      <c r="BH566" s="2" t="s">
        <v>95</v>
      </c>
      <c r="BI566" s="2" t="s">
        <v>96</v>
      </c>
      <c r="BK566" s="2" t="s">
        <v>414</v>
      </c>
      <c r="BL566" s="2" t="s">
        <v>350</v>
      </c>
      <c r="BM566" s="2">
        <v>6.5</v>
      </c>
      <c r="BN566" s="2">
        <v>4.75</v>
      </c>
      <c r="CA566" s="2" t="s">
        <v>2544</v>
      </c>
      <c r="CB566" s="2" t="s">
        <v>2353</v>
      </c>
      <c r="CG566" s="2">
        <v>3000</v>
      </c>
      <c r="CH566" s="2">
        <v>92</v>
      </c>
      <c r="CI566" s="2">
        <v>1857</v>
      </c>
      <c r="CJ566" s="2">
        <v>1344.1</v>
      </c>
      <c r="CK566" s="2">
        <v>30000</v>
      </c>
      <c r="CL566" s="2" t="s">
        <v>96</v>
      </c>
      <c r="CM566" s="2" t="s">
        <v>95</v>
      </c>
      <c r="CN566" s="2" t="s">
        <v>2556</v>
      </c>
      <c r="CO566" s="3">
        <v>40812</v>
      </c>
      <c r="CP566" s="3">
        <v>43637</v>
      </c>
    </row>
    <row r="567" spans="1:94" x14ac:dyDescent="0.25">
      <c r="A567" s="2" t="s">
        <v>2569</v>
      </c>
      <c r="B567" s="2" t="str">
        <f xml:space="preserve"> "" &amp; 844349003007</f>
        <v>844349003007</v>
      </c>
      <c r="C567" s="2" t="s">
        <v>2570</v>
      </c>
      <c r="D567" s="2" t="s">
        <v>2571</v>
      </c>
      <c r="E567" s="2" t="s">
        <v>613</v>
      </c>
      <c r="F567" s="2" t="s">
        <v>418</v>
      </c>
      <c r="G567" s="2">
        <v>1</v>
      </c>
      <c r="H567" s="2">
        <v>1</v>
      </c>
      <c r="I567" s="2" t="s">
        <v>94</v>
      </c>
      <c r="J567" s="6">
        <v>155</v>
      </c>
      <c r="K567" s="6">
        <v>465</v>
      </c>
      <c r="L567" s="2">
        <v>0</v>
      </c>
      <c r="N567" s="2">
        <v>0</v>
      </c>
      <c r="O567" s="2" t="s">
        <v>96</v>
      </c>
      <c r="P567" s="6">
        <v>324.95</v>
      </c>
      <c r="Q567" s="6"/>
      <c r="R567" s="7"/>
      <c r="S567" s="2">
        <v>4.75</v>
      </c>
      <c r="U567" s="2">
        <v>39.75</v>
      </c>
      <c r="V567" s="2">
        <v>4</v>
      </c>
      <c r="W567" s="2">
        <v>6.35</v>
      </c>
      <c r="X567" s="2">
        <v>1</v>
      </c>
      <c r="Y567" s="2">
        <v>5.5</v>
      </c>
      <c r="Z567" s="2">
        <v>42.5</v>
      </c>
      <c r="AA567" s="2">
        <v>7.75</v>
      </c>
      <c r="AB567" s="2">
        <v>1.048</v>
      </c>
      <c r="AC567" s="2">
        <v>8.66</v>
      </c>
      <c r="AE567" s="2">
        <v>6</v>
      </c>
      <c r="AF567" s="2" t="s">
        <v>1693</v>
      </c>
      <c r="AG567" s="2">
        <v>60</v>
      </c>
      <c r="AH567" s="2">
        <v>0</v>
      </c>
      <c r="AJ567" s="2">
        <v>0</v>
      </c>
      <c r="AK567" s="2" t="s">
        <v>96</v>
      </c>
      <c r="AM567" s="2" t="s">
        <v>95</v>
      </c>
      <c r="AN567" s="2" t="s">
        <v>96</v>
      </c>
      <c r="AO567" s="2" t="s">
        <v>95</v>
      </c>
      <c r="AP567" s="2" t="s">
        <v>97</v>
      </c>
      <c r="AQ567" s="2" t="s">
        <v>98</v>
      </c>
      <c r="AV567" s="2" t="s">
        <v>95</v>
      </c>
      <c r="AX567" s="2" t="s">
        <v>395</v>
      </c>
      <c r="AZ567" s="2" t="s">
        <v>342</v>
      </c>
      <c r="BB567" s="2" t="s">
        <v>54</v>
      </c>
      <c r="BC567" s="2" t="s">
        <v>593</v>
      </c>
      <c r="BF567" s="2" t="s">
        <v>2572</v>
      </c>
      <c r="BG567" s="2" t="s">
        <v>95</v>
      </c>
      <c r="BH567" s="2" t="s">
        <v>96</v>
      </c>
      <c r="BI567" s="2" t="s">
        <v>95</v>
      </c>
      <c r="BK567" s="2" t="s">
        <v>414</v>
      </c>
      <c r="BL567" s="2" t="s">
        <v>350</v>
      </c>
      <c r="BR567" s="2">
        <v>4.25</v>
      </c>
      <c r="BT567" s="2">
        <v>6</v>
      </c>
      <c r="CA567" s="2" t="s">
        <v>2573</v>
      </c>
      <c r="CB567" s="2" t="s">
        <v>395</v>
      </c>
      <c r="CL567" s="2" t="s">
        <v>96</v>
      </c>
      <c r="CM567" s="2" t="s">
        <v>95</v>
      </c>
      <c r="CN567" s="2" t="s">
        <v>2574</v>
      </c>
      <c r="CO567" s="3">
        <v>39665</v>
      </c>
      <c r="CP567" s="3">
        <v>43634</v>
      </c>
    </row>
    <row r="568" spans="1:94" x14ac:dyDescent="0.25">
      <c r="A568" s="2" t="s">
        <v>2575</v>
      </c>
      <c r="B568" s="2" t="str">
        <f xml:space="preserve"> "" &amp; 844349013099</f>
        <v>844349013099</v>
      </c>
      <c r="C568" s="2" t="s">
        <v>655</v>
      </c>
      <c r="D568" s="2" t="s">
        <v>2542</v>
      </c>
      <c r="E568" s="2" t="s">
        <v>613</v>
      </c>
      <c r="F568" s="2" t="s">
        <v>658</v>
      </c>
      <c r="G568" s="2">
        <v>1</v>
      </c>
      <c r="H568" s="2">
        <v>1</v>
      </c>
      <c r="I568" s="2" t="s">
        <v>94</v>
      </c>
      <c r="J568" s="6">
        <v>169</v>
      </c>
      <c r="K568" s="6">
        <v>507</v>
      </c>
      <c r="L568" s="2">
        <v>0</v>
      </c>
      <c r="N568" s="2">
        <v>0</v>
      </c>
      <c r="O568" s="2" t="s">
        <v>96</v>
      </c>
      <c r="P568" s="6">
        <v>354.95</v>
      </c>
      <c r="Q568" s="6"/>
      <c r="R568" s="7"/>
      <c r="S568" s="2">
        <v>4.75</v>
      </c>
      <c r="U568" s="2">
        <v>39.75</v>
      </c>
      <c r="V568" s="2">
        <v>4.5</v>
      </c>
      <c r="W568" s="2">
        <v>5.09</v>
      </c>
      <c r="X568" s="2">
        <v>1</v>
      </c>
      <c r="Y568" s="2">
        <v>6.5</v>
      </c>
      <c r="Z568" s="2">
        <v>42.5</v>
      </c>
      <c r="AA568" s="2">
        <v>7.75</v>
      </c>
      <c r="AB568" s="2">
        <v>1.2390000000000001</v>
      </c>
      <c r="AC568" s="2">
        <v>7.03</v>
      </c>
      <c r="AE568" s="2">
        <v>2</v>
      </c>
      <c r="AF568" s="2" t="s">
        <v>2528</v>
      </c>
      <c r="AG568" s="2">
        <v>20</v>
      </c>
      <c r="AK568" s="2" t="s">
        <v>96</v>
      </c>
      <c r="AM568" s="2" t="s">
        <v>95</v>
      </c>
      <c r="AN568" s="2" t="s">
        <v>96</v>
      </c>
      <c r="AO568" s="2" t="s">
        <v>95</v>
      </c>
      <c r="AP568" s="2" t="s">
        <v>97</v>
      </c>
      <c r="AQ568" s="2" t="s">
        <v>98</v>
      </c>
      <c r="AV568" s="2" t="s">
        <v>95</v>
      </c>
      <c r="AX568" s="2" t="s">
        <v>395</v>
      </c>
      <c r="AZ568" s="2" t="s">
        <v>342</v>
      </c>
      <c r="BB568" s="2" t="s">
        <v>329</v>
      </c>
      <c r="BC568" s="2" t="s">
        <v>330</v>
      </c>
      <c r="BF568" s="2" t="s">
        <v>2576</v>
      </c>
      <c r="BG568" s="2" t="s">
        <v>95</v>
      </c>
      <c r="BH568" s="2" t="s">
        <v>95</v>
      </c>
      <c r="BI568" s="2" t="s">
        <v>96</v>
      </c>
      <c r="BK568" s="2" t="s">
        <v>414</v>
      </c>
      <c r="BL568" s="2" t="s">
        <v>350</v>
      </c>
      <c r="BM568" s="2">
        <v>6.5</v>
      </c>
      <c r="BN568" s="2">
        <v>4.75</v>
      </c>
      <c r="CA568" s="2" t="s">
        <v>2577</v>
      </c>
      <c r="CB568" s="2" t="s">
        <v>395</v>
      </c>
      <c r="CG568" s="2">
        <v>3000</v>
      </c>
      <c r="CH568" s="2">
        <v>92</v>
      </c>
      <c r="CI568" s="2">
        <v>3548</v>
      </c>
      <c r="CJ568" s="2">
        <v>2709</v>
      </c>
      <c r="CK568" s="2">
        <v>30000</v>
      </c>
      <c r="CL568" s="2" t="s">
        <v>96</v>
      </c>
      <c r="CM568" s="2" t="s">
        <v>95</v>
      </c>
      <c r="CN568" s="2" t="s">
        <v>2556</v>
      </c>
      <c r="CO568" s="3">
        <v>41217</v>
      </c>
      <c r="CP568" s="3">
        <v>43637</v>
      </c>
    </row>
    <row r="569" spans="1:94" x14ac:dyDescent="0.25">
      <c r="A569" s="2" t="s">
        <v>2578</v>
      </c>
      <c r="B569" s="2" t="str">
        <f xml:space="preserve"> "" &amp; 870540007353</f>
        <v>870540007353</v>
      </c>
      <c r="C569" s="2" t="s">
        <v>2579</v>
      </c>
      <c r="D569" s="2" t="s">
        <v>2571</v>
      </c>
      <c r="E569" s="2" t="s">
        <v>613</v>
      </c>
      <c r="F569" s="2" t="s">
        <v>418</v>
      </c>
      <c r="G569" s="2">
        <v>1</v>
      </c>
      <c r="H569" s="2">
        <v>1</v>
      </c>
      <c r="I569" s="2" t="s">
        <v>94</v>
      </c>
      <c r="J569" s="6">
        <v>155</v>
      </c>
      <c r="K569" s="6">
        <v>465</v>
      </c>
      <c r="L569" s="2">
        <v>0</v>
      </c>
      <c r="N569" s="2">
        <v>0</v>
      </c>
      <c r="O569" s="2" t="s">
        <v>96</v>
      </c>
      <c r="P569" s="6">
        <v>324.95</v>
      </c>
      <c r="Q569" s="6"/>
      <c r="R569" s="7"/>
      <c r="S569" s="2">
        <v>4.75</v>
      </c>
      <c r="U569" s="2">
        <v>39.75</v>
      </c>
      <c r="V569" s="2">
        <v>4</v>
      </c>
      <c r="W569" s="2">
        <v>6.31</v>
      </c>
      <c r="X569" s="2">
        <v>1</v>
      </c>
      <c r="Y569" s="2">
        <v>5.5</v>
      </c>
      <c r="Z569" s="2">
        <v>42.5</v>
      </c>
      <c r="AA569" s="2">
        <v>7.75</v>
      </c>
      <c r="AB569" s="2">
        <v>1.048</v>
      </c>
      <c r="AC569" s="2">
        <v>8.02</v>
      </c>
      <c r="AE569" s="2">
        <v>6</v>
      </c>
      <c r="AF569" s="2" t="s">
        <v>1693</v>
      </c>
      <c r="AG569" s="2">
        <v>60</v>
      </c>
      <c r="AH569" s="2">
        <v>0</v>
      </c>
      <c r="AJ569" s="2">
        <v>0</v>
      </c>
      <c r="AK569" s="2" t="s">
        <v>96</v>
      </c>
      <c r="AM569" s="2" t="s">
        <v>95</v>
      </c>
      <c r="AN569" s="2" t="s">
        <v>96</v>
      </c>
      <c r="AO569" s="2" t="s">
        <v>95</v>
      </c>
      <c r="AP569" s="2" t="s">
        <v>97</v>
      </c>
      <c r="AQ569" s="2" t="s">
        <v>98</v>
      </c>
      <c r="AV569" s="2" t="s">
        <v>95</v>
      </c>
      <c r="AX569" s="2" t="s">
        <v>116</v>
      </c>
      <c r="AZ569" s="2" t="s">
        <v>342</v>
      </c>
      <c r="BB569" s="2" t="s">
        <v>329</v>
      </c>
      <c r="BC569" s="2" t="s">
        <v>593</v>
      </c>
      <c r="BF569" s="2" t="s">
        <v>2580</v>
      </c>
      <c r="BG569" s="2" t="s">
        <v>95</v>
      </c>
      <c r="BH569" s="2" t="s">
        <v>96</v>
      </c>
      <c r="BI569" s="2" t="s">
        <v>95</v>
      </c>
      <c r="BK569" s="2" t="s">
        <v>414</v>
      </c>
      <c r="BL569" s="2" t="s">
        <v>350</v>
      </c>
      <c r="BM569" s="2">
        <v>6.5</v>
      </c>
      <c r="BN569" s="2">
        <v>4.75</v>
      </c>
      <c r="CA569" s="2" t="s">
        <v>2573</v>
      </c>
      <c r="CB569" s="2" t="s">
        <v>116</v>
      </c>
      <c r="CL569" s="2" t="s">
        <v>96</v>
      </c>
      <c r="CM569" s="2" t="s">
        <v>95</v>
      </c>
      <c r="CN569" s="2" t="s">
        <v>2574</v>
      </c>
      <c r="CO569" s="3">
        <v>42573</v>
      </c>
      <c r="CP569" s="3">
        <v>43634</v>
      </c>
    </row>
    <row r="570" spans="1:94" x14ac:dyDescent="0.25">
      <c r="A570" s="2" t="s">
        <v>2581</v>
      </c>
      <c r="B570" s="2" t="str">
        <f xml:space="preserve"> "" &amp; 844349013105</f>
        <v>844349013105</v>
      </c>
      <c r="C570" s="2" t="s">
        <v>655</v>
      </c>
      <c r="D570" s="2" t="s">
        <v>2542</v>
      </c>
      <c r="E570" s="2" t="s">
        <v>613</v>
      </c>
      <c r="F570" s="2" t="s">
        <v>658</v>
      </c>
      <c r="G570" s="2">
        <v>1</v>
      </c>
      <c r="H570" s="2">
        <v>1</v>
      </c>
      <c r="I570" s="2" t="s">
        <v>94</v>
      </c>
      <c r="J570" s="6">
        <v>169</v>
      </c>
      <c r="K570" s="6">
        <v>507</v>
      </c>
      <c r="L570" s="2">
        <v>0</v>
      </c>
      <c r="N570" s="2">
        <v>0</v>
      </c>
      <c r="O570" s="2" t="s">
        <v>96</v>
      </c>
      <c r="P570" s="6">
        <v>354.95</v>
      </c>
      <c r="Q570" s="6"/>
      <c r="R570" s="7"/>
      <c r="S570" s="2">
        <v>4.75</v>
      </c>
      <c r="U570" s="2">
        <v>39.75</v>
      </c>
      <c r="V570" s="2">
        <v>4.5</v>
      </c>
      <c r="W570" s="2">
        <v>5.09</v>
      </c>
      <c r="X570" s="2">
        <v>1</v>
      </c>
      <c r="Y570" s="2">
        <v>6.5</v>
      </c>
      <c r="Z570" s="2">
        <v>42.5</v>
      </c>
      <c r="AA570" s="2">
        <v>7.75</v>
      </c>
      <c r="AB570" s="2">
        <v>1.2390000000000001</v>
      </c>
      <c r="AC570" s="2">
        <v>7.03</v>
      </c>
      <c r="AE570" s="2">
        <v>2</v>
      </c>
      <c r="AF570" s="2" t="s">
        <v>347</v>
      </c>
      <c r="AG570" s="2">
        <v>20</v>
      </c>
      <c r="AK570" s="2" t="s">
        <v>96</v>
      </c>
      <c r="AM570" s="2" t="s">
        <v>95</v>
      </c>
      <c r="AN570" s="2" t="s">
        <v>96</v>
      </c>
      <c r="AO570" s="2" t="s">
        <v>95</v>
      </c>
      <c r="AP570" s="2" t="s">
        <v>97</v>
      </c>
      <c r="AQ570" s="2" t="s">
        <v>98</v>
      </c>
      <c r="AV570" s="2" t="s">
        <v>95</v>
      </c>
      <c r="AX570" s="2" t="s">
        <v>116</v>
      </c>
      <c r="AZ570" s="2" t="s">
        <v>449</v>
      </c>
      <c r="BB570" s="2" t="s">
        <v>329</v>
      </c>
      <c r="BC570" s="2" t="s">
        <v>593</v>
      </c>
      <c r="BF570" s="2" t="s">
        <v>2582</v>
      </c>
      <c r="BG570" s="2" t="s">
        <v>95</v>
      </c>
      <c r="BH570" s="2" t="s">
        <v>95</v>
      </c>
      <c r="BI570" s="2" t="s">
        <v>96</v>
      </c>
      <c r="BK570" s="2" t="s">
        <v>414</v>
      </c>
      <c r="BL570" s="2" t="s">
        <v>350</v>
      </c>
      <c r="BM570" s="2">
        <v>6.5</v>
      </c>
      <c r="BN570" s="2">
        <v>4.75</v>
      </c>
      <c r="CA570" s="2" t="s">
        <v>2577</v>
      </c>
      <c r="CB570" s="2" t="s">
        <v>116</v>
      </c>
      <c r="CG570" s="2">
        <v>3000</v>
      </c>
      <c r="CH570" s="2">
        <v>92</v>
      </c>
      <c r="CI570" s="2">
        <v>3548</v>
      </c>
      <c r="CJ570" s="2">
        <v>2709</v>
      </c>
      <c r="CK570" s="2">
        <v>30000</v>
      </c>
      <c r="CL570" s="2" t="s">
        <v>96</v>
      </c>
      <c r="CM570" s="2" t="s">
        <v>95</v>
      </c>
      <c r="CN570" s="2" t="s">
        <v>2556</v>
      </c>
      <c r="CO570" s="3">
        <v>41217</v>
      </c>
      <c r="CP570" s="3">
        <v>43637</v>
      </c>
    </row>
    <row r="571" spans="1:94" x14ac:dyDescent="0.25">
      <c r="A571" s="2" t="s">
        <v>2583</v>
      </c>
      <c r="B571" s="2" t="str">
        <f xml:space="preserve"> "" &amp; 844349024385</f>
        <v>844349024385</v>
      </c>
      <c r="C571" s="2" t="s">
        <v>526</v>
      </c>
      <c r="D571" s="2" t="s">
        <v>2474</v>
      </c>
      <c r="E571" s="2" t="s">
        <v>613</v>
      </c>
      <c r="F571" s="2" t="s">
        <v>418</v>
      </c>
      <c r="G571" s="2">
        <v>1</v>
      </c>
      <c r="H571" s="2">
        <v>1</v>
      </c>
      <c r="I571" s="2" t="s">
        <v>94</v>
      </c>
      <c r="J571" s="6">
        <v>169</v>
      </c>
      <c r="K571" s="6">
        <v>507</v>
      </c>
      <c r="L571" s="2">
        <v>0</v>
      </c>
      <c r="N571" s="2">
        <v>0</v>
      </c>
      <c r="O571" s="2" t="s">
        <v>96</v>
      </c>
      <c r="P571" s="6">
        <v>354.95</v>
      </c>
      <c r="Q571" s="6"/>
      <c r="R571" s="7"/>
      <c r="S571" s="2">
        <v>4.75</v>
      </c>
      <c r="U571" s="2">
        <v>39.75</v>
      </c>
      <c r="V571" s="2">
        <v>4</v>
      </c>
      <c r="W571" s="2">
        <v>5.09</v>
      </c>
      <c r="X571" s="2">
        <v>1</v>
      </c>
      <c r="Y571" s="2">
        <v>6.5</v>
      </c>
      <c r="Z571" s="2">
        <v>42.5</v>
      </c>
      <c r="AA571" s="2">
        <v>7.75</v>
      </c>
      <c r="AB571" s="2">
        <v>1.2390000000000001</v>
      </c>
      <c r="AC571" s="2">
        <v>7.03</v>
      </c>
      <c r="AE571" s="2">
        <v>2</v>
      </c>
      <c r="AF571" s="2" t="s">
        <v>347</v>
      </c>
      <c r="AG571" s="2">
        <v>20</v>
      </c>
      <c r="AK571" s="2" t="s">
        <v>96</v>
      </c>
      <c r="AM571" s="2" t="s">
        <v>95</v>
      </c>
      <c r="AN571" s="2" t="s">
        <v>96</v>
      </c>
      <c r="AO571" s="2" t="s">
        <v>95</v>
      </c>
      <c r="AP571" s="2" t="s">
        <v>97</v>
      </c>
      <c r="AQ571" s="2" t="s">
        <v>98</v>
      </c>
      <c r="AV571" s="2" t="s">
        <v>95</v>
      </c>
      <c r="AX571" s="2" t="s">
        <v>1688</v>
      </c>
      <c r="AZ571" s="2" t="s">
        <v>449</v>
      </c>
      <c r="BB571" s="2" t="s">
        <v>329</v>
      </c>
      <c r="BC571" s="2" t="s">
        <v>330</v>
      </c>
      <c r="BF571" s="2" t="s">
        <v>2584</v>
      </c>
      <c r="BG571" s="2" t="s">
        <v>95</v>
      </c>
      <c r="BH571" s="2" t="s">
        <v>95</v>
      </c>
      <c r="BI571" s="2" t="s">
        <v>95</v>
      </c>
      <c r="BK571" s="2" t="s">
        <v>414</v>
      </c>
      <c r="BM571" s="2">
        <v>6.5</v>
      </c>
      <c r="BN571" s="2">
        <v>4.75</v>
      </c>
      <c r="CA571" s="2" t="s">
        <v>2573</v>
      </c>
      <c r="CB571" s="2" t="s">
        <v>1688</v>
      </c>
      <c r="CG571" s="2">
        <v>3000</v>
      </c>
      <c r="CH571" s="2">
        <v>92</v>
      </c>
      <c r="CI571" s="2">
        <v>3548</v>
      </c>
      <c r="CJ571" s="2">
        <v>2709</v>
      </c>
      <c r="CK571" s="2">
        <v>30000</v>
      </c>
      <c r="CL571" s="2" t="s">
        <v>96</v>
      </c>
      <c r="CM571" s="2" t="s">
        <v>95</v>
      </c>
      <c r="CN571" s="2" t="s">
        <v>2585</v>
      </c>
      <c r="CO571" s="3">
        <v>43096</v>
      </c>
      <c r="CP571" s="3">
        <v>43637</v>
      </c>
    </row>
    <row r="572" spans="1:94" x14ac:dyDescent="0.25">
      <c r="A572" s="2" t="s">
        <v>2586</v>
      </c>
      <c r="B572" s="2" t="str">
        <f xml:space="preserve"> "" &amp; 844349013112</f>
        <v>844349013112</v>
      </c>
      <c r="C572" s="2" t="s">
        <v>655</v>
      </c>
      <c r="D572" s="2" t="s">
        <v>2542</v>
      </c>
      <c r="E572" s="2" t="s">
        <v>613</v>
      </c>
      <c r="F572" s="2" t="s">
        <v>658</v>
      </c>
      <c r="G572" s="2">
        <v>1</v>
      </c>
      <c r="H572" s="2">
        <v>1</v>
      </c>
      <c r="I572" s="2" t="s">
        <v>94</v>
      </c>
      <c r="J572" s="6">
        <v>169</v>
      </c>
      <c r="K572" s="6">
        <v>507</v>
      </c>
      <c r="L572" s="2">
        <v>0</v>
      </c>
      <c r="N572" s="2">
        <v>0</v>
      </c>
      <c r="O572" s="2" t="s">
        <v>96</v>
      </c>
      <c r="P572" s="6">
        <v>354.95</v>
      </c>
      <c r="Q572" s="6"/>
      <c r="R572" s="7"/>
      <c r="S572" s="2">
        <v>4.75</v>
      </c>
      <c r="U572" s="2">
        <v>39.75</v>
      </c>
      <c r="V572" s="2">
        <v>4.5</v>
      </c>
      <c r="W572" s="2">
        <v>5.09</v>
      </c>
      <c r="X572" s="2">
        <v>1</v>
      </c>
      <c r="Y572" s="2">
        <v>6.5</v>
      </c>
      <c r="Z572" s="2">
        <v>42.5</v>
      </c>
      <c r="AA572" s="2">
        <v>7.75</v>
      </c>
      <c r="AB572" s="2">
        <v>1.2390000000000001</v>
      </c>
      <c r="AC572" s="2">
        <v>7.03</v>
      </c>
      <c r="AE572" s="2">
        <v>2</v>
      </c>
      <c r="AF572" s="2" t="s">
        <v>347</v>
      </c>
      <c r="AG572" s="2">
        <v>20</v>
      </c>
      <c r="AK572" s="2" t="s">
        <v>96</v>
      </c>
      <c r="AM572" s="2" t="s">
        <v>95</v>
      </c>
      <c r="AN572" s="2" t="s">
        <v>96</v>
      </c>
      <c r="AO572" s="2" t="s">
        <v>95</v>
      </c>
      <c r="AP572" s="2" t="s">
        <v>97</v>
      </c>
      <c r="AQ572" s="2" t="s">
        <v>98</v>
      </c>
      <c r="AV572" s="2" t="s">
        <v>95</v>
      </c>
      <c r="AX572" s="2" t="s">
        <v>2353</v>
      </c>
      <c r="AZ572" s="2" t="s">
        <v>342</v>
      </c>
      <c r="BB572" s="2" t="s">
        <v>329</v>
      </c>
      <c r="BC572" s="2" t="s">
        <v>593</v>
      </c>
      <c r="BF572" s="2" t="s">
        <v>2587</v>
      </c>
      <c r="BG572" s="2" t="s">
        <v>95</v>
      </c>
      <c r="BH572" s="2" t="s">
        <v>95</v>
      </c>
      <c r="BI572" s="2" t="s">
        <v>96</v>
      </c>
      <c r="BK572" s="2" t="s">
        <v>414</v>
      </c>
      <c r="BL572" s="2" t="s">
        <v>350</v>
      </c>
      <c r="BM572" s="2">
        <v>6.5</v>
      </c>
      <c r="BN572" s="2">
        <v>4.75</v>
      </c>
      <c r="CA572" s="2" t="s">
        <v>2577</v>
      </c>
      <c r="CB572" s="2" t="s">
        <v>2353</v>
      </c>
      <c r="CG572" s="2">
        <v>3000</v>
      </c>
      <c r="CH572" s="2">
        <v>92</v>
      </c>
      <c r="CI572" s="2">
        <v>3548</v>
      </c>
      <c r="CJ572" s="2">
        <v>2709</v>
      </c>
      <c r="CK572" s="2">
        <v>30000</v>
      </c>
      <c r="CL572" s="2" t="s">
        <v>96</v>
      </c>
      <c r="CM572" s="2" t="s">
        <v>95</v>
      </c>
      <c r="CN572" s="2" t="s">
        <v>2556</v>
      </c>
      <c r="CO572" s="3">
        <v>41217</v>
      </c>
      <c r="CP572" s="3">
        <v>43637</v>
      </c>
    </row>
    <row r="573" spans="1:94" x14ac:dyDescent="0.25">
      <c r="A573" s="2" t="s">
        <v>2588</v>
      </c>
      <c r="B573" s="2" t="str">
        <f xml:space="preserve"> "" &amp; 870540009692</f>
        <v>870540009692</v>
      </c>
      <c r="C573" s="2" t="s">
        <v>2570</v>
      </c>
      <c r="D573" s="2" t="s">
        <v>2589</v>
      </c>
      <c r="E573" s="2" t="s">
        <v>2590</v>
      </c>
      <c r="F573" s="2" t="s">
        <v>658</v>
      </c>
      <c r="G573" s="2">
        <v>1</v>
      </c>
      <c r="H573" s="2">
        <v>1</v>
      </c>
      <c r="I573" s="2" t="s">
        <v>94</v>
      </c>
      <c r="J573" s="6">
        <v>75</v>
      </c>
      <c r="K573" s="6">
        <v>225</v>
      </c>
      <c r="L573" s="2">
        <v>0</v>
      </c>
      <c r="N573" s="2">
        <v>0</v>
      </c>
      <c r="O573" s="2" t="s">
        <v>96</v>
      </c>
      <c r="P573" s="6">
        <v>157.94999999999999</v>
      </c>
      <c r="Q573" s="6"/>
      <c r="R573" s="7"/>
      <c r="S573" s="2">
        <v>6.5</v>
      </c>
      <c r="U573" s="2">
        <v>24.25</v>
      </c>
      <c r="V573" s="2">
        <v>5.75</v>
      </c>
      <c r="W573" s="2">
        <v>5.69</v>
      </c>
      <c r="X573" s="2">
        <v>1</v>
      </c>
      <c r="Y573" s="2">
        <v>13.75</v>
      </c>
      <c r="Z573" s="2">
        <v>26.88</v>
      </c>
      <c r="AA573" s="2">
        <v>6.75</v>
      </c>
      <c r="AB573" s="2">
        <v>1.444</v>
      </c>
      <c r="AC573" s="2">
        <v>7.72</v>
      </c>
      <c r="AE573" s="2">
        <v>6</v>
      </c>
      <c r="AF573" s="2" t="s">
        <v>2591</v>
      </c>
      <c r="AG573" s="2">
        <v>40</v>
      </c>
      <c r="AH573" s="2">
        <v>0</v>
      </c>
      <c r="AJ573" s="2">
        <v>0</v>
      </c>
      <c r="AK573" s="2" t="s">
        <v>95</v>
      </c>
      <c r="AM573" s="2" t="s">
        <v>95</v>
      </c>
      <c r="AN573" s="2" t="s">
        <v>95</v>
      </c>
      <c r="AO573" s="2" t="s">
        <v>96</v>
      </c>
      <c r="AP573" s="2" t="s">
        <v>97</v>
      </c>
      <c r="AQ573" s="2" t="s">
        <v>98</v>
      </c>
      <c r="AV573" s="2" t="s">
        <v>95</v>
      </c>
      <c r="AX573" s="2" t="s">
        <v>395</v>
      </c>
      <c r="AZ573" s="2" t="s">
        <v>342</v>
      </c>
      <c r="BB573" s="2" t="s">
        <v>54</v>
      </c>
      <c r="BC573" s="2" t="s">
        <v>2592</v>
      </c>
      <c r="BF573" s="2" t="s">
        <v>2593</v>
      </c>
      <c r="BG573" s="2" t="s">
        <v>95</v>
      </c>
      <c r="BH573" s="2" t="s">
        <v>95</v>
      </c>
      <c r="BI573" s="2" t="s">
        <v>95</v>
      </c>
      <c r="BK573" s="2" t="s">
        <v>414</v>
      </c>
      <c r="BL573" s="2" t="s">
        <v>1105</v>
      </c>
      <c r="BR573" s="2">
        <v>4.75</v>
      </c>
      <c r="BT573" s="2">
        <v>19.75</v>
      </c>
      <c r="CA573" s="2" t="s">
        <v>2594</v>
      </c>
      <c r="CB573" s="2" t="s">
        <v>395</v>
      </c>
      <c r="CL573" s="2" t="s">
        <v>96</v>
      </c>
      <c r="CM573" s="2" t="s">
        <v>95</v>
      </c>
      <c r="CN573" s="2" t="s">
        <v>1404</v>
      </c>
      <c r="CO573" s="3">
        <v>37211</v>
      </c>
      <c r="CP573" s="3">
        <v>43634</v>
      </c>
    </row>
    <row r="574" spans="1:94" x14ac:dyDescent="0.25">
      <c r="A574" s="2" t="s">
        <v>2595</v>
      </c>
      <c r="B574" s="2" t="str">
        <f xml:space="preserve"> "" &amp; 874944006707</f>
        <v>874944006707</v>
      </c>
      <c r="C574" s="2" t="s">
        <v>417</v>
      </c>
      <c r="D574" s="2" t="s">
        <v>417</v>
      </c>
      <c r="F574" s="2" t="s">
        <v>418</v>
      </c>
      <c r="G574" s="2">
        <v>1</v>
      </c>
      <c r="H574" s="2">
        <v>1</v>
      </c>
      <c r="I574" s="2" t="s">
        <v>94</v>
      </c>
      <c r="J574" s="6">
        <v>95</v>
      </c>
      <c r="K574" s="6">
        <v>285</v>
      </c>
      <c r="L574" s="2">
        <v>0</v>
      </c>
      <c r="N574" s="2">
        <v>0</v>
      </c>
      <c r="O574" s="2" t="s">
        <v>96</v>
      </c>
      <c r="P574" s="6">
        <v>199.95</v>
      </c>
      <c r="Q574" s="6"/>
      <c r="R574" s="7"/>
      <c r="S574" s="2">
        <v>30</v>
      </c>
      <c r="U574" s="2">
        <v>8.25</v>
      </c>
      <c r="V574" s="2">
        <v>5</v>
      </c>
      <c r="W574" s="2">
        <v>4.41</v>
      </c>
      <c r="X574" s="2">
        <v>1</v>
      </c>
      <c r="Y574" s="2">
        <v>7.5</v>
      </c>
      <c r="Z574" s="2">
        <v>32.5</v>
      </c>
      <c r="AA574" s="2">
        <v>10</v>
      </c>
      <c r="AB574" s="2">
        <v>1.411</v>
      </c>
      <c r="AC574" s="2">
        <v>8.27</v>
      </c>
      <c r="AE574" s="2">
        <v>1</v>
      </c>
      <c r="AF574" s="2" t="s">
        <v>474</v>
      </c>
      <c r="AG574" s="2">
        <v>100</v>
      </c>
      <c r="AH574" s="2">
        <v>0</v>
      </c>
      <c r="AJ574" s="2">
        <v>0</v>
      </c>
      <c r="AK574" s="2" t="s">
        <v>95</v>
      </c>
      <c r="AL574" s="2">
        <v>1</v>
      </c>
      <c r="AM574" s="2" t="s">
        <v>95</v>
      </c>
      <c r="AN574" s="2" t="s">
        <v>95</v>
      </c>
      <c r="AO574" s="2" t="s">
        <v>96</v>
      </c>
      <c r="AP574" s="2" t="s">
        <v>97</v>
      </c>
      <c r="AQ574" s="2" t="s">
        <v>98</v>
      </c>
      <c r="AV574" s="2" t="s">
        <v>95</v>
      </c>
      <c r="AX574" s="2" t="s">
        <v>205</v>
      </c>
      <c r="AZ574" s="2" t="s">
        <v>342</v>
      </c>
      <c r="BB574" s="2" t="s">
        <v>329</v>
      </c>
      <c r="BC574" s="2" t="s">
        <v>2596</v>
      </c>
      <c r="BF574" s="2" t="s">
        <v>2597</v>
      </c>
      <c r="BG574" s="2" t="s">
        <v>95</v>
      </c>
      <c r="BH574" s="2" t="s">
        <v>95</v>
      </c>
      <c r="BI574" s="2" t="s">
        <v>95</v>
      </c>
      <c r="BK574" s="2" t="s">
        <v>414</v>
      </c>
      <c r="BL574" s="2" t="s">
        <v>476</v>
      </c>
      <c r="BR574" s="2">
        <v>8</v>
      </c>
      <c r="BT574" s="2">
        <v>7.63</v>
      </c>
      <c r="CA574" s="2" t="s">
        <v>2598</v>
      </c>
      <c r="CB574" s="2" t="s">
        <v>205</v>
      </c>
      <c r="CL574" s="2" t="s">
        <v>96</v>
      </c>
      <c r="CM574" s="2" t="s">
        <v>95</v>
      </c>
      <c r="CN574" s="2" t="s">
        <v>460</v>
      </c>
      <c r="CO574" s="3">
        <v>39194</v>
      </c>
      <c r="CP574" s="3">
        <v>43634</v>
      </c>
    </row>
    <row r="575" spans="1:94" x14ac:dyDescent="0.25">
      <c r="A575" s="2" t="s">
        <v>2599</v>
      </c>
      <c r="B575" s="2" t="str">
        <f xml:space="preserve"> "" &amp; 874944006431</f>
        <v>874944006431</v>
      </c>
      <c r="C575" s="2" t="s">
        <v>417</v>
      </c>
      <c r="D575" s="2" t="s">
        <v>417</v>
      </c>
      <c r="F575" s="2" t="s">
        <v>418</v>
      </c>
      <c r="G575" s="2">
        <v>1</v>
      </c>
      <c r="H575" s="2">
        <v>1</v>
      </c>
      <c r="I575" s="2" t="s">
        <v>94</v>
      </c>
      <c r="J575" s="6">
        <v>86</v>
      </c>
      <c r="K575" s="6">
        <v>258</v>
      </c>
      <c r="L575" s="2">
        <v>0</v>
      </c>
      <c r="N575" s="2">
        <v>0</v>
      </c>
      <c r="O575" s="2" t="s">
        <v>96</v>
      </c>
      <c r="P575" s="6">
        <v>179.95</v>
      </c>
      <c r="Q575" s="6"/>
      <c r="R575" s="7"/>
      <c r="S575" s="2">
        <v>18.25</v>
      </c>
      <c r="U575" s="2">
        <v>8.25</v>
      </c>
      <c r="V575" s="2">
        <v>4.25</v>
      </c>
      <c r="W575" s="2">
        <v>3.33</v>
      </c>
      <c r="X575" s="2">
        <v>1</v>
      </c>
      <c r="Y575" s="2">
        <v>8.5</v>
      </c>
      <c r="Z575" s="2">
        <v>20.63</v>
      </c>
      <c r="AA575" s="2">
        <v>9.25</v>
      </c>
      <c r="AB575" s="2">
        <v>0.93899999999999995</v>
      </c>
      <c r="AC575" s="2">
        <v>5.86</v>
      </c>
      <c r="AE575" s="2">
        <v>1</v>
      </c>
      <c r="AF575" s="2" t="s">
        <v>474</v>
      </c>
      <c r="AG575" s="2">
        <v>100</v>
      </c>
      <c r="AH575" s="2">
        <v>0</v>
      </c>
      <c r="AJ575" s="2">
        <v>0</v>
      </c>
      <c r="AK575" s="2" t="s">
        <v>95</v>
      </c>
      <c r="AL575" s="2">
        <v>1</v>
      </c>
      <c r="AM575" s="2" t="s">
        <v>95</v>
      </c>
      <c r="AN575" s="2" t="s">
        <v>96</v>
      </c>
      <c r="AO575" s="2" t="s">
        <v>95</v>
      </c>
      <c r="AP575" s="2" t="s">
        <v>97</v>
      </c>
      <c r="AQ575" s="2" t="s">
        <v>98</v>
      </c>
      <c r="AV575" s="2" t="s">
        <v>95</v>
      </c>
      <c r="AX575" s="2" t="s">
        <v>205</v>
      </c>
      <c r="AZ575" s="2" t="s">
        <v>342</v>
      </c>
      <c r="BB575" s="2" t="s">
        <v>54</v>
      </c>
      <c r="BC575" s="2" t="s">
        <v>2596</v>
      </c>
      <c r="BF575" s="2" t="s">
        <v>2600</v>
      </c>
      <c r="BG575" s="2" t="s">
        <v>95</v>
      </c>
      <c r="BH575" s="2" t="s">
        <v>95</v>
      </c>
      <c r="BI575" s="2" t="s">
        <v>95</v>
      </c>
      <c r="BK575" s="2" t="s">
        <v>414</v>
      </c>
      <c r="BL575" s="2" t="s">
        <v>476</v>
      </c>
      <c r="BM575" s="2">
        <v>7.63</v>
      </c>
      <c r="BN575" s="2">
        <v>7.25</v>
      </c>
      <c r="CA575" s="2" t="s">
        <v>2601</v>
      </c>
      <c r="CB575" s="2" t="s">
        <v>205</v>
      </c>
      <c r="CL575" s="2" t="s">
        <v>96</v>
      </c>
      <c r="CM575" s="2" t="s">
        <v>95</v>
      </c>
      <c r="CN575" s="2" t="s">
        <v>460</v>
      </c>
      <c r="CO575" s="3">
        <v>39064</v>
      </c>
      <c r="CP575" s="3">
        <v>43634</v>
      </c>
    </row>
    <row r="576" spans="1:94" x14ac:dyDescent="0.25">
      <c r="A576" s="2" t="s">
        <v>2602</v>
      </c>
      <c r="B576" s="2" t="str">
        <f xml:space="preserve"> "" &amp; 844349011088</f>
        <v>844349011088</v>
      </c>
      <c r="C576" s="2" t="s">
        <v>1006</v>
      </c>
      <c r="D576" s="2" t="s">
        <v>2603</v>
      </c>
      <c r="E576" s="2" t="s">
        <v>2604</v>
      </c>
      <c r="F576" s="2" t="s">
        <v>658</v>
      </c>
      <c r="G576" s="2">
        <v>1</v>
      </c>
      <c r="H576" s="2">
        <v>1</v>
      </c>
      <c r="I576" s="2" t="s">
        <v>94</v>
      </c>
      <c r="J576" s="6">
        <v>155</v>
      </c>
      <c r="K576" s="6">
        <v>465</v>
      </c>
      <c r="L576" s="2">
        <v>0</v>
      </c>
      <c r="N576" s="2">
        <v>0</v>
      </c>
      <c r="O576" s="2" t="s">
        <v>96</v>
      </c>
      <c r="P576" s="6">
        <v>324.95</v>
      </c>
      <c r="Q576" s="6"/>
      <c r="R576" s="7"/>
      <c r="S576" s="2">
        <v>5</v>
      </c>
      <c r="U576" s="2">
        <v>33.75</v>
      </c>
      <c r="V576" s="2">
        <v>5.25</v>
      </c>
      <c r="W576" s="2">
        <v>8.44</v>
      </c>
      <c r="X576" s="2">
        <v>1</v>
      </c>
      <c r="Y576" s="2">
        <v>9</v>
      </c>
      <c r="Z576" s="2">
        <v>35.5</v>
      </c>
      <c r="AA576" s="2">
        <v>7</v>
      </c>
      <c r="AB576" s="2">
        <v>1.294</v>
      </c>
      <c r="AC576" s="2">
        <v>10.45</v>
      </c>
      <c r="AE576" s="2">
        <v>4</v>
      </c>
      <c r="AF576" s="2" t="s">
        <v>2605</v>
      </c>
      <c r="AG576" s="2">
        <v>75</v>
      </c>
      <c r="AK576" s="2" t="s">
        <v>96</v>
      </c>
      <c r="AM576" s="2" t="s">
        <v>95</v>
      </c>
      <c r="AN576" s="2" t="s">
        <v>96</v>
      </c>
      <c r="AO576" s="2" t="s">
        <v>95</v>
      </c>
      <c r="AP576" s="2" t="s">
        <v>97</v>
      </c>
      <c r="AQ576" s="2" t="s">
        <v>98</v>
      </c>
      <c r="AV576" s="2" t="s">
        <v>95</v>
      </c>
      <c r="AX576" s="2" t="s">
        <v>395</v>
      </c>
      <c r="AZ576" s="2" t="s">
        <v>342</v>
      </c>
      <c r="BB576" s="2" t="s">
        <v>329</v>
      </c>
      <c r="BC576" s="2" t="s">
        <v>593</v>
      </c>
      <c r="BF576" s="2" t="s">
        <v>2606</v>
      </c>
      <c r="BG576" s="2" t="s">
        <v>95</v>
      </c>
      <c r="BH576" s="2" t="s">
        <v>95</v>
      </c>
      <c r="BI576" s="2" t="s">
        <v>95</v>
      </c>
      <c r="BK576" s="2" t="s">
        <v>414</v>
      </c>
      <c r="BL576" s="2" t="s">
        <v>476</v>
      </c>
      <c r="BR576" s="2">
        <v>3.75</v>
      </c>
      <c r="BT576" s="2">
        <v>6.75</v>
      </c>
      <c r="CA576" s="2" t="s">
        <v>2607</v>
      </c>
      <c r="CB576" s="2" t="s">
        <v>395</v>
      </c>
      <c r="CL576" s="2" t="s">
        <v>96</v>
      </c>
      <c r="CM576" s="2" t="s">
        <v>95</v>
      </c>
      <c r="CN576" s="2" t="s">
        <v>2608</v>
      </c>
      <c r="CO576" s="3">
        <v>40807</v>
      </c>
      <c r="CP576" s="3">
        <v>43634</v>
      </c>
    </row>
    <row r="577" spans="1:94" x14ac:dyDescent="0.25">
      <c r="A577" s="2" t="s">
        <v>2609</v>
      </c>
      <c r="B577" s="2" t="str">
        <f xml:space="preserve"> "" &amp; 844349005773</f>
        <v>844349005773</v>
      </c>
      <c r="C577" s="2" t="s">
        <v>1829</v>
      </c>
      <c r="D577" s="2" t="s">
        <v>2610</v>
      </c>
      <c r="E577" s="2" t="s">
        <v>2611</v>
      </c>
      <c r="F577" s="2" t="s">
        <v>1429</v>
      </c>
      <c r="G577" s="2">
        <v>1</v>
      </c>
      <c r="H577" s="2">
        <v>1</v>
      </c>
      <c r="I577" s="2" t="s">
        <v>94</v>
      </c>
      <c r="J577" s="6">
        <v>85</v>
      </c>
      <c r="K577" s="6">
        <v>255</v>
      </c>
      <c r="L577" s="2">
        <v>0</v>
      </c>
      <c r="N577" s="2">
        <v>0</v>
      </c>
      <c r="Q577" s="6"/>
      <c r="R577" s="7"/>
      <c r="S577" s="2">
        <v>31.5</v>
      </c>
      <c r="U577" s="2">
        <v>18</v>
      </c>
      <c r="W577" s="2">
        <v>8.16</v>
      </c>
      <c r="X577" s="2">
        <v>1</v>
      </c>
      <c r="Y577" s="2">
        <v>9.5</v>
      </c>
      <c r="Z577" s="2">
        <v>29.5</v>
      </c>
      <c r="AA577" s="2">
        <v>25.5</v>
      </c>
      <c r="AB577" s="2">
        <v>4.1360000000000001</v>
      </c>
      <c r="AC577" s="2">
        <v>13.56</v>
      </c>
      <c r="AE577" s="2">
        <v>2</v>
      </c>
      <c r="AF577" s="2" t="s">
        <v>1430</v>
      </c>
      <c r="AG577" s="2">
        <v>10</v>
      </c>
      <c r="AK577" s="2" t="s">
        <v>96</v>
      </c>
      <c r="AM577" s="2" t="s">
        <v>95</v>
      </c>
      <c r="AN577" s="2" t="s">
        <v>95</v>
      </c>
      <c r="AO577" s="2" t="s">
        <v>96</v>
      </c>
      <c r="AP577" s="2" t="s">
        <v>97</v>
      </c>
      <c r="AQ577" s="2" t="s">
        <v>98</v>
      </c>
      <c r="AV577" s="2" t="s">
        <v>95</v>
      </c>
      <c r="AX577" s="2" t="s">
        <v>2612</v>
      </c>
      <c r="AZ577" s="2" t="s">
        <v>342</v>
      </c>
      <c r="BB577" s="2" t="s">
        <v>2613</v>
      </c>
      <c r="BC577" s="2" t="s">
        <v>2614</v>
      </c>
      <c r="BF577" s="2" t="s">
        <v>2615</v>
      </c>
      <c r="BG577" s="2" t="s">
        <v>95</v>
      </c>
      <c r="BH577" s="2" t="s">
        <v>95</v>
      </c>
      <c r="BI577" s="2" t="s">
        <v>95</v>
      </c>
      <c r="BK577" s="2" t="s">
        <v>100</v>
      </c>
      <c r="CA577" s="2" t="s">
        <v>2616</v>
      </c>
      <c r="CB577" s="2" t="s">
        <v>2612</v>
      </c>
      <c r="CL577" s="2" t="s">
        <v>95</v>
      </c>
      <c r="CM577" s="2" t="s">
        <v>95</v>
      </c>
      <c r="CN577" s="2" t="s">
        <v>817</v>
      </c>
      <c r="CO577" s="3">
        <v>40395</v>
      </c>
      <c r="CP577" s="3">
        <v>43634</v>
      </c>
    </row>
    <row r="578" spans="1:94" x14ac:dyDescent="0.25">
      <c r="A578" s="2" t="s">
        <v>2617</v>
      </c>
      <c r="B578" s="2" t="str">
        <f xml:space="preserve"> "" &amp; 844349006237</f>
        <v>844349006237</v>
      </c>
      <c r="C578" s="2" t="s">
        <v>1889</v>
      </c>
      <c r="D578" s="2" t="s">
        <v>2618</v>
      </c>
      <c r="E578" s="2" t="s">
        <v>2611</v>
      </c>
      <c r="F578" s="2" t="s">
        <v>426</v>
      </c>
      <c r="G578" s="2">
        <v>1</v>
      </c>
      <c r="H578" s="2">
        <v>1</v>
      </c>
      <c r="I578" s="2" t="s">
        <v>94</v>
      </c>
      <c r="J578" s="6">
        <v>145</v>
      </c>
      <c r="K578" s="6">
        <v>435</v>
      </c>
      <c r="L578" s="2">
        <v>0</v>
      </c>
      <c r="N578" s="2">
        <v>0</v>
      </c>
      <c r="Q578" s="6"/>
      <c r="R578" s="7"/>
      <c r="S578" s="2">
        <v>61</v>
      </c>
      <c r="U578" s="2">
        <v>20</v>
      </c>
      <c r="W578" s="2">
        <v>13.23</v>
      </c>
      <c r="X578" s="2">
        <v>1</v>
      </c>
      <c r="Y578" s="2">
        <v>17.75</v>
      </c>
      <c r="Z578" s="2">
        <v>23.5</v>
      </c>
      <c r="AA578" s="2">
        <v>21</v>
      </c>
      <c r="AB578" s="2">
        <v>5.069</v>
      </c>
      <c r="AC578" s="2">
        <v>19.47</v>
      </c>
      <c r="AE578" s="2">
        <v>2</v>
      </c>
      <c r="AF578" s="2" t="s">
        <v>1430</v>
      </c>
      <c r="AG578" s="2">
        <v>10</v>
      </c>
      <c r="AK578" s="2" t="s">
        <v>96</v>
      </c>
      <c r="AM578" s="2" t="s">
        <v>95</v>
      </c>
      <c r="AN578" s="2" t="s">
        <v>95</v>
      </c>
      <c r="AO578" s="2" t="s">
        <v>96</v>
      </c>
      <c r="AP578" s="2" t="s">
        <v>428</v>
      </c>
      <c r="AQ578" s="2" t="s">
        <v>98</v>
      </c>
      <c r="AV578" s="2" t="s">
        <v>95</v>
      </c>
      <c r="AX578" s="2" t="s">
        <v>2612</v>
      </c>
      <c r="AZ578" s="2" t="s">
        <v>342</v>
      </c>
      <c r="BB578" s="2" t="s">
        <v>2613</v>
      </c>
      <c r="BC578" s="2" t="s">
        <v>2614</v>
      </c>
      <c r="BF578" s="2" t="s">
        <v>2619</v>
      </c>
      <c r="BG578" s="2" t="s">
        <v>95</v>
      </c>
      <c r="BH578" s="2" t="s">
        <v>95</v>
      </c>
      <c r="BI578" s="2" t="s">
        <v>95</v>
      </c>
      <c r="BK578" s="2" t="s">
        <v>100</v>
      </c>
      <c r="CA578" s="2" t="s">
        <v>2620</v>
      </c>
      <c r="CB578" s="2" t="s">
        <v>2612</v>
      </c>
      <c r="CL578" s="2" t="s">
        <v>95</v>
      </c>
      <c r="CM578" s="2" t="s">
        <v>95</v>
      </c>
      <c r="CN578" s="2" t="s">
        <v>2621</v>
      </c>
      <c r="CO578" s="3">
        <v>40479</v>
      </c>
      <c r="CP578" s="3">
        <v>43634</v>
      </c>
    </row>
    <row r="579" spans="1:94" x14ac:dyDescent="0.25">
      <c r="A579" s="2" t="s">
        <v>2622</v>
      </c>
      <c r="B579" s="2" t="str">
        <f xml:space="preserve"> "" &amp; 844349007999</f>
        <v>844349007999</v>
      </c>
      <c r="C579" s="2" t="s">
        <v>990</v>
      </c>
      <c r="D579" s="2" t="s">
        <v>2623</v>
      </c>
      <c r="E579" s="2" t="s">
        <v>2624</v>
      </c>
      <c r="F579" s="2" t="s">
        <v>418</v>
      </c>
      <c r="G579" s="2">
        <v>1</v>
      </c>
      <c r="H579" s="2">
        <v>1</v>
      </c>
      <c r="I579" s="2" t="s">
        <v>94</v>
      </c>
      <c r="J579" s="6">
        <v>50</v>
      </c>
      <c r="K579" s="6">
        <v>150</v>
      </c>
      <c r="L579" s="2">
        <v>0</v>
      </c>
      <c r="N579" s="2">
        <v>0</v>
      </c>
      <c r="O579" s="2" t="s">
        <v>96</v>
      </c>
      <c r="P579" s="6">
        <v>104.95</v>
      </c>
      <c r="Q579" s="6"/>
      <c r="R579" s="7"/>
      <c r="S579" s="2">
        <v>7.5</v>
      </c>
      <c r="T579" s="2">
        <v>9.25</v>
      </c>
      <c r="U579" s="2">
        <v>5.5</v>
      </c>
      <c r="V579" s="2">
        <v>7</v>
      </c>
      <c r="W579" s="2">
        <v>2.2000000000000002</v>
      </c>
      <c r="X579" s="2">
        <v>1</v>
      </c>
      <c r="Y579" s="2">
        <v>9.375</v>
      </c>
      <c r="Z579" s="2">
        <v>9.25</v>
      </c>
      <c r="AA579" s="2">
        <v>8.25</v>
      </c>
      <c r="AB579" s="2">
        <v>0.41399999999999998</v>
      </c>
      <c r="AC579" s="2">
        <v>3.09</v>
      </c>
      <c r="AE579" s="2">
        <v>1</v>
      </c>
      <c r="AF579" s="2" t="s">
        <v>1836</v>
      </c>
      <c r="AG579" s="2">
        <v>60</v>
      </c>
      <c r="AK579" s="2" t="s">
        <v>95</v>
      </c>
      <c r="AL579" s="2">
        <v>1</v>
      </c>
      <c r="AM579" s="2" t="s">
        <v>95</v>
      </c>
      <c r="AN579" s="2" t="s">
        <v>96</v>
      </c>
      <c r="AO579" s="2" t="s">
        <v>95</v>
      </c>
      <c r="AP579" s="2" t="s">
        <v>97</v>
      </c>
      <c r="AQ579" s="2" t="s">
        <v>98</v>
      </c>
      <c r="AV579" s="2" t="s">
        <v>95</v>
      </c>
      <c r="AX579" s="2" t="s">
        <v>395</v>
      </c>
      <c r="AZ579" s="2" t="s">
        <v>342</v>
      </c>
      <c r="BB579" s="2" t="s">
        <v>329</v>
      </c>
      <c r="BC579" s="2" t="s">
        <v>593</v>
      </c>
      <c r="BF579" s="2" t="s">
        <v>2625</v>
      </c>
      <c r="BG579" s="2" t="s">
        <v>95</v>
      </c>
      <c r="BH579" s="2" t="s">
        <v>95</v>
      </c>
      <c r="BI579" s="2" t="s">
        <v>95</v>
      </c>
      <c r="BK579" s="2" t="s">
        <v>414</v>
      </c>
      <c r="BL579" s="2" t="s">
        <v>476</v>
      </c>
      <c r="BR579" s="2">
        <v>4.38</v>
      </c>
      <c r="BT579" s="2">
        <v>4.38</v>
      </c>
      <c r="CA579" s="2" t="s">
        <v>2626</v>
      </c>
      <c r="CB579" s="2" t="s">
        <v>395</v>
      </c>
      <c r="CL579" s="2" t="s">
        <v>95</v>
      </c>
      <c r="CM579" s="2" t="s">
        <v>95</v>
      </c>
      <c r="CN579" s="2" t="s">
        <v>2608</v>
      </c>
      <c r="CO579" s="3">
        <v>40210</v>
      </c>
      <c r="CP579" s="3">
        <v>43634</v>
      </c>
    </row>
    <row r="580" spans="1:94" x14ac:dyDescent="0.25">
      <c r="A580" s="2" t="s">
        <v>2627</v>
      </c>
      <c r="B580" s="2" t="str">
        <f xml:space="preserve"> "" &amp; 844349008002</f>
        <v>844349008002</v>
      </c>
      <c r="C580" s="2" t="s">
        <v>996</v>
      </c>
      <c r="D580" s="2" t="s">
        <v>2628</v>
      </c>
      <c r="E580" s="2" t="s">
        <v>2624</v>
      </c>
      <c r="F580" s="2" t="s">
        <v>658</v>
      </c>
      <c r="G580" s="2">
        <v>1</v>
      </c>
      <c r="H580" s="2">
        <v>1</v>
      </c>
      <c r="I580" s="2" t="s">
        <v>94</v>
      </c>
      <c r="J580" s="6">
        <v>85</v>
      </c>
      <c r="K580" s="6">
        <v>255</v>
      </c>
      <c r="L580" s="2">
        <v>0</v>
      </c>
      <c r="N580" s="2">
        <v>0</v>
      </c>
      <c r="O580" s="2" t="s">
        <v>96</v>
      </c>
      <c r="P580" s="6">
        <v>178.95</v>
      </c>
      <c r="Q580" s="6"/>
      <c r="R580" s="7"/>
      <c r="S580" s="2">
        <v>7.5</v>
      </c>
      <c r="T580" s="2">
        <v>9.375</v>
      </c>
      <c r="U580" s="2">
        <v>13.25</v>
      </c>
      <c r="V580" s="2">
        <v>7</v>
      </c>
      <c r="W580" s="2">
        <v>5.03</v>
      </c>
      <c r="X580" s="2">
        <v>1</v>
      </c>
      <c r="Y580" s="2">
        <v>15.625</v>
      </c>
      <c r="Z580" s="2">
        <v>9.375</v>
      </c>
      <c r="AA580" s="2">
        <v>9.25</v>
      </c>
      <c r="AB580" s="2">
        <v>0.78400000000000003</v>
      </c>
      <c r="AC580" s="2">
        <v>6.19</v>
      </c>
      <c r="AE580" s="2">
        <v>2</v>
      </c>
      <c r="AF580" s="2" t="s">
        <v>2629</v>
      </c>
      <c r="AG580" s="2">
        <v>60</v>
      </c>
      <c r="AK580" s="2" t="s">
        <v>95</v>
      </c>
      <c r="AM580" s="2" t="s">
        <v>95</v>
      </c>
      <c r="AN580" s="2" t="s">
        <v>96</v>
      </c>
      <c r="AO580" s="2" t="s">
        <v>95</v>
      </c>
      <c r="AP580" s="2" t="s">
        <v>97</v>
      </c>
      <c r="AQ580" s="2" t="s">
        <v>98</v>
      </c>
      <c r="AV580" s="2" t="s">
        <v>95</v>
      </c>
      <c r="AX580" s="2" t="s">
        <v>395</v>
      </c>
      <c r="AZ580" s="2" t="s">
        <v>342</v>
      </c>
      <c r="BB580" s="2" t="s">
        <v>329</v>
      </c>
      <c r="BC580" s="2" t="s">
        <v>865</v>
      </c>
      <c r="BF580" s="2" t="s">
        <v>2630</v>
      </c>
      <c r="BG580" s="2" t="s">
        <v>95</v>
      </c>
      <c r="BH580" s="2" t="s">
        <v>95</v>
      </c>
      <c r="BI580" s="2" t="s">
        <v>95</v>
      </c>
      <c r="BK580" s="2" t="s">
        <v>414</v>
      </c>
      <c r="BL580" s="2" t="s">
        <v>476</v>
      </c>
      <c r="BR580" s="2">
        <v>4.25</v>
      </c>
      <c r="BT580" s="2">
        <v>11.75</v>
      </c>
      <c r="CA580" s="2" t="s">
        <v>2631</v>
      </c>
      <c r="CB580" s="2" t="s">
        <v>395</v>
      </c>
      <c r="CL580" s="2" t="s">
        <v>96</v>
      </c>
      <c r="CM580" s="2" t="s">
        <v>95</v>
      </c>
      <c r="CN580" s="2" t="s">
        <v>2632</v>
      </c>
      <c r="CO580" s="3">
        <v>40210</v>
      </c>
      <c r="CP580" s="3">
        <v>43634</v>
      </c>
    </row>
    <row r="581" spans="1:94" x14ac:dyDescent="0.25">
      <c r="A581" s="2" t="s">
        <v>2633</v>
      </c>
      <c r="B581" s="2" t="str">
        <f xml:space="preserve"> "" &amp; 844349008019</f>
        <v>844349008019</v>
      </c>
      <c r="C581" s="2" t="s">
        <v>1001</v>
      </c>
      <c r="D581" s="2" t="s">
        <v>2634</v>
      </c>
      <c r="E581" s="2" t="s">
        <v>2624</v>
      </c>
      <c r="F581" s="2" t="s">
        <v>658</v>
      </c>
      <c r="G581" s="2">
        <v>1</v>
      </c>
      <c r="H581" s="2">
        <v>1</v>
      </c>
      <c r="I581" s="2" t="s">
        <v>94</v>
      </c>
      <c r="J581" s="6">
        <v>115</v>
      </c>
      <c r="K581" s="6">
        <v>345</v>
      </c>
      <c r="L581" s="2">
        <v>0</v>
      </c>
      <c r="N581" s="2">
        <v>0</v>
      </c>
      <c r="O581" s="2" t="s">
        <v>96</v>
      </c>
      <c r="P581" s="6">
        <v>239.95</v>
      </c>
      <c r="Q581" s="6"/>
      <c r="R581" s="7"/>
      <c r="S581" s="2">
        <v>7.5</v>
      </c>
      <c r="T581" s="2">
        <v>9.375</v>
      </c>
      <c r="U581" s="2">
        <v>21</v>
      </c>
      <c r="V581" s="2">
        <v>7</v>
      </c>
      <c r="W581" s="2">
        <v>8.14</v>
      </c>
      <c r="X581" s="2">
        <v>1</v>
      </c>
      <c r="Y581" s="2">
        <v>23.625</v>
      </c>
      <c r="Z581" s="2">
        <v>9.375</v>
      </c>
      <c r="AA581" s="2">
        <v>9.25</v>
      </c>
      <c r="AB581" s="2">
        <v>1.1859999999999999</v>
      </c>
      <c r="AC581" s="2">
        <v>9.9600000000000009</v>
      </c>
      <c r="AE581" s="2">
        <v>3</v>
      </c>
      <c r="AF581" s="2" t="s">
        <v>2629</v>
      </c>
      <c r="AG581" s="2">
        <v>60</v>
      </c>
      <c r="AK581" s="2" t="s">
        <v>95</v>
      </c>
      <c r="AM581" s="2" t="s">
        <v>95</v>
      </c>
      <c r="AN581" s="2" t="s">
        <v>96</v>
      </c>
      <c r="AO581" s="2" t="s">
        <v>95</v>
      </c>
      <c r="AP581" s="2" t="s">
        <v>97</v>
      </c>
      <c r="AQ581" s="2" t="s">
        <v>98</v>
      </c>
      <c r="AV581" s="2" t="s">
        <v>95</v>
      </c>
      <c r="AX581" s="2" t="s">
        <v>395</v>
      </c>
      <c r="AZ581" s="2" t="s">
        <v>342</v>
      </c>
      <c r="BB581" s="2" t="s">
        <v>329</v>
      </c>
      <c r="BC581" s="2" t="s">
        <v>865</v>
      </c>
      <c r="BF581" s="2" t="s">
        <v>2635</v>
      </c>
      <c r="BG581" s="2" t="s">
        <v>95</v>
      </c>
      <c r="BH581" s="2" t="s">
        <v>95</v>
      </c>
      <c r="BI581" s="2" t="s">
        <v>95</v>
      </c>
      <c r="BK581" s="2" t="s">
        <v>414</v>
      </c>
      <c r="BL581" s="2" t="s">
        <v>476</v>
      </c>
      <c r="BR581" s="2">
        <v>5</v>
      </c>
      <c r="BT581" s="2">
        <v>20</v>
      </c>
      <c r="CA581" s="2" t="s">
        <v>2636</v>
      </c>
      <c r="CB581" s="2" t="s">
        <v>395</v>
      </c>
      <c r="CL581" s="2" t="s">
        <v>96</v>
      </c>
      <c r="CM581" s="2" t="s">
        <v>95</v>
      </c>
      <c r="CN581" s="2" t="s">
        <v>2608</v>
      </c>
      <c r="CO581" s="3">
        <v>40230</v>
      </c>
      <c r="CP581" s="3">
        <v>43634</v>
      </c>
    </row>
    <row r="582" spans="1:94" x14ac:dyDescent="0.25">
      <c r="A582" s="2" t="s">
        <v>2637</v>
      </c>
      <c r="B582" s="2" t="str">
        <f xml:space="preserve"> "" &amp; 844349009092</f>
        <v>844349009092</v>
      </c>
      <c r="C582" s="2" t="s">
        <v>417</v>
      </c>
      <c r="D582" s="2" t="s">
        <v>2638</v>
      </c>
      <c r="E582" s="2" t="s">
        <v>967</v>
      </c>
      <c r="F582" s="2" t="s">
        <v>418</v>
      </c>
      <c r="G582" s="2">
        <v>1</v>
      </c>
      <c r="H582" s="2">
        <v>1</v>
      </c>
      <c r="I582" s="2" t="s">
        <v>94</v>
      </c>
      <c r="J582" s="6">
        <v>85</v>
      </c>
      <c r="K582" s="6">
        <v>255</v>
      </c>
      <c r="L582" s="2">
        <v>0</v>
      </c>
      <c r="N582" s="2">
        <v>0</v>
      </c>
      <c r="O582" s="2" t="s">
        <v>96</v>
      </c>
      <c r="P582" s="6">
        <v>178.95</v>
      </c>
      <c r="Q582" s="6"/>
      <c r="R582" s="7"/>
      <c r="S582" s="2">
        <v>12</v>
      </c>
      <c r="T582" s="2">
        <v>13.5</v>
      </c>
      <c r="U582" s="2">
        <v>7</v>
      </c>
      <c r="V582" s="2">
        <v>4</v>
      </c>
      <c r="W582" s="2">
        <v>3.51</v>
      </c>
      <c r="X582" s="2">
        <v>1</v>
      </c>
      <c r="Y582" s="2">
        <v>8.75</v>
      </c>
      <c r="Z582" s="2">
        <v>13.5</v>
      </c>
      <c r="AA582" s="2">
        <v>9</v>
      </c>
      <c r="AB582" s="2">
        <v>0.61499999999999999</v>
      </c>
      <c r="AC582" s="2">
        <v>4.5199999999999996</v>
      </c>
      <c r="AE582" s="2">
        <v>1</v>
      </c>
      <c r="AF582" s="2" t="s">
        <v>1307</v>
      </c>
      <c r="AG582" s="2">
        <v>60</v>
      </c>
      <c r="AK582" s="2" t="s">
        <v>95</v>
      </c>
      <c r="AM582" s="2" t="s">
        <v>95</v>
      </c>
      <c r="AN582" s="2" t="s">
        <v>96</v>
      </c>
      <c r="AO582" s="2" t="s">
        <v>95</v>
      </c>
      <c r="AP582" s="2" t="s">
        <v>97</v>
      </c>
      <c r="AQ582" s="2" t="s">
        <v>98</v>
      </c>
      <c r="AV582" s="2" t="s">
        <v>95</v>
      </c>
      <c r="AX582" s="2" t="s">
        <v>395</v>
      </c>
      <c r="AZ582" s="2" t="s">
        <v>342</v>
      </c>
      <c r="BB582" s="2" t="s">
        <v>329</v>
      </c>
      <c r="BC582" s="2" t="s">
        <v>2639</v>
      </c>
      <c r="BF582" s="2" t="s">
        <v>2640</v>
      </c>
      <c r="BG582" s="2" t="s">
        <v>95</v>
      </c>
      <c r="BH582" s="2" t="s">
        <v>96</v>
      </c>
      <c r="BI582" s="2" t="s">
        <v>95</v>
      </c>
      <c r="BK582" s="2" t="s">
        <v>414</v>
      </c>
      <c r="BL582" s="2" t="s">
        <v>350</v>
      </c>
      <c r="BR582" s="2">
        <v>4.13</v>
      </c>
      <c r="BT582" s="2">
        <v>6.13</v>
      </c>
      <c r="CA582" s="2" t="s">
        <v>2641</v>
      </c>
      <c r="CB582" s="2" t="s">
        <v>395</v>
      </c>
      <c r="CL582" s="2" t="s">
        <v>96</v>
      </c>
      <c r="CM582" s="2" t="s">
        <v>95</v>
      </c>
      <c r="CN582" s="2" t="s">
        <v>2642</v>
      </c>
      <c r="CO582" s="3">
        <v>40558</v>
      </c>
      <c r="CP582" s="3">
        <v>43634</v>
      </c>
    </row>
    <row r="583" spans="1:94" x14ac:dyDescent="0.25">
      <c r="A583" s="2" t="s">
        <v>2643</v>
      </c>
      <c r="B583" s="2" t="str">
        <f xml:space="preserve"> "" &amp; 844349008026</f>
        <v>844349008026</v>
      </c>
      <c r="C583" s="2" t="s">
        <v>990</v>
      </c>
      <c r="D583" s="2" t="s">
        <v>2644</v>
      </c>
      <c r="E583" s="2" t="s">
        <v>967</v>
      </c>
      <c r="F583" s="2" t="s">
        <v>418</v>
      </c>
      <c r="G583" s="2">
        <v>1</v>
      </c>
      <c r="H583" s="2">
        <v>1</v>
      </c>
      <c r="I583" s="2" t="s">
        <v>94</v>
      </c>
      <c r="J583" s="6">
        <v>75</v>
      </c>
      <c r="K583" s="6">
        <v>225</v>
      </c>
      <c r="L583" s="2">
        <v>0</v>
      </c>
      <c r="N583" s="2">
        <v>0</v>
      </c>
      <c r="O583" s="2" t="s">
        <v>96</v>
      </c>
      <c r="P583" s="6">
        <v>157.94999999999999</v>
      </c>
      <c r="Q583" s="6"/>
      <c r="R583" s="7"/>
      <c r="S583" s="2">
        <v>6</v>
      </c>
      <c r="T583" s="2">
        <v>8.5</v>
      </c>
      <c r="U583" s="2">
        <v>7</v>
      </c>
      <c r="V583" s="2">
        <v>6</v>
      </c>
      <c r="W583" s="2">
        <v>3.31</v>
      </c>
      <c r="X583" s="2">
        <v>1</v>
      </c>
      <c r="Y583" s="2">
        <v>8.5</v>
      </c>
      <c r="Z583" s="2">
        <v>8.5</v>
      </c>
      <c r="AA583" s="2">
        <v>6.9</v>
      </c>
      <c r="AB583" s="2">
        <v>0.28799999999999998</v>
      </c>
      <c r="AC583" s="2">
        <v>3.97</v>
      </c>
      <c r="AE583" s="2">
        <v>1</v>
      </c>
      <c r="AF583" s="2" t="s">
        <v>2645</v>
      </c>
      <c r="AG583" s="2">
        <v>75</v>
      </c>
      <c r="AK583" s="2" t="s">
        <v>96</v>
      </c>
      <c r="AL583" s="2">
        <v>1</v>
      </c>
      <c r="AM583" s="2" t="s">
        <v>95</v>
      </c>
      <c r="AN583" s="2" t="s">
        <v>96</v>
      </c>
      <c r="AO583" s="2" t="s">
        <v>95</v>
      </c>
      <c r="AP583" s="2" t="s">
        <v>97</v>
      </c>
      <c r="AQ583" s="2" t="s">
        <v>98</v>
      </c>
      <c r="AV583" s="2" t="s">
        <v>95</v>
      </c>
      <c r="AX583" s="2" t="s">
        <v>395</v>
      </c>
      <c r="AZ583" s="2" t="s">
        <v>342</v>
      </c>
      <c r="BB583" s="2" t="s">
        <v>54</v>
      </c>
      <c r="BC583" s="2" t="s">
        <v>2639</v>
      </c>
      <c r="BF583" s="2" t="s">
        <v>2646</v>
      </c>
      <c r="BG583" s="2" t="s">
        <v>95</v>
      </c>
      <c r="BH583" s="2" t="s">
        <v>95</v>
      </c>
      <c r="BI583" s="2" t="s">
        <v>95</v>
      </c>
      <c r="BK583" s="2" t="s">
        <v>414</v>
      </c>
      <c r="BL583" s="2" t="s">
        <v>476</v>
      </c>
      <c r="BR583" s="2">
        <v>4.13</v>
      </c>
      <c r="BT583" s="2">
        <v>6.13</v>
      </c>
      <c r="CA583" s="2" t="s">
        <v>2647</v>
      </c>
      <c r="CB583" s="2" t="s">
        <v>395</v>
      </c>
      <c r="CL583" s="2" t="s">
        <v>96</v>
      </c>
      <c r="CM583" s="2" t="s">
        <v>95</v>
      </c>
      <c r="CN583" s="2" t="s">
        <v>2632</v>
      </c>
      <c r="CO583" s="3">
        <v>40210</v>
      </c>
      <c r="CP583" s="3">
        <v>43634</v>
      </c>
    </row>
    <row r="584" spans="1:94" x14ac:dyDescent="0.25">
      <c r="A584" s="2" t="s">
        <v>2648</v>
      </c>
      <c r="B584" s="2" t="str">
        <f xml:space="preserve"> "" &amp; 844349008033</f>
        <v>844349008033</v>
      </c>
      <c r="C584" s="2" t="s">
        <v>996</v>
      </c>
      <c r="D584" s="2" t="s">
        <v>2649</v>
      </c>
      <c r="E584" s="2" t="s">
        <v>967</v>
      </c>
      <c r="F584" s="2" t="s">
        <v>658</v>
      </c>
      <c r="G584" s="2">
        <v>1</v>
      </c>
      <c r="H584" s="2">
        <v>1</v>
      </c>
      <c r="I584" s="2" t="s">
        <v>94</v>
      </c>
      <c r="J584" s="6">
        <v>110</v>
      </c>
      <c r="K584" s="6">
        <v>330</v>
      </c>
      <c r="L584" s="2">
        <v>0</v>
      </c>
      <c r="N584" s="2">
        <v>0</v>
      </c>
      <c r="O584" s="2" t="s">
        <v>96</v>
      </c>
      <c r="P584" s="6">
        <v>231.95</v>
      </c>
      <c r="Q584" s="6"/>
      <c r="R584" s="7"/>
      <c r="S584" s="2">
        <v>6</v>
      </c>
      <c r="T584" s="2">
        <v>9</v>
      </c>
      <c r="U584" s="2">
        <v>13.75</v>
      </c>
      <c r="V584" s="2">
        <v>5</v>
      </c>
      <c r="W584" s="2">
        <v>5.18</v>
      </c>
      <c r="X584" s="2">
        <v>1</v>
      </c>
      <c r="Y584" s="2">
        <v>15.38</v>
      </c>
      <c r="Z584" s="2">
        <v>9</v>
      </c>
      <c r="AA584" s="2">
        <v>6.63</v>
      </c>
      <c r="AB584" s="2">
        <v>0.53100000000000003</v>
      </c>
      <c r="AC584" s="2">
        <v>6.17</v>
      </c>
      <c r="AE584" s="2">
        <v>3</v>
      </c>
      <c r="AF584" s="2" t="s">
        <v>968</v>
      </c>
      <c r="AG584" s="2">
        <v>75</v>
      </c>
      <c r="AK584" s="2" t="s">
        <v>96</v>
      </c>
      <c r="AM584" s="2" t="s">
        <v>95</v>
      </c>
      <c r="AN584" s="2" t="s">
        <v>96</v>
      </c>
      <c r="AO584" s="2" t="s">
        <v>95</v>
      </c>
      <c r="AP584" s="2" t="s">
        <v>97</v>
      </c>
      <c r="AQ584" s="2" t="s">
        <v>98</v>
      </c>
      <c r="AV584" s="2" t="s">
        <v>95</v>
      </c>
      <c r="AX584" s="2" t="s">
        <v>395</v>
      </c>
      <c r="AZ584" s="2" t="s">
        <v>342</v>
      </c>
      <c r="BB584" s="2" t="s">
        <v>54</v>
      </c>
      <c r="BC584" s="2" t="s">
        <v>397</v>
      </c>
      <c r="BF584" s="2" t="s">
        <v>2650</v>
      </c>
      <c r="BG584" s="2" t="s">
        <v>95</v>
      </c>
      <c r="BH584" s="2" t="s">
        <v>95</v>
      </c>
      <c r="BI584" s="2" t="s">
        <v>95</v>
      </c>
      <c r="BK584" s="2" t="s">
        <v>414</v>
      </c>
      <c r="BL584" s="2" t="s">
        <v>476</v>
      </c>
      <c r="BR584" s="2">
        <v>4.38</v>
      </c>
      <c r="BT584" s="2">
        <v>6.25</v>
      </c>
      <c r="CA584" s="2" t="s">
        <v>2651</v>
      </c>
      <c r="CB584" s="2" t="s">
        <v>395</v>
      </c>
      <c r="CL584" s="2" t="s">
        <v>96</v>
      </c>
      <c r="CM584" s="2" t="s">
        <v>95</v>
      </c>
      <c r="CN584" s="2" t="s">
        <v>2632</v>
      </c>
      <c r="CO584" s="3">
        <v>40210</v>
      </c>
      <c r="CP584" s="3">
        <v>43634</v>
      </c>
    </row>
    <row r="585" spans="1:94" x14ac:dyDescent="0.25">
      <c r="A585" s="2" t="s">
        <v>2652</v>
      </c>
      <c r="B585" s="2" t="str">
        <f xml:space="preserve"> "" &amp; 844349008040</f>
        <v>844349008040</v>
      </c>
      <c r="C585" s="2" t="s">
        <v>1001</v>
      </c>
      <c r="D585" s="2" t="s">
        <v>2653</v>
      </c>
      <c r="E585" s="2" t="s">
        <v>967</v>
      </c>
      <c r="F585" s="2" t="s">
        <v>658</v>
      </c>
      <c r="G585" s="2">
        <v>1</v>
      </c>
      <c r="H585" s="2">
        <v>1</v>
      </c>
      <c r="I585" s="2" t="s">
        <v>94</v>
      </c>
      <c r="J585" s="6">
        <v>155</v>
      </c>
      <c r="K585" s="6">
        <v>465</v>
      </c>
      <c r="L585" s="2">
        <v>0</v>
      </c>
      <c r="N585" s="2">
        <v>0</v>
      </c>
      <c r="O585" s="2" t="s">
        <v>96</v>
      </c>
      <c r="P585" s="6">
        <v>324.95</v>
      </c>
      <c r="Q585" s="6"/>
      <c r="R585" s="7"/>
      <c r="S585" s="2">
        <v>6</v>
      </c>
      <c r="T585" s="2">
        <v>8.25</v>
      </c>
      <c r="U585" s="2">
        <v>21.5</v>
      </c>
      <c r="V585" s="2">
        <v>5</v>
      </c>
      <c r="W585" s="2">
        <v>8.75</v>
      </c>
      <c r="X585" s="2">
        <v>1</v>
      </c>
      <c r="Y585" s="2">
        <v>22.125</v>
      </c>
      <c r="Z585" s="2">
        <v>8.25</v>
      </c>
      <c r="AA585" s="2">
        <v>7</v>
      </c>
      <c r="AB585" s="2">
        <v>0.73899999999999999</v>
      </c>
      <c r="AC585" s="2">
        <v>10.050000000000001</v>
      </c>
      <c r="AE585" s="2">
        <v>3</v>
      </c>
      <c r="AF585" s="2" t="s">
        <v>968</v>
      </c>
      <c r="AG585" s="2">
        <v>75</v>
      </c>
      <c r="AK585" s="2" t="s">
        <v>96</v>
      </c>
      <c r="AM585" s="2" t="s">
        <v>95</v>
      </c>
      <c r="AN585" s="2" t="s">
        <v>96</v>
      </c>
      <c r="AO585" s="2" t="s">
        <v>95</v>
      </c>
      <c r="AP585" s="2" t="s">
        <v>97</v>
      </c>
      <c r="AQ585" s="2" t="s">
        <v>98</v>
      </c>
      <c r="AV585" s="2" t="s">
        <v>95</v>
      </c>
      <c r="AX585" s="2" t="s">
        <v>395</v>
      </c>
      <c r="AZ585" s="2" t="s">
        <v>342</v>
      </c>
      <c r="BB585" s="2" t="s">
        <v>54</v>
      </c>
      <c r="BC585" s="2" t="s">
        <v>2639</v>
      </c>
      <c r="BF585" s="2" t="s">
        <v>2654</v>
      </c>
      <c r="BG585" s="2" t="s">
        <v>95</v>
      </c>
      <c r="BH585" s="2" t="s">
        <v>95</v>
      </c>
      <c r="BI585" s="2" t="s">
        <v>95</v>
      </c>
      <c r="BK585" s="2" t="s">
        <v>414</v>
      </c>
      <c r="BL585" s="2" t="s">
        <v>476</v>
      </c>
      <c r="BR585" s="2">
        <v>4.38</v>
      </c>
      <c r="BT585" s="2">
        <v>11.88</v>
      </c>
      <c r="CA585" s="2" t="s">
        <v>2655</v>
      </c>
      <c r="CB585" s="2" t="s">
        <v>395</v>
      </c>
      <c r="CL585" s="2" t="s">
        <v>96</v>
      </c>
      <c r="CM585" s="2" t="s">
        <v>95</v>
      </c>
      <c r="CN585" s="2" t="s">
        <v>2632</v>
      </c>
      <c r="CO585" s="3">
        <v>40210</v>
      </c>
      <c r="CP585" s="3">
        <v>43634</v>
      </c>
    </row>
    <row r="586" spans="1:94" x14ac:dyDescent="0.25">
      <c r="A586" s="2" t="s">
        <v>2656</v>
      </c>
      <c r="B586" s="2" t="str">
        <f xml:space="preserve"> "" &amp; 844349009108</f>
        <v>844349009108</v>
      </c>
      <c r="C586" s="2" t="s">
        <v>1006</v>
      </c>
      <c r="D586" s="2" t="s">
        <v>2657</v>
      </c>
      <c r="E586" s="2" t="s">
        <v>967</v>
      </c>
      <c r="F586" s="2" t="s">
        <v>658</v>
      </c>
      <c r="G586" s="2">
        <v>1</v>
      </c>
      <c r="H586" s="2">
        <v>1</v>
      </c>
      <c r="I586" s="2" t="s">
        <v>94</v>
      </c>
      <c r="J586" s="6">
        <v>205</v>
      </c>
      <c r="K586" s="6">
        <v>615</v>
      </c>
      <c r="L586" s="2">
        <v>0</v>
      </c>
      <c r="N586" s="2">
        <v>0</v>
      </c>
      <c r="O586" s="2" t="s">
        <v>96</v>
      </c>
      <c r="P586" s="6">
        <v>429.95</v>
      </c>
      <c r="Q586" s="6"/>
      <c r="R586" s="7"/>
      <c r="S586" s="2">
        <v>6</v>
      </c>
      <c r="T586" s="2">
        <v>8.5</v>
      </c>
      <c r="U586" s="2">
        <v>29.25</v>
      </c>
      <c r="V586" s="2">
        <v>5</v>
      </c>
      <c r="W586" s="2">
        <v>11.53</v>
      </c>
      <c r="X586" s="2">
        <v>1</v>
      </c>
      <c r="Y586" s="2">
        <v>30.13</v>
      </c>
      <c r="Z586" s="2">
        <v>8.5</v>
      </c>
      <c r="AA586" s="2">
        <v>6.75</v>
      </c>
      <c r="AB586" s="2">
        <v>1</v>
      </c>
      <c r="AC586" s="2">
        <v>14.15</v>
      </c>
      <c r="AE586" s="2">
        <v>4</v>
      </c>
      <c r="AF586" s="2" t="s">
        <v>2658</v>
      </c>
      <c r="AG586" s="2">
        <v>75</v>
      </c>
      <c r="AK586" s="2" t="s">
        <v>96</v>
      </c>
      <c r="AM586" s="2" t="s">
        <v>95</v>
      </c>
      <c r="AN586" s="2" t="s">
        <v>96</v>
      </c>
      <c r="AO586" s="2" t="s">
        <v>95</v>
      </c>
      <c r="AP586" s="2" t="s">
        <v>97</v>
      </c>
      <c r="AQ586" s="2" t="s">
        <v>98</v>
      </c>
      <c r="AV586" s="2" t="s">
        <v>95</v>
      </c>
      <c r="AX586" s="2" t="s">
        <v>395</v>
      </c>
      <c r="AZ586" s="2" t="s">
        <v>342</v>
      </c>
      <c r="BB586" s="2" t="s">
        <v>54</v>
      </c>
      <c r="BC586" s="2" t="s">
        <v>2639</v>
      </c>
      <c r="BF586" s="2" t="s">
        <v>2659</v>
      </c>
      <c r="BG586" s="2" t="s">
        <v>95</v>
      </c>
      <c r="BH586" s="2" t="s">
        <v>95</v>
      </c>
      <c r="BI586" s="2" t="s">
        <v>95</v>
      </c>
      <c r="BK586" s="2" t="s">
        <v>414</v>
      </c>
      <c r="BL586" s="2" t="s">
        <v>476</v>
      </c>
      <c r="BR586" s="2">
        <v>4.38</v>
      </c>
      <c r="BS586" s="2">
        <v>20</v>
      </c>
      <c r="CA586" s="2" t="s">
        <v>2660</v>
      </c>
      <c r="CB586" s="2" t="s">
        <v>395</v>
      </c>
      <c r="CL586" s="2" t="s">
        <v>96</v>
      </c>
      <c r="CM586" s="2" t="s">
        <v>95</v>
      </c>
      <c r="CN586" s="2" t="s">
        <v>460</v>
      </c>
      <c r="CO586" s="3">
        <v>40530</v>
      </c>
      <c r="CP586" s="3">
        <v>43634</v>
      </c>
    </row>
    <row r="587" spans="1:94" x14ac:dyDescent="0.25">
      <c r="A587" s="2" t="s">
        <v>2661</v>
      </c>
      <c r="B587" s="2" t="str">
        <f xml:space="preserve"> "" &amp; 844349009115</f>
        <v>844349009115</v>
      </c>
      <c r="C587" s="2" t="s">
        <v>1001</v>
      </c>
      <c r="D587" s="2" t="s">
        <v>2653</v>
      </c>
      <c r="E587" s="2" t="s">
        <v>967</v>
      </c>
      <c r="F587" s="2" t="s">
        <v>418</v>
      </c>
      <c r="G587" s="2">
        <v>1</v>
      </c>
      <c r="H587" s="2">
        <v>1</v>
      </c>
      <c r="I587" s="2" t="s">
        <v>94</v>
      </c>
      <c r="J587" s="6">
        <v>145</v>
      </c>
      <c r="K587" s="6">
        <v>435</v>
      </c>
      <c r="L587" s="2">
        <v>0</v>
      </c>
      <c r="N587" s="2">
        <v>0</v>
      </c>
      <c r="O587" s="2" t="s">
        <v>96</v>
      </c>
      <c r="P587" s="6">
        <v>304.95</v>
      </c>
      <c r="Q587" s="6"/>
      <c r="R587" s="7"/>
      <c r="S587" s="2">
        <v>4.75</v>
      </c>
      <c r="U587" s="2">
        <v>24</v>
      </c>
      <c r="V587" s="2">
        <v>4</v>
      </c>
      <c r="W587" s="2">
        <v>5.78</v>
      </c>
      <c r="X587" s="2">
        <v>1</v>
      </c>
      <c r="Y587" s="2">
        <v>8.75</v>
      </c>
      <c r="Z587" s="2">
        <v>25.5</v>
      </c>
      <c r="AA587" s="2">
        <v>6.75</v>
      </c>
      <c r="AB587" s="2">
        <v>0.872</v>
      </c>
      <c r="AC587" s="2">
        <v>7.14</v>
      </c>
      <c r="AE587" s="2">
        <v>3</v>
      </c>
      <c r="AF587" s="2" t="s">
        <v>2658</v>
      </c>
      <c r="AG587" s="2">
        <v>40</v>
      </c>
      <c r="AK587" s="2" t="s">
        <v>96</v>
      </c>
      <c r="AM587" s="2" t="s">
        <v>95</v>
      </c>
      <c r="AN587" s="2" t="s">
        <v>96</v>
      </c>
      <c r="AO587" s="2" t="s">
        <v>95</v>
      </c>
      <c r="AP587" s="2" t="s">
        <v>97</v>
      </c>
      <c r="AQ587" s="2" t="s">
        <v>98</v>
      </c>
      <c r="AV587" s="2" t="s">
        <v>95</v>
      </c>
      <c r="AX587" s="2" t="s">
        <v>395</v>
      </c>
      <c r="AZ587" s="2" t="s">
        <v>342</v>
      </c>
      <c r="BB587" s="2" t="s">
        <v>54</v>
      </c>
      <c r="BC587" s="2" t="s">
        <v>2639</v>
      </c>
      <c r="BF587" s="2" t="s">
        <v>2662</v>
      </c>
      <c r="BG587" s="2" t="s">
        <v>95</v>
      </c>
      <c r="BH587" s="2" t="s">
        <v>96</v>
      </c>
      <c r="BI587" s="2" t="s">
        <v>95</v>
      </c>
      <c r="BK587" s="2" t="s">
        <v>414</v>
      </c>
      <c r="BL587" s="2" t="s">
        <v>350</v>
      </c>
      <c r="BR587" s="2">
        <v>4.38</v>
      </c>
      <c r="BT587" s="2">
        <v>22.13</v>
      </c>
      <c r="CA587" s="2" t="s">
        <v>2663</v>
      </c>
      <c r="CB587" s="2" t="s">
        <v>395</v>
      </c>
      <c r="CL587" s="2" t="s">
        <v>96</v>
      </c>
      <c r="CM587" s="2" t="s">
        <v>95</v>
      </c>
      <c r="CN587" s="2" t="s">
        <v>2642</v>
      </c>
      <c r="CO587" s="3">
        <v>40558</v>
      </c>
      <c r="CP587" s="3">
        <v>43634</v>
      </c>
    </row>
    <row r="588" spans="1:94" x14ac:dyDescent="0.25">
      <c r="A588" s="2" t="s">
        <v>2664</v>
      </c>
      <c r="B588" s="2" t="str">
        <f xml:space="preserve"> "" &amp; 844349013655</f>
        <v>844349013655</v>
      </c>
      <c r="C588" s="2" t="s">
        <v>655</v>
      </c>
      <c r="D588" s="2" t="s">
        <v>2665</v>
      </c>
      <c r="E588" s="2" t="s">
        <v>967</v>
      </c>
      <c r="F588" s="2" t="s">
        <v>658</v>
      </c>
      <c r="G588" s="2">
        <v>1</v>
      </c>
      <c r="H588" s="2">
        <v>1</v>
      </c>
      <c r="I588" s="2" t="s">
        <v>94</v>
      </c>
      <c r="J588" s="6">
        <v>169</v>
      </c>
      <c r="K588" s="6">
        <v>507</v>
      </c>
      <c r="L588" s="2">
        <v>0</v>
      </c>
      <c r="N588" s="2">
        <v>0</v>
      </c>
      <c r="O588" s="2" t="s">
        <v>96</v>
      </c>
      <c r="P588" s="6">
        <v>354.95</v>
      </c>
      <c r="Q588" s="6"/>
      <c r="R588" s="7"/>
      <c r="S588" s="2">
        <v>4.75</v>
      </c>
      <c r="U588" s="2">
        <v>24</v>
      </c>
      <c r="V588" s="2">
        <v>4</v>
      </c>
      <c r="W588" s="2">
        <v>6.02</v>
      </c>
      <c r="X588" s="2">
        <v>1</v>
      </c>
      <c r="Y588" s="2">
        <v>9.25</v>
      </c>
      <c r="Z588" s="2">
        <v>26.5</v>
      </c>
      <c r="AA588" s="2">
        <v>7.5</v>
      </c>
      <c r="AB588" s="2">
        <v>1.0640000000000001</v>
      </c>
      <c r="AC588" s="2">
        <v>7.34</v>
      </c>
      <c r="AE588" s="2">
        <v>1</v>
      </c>
      <c r="AF588" s="2" t="s">
        <v>347</v>
      </c>
      <c r="AG588" s="2">
        <v>36</v>
      </c>
      <c r="AK588" s="2" t="s">
        <v>96</v>
      </c>
      <c r="AM588" s="2" t="s">
        <v>95</v>
      </c>
      <c r="AN588" s="2" t="s">
        <v>96</v>
      </c>
      <c r="AO588" s="2" t="s">
        <v>95</v>
      </c>
      <c r="AP588" s="2" t="s">
        <v>97</v>
      </c>
      <c r="AQ588" s="2" t="s">
        <v>98</v>
      </c>
      <c r="AV588" s="2" t="s">
        <v>95</v>
      </c>
      <c r="AX588" s="2" t="s">
        <v>395</v>
      </c>
      <c r="AZ588" s="2" t="s">
        <v>449</v>
      </c>
      <c r="BB588" s="2" t="s">
        <v>54</v>
      </c>
      <c r="BC588" s="2" t="s">
        <v>555</v>
      </c>
      <c r="BF588" s="2" t="s">
        <v>2666</v>
      </c>
      <c r="BG588" s="2" t="s">
        <v>95</v>
      </c>
      <c r="BH588" s="2" t="s">
        <v>96</v>
      </c>
      <c r="BI588" s="2" t="s">
        <v>95</v>
      </c>
      <c r="BK588" s="2" t="s">
        <v>414</v>
      </c>
      <c r="BL588" s="2" t="s">
        <v>350</v>
      </c>
      <c r="BM588" s="2">
        <v>23.25</v>
      </c>
      <c r="BN588" s="2">
        <v>4.5</v>
      </c>
      <c r="CA588" s="2" t="s">
        <v>2667</v>
      </c>
      <c r="CB588" s="2" t="s">
        <v>395</v>
      </c>
      <c r="CG588" s="2">
        <v>3000</v>
      </c>
      <c r="CH588" s="2">
        <v>92</v>
      </c>
      <c r="CI588" s="2">
        <v>3213</v>
      </c>
      <c r="CJ588" s="2">
        <v>2308.1</v>
      </c>
      <c r="CK588" s="2">
        <v>30000</v>
      </c>
      <c r="CL588" s="2" t="s">
        <v>96</v>
      </c>
      <c r="CM588" s="2" t="s">
        <v>95</v>
      </c>
      <c r="CN588" s="2" t="s">
        <v>2668</v>
      </c>
      <c r="CO588" s="3">
        <v>41400</v>
      </c>
      <c r="CP588" s="3">
        <v>43637</v>
      </c>
    </row>
    <row r="589" spans="1:94" x14ac:dyDescent="0.25">
      <c r="A589" s="2" t="s">
        <v>2669</v>
      </c>
      <c r="B589" s="2" t="str">
        <f xml:space="preserve"> "" &amp; 844349009122</f>
        <v>844349009122</v>
      </c>
      <c r="C589" s="2" t="s">
        <v>2434</v>
      </c>
      <c r="D589" s="2" t="s">
        <v>2670</v>
      </c>
      <c r="E589" s="2" t="s">
        <v>967</v>
      </c>
      <c r="F589" s="2" t="s">
        <v>418</v>
      </c>
      <c r="G589" s="2">
        <v>1</v>
      </c>
      <c r="H589" s="2">
        <v>1</v>
      </c>
      <c r="I589" s="2" t="s">
        <v>94</v>
      </c>
      <c r="J589" s="6">
        <v>169</v>
      </c>
      <c r="K589" s="6">
        <v>507</v>
      </c>
      <c r="L589" s="2">
        <v>0</v>
      </c>
      <c r="N589" s="2">
        <v>0</v>
      </c>
      <c r="O589" s="2" t="s">
        <v>96</v>
      </c>
      <c r="P589" s="6">
        <v>354.95</v>
      </c>
      <c r="Q589" s="6"/>
      <c r="R589" s="7"/>
      <c r="S589" s="2">
        <v>4.75</v>
      </c>
      <c r="U589" s="2">
        <v>30</v>
      </c>
      <c r="V589" s="2">
        <v>4</v>
      </c>
      <c r="W589" s="2">
        <v>7.25</v>
      </c>
      <c r="X589" s="2">
        <v>1</v>
      </c>
      <c r="Y589" s="2">
        <v>8.75</v>
      </c>
      <c r="Z589" s="2">
        <v>31.25</v>
      </c>
      <c r="AA589" s="2">
        <v>6.75</v>
      </c>
      <c r="AB589" s="2">
        <v>1.0680000000000001</v>
      </c>
      <c r="AC589" s="2">
        <v>8.8800000000000008</v>
      </c>
      <c r="AE589" s="2">
        <v>5</v>
      </c>
      <c r="AF589" s="2" t="s">
        <v>2658</v>
      </c>
      <c r="AG589" s="2">
        <v>40</v>
      </c>
      <c r="AK589" s="2" t="s">
        <v>96</v>
      </c>
      <c r="AM589" s="2" t="s">
        <v>95</v>
      </c>
      <c r="AN589" s="2" t="s">
        <v>96</v>
      </c>
      <c r="AO589" s="2" t="s">
        <v>95</v>
      </c>
      <c r="AP589" s="2" t="s">
        <v>97</v>
      </c>
      <c r="AQ589" s="2" t="s">
        <v>98</v>
      </c>
      <c r="AV589" s="2" t="s">
        <v>95</v>
      </c>
      <c r="AX589" s="2" t="s">
        <v>395</v>
      </c>
      <c r="AZ589" s="2" t="s">
        <v>342</v>
      </c>
      <c r="BB589" s="2" t="s">
        <v>54</v>
      </c>
      <c r="BC589" s="2" t="s">
        <v>2639</v>
      </c>
      <c r="BF589" s="2" t="s">
        <v>2671</v>
      </c>
      <c r="BG589" s="2" t="s">
        <v>95</v>
      </c>
      <c r="BH589" s="2" t="s">
        <v>96</v>
      </c>
      <c r="BI589" s="2" t="s">
        <v>95</v>
      </c>
      <c r="BK589" s="2" t="s">
        <v>414</v>
      </c>
      <c r="BL589" s="2" t="s">
        <v>350</v>
      </c>
      <c r="BR589" s="2">
        <v>4.38</v>
      </c>
      <c r="BT589" s="2">
        <v>22.38</v>
      </c>
      <c r="CA589" s="2" t="s">
        <v>2672</v>
      </c>
      <c r="CB589" s="2" t="s">
        <v>395</v>
      </c>
      <c r="CL589" s="2" t="s">
        <v>96</v>
      </c>
      <c r="CM589" s="2" t="s">
        <v>95</v>
      </c>
      <c r="CN589" s="2" t="s">
        <v>2642</v>
      </c>
      <c r="CO589" s="3">
        <v>40558</v>
      </c>
      <c r="CP589" s="3">
        <v>43634</v>
      </c>
    </row>
    <row r="590" spans="1:94" x14ac:dyDescent="0.25">
      <c r="A590" s="2" t="s">
        <v>2673</v>
      </c>
      <c r="B590" s="2" t="str">
        <f xml:space="preserve"> "" &amp; 844349013662</f>
        <v>844349013662</v>
      </c>
      <c r="C590" s="2" t="s">
        <v>655</v>
      </c>
      <c r="D590" s="2" t="s">
        <v>2665</v>
      </c>
      <c r="E590" s="2" t="s">
        <v>967</v>
      </c>
      <c r="F590" s="2" t="s">
        <v>658</v>
      </c>
      <c r="G590" s="2">
        <v>1</v>
      </c>
      <c r="H590" s="2">
        <v>1</v>
      </c>
      <c r="I590" s="2" t="s">
        <v>94</v>
      </c>
      <c r="J590" s="6">
        <v>199</v>
      </c>
      <c r="K590" s="6">
        <v>597</v>
      </c>
      <c r="L590" s="2">
        <v>0</v>
      </c>
      <c r="N590" s="2">
        <v>0</v>
      </c>
      <c r="O590" s="2" t="s">
        <v>96</v>
      </c>
      <c r="P590" s="6">
        <v>419.95</v>
      </c>
      <c r="Q590" s="6"/>
      <c r="R590" s="7"/>
      <c r="S590" s="2">
        <v>4.75</v>
      </c>
      <c r="U590" s="2">
        <v>30</v>
      </c>
      <c r="V590" s="2">
        <v>4</v>
      </c>
      <c r="W590" s="2">
        <v>7.43</v>
      </c>
      <c r="X590" s="2">
        <v>1</v>
      </c>
      <c r="Y590" s="2">
        <v>8.75</v>
      </c>
      <c r="Z590" s="2">
        <v>33</v>
      </c>
      <c r="AA590" s="2">
        <v>7.25</v>
      </c>
      <c r="AB590" s="2">
        <v>1.2110000000000001</v>
      </c>
      <c r="AC590" s="2">
        <v>9.15</v>
      </c>
      <c r="AE590" s="2">
        <v>1</v>
      </c>
      <c r="AF590" s="2" t="s">
        <v>347</v>
      </c>
      <c r="AG590" s="2">
        <v>56</v>
      </c>
      <c r="AK590" s="2" t="s">
        <v>96</v>
      </c>
      <c r="AM590" s="2" t="s">
        <v>95</v>
      </c>
      <c r="AN590" s="2" t="s">
        <v>96</v>
      </c>
      <c r="AO590" s="2" t="s">
        <v>95</v>
      </c>
      <c r="AP590" s="2" t="s">
        <v>97</v>
      </c>
      <c r="AQ590" s="2" t="s">
        <v>98</v>
      </c>
      <c r="AV590" s="2" t="s">
        <v>95</v>
      </c>
      <c r="AX590" s="2" t="s">
        <v>395</v>
      </c>
      <c r="AZ590" s="2" t="s">
        <v>342</v>
      </c>
      <c r="BB590" s="2" t="s">
        <v>54</v>
      </c>
      <c r="BC590" s="2" t="s">
        <v>555</v>
      </c>
      <c r="BF590" s="2" t="s">
        <v>2674</v>
      </c>
      <c r="BG590" s="2" t="s">
        <v>95</v>
      </c>
      <c r="BH590" s="2" t="s">
        <v>96</v>
      </c>
      <c r="BI590" s="2" t="s">
        <v>95</v>
      </c>
      <c r="BK590" s="2" t="s">
        <v>414</v>
      </c>
      <c r="BL590" s="2" t="s">
        <v>350</v>
      </c>
      <c r="BM590" s="2">
        <v>29.25</v>
      </c>
      <c r="BN590" s="2">
        <v>4.5</v>
      </c>
      <c r="CA590" s="2" t="s">
        <v>2675</v>
      </c>
      <c r="CB590" s="2" t="s">
        <v>395</v>
      </c>
      <c r="CG590" s="2">
        <v>3000</v>
      </c>
      <c r="CH590" s="2">
        <v>92</v>
      </c>
      <c r="CI590" s="2">
        <v>4711</v>
      </c>
      <c r="CJ590" s="2">
        <v>3620.7</v>
      </c>
      <c r="CK590" s="2">
        <v>30000</v>
      </c>
      <c r="CL590" s="2" t="s">
        <v>96</v>
      </c>
      <c r="CM590" s="2" t="s">
        <v>95</v>
      </c>
      <c r="CN590" s="2" t="s">
        <v>2676</v>
      </c>
      <c r="CO590" s="3">
        <v>41383</v>
      </c>
      <c r="CP590" s="3">
        <v>43637</v>
      </c>
    </row>
    <row r="591" spans="1:94" x14ac:dyDescent="0.25">
      <c r="A591" s="2" t="s">
        <v>2677</v>
      </c>
      <c r="B591" s="2" t="str">
        <f xml:space="preserve"> "" &amp; 844349014881</f>
        <v>844349014881</v>
      </c>
      <c r="C591" s="2" t="s">
        <v>526</v>
      </c>
      <c r="D591" s="2" t="s">
        <v>2678</v>
      </c>
      <c r="E591" s="2" t="s">
        <v>967</v>
      </c>
      <c r="F591" s="2" t="s">
        <v>418</v>
      </c>
      <c r="G591" s="2">
        <v>1</v>
      </c>
      <c r="H591" s="2">
        <v>1</v>
      </c>
      <c r="I591" s="2" t="s">
        <v>94</v>
      </c>
      <c r="J591" s="6">
        <v>115</v>
      </c>
      <c r="K591" s="6">
        <v>345</v>
      </c>
      <c r="L591" s="2">
        <v>0</v>
      </c>
      <c r="N591" s="2">
        <v>0</v>
      </c>
      <c r="O591" s="2" t="s">
        <v>96</v>
      </c>
      <c r="P591" s="6">
        <v>239.95</v>
      </c>
      <c r="Q591" s="6"/>
      <c r="R591" s="7"/>
      <c r="S591" s="2">
        <v>12.75</v>
      </c>
      <c r="T591" s="2">
        <v>13.5</v>
      </c>
      <c r="U591" s="2">
        <v>4.75</v>
      </c>
      <c r="V591" s="2">
        <v>4</v>
      </c>
      <c r="W591" s="2">
        <v>3.31</v>
      </c>
      <c r="X591" s="2">
        <v>1</v>
      </c>
      <c r="Y591" s="2">
        <v>8.75</v>
      </c>
      <c r="Z591" s="2">
        <v>13.5</v>
      </c>
      <c r="AA591" s="2">
        <v>6.75</v>
      </c>
      <c r="AB591" s="2">
        <v>0.46100000000000002</v>
      </c>
      <c r="AC591" s="2">
        <v>4.0599999999999996</v>
      </c>
      <c r="AE591" s="2">
        <v>1</v>
      </c>
      <c r="AF591" s="2" t="s">
        <v>347</v>
      </c>
      <c r="AG591" s="2">
        <v>22</v>
      </c>
      <c r="AK591" s="2" t="s">
        <v>96</v>
      </c>
      <c r="AM591" s="2" t="s">
        <v>95</v>
      </c>
      <c r="AN591" s="2" t="s">
        <v>96</v>
      </c>
      <c r="AO591" s="2" t="s">
        <v>95</v>
      </c>
      <c r="AP591" s="2" t="s">
        <v>97</v>
      </c>
      <c r="AQ591" s="2" t="s">
        <v>98</v>
      </c>
      <c r="AV591" s="2" t="s">
        <v>95</v>
      </c>
      <c r="AX591" s="2" t="s">
        <v>395</v>
      </c>
      <c r="AZ591" s="2" t="s">
        <v>342</v>
      </c>
      <c r="BB591" s="2" t="s">
        <v>54</v>
      </c>
      <c r="BC591" s="2" t="s">
        <v>2679</v>
      </c>
      <c r="BF591" s="2" t="s">
        <v>2680</v>
      </c>
      <c r="BG591" s="2" t="s">
        <v>95</v>
      </c>
      <c r="BH591" s="2" t="s">
        <v>96</v>
      </c>
      <c r="BI591" s="2" t="s">
        <v>95</v>
      </c>
      <c r="BK591" s="2" t="s">
        <v>414</v>
      </c>
      <c r="BL591" s="2" t="s">
        <v>350</v>
      </c>
      <c r="BM591" s="2">
        <v>12</v>
      </c>
      <c r="BN591" s="2">
        <v>4.5</v>
      </c>
      <c r="CA591" s="2" t="s">
        <v>2681</v>
      </c>
      <c r="CB591" s="2" t="s">
        <v>395</v>
      </c>
      <c r="CG591" s="2">
        <v>3000</v>
      </c>
      <c r="CH591" s="2">
        <v>92</v>
      </c>
      <c r="CI591" s="2">
        <v>1951</v>
      </c>
      <c r="CJ591" s="2">
        <v>1368.9</v>
      </c>
      <c r="CK591" s="2">
        <v>30000</v>
      </c>
      <c r="CL591" s="2" t="s">
        <v>96</v>
      </c>
      <c r="CM591" s="2" t="s">
        <v>95</v>
      </c>
      <c r="CN591" s="2" t="s">
        <v>2682</v>
      </c>
      <c r="CO591" s="3">
        <v>41400</v>
      </c>
      <c r="CP591" s="3">
        <v>43637</v>
      </c>
    </row>
    <row r="592" spans="1:94" x14ac:dyDescent="0.25">
      <c r="A592" s="2" t="s">
        <v>2683</v>
      </c>
      <c r="B592" s="2" t="str">
        <f xml:space="preserve"> "" &amp; 844349011323</f>
        <v>844349011323</v>
      </c>
      <c r="C592" s="2" t="s">
        <v>417</v>
      </c>
      <c r="D592" s="2" t="s">
        <v>417</v>
      </c>
      <c r="F592" s="2" t="s">
        <v>418</v>
      </c>
      <c r="G592" s="2">
        <v>1</v>
      </c>
      <c r="H592" s="2">
        <v>1</v>
      </c>
      <c r="I592" s="2" t="s">
        <v>94</v>
      </c>
      <c r="J592" s="6">
        <v>79</v>
      </c>
      <c r="K592" s="6">
        <v>237</v>
      </c>
      <c r="L592" s="2">
        <v>0</v>
      </c>
      <c r="N592" s="2">
        <v>0</v>
      </c>
      <c r="O592" s="2" t="s">
        <v>96</v>
      </c>
      <c r="P592" s="6">
        <v>165.95</v>
      </c>
      <c r="Q592" s="6"/>
      <c r="R592" s="7"/>
      <c r="S592" s="2">
        <v>5</v>
      </c>
      <c r="T592" s="2">
        <v>12</v>
      </c>
      <c r="U592" s="2">
        <v>10</v>
      </c>
      <c r="V592" s="2">
        <v>4</v>
      </c>
      <c r="W592" s="2">
        <v>2.56</v>
      </c>
      <c r="X592" s="2">
        <v>1</v>
      </c>
      <c r="Y592" s="2">
        <v>6.5</v>
      </c>
      <c r="Z592" s="2">
        <v>12</v>
      </c>
      <c r="AA592" s="2">
        <v>6</v>
      </c>
      <c r="AB592" s="2">
        <v>0.27100000000000002</v>
      </c>
      <c r="AC592" s="2">
        <v>3.2</v>
      </c>
      <c r="AE592" s="2">
        <v>1</v>
      </c>
      <c r="AF592" s="2" t="s">
        <v>519</v>
      </c>
      <c r="AG592" s="2">
        <v>100</v>
      </c>
      <c r="AK592" s="2" t="s">
        <v>95</v>
      </c>
      <c r="AL592" s="2">
        <v>1</v>
      </c>
      <c r="AM592" s="2" t="s">
        <v>95</v>
      </c>
      <c r="AN592" s="2" t="s">
        <v>96</v>
      </c>
      <c r="AO592" s="2" t="s">
        <v>95</v>
      </c>
      <c r="AP592" s="2" t="s">
        <v>97</v>
      </c>
      <c r="AQ592" s="2" t="s">
        <v>98</v>
      </c>
      <c r="AV592" s="2" t="s">
        <v>95</v>
      </c>
      <c r="AX592" s="2" t="s">
        <v>529</v>
      </c>
      <c r="AZ592" s="2" t="s">
        <v>342</v>
      </c>
      <c r="BB592" s="2" t="s">
        <v>329</v>
      </c>
      <c r="BC592" s="2" t="s">
        <v>1472</v>
      </c>
      <c r="BF592" s="2" t="s">
        <v>2684</v>
      </c>
      <c r="BG592" s="2" t="s">
        <v>95</v>
      </c>
      <c r="BH592" s="2" t="s">
        <v>96</v>
      </c>
      <c r="BI592" s="2" t="s">
        <v>95</v>
      </c>
      <c r="BK592" s="2" t="s">
        <v>414</v>
      </c>
      <c r="BL592" s="2" t="s">
        <v>476</v>
      </c>
      <c r="BR592" s="2">
        <v>4.25</v>
      </c>
      <c r="BT592" s="2">
        <v>8.75</v>
      </c>
      <c r="CA592" s="2" t="s">
        <v>2685</v>
      </c>
      <c r="CB592" s="2" t="s">
        <v>529</v>
      </c>
      <c r="CL592" s="2" t="s">
        <v>96</v>
      </c>
      <c r="CM592" s="2" t="s">
        <v>95</v>
      </c>
      <c r="CN592" s="2" t="s">
        <v>460</v>
      </c>
      <c r="CO592" s="3">
        <v>40399</v>
      </c>
      <c r="CP592" s="3">
        <v>43634</v>
      </c>
    </row>
    <row r="593" spans="1:94" x14ac:dyDescent="0.25">
      <c r="A593" s="2" t="s">
        <v>2686</v>
      </c>
      <c r="B593" s="2" t="str">
        <f xml:space="preserve"> "" &amp; 844349011316</f>
        <v>844349011316</v>
      </c>
      <c r="C593" s="2" t="s">
        <v>417</v>
      </c>
      <c r="D593" s="2" t="s">
        <v>417</v>
      </c>
      <c r="F593" s="2" t="s">
        <v>418</v>
      </c>
      <c r="G593" s="2">
        <v>1</v>
      </c>
      <c r="H593" s="2">
        <v>1</v>
      </c>
      <c r="I593" s="2" t="s">
        <v>94</v>
      </c>
      <c r="J593" s="6">
        <v>79</v>
      </c>
      <c r="K593" s="6">
        <v>237</v>
      </c>
      <c r="L593" s="2">
        <v>0</v>
      </c>
      <c r="N593" s="2">
        <v>0</v>
      </c>
      <c r="O593" s="2" t="s">
        <v>96</v>
      </c>
      <c r="P593" s="6">
        <v>165.95</v>
      </c>
      <c r="Q593" s="6"/>
      <c r="R593" s="7"/>
      <c r="S593" s="2">
        <v>5</v>
      </c>
      <c r="T593" s="2">
        <v>12</v>
      </c>
      <c r="U593" s="2">
        <v>10</v>
      </c>
      <c r="V593" s="2">
        <v>4</v>
      </c>
      <c r="W593" s="2">
        <v>2.56</v>
      </c>
      <c r="X593" s="2">
        <v>1</v>
      </c>
      <c r="Y593" s="2">
        <v>6.5</v>
      </c>
      <c r="Z593" s="2">
        <v>12</v>
      </c>
      <c r="AA593" s="2">
        <v>6</v>
      </c>
      <c r="AB593" s="2">
        <v>0.27100000000000002</v>
      </c>
      <c r="AC593" s="2">
        <v>3.2</v>
      </c>
      <c r="AE593" s="2">
        <v>1</v>
      </c>
      <c r="AF593" s="2" t="s">
        <v>519</v>
      </c>
      <c r="AG593" s="2">
        <v>100</v>
      </c>
      <c r="AK593" s="2" t="s">
        <v>95</v>
      </c>
      <c r="AL593" s="2">
        <v>1</v>
      </c>
      <c r="AM593" s="2" t="s">
        <v>95</v>
      </c>
      <c r="AN593" s="2" t="s">
        <v>96</v>
      </c>
      <c r="AO593" s="2" t="s">
        <v>95</v>
      </c>
      <c r="AP593" s="2" t="s">
        <v>97</v>
      </c>
      <c r="AQ593" s="2" t="s">
        <v>98</v>
      </c>
      <c r="AV593" s="2" t="s">
        <v>95</v>
      </c>
      <c r="AX593" s="2" t="s">
        <v>1483</v>
      </c>
      <c r="AZ593" s="2" t="s">
        <v>342</v>
      </c>
      <c r="BB593" s="2" t="s">
        <v>329</v>
      </c>
      <c r="BC593" s="2" t="s">
        <v>1472</v>
      </c>
      <c r="BF593" s="2" t="s">
        <v>2687</v>
      </c>
      <c r="BG593" s="2" t="s">
        <v>95</v>
      </c>
      <c r="BH593" s="2" t="s">
        <v>96</v>
      </c>
      <c r="BI593" s="2" t="s">
        <v>95</v>
      </c>
      <c r="BK593" s="2" t="s">
        <v>414</v>
      </c>
      <c r="BL593" s="2" t="s">
        <v>476</v>
      </c>
      <c r="BR593" s="2">
        <v>4.25</v>
      </c>
      <c r="BT593" s="2">
        <v>8.75</v>
      </c>
      <c r="CA593" s="2" t="s">
        <v>2685</v>
      </c>
      <c r="CB593" s="2" t="s">
        <v>1483</v>
      </c>
      <c r="CL593" s="2" t="s">
        <v>96</v>
      </c>
      <c r="CM593" s="2" t="s">
        <v>95</v>
      </c>
      <c r="CN593" s="2" t="s">
        <v>460</v>
      </c>
      <c r="CO593" s="3">
        <v>40399</v>
      </c>
      <c r="CP593" s="3">
        <v>43634</v>
      </c>
    </row>
    <row r="594" spans="1:94" x14ac:dyDescent="0.25">
      <c r="A594" s="2" t="s">
        <v>2688</v>
      </c>
      <c r="B594" s="2" t="str">
        <f xml:space="preserve"> "" &amp; 844349008095</f>
        <v>844349008095</v>
      </c>
      <c r="C594" s="2" t="s">
        <v>996</v>
      </c>
      <c r="D594" s="2" t="s">
        <v>2689</v>
      </c>
      <c r="E594" s="2" t="s">
        <v>2590</v>
      </c>
      <c r="F594" s="2" t="s">
        <v>658</v>
      </c>
      <c r="G594" s="2">
        <v>1</v>
      </c>
      <c r="H594" s="2">
        <v>1</v>
      </c>
      <c r="I594" s="2" t="s">
        <v>94</v>
      </c>
      <c r="J594" s="6">
        <v>75</v>
      </c>
      <c r="K594" s="6">
        <v>225</v>
      </c>
      <c r="L594" s="2">
        <v>0</v>
      </c>
      <c r="N594" s="2">
        <v>0</v>
      </c>
      <c r="O594" s="2" t="s">
        <v>96</v>
      </c>
      <c r="P594" s="6">
        <v>157.94999999999999</v>
      </c>
      <c r="Q594" s="6"/>
      <c r="R594" s="7"/>
      <c r="S594" s="2">
        <v>4.75</v>
      </c>
      <c r="U594" s="2">
        <v>21.5</v>
      </c>
      <c r="V594" s="2">
        <v>3.75</v>
      </c>
      <c r="W594" s="2">
        <v>4.12</v>
      </c>
      <c r="X594" s="2">
        <v>1</v>
      </c>
      <c r="Y594" s="2">
        <v>6.75</v>
      </c>
      <c r="Z594" s="2">
        <v>24</v>
      </c>
      <c r="AA594" s="2">
        <v>6.5</v>
      </c>
      <c r="AB594" s="2">
        <v>0.60899999999999999</v>
      </c>
      <c r="AC594" s="2">
        <v>5.86</v>
      </c>
      <c r="AE594" s="2">
        <v>2</v>
      </c>
      <c r="AF594" s="2" t="s">
        <v>2629</v>
      </c>
      <c r="AG594" s="2">
        <v>60</v>
      </c>
      <c r="AK594" s="2" t="s">
        <v>95</v>
      </c>
      <c r="AM594" s="2" t="s">
        <v>95</v>
      </c>
      <c r="AN594" s="2" t="s">
        <v>96</v>
      </c>
      <c r="AO594" s="2" t="s">
        <v>95</v>
      </c>
      <c r="AP594" s="2" t="s">
        <v>97</v>
      </c>
      <c r="AQ594" s="2" t="s">
        <v>98</v>
      </c>
      <c r="AV594" s="2" t="s">
        <v>95</v>
      </c>
      <c r="AX594" s="2" t="s">
        <v>395</v>
      </c>
      <c r="AZ594" s="2" t="s">
        <v>342</v>
      </c>
      <c r="BB594" s="2" t="s">
        <v>329</v>
      </c>
      <c r="BC594" s="2" t="s">
        <v>2592</v>
      </c>
      <c r="BF594" s="2" t="s">
        <v>2690</v>
      </c>
      <c r="BG594" s="2" t="s">
        <v>95</v>
      </c>
      <c r="BH594" s="2" t="s">
        <v>96</v>
      </c>
      <c r="BI594" s="2" t="s">
        <v>95</v>
      </c>
      <c r="BK594" s="2" t="s">
        <v>414</v>
      </c>
      <c r="BL594" s="2" t="s">
        <v>1105</v>
      </c>
      <c r="BR594" s="2">
        <v>4</v>
      </c>
      <c r="BT594" s="2">
        <v>13.5</v>
      </c>
      <c r="CA594" s="2" t="s">
        <v>2691</v>
      </c>
      <c r="CB594" s="2" t="s">
        <v>395</v>
      </c>
      <c r="CL594" s="2" t="s">
        <v>96</v>
      </c>
      <c r="CM594" s="2" t="s">
        <v>95</v>
      </c>
      <c r="CN594" s="2" t="s">
        <v>1404</v>
      </c>
      <c r="CO594" s="3">
        <v>40168</v>
      </c>
      <c r="CP594" s="3">
        <v>43634</v>
      </c>
    </row>
    <row r="595" spans="1:94" x14ac:dyDescent="0.25">
      <c r="A595" s="2" t="s">
        <v>2692</v>
      </c>
      <c r="B595" s="2" t="str">
        <f xml:space="preserve"> "" &amp; 844349008101</f>
        <v>844349008101</v>
      </c>
      <c r="C595" s="2" t="s">
        <v>1001</v>
      </c>
      <c r="D595" s="2" t="s">
        <v>2693</v>
      </c>
      <c r="E595" s="2" t="s">
        <v>2590</v>
      </c>
      <c r="F595" s="2" t="s">
        <v>658</v>
      </c>
      <c r="G595" s="2">
        <v>1</v>
      </c>
      <c r="H595" s="2">
        <v>1</v>
      </c>
      <c r="I595" s="2" t="s">
        <v>94</v>
      </c>
      <c r="J595" s="6">
        <v>99</v>
      </c>
      <c r="K595" s="6">
        <v>297</v>
      </c>
      <c r="L595" s="2">
        <v>0</v>
      </c>
      <c r="N595" s="2">
        <v>0</v>
      </c>
      <c r="O595" s="2" t="s">
        <v>96</v>
      </c>
      <c r="P595" s="6">
        <v>207.95</v>
      </c>
      <c r="Q595" s="6"/>
      <c r="R595" s="7"/>
      <c r="S595" s="2">
        <v>4.75</v>
      </c>
      <c r="U595" s="2">
        <v>32</v>
      </c>
      <c r="V595" s="2">
        <v>3.75</v>
      </c>
      <c r="W595" s="2">
        <v>5.95</v>
      </c>
      <c r="X595" s="2">
        <v>1</v>
      </c>
      <c r="Y595" s="2">
        <v>6.75</v>
      </c>
      <c r="Z595" s="2">
        <v>34.5</v>
      </c>
      <c r="AA595" s="2">
        <v>6.5</v>
      </c>
      <c r="AB595" s="2">
        <v>0.876</v>
      </c>
      <c r="AC595" s="2">
        <v>7.43</v>
      </c>
      <c r="AE595" s="2">
        <v>3</v>
      </c>
      <c r="AF595" s="2" t="s">
        <v>2629</v>
      </c>
      <c r="AG595" s="2">
        <v>60</v>
      </c>
      <c r="AK595" s="2" t="s">
        <v>95</v>
      </c>
      <c r="AM595" s="2" t="s">
        <v>95</v>
      </c>
      <c r="AN595" s="2" t="s">
        <v>96</v>
      </c>
      <c r="AO595" s="2" t="s">
        <v>95</v>
      </c>
      <c r="AP595" s="2" t="s">
        <v>97</v>
      </c>
      <c r="AQ595" s="2" t="s">
        <v>98</v>
      </c>
      <c r="AV595" s="2" t="s">
        <v>95</v>
      </c>
      <c r="AX595" s="2" t="s">
        <v>395</v>
      </c>
      <c r="AZ595" s="2" t="s">
        <v>342</v>
      </c>
      <c r="BB595" s="2" t="s">
        <v>329</v>
      </c>
      <c r="BC595" s="2" t="s">
        <v>2694</v>
      </c>
      <c r="BF595" s="2" t="s">
        <v>2695</v>
      </c>
      <c r="BG595" s="2" t="s">
        <v>95</v>
      </c>
      <c r="BH595" s="2" t="s">
        <v>96</v>
      </c>
      <c r="BI595" s="2" t="s">
        <v>95</v>
      </c>
      <c r="BK595" s="2" t="s">
        <v>414</v>
      </c>
      <c r="BL595" s="2" t="s">
        <v>1105</v>
      </c>
      <c r="BM595" s="2">
        <v>24</v>
      </c>
      <c r="BN595" s="2">
        <v>4</v>
      </c>
      <c r="CA595" s="2" t="s">
        <v>2696</v>
      </c>
      <c r="CB595" s="2" t="s">
        <v>395</v>
      </c>
      <c r="CL595" s="2" t="s">
        <v>96</v>
      </c>
      <c r="CM595" s="2" t="s">
        <v>95</v>
      </c>
      <c r="CN595" s="2" t="s">
        <v>1404</v>
      </c>
      <c r="CO595" s="3">
        <v>40168</v>
      </c>
      <c r="CP595" s="3">
        <v>43634</v>
      </c>
    </row>
    <row r="596" spans="1:94" x14ac:dyDescent="0.25">
      <c r="A596" s="2" t="s">
        <v>2697</v>
      </c>
      <c r="B596" s="2" t="str">
        <f xml:space="preserve"> "" &amp; 844349008118</f>
        <v>844349008118</v>
      </c>
      <c r="C596" s="2" t="s">
        <v>1006</v>
      </c>
      <c r="D596" s="2" t="s">
        <v>2698</v>
      </c>
      <c r="E596" s="2" t="s">
        <v>2590</v>
      </c>
      <c r="F596" s="2" t="s">
        <v>658</v>
      </c>
      <c r="G596" s="2">
        <v>1</v>
      </c>
      <c r="H596" s="2">
        <v>1</v>
      </c>
      <c r="I596" s="2" t="s">
        <v>94</v>
      </c>
      <c r="J596" s="6">
        <v>125</v>
      </c>
      <c r="K596" s="6">
        <v>375</v>
      </c>
      <c r="L596" s="2">
        <v>0</v>
      </c>
      <c r="N596" s="2">
        <v>0</v>
      </c>
      <c r="O596" s="2" t="s">
        <v>96</v>
      </c>
      <c r="P596" s="6">
        <v>262.95</v>
      </c>
      <c r="Q596" s="6"/>
      <c r="R596" s="7"/>
      <c r="S596" s="2">
        <v>4.75</v>
      </c>
      <c r="U596" s="2">
        <v>42.25</v>
      </c>
      <c r="V596" s="2">
        <v>3.75</v>
      </c>
      <c r="W596" s="2">
        <v>8.69</v>
      </c>
      <c r="X596" s="2">
        <v>1</v>
      </c>
      <c r="Y596" s="2">
        <v>6.75</v>
      </c>
      <c r="Z596" s="2">
        <v>44.75</v>
      </c>
      <c r="AA596" s="2">
        <v>6.5</v>
      </c>
      <c r="AB596" s="2">
        <v>1.1359999999999999</v>
      </c>
      <c r="AC596" s="2">
        <v>11.16</v>
      </c>
      <c r="AE596" s="2">
        <v>4</v>
      </c>
      <c r="AF596" s="2" t="s">
        <v>2629</v>
      </c>
      <c r="AG596" s="2">
        <v>60</v>
      </c>
      <c r="AK596" s="2" t="s">
        <v>95</v>
      </c>
      <c r="AM596" s="2" t="s">
        <v>95</v>
      </c>
      <c r="AN596" s="2" t="s">
        <v>96</v>
      </c>
      <c r="AO596" s="2" t="s">
        <v>95</v>
      </c>
      <c r="AP596" s="2" t="s">
        <v>97</v>
      </c>
      <c r="AQ596" s="2" t="s">
        <v>98</v>
      </c>
      <c r="AV596" s="2" t="s">
        <v>95</v>
      </c>
      <c r="AX596" s="2" t="s">
        <v>395</v>
      </c>
      <c r="AZ596" s="2" t="s">
        <v>342</v>
      </c>
      <c r="BB596" s="2" t="s">
        <v>54</v>
      </c>
      <c r="BC596" s="2" t="s">
        <v>2592</v>
      </c>
      <c r="BF596" s="2" t="s">
        <v>2699</v>
      </c>
      <c r="BG596" s="2" t="s">
        <v>95</v>
      </c>
      <c r="BH596" s="2" t="s">
        <v>96</v>
      </c>
      <c r="BI596" s="2" t="s">
        <v>95</v>
      </c>
      <c r="BK596" s="2" t="s">
        <v>414</v>
      </c>
      <c r="BL596" s="2" t="s">
        <v>1105</v>
      </c>
      <c r="BR596" s="2">
        <v>4</v>
      </c>
      <c r="BT596" s="2">
        <v>34.25</v>
      </c>
      <c r="CA596" s="2" t="s">
        <v>2700</v>
      </c>
      <c r="CB596" s="2" t="s">
        <v>395</v>
      </c>
      <c r="CL596" s="2" t="s">
        <v>96</v>
      </c>
      <c r="CM596" s="2" t="s">
        <v>95</v>
      </c>
      <c r="CN596" s="2" t="s">
        <v>1404</v>
      </c>
      <c r="CO596" s="3">
        <v>40168</v>
      </c>
      <c r="CP596" s="3">
        <v>43634</v>
      </c>
    </row>
    <row r="597" spans="1:94" x14ac:dyDescent="0.25">
      <c r="A597" s="2" t="s">
        <v>2701</v>
      </c>
      <c r="B597" s="2" t="str">
        <f xml:space="preserve"> "" &amp; 844349022633</f>
        <v>844349022633</v>
      </c>
      <c r="C597" s="2" t="s">
        <v>655</v>
      </c>
      <c r="D597" s="2" t="s">
        <v>2702</v>
      </c>
      <c r="E597" s="2" t="s">
        <v>2703</v>
      </c>
      <c r="F597" s="2" t="s">
        <v>340</v>
      </c>
      <c r="G597" s="2">
        <v>1</v>
      </c>
      <c r="H597" s="2">
        <v>1</v>
      </c>
      <c r="I597" s="2" t="s">
        <v>94</v>
      </c>
      <c r="J597" s="6">
        <v>47</v>
      </c>
      <c r="K597" s="6">
        <v>141</v>
      </c>
      <c r="L597" s="2">
        <v>0</v>
      </c>
      <c r="N597" s="2">
        <v>0</v>
      </c>
      <c r="O597" s="2" t="s">
        <v>96</v>
      </c>
      <c r="P597" s="6">
        <v>98.95</v>
      </c>
      <c r="Q597" s="6"/>
      <c r="R597" s="7"/>
      <c r="S597" s="2">
        <v>8</v>
      </c>
      <c r="T597" s="2">
        <v>5.25</v>
      </c>
      <c r="U597" s="2">
        <v>5.25</v>
      </c>
      <c r="V597" s="2">
        <v>6</v>
      </c>
      <c r="W597" s="2">
        <v>1.9</v>
      </c>
      <c r="X597" s="2">
        <v>1</v>
      </c>
      <c r="Y597" s="2">
        <v>13.25</v>
      </c>
      <c r="Z597" s="2">
        <v>7.5</v>
      </c>
      <c r="AA597" s="2">
        <v>7.5</v>
      </c>
      <c r="AB597" s="2">
        <v>0.43099999999999999</v>
      </c>
      <c r="AC597" s="2">
        <v>2.87</v>
      </c>
      <c r="AE597" s="2">
        <v>1</v>
      </c>
      <c r="AF597" s="2" t="s">
        <v>347</v>
      </c>
      <c r="AG597" s="2">
        <v>8</v>
      </c>
      <c r="AK597" s="2" t="s">
        <v>96</v>
      </c>
      <c r="AL597" s="2">
        <v>1</v>
      </c>
      <c r="AM597" s="2" t="s">
        <v>95</v>
      </c>
      <c r="AN597" s="2" t="s">
        <v>96</v>
      </c>
      <c r="AO597" s="2" t="s">
        <v>95</v>
      </c>
      <c r="AP597" s="2" t="s">
        <v>97</v>
      </c>
      <c r="AQ597" s="2" t="s">
        <v>98</v>
      </c>
      <c r="AV597" s="2" t="s">
        <v>95</v>
      </c>
      <c r="AX597" s="2" t="s">
        <v>529</v>
      </c>
      <c r="AZ597" s="2" t="s">
        <v>449</v>
      </c>
      <c r="BB597" s="2" t="s">
        <v>329</v>
      </c>
      <c r="BC597" s="2" t="s">
        <v>451</v>
      </c>
      <c r="BF597" s="2" t="s">
        <v>2704</v>
      </c>
      <c r="BG597" s="2" t="s">
        <v>95</v>
      </c>
      <c r="BH597" s="2" t="s">
        <v>95</v>
      </c>
      <c r="BI597" s="2" t="s">
        <v>95</v>
      </c>
      <c r="BK597" s="2" t="s">
        <v>414</v>
      </c>
      <c r="BL597" s="2" t="s">
        <v>617</v>
      </c>
      <c r="BM597" s="2">
        <v>5.13</v>
      </c>
      <c r="BN597" s="2">
        <v>0.75</v>
      </c>
      <c r="CA597" s="2" t="s">
        <v>2705</v>
      </c>
      <c r="CB597" s="2" t="s">
        <v>529</v>
      </c>
      <c r="CG597" s="2">
        <v>3000</v>
      </c>
      <c r="CH597" s="2">
        <v>91</v>
      </c>
      <c r="CI597" s="2">
        <v>707</v>
      </c>
      <c r="CJ597" s="2">
        <v>685</v>
      </c>
      <c r="CK597" s="2">
        <v>30000</v>
      </c>
      <c r="CL597" s="2" t="s">
        <v>96</v>
      </c>
      <c r="CM597" s="2" t="s">
        <v>95</v>
      </c>
      <c r="CN597" s="2" t="s">
        <v>2706</v>
      </c>
      <c r="CO597" s="3">
        <v>42768</v>
      </c>
      <c r="CP597" s="3">
        <v>43634</v>
      </c>
    </row>
    <row r="598" spans="1:94" x14ac:dyDescent="0.25">
      <c r="A598" s="2" t="s">
        <v>2707</v>
      </c>
      <c r="B598" s="2" t="str">
        <f xml:space="preserve"> "" &amp; 844349022640</f>
        <v>844349022640</v>
      </c>
      <c r="C598" s="2" t="s">
        <v>655</v>
      </c>
      <c r="D598" s="2" t="s">
        <v>2702</v>
      </c>
      <c r="E598" s="2" t="s">
        <v>2703</v>
      </c>
      <c r="F598" s="2" t="s">
        <v>340</v>
      </c>
      <c r="G598" s="2">
        <v>1</v>
      </c>
      <c r="H598" s="2">
        <v>1</v>
      </c>
      <c r="I598" s="2" t="s">
        <v>94</v>
      </c>
      <c r="J598" s="6">
        <v>82</v>
      </c>
      <c r="K598" s="6">
        <v>246</v>
      </c>
      <c r="L598" s="2">
        <v>0</v>
      </c>
      <c r="N598" s="2">
        <v>0</v>
      </c>
      <c r="O598" s="2" t="s">
        <v>96</v>
      </c>
      <c r="P598" s="6">
        <v>174.95</v>
      </c>
      <c r="Q598" s="6"/>
      <c r="R598" s="7"/>
      <c r="S598" s="2">
        <v>7.5</v>
      </c>
      <c r="U598" s="2">
        <v>12</v>
      </c>
      <c r="V598" s="2">
        <v>6</v>
      </c>
      <c r="W598" s="2">
        <v>3.73</v>
      </c>
      <c r="X598" s="2">
        <v>1</v>
      </c>
      <c r="Y598" s="2">
        <v>14</v>
      </c>
      <c r="Z598" s="2">
        <v>15</v>
      </c>
      <c r="AA598" s="2">
        <v>7.5</v>
      </c>
      <c r="AB598" s="2">
        <v>0.91100000000000003</v>
      </c>
      <c r="AC598" s="2">
        <v>5.03</v>
      </c>
      <c r="AE598" s="2">
        <v>2</v>
      </c>
      <c r="AF598" s="2" t="s">
        <v>347</v>
      </c>
      <c r="AG598" s="2">
        <v>8</v>
      </c>
      <c r="AK598" s="2" t="s">
        <v>96</v>
      </c>
      <c r="AL598" s="2">
        <v>2</v>
      </c>
      <c r="AM598" s="2" t="s">
        <v>95</v>
      </c>
      <c r="AN598" s="2" t="s">
        <v>96</v>
      </c>
      <c r="AO598" s="2" t="s">
        <v>95</v>
      </c>
      <c r="AP598" s="2" t="s">
        <v>97</v>
      </c>
      <c r="AQ598" s="2" t="s">
        <v>98</v>
      </c>
      <c r="AV598" s="2" t="s">
        <v>95</v>
      </c>
      <c r="AX598" s="2" t="s">
        <v>529</v>
      </c>
      <c r="AZ598" s="2" t="s">
        <v>449</v>
      </c>
      <c r="BB598" s="2" t="s">
        <v>329</v>
      </c>
      <c r="BC598" s="2" t="s">
        <v>451</v>
      </c>
      <c r="BF598" s="2" t="s">
        <v>2708</v>
      </c>
      <c r="BG598" s="2" t="s">
        <v>95</v>
      </c>
      <c r="BH598" s="2" t="s">
        <v>95</v>
      </c>
      <c r="BI598" s="2" t="s">
        <v>95</v>
      </c>
      <c r="BK598" s="2" t="s">
        <v>414</v>
      </c>
      <c r="BL598" s="2" t="s">
        <v>617</v>
      </c>
      <c r="BM598" s="2">
        <v>12</v>
      </c>
      <c r="BN598" s="2">
        <v>4.63</v>
      </c>
      <c r="CA598" s="2" t="s">
        <v>2709</v>
      </c>
      <c r="CB598" s="2" t="s">
        <v>529</v>
      </c>
      <c r="CG598" s="2">
        <v>3000</v>
      </c>
      <c r="CH598" s="2">
        <v>91</v>
      </c>
      <c r="CI598" s="2">
        <v>1406</v>
      </c>
      <c r="CJ598" s="2">
        <v>1350</v>
      </c>
      <c r="CK598" s="2">
        <v>30000</v>
      </c>
      <c r="CL598" s="2" t="s">
        <v>96</v>
      </c>
      <c r="CM598" s="2" t="s">
        <v>95</v>
      </c>
      <c r="CN598" s="2" t="s">
        <v>2706</v>
      </c>
      <c r="CO598" s="3">
        <v>42768</v>
      </c>
      <c r="CP598" s="3">
        <v>43634</v>
      </c>
    </row>
    <row r="599" spans="1:94" x14ac:dyDescent="0.25">
      <c r="A599" s="2" t="s">
        <v>2710</v>
      </c>
      <c r="B599" s="2" t="str">
        <f xml:space="preserve"> "" &amp; 844349022657</f>
        <v>844349022657</v>
      </c>
      <c r="C599" s="2" t="s">
        <v>655</v>
      </c>
      <c r="D599" s="2" t="s">
        <v>2702</v>
      </c>
      <c r="E599" s="2" t="s">
        <v>2703</v>
      </c>
      <c r="F599" s="2" t="s">
        <v>340</v>
      </c>
      <c r="G599" s="2">
        <v>1</v>
      </c>
      <c r="H599" s="2">
        <v>1</v>
      </c>
      <c r="I599" s="2" t="s">
        <v>94</v>
      </c>
      <c r="J599" s="6">
        <v>115</v>
      </c>
      <c r="K599" s="6">
        <v>345</v>
      </c>
      <c r="L599" s="2">
        <v>0</v>
      </c>
      <c r="N599" s="2">
        <v>0</v>
      </c>
      <c r="O599" s="2" t="s">
        <v>96</v>
      </c>
      <c r="P599" s="6">
        <v>239.95</v>
      </c>
      <c r="Q599" s="6"/>
      <c r="R599" s="7"/>
      <c r="S599" s="2">
        <v>7.5</v>
      </c>
      <c r="U599" s="2">
        <v>24</v>
      </c>
      <c r="V599" s="2">
        <v>6</v>
      </c>
      <c r="W599" s="2">
        <v>7.05</v>
      </c>
      <c r="X599" s="2">
        <v>1</v>
      </c>
      <c r="Y599" s="2">
        <v>8.6300000000000008</v>
      </c>
      <c r="Z599" s="2">
        <v>31.25</v>
      </c>
      <c r="AA599" s="2">
        <v>8.1300000000000008</v>
      </c>
      <c r="AB599" s="2">
        <v>1.2689999999999999</v>
      </c>
      <c r="AC599" s="2">
        <v>8.7100000000000009</v>
      </c>
      <c r="AE599" s="2">
        <v>3</v>
      </c>
      <c r="AF599" s="2" t="s">
        <v>347</v>
      </c>
      <c r="AG599" s="2">
        <v>8</v>
      </c>
      <c r="AK599" s="2" t="s">
        <v>96</v>
      </c>
      <c r="AL599" s="2">
        <v>3</v>
      </c>
      <c r="AM599" s="2" t="s">
        <v>95</v>
      </c>
      <c r="AN599" s="2" t="s">
        <v>96</v>
      </c>
      <c r="AO599" s="2" t="s">
        <v>95</v>
      </c>
      <c r="AP599" s="2" t="s">
        <v>97</v>
      </c>
      <c r="AQ599" s="2" t="s">
        <v>98</v>
      </c>
      <c r="AV599" s="2" t="s">
        <v>95</v>
      </c>
      <c r="AX599" s="2" t="s">
        <v>529</v>
      </c>
      <c r="AZ599" s="2" t="s">
        <v>449</v>
      </c>
      <c r="BB599" s="2" t="s">
        <v>329</v>
      </c>
      <c r="BC599" s="2" t="s">
        <v>451</v>
      </c>
      <c r="BF599" s="2" t="s">
        <v>2711</v>
      </c>
      <c r="BG599" s="2" t="s">
        <v>95</v>
      </c>
      <c r="BH599" s="2" t="s">
        <v>95</v>
      </c>
      <c r="BI599" s="2" t="s">
        <v>95</v>
      </c>
      <c r="BK599" s="2" t="s">
        <v>414</v>
      </c>
      <c r="BL599" s="2" t="s">
        <v>617</v>
      </c>
      <c r="BM599" s="2">
        <v>24</v>
      </c>
      <c r="BN599" s="2">
        <v>4.63</v>
      </c>
      <c r="CA599" s="2" t="s">
        <v>2712</v>
      </c>
      <c r="CB599" s="2" t="s">
        <v>529</v>
      </c>
      <c r="CG599" s="2">
        <v>3000</v>
      </c>
      <c r="CH599" s="2">
        <v>91</v>
      </c>
      <c r="CI599" s="2">
        <v>2052</v>
      </c>
      <c r="CJ599" s="2">
        <v>1944</v>
      </c>
      <c r="CK599" s="2">
        <v>30000</v>
      </c>
      <c r="CL599" s="2" t="s">
        <v>96</v>
      </c>
      <c r="CM599" s="2" t="s">
        <v>95</v>
      </c>
      <c r="CN599" s="2" t="s">
        <v>1224</v>
      </c>
      <c r="CO599" s="3">
        <v>42768</v>
      </c>
      <c r="CP599" s="3">
        <v>43634</v>
      </c>
    </row>
    <row r="600" spans="1:94" x14ac:dyDescent="0.25">
      <c r="A600" s="2" t="s">
        <v>2713</v>
      </c>
      <c r="B600" s="2" t="str">
        <f xml:space="preserve"> "" &amp; 844349022664</f>
        <v>844349022664</v>
      </c>
      <c r="C600" s="2" t="s">
        <v>655</v>
      </c>
      <c r="D600" s="2" t="s">
        <v>2714</v>
      </c>
      <c r="E600" s="2" t="s">
        <v>1220</v>
      </c>
      <c r="F600" s="2" t="s">
        <v>340</v>
      </c>
      <c r="G600" s="2">
        <v>1</v>
      </c>
      <c r="H600" s="2">
        <v>1</v>
      </c>
      <c r="I600" s="2" t="s">
        <v>94</v>
      </c>
      <c r="J600" s="6">
        <v>85</v>
      </c>
      <c r="K600" s="6">
        <v>255</v>
      </c>
      <c r="L600" s="2">
        <v>0</v>
      </c>
      <c r="N600" s="2">
        <v>0</v>
      </c>
      <c r="O600" s="2" t="s">
        <v>96</v>
      </c>
      <c r="P600" s="6">
        <v>179.95</v>
      </c>
      <c r="Q600" s="6"/>
      <c r="R600" s="7"/>
      <c r="S600" s="2">
        <v>6</v>
      </c>
      <c r="U600" s="2">
        <v>12</v>
      </c>
      <c r="V600" s="2">
        <v>3</v>
      </c>
      <c r="W600" s="2">
        <v>4.2300000000000004</v>
      </c>
      <c r="X600" s="2">
        <v>1</v>
      </c>
      <c r="Y600" s="2">
        <v>7.88</v>
      </c>
      <c r="Z600" s="2">
        <v>15.75</v>
      </c>
      <c r="AA600" s="2">
        <v>9</v>
      </c>
      <c r="AB600" s="2">
        <v>0.64600000000000002</v>
      </c>
      <c r="AC600" s="2">
        <v>2.4700000000000002</v>
      </c>
      <c r="AE600" s="2">
        <v>1</v>
      </c>
      <c r="AF600" s="2" t="s">
        <v>347</v>
      </c>
      <c r="AG600" s="2">
        <v>16</v>
      </c>
      <c r="AK600" s="2" t="s">
        <v>96</v>
      </c>
      <c r="AM600" s="2" t="s">
        <v>95</v>
      </c>
      <c r="AN600" s="2" t="s">
        <v>96</v>
      </c>
      <c r="AO600" s="2" t="s">
        <v>95</v>
      </c>
      <c r="AP600" s="2" t="s">
        <v>97</v>
      </c>
      <c r="AQ600" s="2" t="s">
        <v>98</v>
      </c>
      <c r="AV600" s="2" t="s">
        <v>95</v>
      </c>
      <c r="AX600" s="2" t="s">
        <v>395</v>
      </c>
      <c r="AZ600" s="2" t="s">
        <v>449</v>
      </c>
      <c r="BB600" s="2" t="s">
        <v>329</v>
      </c>
      <c r="BC600" s="2" t="s">
        <v>2715</v>
      </c>
      <c r="BF600" s="2" t="s">
        <v>2716</v>
      </c>
      <c r="BG600" s="2" t="s">
        <v>95</v>
      </c>
      <c r="BH600" s="2" t="s">
        <v>96</v>
      </c>
      <c r="BI600" s="2" t="s">
        <v>95</v>
      </c>
      <c r="BK600" s="2" t="s">
        <v>414</v>
      </c>
      <c r="BL600" s="2" t="s">
        <v>476</v>
      </c>
      <c r="BM600" s="2">
        <v>10.5</v>
      </c>
      <c r="BN600" s="2">
        <v>5</v>
      </c>
      <c r="CA600" s="2" t="s">
        <v>2717</v>
      </c>
      <c r="CB600" s="2" t="s">
        <v>395</v>
      </c>
      <c r="CG600" s="2">
        <v>3000</v>
      </c>
      <c r="CH600" s="2">
        <v>92</v>
      </c>
      <c r="CI600" s="2">
        <v>1414</v>
      </c>
      <c r="CJ600" s="2">
        <v>1172</v>
      </c>
      <c r="CK600" s="2">
        <v>30000</v>
      </c>
      <c r="CL600" s="2" t="s">
        <v>96</v>
      </c>
      <c r="CM600" s="2" t="s">
        <v>95</v>
      </c>
      <c r="CN600" s="2" t="s">
        <v>2718</v>
      </c>
      <c r="CO600" s="3">
        <v>42782</v>
      </c>
      <c r="CP600" s="3">
        <v>43634</v>
      </c>
    </row>
    <row r="601" spans="1:94" x14ac:dyDescent="0.25">
      <c r="A601" s="2" t="s">
        <v>2719</v>
      </c>
      <c r="B601" s="2" t="str">
        <f xml:space="preserve"> "" &amp; 844349022671</f>
        <v>844349022671</v>
      </c>
      <c r="C601" s="2" t="s">
        <v>655</v>
      </c>
      <c r="D601" s="2" t="s">
        <v>2714</v>
      </c>
      <c r="E601" s="2" t="s">
        <v>1220</v>
      </c>
      <c r="F601" s="2" t="s">
        <v>340</v>
      </c>
      <c r="G601" s="2">
        <v>1</v>
      </c>
      <c r="H601" s="2">
        <v>1</v>
      </c>
      <c r="I601" s="2" t="s">
        <v>94</v>
      </c>
      <c r="J601" s="6">
        <v>105</v>
      </c>
      <c r="K601" s="6">
        <v>315</v>
      </c>
      <c r="L601" s="2">
        <v>0</v>
      </c>
      <c r="N601" s="2">
        <v>0</v>
      </c>
      <c r="O601" s="2" t="s">
        <v>96</v>
      </c>
      <c r="P601" s="6">
        <v>219.95</v>
      </c>
      <c r="Q601" s="6"/>
      <c r="R601" s="7"/>
      <c r="S601" s="2">
        <v>6</v>
      </c>
      <c r="U601" s="2">
        <v>18.75</v>
      </c>
      <c r="V601" s="2">
        <v>3</v>
      </c>
      <c r="W601" s="2">
        <v>7.41</v>
      </c>
      <c r="X601" s="2">
        <v>1</v>
      </c>
      <c r="Y601" s="2">
        <v>7.25</v>
      </c>
      <c r="Z601" s="2">
        <v>23.25</v>
      </c>
      <c r="AA601" s="2">
        <v>9.8800000000000008</v>
      </c>
      <c r="AB601" s="2">
        <v>0.96399999999999997</v>
      </c>
      <c r="AC601" s="2">
        <v>8.64</v>
      </c>
      <c r="AE601" s="2">
        <v>2</v>
      </c>
      <c r="AF601" s="2" t="s">
        <v>347</v>
      </c>
      <c r="AG601" s="2">
        <v>10</v>
      </c>
      <c r="AK601" s="2" t="s">
        <v>96</v>
      </c>
      <c r="AM601" s="2" t="s">
        <v>95</v>
      </c>
      <c r="AN601" s="2" t="s">
        <v>96</v>
      </c>
      <c r="AO601" s="2" t="s">
        <v>95</v>
      </c>
      <c r="AP601" s="2" t="s">
        <v>97</v>
      </c>
      <c r="AQ601" s="2" t="s">
        <v>98</v>
      </c>
      <c r="AV601" s="2" t="s">
        <v>95</v>
      </c>
      <c r="AX601" s="2" t="s">
        <v>395</v>
      </c>
      <c r="AZ601" s="2" t="s">
        <v>449</v>
      </c>
      <c r="BB601" s="2" t="s">
        <v>329</v>
      </c>
      <c r="BC601" s="2" t="s">
        <v>2715</v>
      </c>
      <c r="BF601" s="2" t="s">
        <v>2720</v>
      </c>
      <c r="BG601" s="2" t="s">
        <v>95</v>
      </c>
      <c r="BH601" s="2" t="s">
        <v>96</v>
      </c>
      <c r="BI601" s="2" t="s">
        <v>95</v>
      </c>
      <c r="BK601" s="2" t="s">
        <v>414</v>
      </c>
      <c r="BL601" s="2" t="s">
        <v>476</v>
      </c>
      <c r="BM601" s="2">
        <v>17.25</v>
      </c>
      <c r="BN601" s="2">
        <v>5</v>
      </c>
      <c r="CA601" s="2" t="s">
        <v>2721</v>
      </c>
      <c r="CB601" s="2" t="s">
        <v>395</v>
      </c>
      <c r="CG601" s="2">
        <v>3000</v>
      </c>
      <c r="CH601" s="2">
        <v>92</v>
      </c>
      <c r="CI601" s="2">
        <v>1629</v>
      </c>
      <c r="CJ601" s="2">
        <v>1404</v>
      </c>
      <c r="CK601" s="2">
        <v>30000</v>
      </c>
      <c r="CL601" s="2" t="s">
        <v>96</v>
      </c>
      <c r="CM601" s="2" t="s">
        <v>95</v>
      </c>
      <c r="CN601" s="2" t="s">
        <v>2718</v>
      </c>
      <c r="CO601" s="3">
        <v>42767</v>
      </c>
      <c r="CP601" s="3">
        <v>43634</v>
      </c>
    </row>
    <row r="602" spans="1:94" x14ac:dyDescent="0.25">
      <c r="A602" s="2" t="s">
        <v>2722</v>
      </c>
      <c r="B602" s="2" t="str">
        <f xml:space="preserve"> "" &amp; 844349022688</f>
        <v>844349022688</v>
      </c>
      <c r="C602" s="2" t="s">
        <v>655</v>
      </c>
      <c r="D602" s="2" t="s">
        <v>2714</v>
      </c>
      <c r="E602" s="2" t="s">
        <v>1220</v>
      </c>
      <c r="F602" s="2" t="s">
        <v>340</v>
      </c>
      <c r="G602" s="2">
        <v>1</v>
      </c>
      <c r="H602" s="2">
        <v>1</v>
      </c>
      <c r="I602" s="2" t="s">
        <v>94</v>
      </c>
      <c r="J602" s="6">
        <v>125</v>
      </c>
      <c r="K602" s="6">
        <v>375</v>
      </c>
      <c r="L602" s="2">
        <v>0</v>
      </c>
      <c r="N602" s="2">
        <v>0</v>
      </c>
      <c r="O602" s="2" t="s">
        <v>96</v>
      </c>
      <c r="P602" s="6">
        <v>262.95</v>
      </c>
      <c r="Q602" s="6"/>
      <c r="R602" s="7"/>
      <c r="S602" s="2">
        <v>6</v>
      </c>
      <c r="U602" s="2">
        <v>29</v>
      </c>
      <c r="V602" s="2">
        <v>3</v>
      </c>
      <c r="W602" s="2">
        <v>11.2</v>
      </c>
      <c r="X602" s="2">
        <v>1</v>
      </c>
      <c r="Y602" s="2">
        <v>7.63</v>
      </c>
      <c r="Z602" s="2">
        <v>34.75</v>
      </c>
      <c r="AA602" s="2">
        <v>9.8800000000000008</v>
      </c>
      <c r="AB602" s="2">
        <v>1.516</v>
      </c>
      <c r="AC602" s="2">
        <v>13.34</v>
      </c>
      <c r="AE602" s="2">
        <v>3</v>
      </c>
      <c r="AF602" s="2" t="s">
        <v>347</v>
      </c>
      <c r="AG602" s="2">
        <v>10</v>
      </c>
      <c r="AK602" s="2" t="s">
        <v>96</v>
      </c>
      <c r="AM602" s="2" t="s">
        <v>95</v>
      </c>
      <c r="AN602" s="2" t="s">
        <v>96</v>
      </c>
      <c r="AO602" s="2" t="s">
        <v>95</v>
      </c>
      <c r="AP602" s="2" t="s">
        <v>97</v>
      </c>
      <c r="AQ602" s="2" t="s">
        <v>98</v>
      </c>
      <c r="AV602" s="2" t="s">
        <v>95</v>
      </c>
      <c r="AX602" s="2" t="s">
        <v>395</v>
      </c>
      <c r="AZ602" s="2" t="s">
        <v>449</v>
      </c>
      <c r="BB602" s="2" t="s">
        <v>329</v>
      </c>
      <c r="BC602" s="2" t="s">
        <v>696</v>
      </c>
      <c r="BF602" s="2" t="s">
        <v>2723</v>
      </c>
      <c r="BG602" s="2" t="s">
        <v>95</v>
      </c>
      <c r="BH602" s="2" t="s">
        <v>96</v>
      </c>
      <c r="BI602" s="2" t="s">
        <v>95</v>
      </c>
      <c r="BK602" s="2" t="s">
        <v>414</v>
      </c>
      <c r="BL602" s="2" t="s">
        <v>476</v>
      </c>
      <c r="BM602" s="2">
        <v>27</v>
      </c>
      <c r="BN602" s="2">
        <v>5</v>
      </c>
      <c r="CA602" s="2" t="s">
        <v>2724</v>
      </c>
      <c r="CB602" s="2" t="s">
        <v>395</v>
      </c>
      <c r="CG602" s="2">
        <v>3000</v>
      </c>
      <c r="CH602" s="2">
        <v>92</v>
      </c>
      <c r="CI602" s="2">
        <v>2999</v>
      </c>
      <c r="CJ602" s="2">
        <v>2120</v>
      </c>
      <c r="CK602" s="2">
        <v>30000</v>
      </c>
      <c r="CL602" s="2" t="s">
        <v>96</v>
      </c>
      <c r="CM602" s="2" t="s">
        <v>95</v>
      </c>
      <c r="CN602" s="2" t="s">
        <v>2718</v>
      </c>
      <c r="CO602" s="3">
        <v>42767</v>
      </c>
      <c r="CP602" s="3">
        <v>43634</v>
      </c>
    </row>
    <row r="603" spans="1:94" x14ac:dyDescent="0.25">
      <c r="A603" s="2" t="s">
        <v>2725</v>
      </c>
      <c r="B603" s="2" t="str">
        <f xml:space="preserve"> "" &amp; 844349024002</f>
        <v>844349024002</v>
      </c>
      <c r="C603" s="2" t="s">
        <v>655</v>
      </c>
      <c r="D603" s="2" t="s">
        <v>2714</v>
      </c>
      <c r="E603" s="2" t="s">
        <v>1220</v>
      </c>
      <c r="F603" s="2" t="s">
        <v>340</v>
      </c>
      <c r="G603" s="2">
        <v>1</v>
      </c>
      <c r="H603" s="2">
        <v>1</v>
      </c>
      <c r="I603" s="2" t="s">
        <v>94</v>
      </c>
      <c r="J603" s="6">
        <v>159</v>
      </c>
      <c r="K603" s="6">
        <v>477</v>
      </c>
      <c r="L603" s="2">
        <v>0</v>
      </c>
      <c r="N603" s="2">
        <v>0</v>
      </c>
      <c r="O603" s="2" t="s">
        <v>96</v>
      </c>
      <c r="P603" s="6">
        <v>334.95</v>
      </c>
      <c r="Q603" s="6"/>
      <c r="R603" s="7"/>
      <c r="S603" s="2">
        <v>6</v>
      </c>
      <c r="U603" s="2">
        <v>38.5</v>
      </c>
      <c r="V603" s="2">
        <v>3</v>
      </c>
      <c r="W603" s="2">
        <v>14.93</v>
      </c>
      <c r="X603" s="2">
        <v>1</v>
      </c>
      <c r="Y603" s="2">
        <v>7.75</v>
      </c>
      <c r="Z603" s="2">
        <v>46.5</v>
      </c>
      <c r="AA603" s="2">
        <v>10.63</v>
      </c>
      <c r="AB603" s="2">
        <v>2.2170000000000001</v>
      </c>
      <c r="AC603" s="2">
        <v>17.77</v>
      </c>
      <c r="AE603" s="2">
        <v>4</v>
      </c>
      <c r="AF603" s="2" t="s">
        <v>347</v>
      </c>
      <c r="AG603" s="2">
        <v>10</v>
      </c>
      <c r="AK603" s="2" t="s">
        <v>96</v>
      </c>
      <c r="AM603" s="2" t="s">
        <v>95</v>
      </c>
      <c r="AN603" s="2" t="s">
        <v>96</v>
      </c>
      <c r="AO603" s="2" t="s">
        <v>95</v>
      </c>
      <c r="AP603" s="2" t="s">
        <v>97</v>
      </c>
      <c r="AQ603" s="2" t="s">
        <v>98</v>
      </c>
      <c r="AV603" s="2" t="s">
        <v>95</v>
      </c>
      <c r="AX603" s="2" t="s">
        <v>395</v>
      </c>
      <c r="AZ603" s="2" t="s">
        <v>449</v>
      </c>
      <c r="BB603" s="2" t="s">
        <v>329</v>
      </c>
      <c r="BC603" s="2" t="s">
        <v>451</v>
      </c>
      <c r="BF603" s="2" t="s">
        <v>2726</v>
      </c>
      <c r="BG603" s="2" t="s">
        <v>95</v>
      </c>
      <c r="BH603" s="2" t="s">
        <v>95</v>
      </c>
      <c r="BI603" s="2" t="s">
        <v>95</v>
      </c>
      <c r="BK603" s="2" t="s">
        <v>414</v>
      </c>
      <c r="BM603" s="2">
        <v>36</v>
      </c>
      <c r="BN603" s="2">
        <v>4.63</v>
      </c>
      <c r="CA603" s="2" t="s">
        <v>2727</v>
      </c>
      <c r="CB603" s="2" t="s">
        <v>395</v>
      </c>
      <c r="CG603" s="2">
        <v>3000</v>
      </c>
      <c r="CH603" s="2">
        <v>94</v>
      </c>
      <c r="CI603" s="2">
        <v>3677</v>
      </c>
      <c r="CJ603" s="2">
        <v>2544</v>
      </c>
      <c r="CK603" s="2">
        <v>30000</v>
      </c>
      <c r="CL603" s="2" t="s">
        <v>96</v>
      </c>
      <c r="CM603" s="2" t="s">
        <v>95</v>
      </c>
      <c r="CN603" s="2" t="s">
        <v>2718</v>
      </c>
      <c r="CO603" s="3">
        <v>43061</v>
      </c>
      <c r="CP603" s="3">
        <v>43634</v>
      </c>
    </row>
    <row r="604" spans="1:94" x14ac:dyDescent="0.25">
      <c r="A604" s="2" t="s">
        <v>2728</v>
      </c>
      <c r="B604" s="2" t="str">
        <f xml:space="preserve"> "" &amp; 844349013426</f>
        <v>844349013426</v>
      </c>
      <c r="C604" s="2" t="s">
        <v>655</v>
      </c>
      <c r="D604" s="2" t="s">
        <v>3661</v>
      </c>
      <c r="E604" s="2" t="s">
        <v>776</v>
      </c>
      <c r="F604" s="2" t="s">
        <v>658</v>
      </c>
      <c r="G604" s="2">
        <v>1</v>
      </c>
      <c r="H604" s="2">
        <v>1</v>
      </c>
      <c r="I604" s="2" t="s">
        <v>94</v>
      </c>
      <c r="J604" s="6">
        <v>195</v>
      </c>
      <c r="K604" s="6">
        <v>585</v>
      </c>
      <c r="L604" s="2">
        <v>0</v>
      </c>
      <c r="N604" s="2">
        <v>0</v>
      </c>
      <c r="O604" s="2" t="s">
        <v>96</v>
      </c>
      <c r="P604" s="6">
        <v>409.95</v>
      </c>
      <c r="Q604" s="6"/>
      <c r="R604" s="7"/>
      <c r="S604" s="2">
        <v>5</v>
      </c>
      <c r="U604" s="2">
        <v>24</v>
      </c>
      <c r="V604" s="2">
        <v>3.5</v>
      </c>
      <c r="W604" s="2">
        <v>8.0500000000000007</v>
      </c>
      <c r="X604" s="2">
        <v>1</v>
      </c>
      <c r="Y604" s="2">
        <v>6.5</v>
      </c>
      <c r="Z604" s="2">
        <v>28</v>
      </c>
      <c r="AA604" s="2">
        <v>9</v>
      </c>
      <c r="AB604" s="2">
        <v>0.94799999999999995</v>
      </c>
      <c r="AC604" s="2">
        <v>9.26</v>
      </c>
      <c r="AE604" s="2">
        <v>1</v>
      </c>
      <c r="AF604" s="2" t="s">
        <v>347</v>
      </c>
      <c r="AG604" s="2">
        <v>40</v>
      </c>
      <c r="AK604" s="2" t="s">
        <v>96</v>
      </c>
      <c r="AM604" s="2" t="s">
        <v>95</v>
      </c>
      <c r="AN604" s="2" t="s">
        <v>96</v>
      </c>
      <c r="AO604" s="2" t="s">
        <v>95</v>
      </c>
      <c r="AP604" s="2" t="s">
        <v>97</v>
      </c>
      <c r="AQ604" s="2" t="s">
        <v>98</v>
      </c>
      <c r="AV604" s="2" t="s">
        <v>95</v>
      </c>
      <c r="AX604" s="2" t="s">
        <v>116</v>
      </c>
      <c r="AZ604" s="2" t="s">
        <v>342</v>
      </c>
      <c r="BB604" s="2" t="s">
        <v>54</v>
      </c>
      <c r="BC604" s="2" t="s">
        <v>2729</v>
      </c>
      <c r="BF604" s="2" t="s">
        <v>2730</v>
      </c>
      <c r="BG604" s="2" t="s">
        <v>95</v>
      </c>
      <c r="BH604" s="2" t="s">
        <v>96</v>
      </c>
      <c r="BI604" s="2" t="s">
        <v>95</v>
      </c>
      <c r="BK604" s="2" t="s">
        <v>539</v>
      </c>
      <c r="BL604" s="2" t="s">
        <v>350</v>
      </c>
      <c r="BR604" s="2">
        <v>5</v>
      </c>
      <c r="BT604" s="2">
        <v>24</v>
      </c>
      <c r="CA604" s="2" t="s">
        <v>2731</v>
      </c>
      <c r="CB604" s="2" t="s">
        <v>116</v>
      </c>
      <c r="CG604" s="2">
        <v>3000</v>
      </c>
      <c r="CH604" s="2">
        <v>90</v>
      </c>
      <c r="CI604" s="2">
        <v>3397.3</v>
      </c>
      <c r="CJ604" s="2">
        <v>1503.78</v>
      </c>
      <c r="CK604" s="2">
        <v>30000</v>
      </c>
      <c r="CL604" s="2" t="s">
        <v>96</v>
      </c>
      <c r="CM604" s="2" t="s">
        <v>95</v>
      </c>
      <c r="CN604" s="2" t="s">
        <v>1705</v>
      </c>
      <c r="CO604" s="3">
        <v>41393</v>
      </c>
      <c r="CP604" s="3">
        <v>43634</v>
      </c>
    </row>
    <row r="605" spans="1:94" x14ac:dyDescent="0.25">
      <c r="A605" s="2" t="s">
        <v>2732</v>
      </c>
      <c r="B605" s="2" t="str">
        <f xml:space="preserve"> "" &amp; 844349015062</f>
        <v>844349015062</v>
      </c>
      <c r="C605" s="2" t="s">
        <v>1369</v>
      </c>
      <c r="D605" s="2" t="s">
        <v>3663</v>
      </c>
      <c r="E605" s="2" t="s">
        <v>776</v>
      </c>
      <c r="F605" s="2" t="s">
        <v>2733</v>
      </c>
      <c r="G605" s="2">
        <v>1</v>
      </c>
      <c r="H605" s="2">
        <v>1</v>
      </c>
      <c r="I605" s="2" t="s">
        <v>94</v>
      </c>
      <c r="J605" s="6">
        <v>119</v>
      </c>
      <c r="K605" s="6">
        <v>357</v>
      </c>
      <c r="L605" s="2">
        <v>0</v>
      </c>
      <c r="N605" s="2">
        <v>0</v>
      </c>
      <c r="Q605" s="6"/>
      <c r="R605" s="7"/>
      <c r="S605" s="2">
        <v>6</v>
      </c>
      <c r="U605" s="2">
        <v>28.5</v>
      </c>
      <c r="V605" s="2">
        <v>2.5</v>
      </c>
      <c r="W605" s="2">
        <v>5.09</v>
      </c>
      <c r="X605" s="2">
        <v>1</v>
      </c>
      <c r="Y605" s="2">
        <v>4.5</v>
      </c>
      <c r="Z605" s="2">
        <v>31.88</v>
      </c>
      <c r="AA605" s="2">
        <v>8.75</v>
      </c>
      <c r="AB605" s="2">
        <v>0.72599999999999998</v>
      </c>
      <c r="AC605" s="2">
        <v>6.5</v>
      </c>
      <c r="AE605" s="2">
        <v>4</v>
      </c>
      <c r="AF605" s="2" t="s">
        <v>347</v>
      </c>
      <c r="AG605" s="2">
        <v>40</v>
      </c>
      <c r="AK605" s="2" t="s">
        <v>96</v>
      </c>
      <c r="AM605" s="2" t="s">
        <v>95</v>
      </c>
      <c r="AN605" s="2" t="s">
        <v>96</v>
      </c>
      <c r="AO605" s="2" t="s">
        <v>95</v>
      </c>
      <c r="AP605" s="2" t="s">
        <v>97</v>
      </c>
      <c r="AQ605" s="2" t="s">
        <v>98</v>
      </c>
      <c r="AV605" s="2" t="s">
        <v>95</v>
      </c>
      <c r="AX605" s="2" t="s">
        <v>2734</v>
      </c>
      <c r="AZ605" s="2" t="s">
        <v>342</v>
      </c>
      <c r="BB605" s="2" t="s">
        <v>54</v>
      </c>
      <c r="BC605" s="2" t="s">
        <v>2735</v>
      </c>
      <c r="BF605" s="2" t="s">
        <v>2736</v>
      </c>
      <c r="BG605" s="2" t="s">
        <v>95</v>
      </c>
      <c r="BH605" s="2" t="s">
        <v>95</v>
      </c>
      <c r="BI605" s="2" t="s">
        <v>95</v>
      </c>
      <c r="BK605" s="2" t="s">
        <v>414</v>
      </c>
      <c r="BR605" s="2">
        <v>4.75</v>
      </c>
      <c r="BT605" s="2">
        <v>4.75</v>
      </c>
      <c r="CA605" s="2" t="s">
        <v>2737</v>
      </c>
      <c r="CB605" s="2" t="s">
        <v>2734</v>
      </c>
      <c r="CG605" s="2">
        <v>3000</v>
      </c>
      <c r="CH605" s="2">
        <v>82</v>
      </c>
      <c r="CI605" s="2">
        <v>2767</v>
      </c>
      <c r="CJ605" s="2">
        <v>1711</v>
      </c>
      <c r="CK605" s="2">
        <v>30000</v>
      </c>
      <c r="CL605" s="2" t="s">
        <v>96</v>
      </c>
      <c r="CM605" s="2" t="s">
        <v>95</v>
      </c>
      <c r="CN605" s="2" t="s">
        <v>1705</v>
      </c>
      <c r="CO605" s="3">
        <v>41587</v>
      </c>
      <c r="CP605" s="3">
        <v>43634</v>
      </c>
    </row>
    <row r="606" spans="1:94" x14ac:dyDescent="0.25">
      <c r="A606" s="2" t="s">
        <v>2738</v>
      </c>
      <c r="B606" s="2" t="str">
        <f xml:space="preserve"> "" &amp; 844349020394</f>
        <v>844349020394</v>
      </c>
      <c r="C606" s="2" t="s">
        <v>1352</v>
      </c>
      <c r="D606" s="2" t="s">
        <v>2739</v>
      </c>
      <c r="E606" s="2" t="s">
        <v>2740</v>
      </c>
      <c r="F606" s="2" t="s">
        <v>658</v>
      </c>
      <c r="G606" s="2">
        <v>1</v>
      </c>
      <c r="H606" s="2">
        <v>1</v>
      </c>
      <c r="I606" s="2" t="s">
        <v>94</v>
      </c>
      <c r="J606" s="6">
        <v>69</v>
      </c>
      <c r="K606" s="6">
        <v>207</v>
      </c>
      <c r="L606" s="2">
        <v>0</v>
      </c>
      <c r="N606" s="2">
        <v>0</v>
      </c>
      <c r="O606" s="2" t="s">
        <v>96</v>
      </c>
      <c r="P606" s="6">
        <v>144.94999999999999</v>
      </c>
      <c r="Q606" s="6"/>
      <c r="R606" s="7"/>
      <c r="S606" s="2">
        <v>9</v>
      </c>
      <c r="U606" s="2">
        <v>7.25</v>
      </c>
      <c r="V606" s="2">
        <v>5.5</v>
      </c>
      <c r="W606" s="2">
        <v>3.81</v>
      </c>
      <c r="X606" s="2">
        <v>1</v>
      </c>
      <c r="Y606" s="2">
        <v>8.6300000000000008</v>
      </c>
      <c r="Z606" s="2">
        <v>11.75</v>
      </c>
      <c r="AA606" s="2">
        <v>8.6300000000000008</v>
      </c>
      <c r="AB606" s="2">
        <v>0.50600000000000001</v>
      </c>
      <c r="AC606" s="2">
        <v>4.74</v>
      </c>
      <c r="AE606" s="2">
        <v>1</v>
      </c>
      <c r="AF606" s="2" t="s">
        <v>2741</v>
      </c>
      <c r="AG606" s="2">
        <v>8</v>
      </c>
      <c r="AK606" s="2" t="s">
        <v>96</v>
      </c>
      <c r="AM606" s="2" t="s">
        <v>95</v>
      </c>
      <c r="AN606" s="2" t="s">
        <v>96</v>
      </c>
      <c r="AO606" s="2" t="s">
        <v>95</v>
      </c>
      <c r="AP606" s="2" t="s">
        <v>97</v>
      </c>
      <c r="AQ606" s="2" t="s">
        <v>98</v>
      </c>
      <c r="AV606" s="2" t="s">
        <v>95</v>
      </c>
      <c r="AX606" s="2" t="s">
        <v>395</v>
      </c>
      <c r="AZ606" s="2" t="s">
        <v>483</v>
      </c>
      <c r="BB606" s="2" t="s">
        <v>329</v>
      </c>
      <c r="BC606" s="2" t="s">
        <v>2742</v>
      </c>
      <c r="BF606" s="2" t="s">
        <v>2743</v>
      </c>
      <c r="BG606" s="2" t="s">
        <v>95</v>
      </c>
      <c r="BH606" s="2" t="s">
        <v>95</v>
      </c>
      <c r="BI606" s="2" t="s">
        <v>95</v>
      </c>
      <c r="BK606" s="2" t="s">
        <v>414</v>
      </c>
      <c r="BL606" s="2" t="s">
        <v>993</v>
      </c>
      <c r="BM606" s="2">
        <v>5</v>
      </c>
      <c r="BN606" s="2">
        <v>8</v>
      </c>
      <c r="CA606" s="2" t="s">
        <v>2744</v>
      </c>
      <c r="CB606" s="2" t="s">
        <v>395</v>
      </c>
      <c r="CG606" s="2">
        <v>3000</v>
      </c>
      <c r="CH606" s="2">
        <v>91</v>
      </c>
      <c r="CI606" s="2">
        <v>630</v>
      </c>
      <c r="CJ606" s="2">
        <v>472</v>
      </c>
      <c r="CK606" s="2">
        <v>30000</v>
      </c>
      <c r="CL606" s="2" t="s">
        <v>96</v>
      </c>
      <c r="CM606" s="2" t="s">
        <v>95</v>
      </c>
      <c r="CN606" s="2" t="s">
        <v>471</v>
      </c>
      <c r="CO606" s="3">
        <v>42395</v>
      </c>
      <c r="CP606" s="3">
        <v>43634</v>
      </c>
    </row>
    <row r="607" spans="1:94" x14ac:dyDescent="0.25">
      <c r="A607" s="2" t="s">
        <v>2745</v>
      </c>
      <c r="B607" s="2" t="str">
        <f xml:space="preserve"> "" &amp; 844349020400</f>
        <v>844349020400</v>
      </c>
      <c r="C607" s="2" t="s">
        <v>915</v>
      </c>
      <c r="D607" s="2" t="s">
        <v>2739</v>
      </c>
      <c r="E607" s="2" t="s">
        <v>2740</v>
      </c>
      <c r="F607" s="2" t="s">
        <v>658</v>
      </c>
      <c r="G607" s="2">
        <v>1</v>
      </c>
      <c r="H607" s="2">
        <v>1</v>
      </c>
      <c r="I607" s="2" t="s">
        <v>94</v>
      </c>
      <c r="J607" s="6">
        <v>115</v>
      </c>
      <c r="K607" s="6">
        <v>345</v>
      </c>
      <c r="L607" s="2">
        <v>0</v>
      </c>
      <c r="N607" s="2">
        <v>0</v>
      </c>
      <c r="O607" s="2" t="s">
        <v>96</v>
      </c>
      <c r="P607" s="6">
        <v>239.95</v>
      </c>
      <c r="Q607" s="6"/>
      <c r="R607" s="7"/>
      <c r="S607" s="2">
        <v>7.5</v>
      </c>
      <c r="U607" s="2">
        <v>16.5</v>
      </c>
      <c r="V607" s="2">
        <v>5.75</v>
      </c>
      <c r="W607" s="2">
        <v>6.13</v>
      </c>
      <c r="X607" s="2">
        <v>1</v>
      </c>
      <c r="Y607" s="2">
        <v>8.5</v>
      </c>
      <c r="Z607" s="2">
        <v>19.63</v>
      </c>
      <c r="AA607" s="2">
        <v>11</v>
      </c>
      <c r="AB607" s="2">
        <v>1.0620000000000001</v>
      </c>
      <c r="AC607" s="2">
        <v>7.83</v>
      </c>
      <c r="AE607" s="2">
        <v>2</v>
      </c>
      <c r="AF607" s="2" t="s">
        <v>1496</v>
      </c>
      <c r="AG607" s="2">
        <v>8</v>
      </c>
      <c r="AK607" s="2" t="s">
        <v>96</v>
      </c>
      <c r="AM607" s="2" t="s">
        <v>95</v>
      </c>
      <c r="AN607" s="2" t="s">
        <v>96</v>
      </c>
      <c r="AO607" s="2" t="s">
        <v>95</v>
      </c>
      <c r="AP607" s="2" t="s">
        <v>97</v>
      </c>
      <c r="AQ607" s="2" t="s">
        <v>98</v>
      </c>
      <c r="AV607" s="2" t="s">
        <v>95</v>
      </c>
      <c r="AX607" s="2" t="s">
        <v>395</v>
      </c>
      <c r="AZ607" s="2" t="s">
        <v>483</v>
      </c>
      <c r="BB607" s="2" t="s">
        <v>329</v>
      </c>
      <c r="BC607" s="2" t="s">
        <v>2742</v>
      </c>
      <c r="BF607" s="2" t="s">
        <v>2746</v>
      </c>
      <c r="BG607" s="2" t="s">
        <v>95</v>
      </c>
      <c r="BH607" s="2" t="s">
        <v>95</v>
      </c>
      <c r="BI607" s="2" t="s">
        <v>95</v>
      </c>
      <c r="BK607" s="2" t="s">
        <v>414</v>
      </c>
      <c r="BL607" s="2" t="s">
        <v>993</v>
      </c>
      <c r="BM607" s="2">
        <v>10</v>
      </c>
      <c r="BN607" s="2">
        <v>5</v>
      </c>
      <c r="CA607" s="2" t="s">
        <v>2747</v>
      </c>
      <c r="CB607" s="2" t="s">
        <v>395</v>
      </c>
      <c r="CG607" s="2">
        <v>3000</v>
      </c>
      <c r="CH607" s="2">
        <v>91</v>
      </c>
      <c r="CI607" s="2">
        <v>1270</v>
      </c>
      <c r="CJ607" s="2">
        <v>962</v>
      </c>
      <c r="CK607" s="2">
        <v>30000</v>
      </c>
      <c r="CL607" s="2" t="s">
        <v>96</v>
      </c>
      <c r="CM607" s="2" t="s">
        <v>95</v>
      </c>
      <c r="CN607" s="2" t="s">
        <v>471</v>
      </c>
      <c r="CO607" s="3">
        <v>42396</v>
      </c>
      <c r="CP607" s="3">
        <v>43634</v>
      </c>
    </row>
    <row r="608" spans="1:94" x14ac:dyDescent="0.25">
      <c r="A608" s="2" t="s">
        <v>2748</v>
      </c>
      <c r="B608" s="2" t="str">
        <f xml:space="preserve"> "" &amp; 844349020417</f>
        <v>844349020417</v>
      </c>
      <c r="C608" s="2" t="s">
        <v>1364</v>
      </c>
      <c r="D608" s="2" t="s">
        <v>2739</v>
      </c>
      <c r="E608" s="2" t="s">
        <v>2740</v>
      </c>
      <c r="F608" s="2" t="s">
        <v>658</v>
      </c>
      <c r="G608" s="2">
        <v>1</v>
      </c>
      <c r="H608" s="2">
        <v>1</v>
      </c>
      <c r="I608" s="2" t="s">
        <v>94</v>
      </c>
      <c r="J608" s="6">
        <v>169</v>
      </c>
      <c r="K608" s="6">
        <v>507</v>
      </c>
      <c r="L608" s="2">
        <v>0</v>
      </c>
      <c r="N608" s="2">
        <v>0</v>
      </c>
      <c r="O608" s="2" t="s">
        <v>96</v>
      </c>
      <c r="P608" s="6">
        <v>354.95</v>
      </c>
      <c r="Q608" s="6"/>
      <c r="R608" s="7"/>
      <c r="S608" s="2">
        <v>7.75</v>
      </c>
      <c r="U608" s="2">
        <v>23.25</v>
      </c>
      <c r="V608" s="2">
        <v>6</v>
      </c>
      <c r="W608" s="2">
        <v>8.42</v>
      </c>
      <c r="X608" s="2">
        <v>1</v>
      </c>
      <c r="Y608" s="2">
        <v>8.25</v>
      </c>
      <c r="Z608" s="2">
        <v>26.38</v>
      </c>
      <c r="AA608" s="2">
        <v>13.25</v>
      </c>
      <c r="AB608" s="2">
        <v>1.669</v>
      </c>
      <c r="AC608" s="2">
        <v>10.98</v>
      </c>
      <c r="AE608" s="2">
        <v>3</v>
      </c>
      <c r="AF608" s="2" t="s">
        <v>2749</v>
      </c>
      <c r="AG608" s="2">
        <v>8</v>
      </c>
      <c r="AK608" s="2" t="s">
        <v>96</v>
      </c>
      <c r="AM608" s="2" t="s">
        <v>95</v>
      </c>
      <c r="AN608" s="2" t="s">
        <v>96</v>
      </c>
      <c r="AO608" s="2" t="s">
        <v>95</v>
      </c>
      <c r="AP608" s="2" t="s">
        <v>97</v>
      </c>
      <c r="AQ608" s="2" t="s">
        <v>98</v>
      </c>
      <c r="AV608" s="2" t="s">
        <v>95</v>
      </c>
      <c r="AX608" s="2" t="s">
        <v>395</v>
      </c>
      <c r="AZ608" s="2" t="s">
        <v>483</v>
      </c>
      <c r="BB608" s="2" t="s">
        <v>329</v>
      </c>
      <c r="BC608" s="2" t="s">
        <v>2742</v>
      </c>
      <c r="BF608" s="2" t="s">
        <v>2750</v>
      </c>
      <c r="BG608" s="2" t="s">
        <v>95</v>
      </c>
      <c r="BH608" s="2" t="s">
        <v>95</v>
      </c>
      <c r="BI608" s="2" t="s">
        <v>95</v>
      </c>
      <c r="BK608" s="2" t="s">
        <v>414</v>
      </c>
      <c r="BL608" s="2" t="s">
        <v>993</v>
      </c>
      <c r="BM608" s="2">
        <v>10</v>
      </c>
      <c r="BN608" s="2">
        <v>5</v>
      </c>
      <c r="CA608" s="2" t="s">
        <v>2751</v>
      </c>
      <c r="CB608" s="2" t="s">
        <v>395</v>
      </c>
      <c r="CG608" s="2">
        <v>3000</v>
      </c>
      <c r="CH608" s="2">
        <v>91</v>
      </c>
      <c r="CI608" s="2">
        <v>1906</v>
      </c>
      <c r="CJ608" s="2">
        <v>1461</v>
      </c>
      <c r="CK608" s="2">
        <v>30000</v>
      </c>
      <c r="CL608" s="2" t="s">
        <v>96</v>
      </c>
      <c r="CM608" s="2" t="s">
        <v>95</v>
      </c>
      <c r="CN608" s="2" t="s">
        <v>471</v>
      </c>
      <c r="CO608" s="3">
        <v>42396</v>
      </c>
      <c r="CP608" s="3">
        <v>43634</v>
      </c>
    </row>
    <row r="609" spans="1:94" x14ac:dyDescent="0.25">
      <c r="A609" s="2" t="s">
        <v>2752</v>
      </c>
      <c r="B609" s="2" t="str">
        <f xml:space="preserve"> "" &amp; 844349020424</f>
        <v>844349020424</v>
      </c>
      <c r="C609" s="2" t="s">
        <v>1369</v>
      </c>
      <c r="D609" s="2" t="s">
        <v>2739</v>
      </c>
      <c r="E609" s="2" t="s">
        <v>2740</v>
      </c>
      <c r="F609" s="2" t="s">
        <v>658</v>
      </c>
      <c r="G609" s="2">
        <v>1</v>
      </c>
      <c r="H609" s="2">
        <v>1</v>
      </c>
      <c r="I609" s="2" t="s">
        <v>94</v>
      </c>
      <c r="J609" s="6">
        <v>199</v>
      </c>
      <c r="K609" s="6">
        <v>597</v>
      </c>
      <c r="L609" s="2">
        <v>0</v>
      </c>
      <c r="N609" s="2">
        <v>0</v>
      </c>
      <c r="O609" s="2" t="s">
        <v>96</v>
      </c>
      <c r="P609" s="6">
        <v>419.95</v>
      </c>
      <c r="Q609" s="6"/>
      <c r="R609" s="7"/>
      <c r="S609" s="2">
        <v>7.5</v>
      </c>
      <c r="U609" s="2">
        <v>32</v>
      </c>
      <c r="V609" s="2">
        <v>6.25</v>
      </c>
      <c r="W609" s="2">
        <v>10.93</v>
      </c>
      <c r="X609" s="2">
        <v>1</v>
      </c>
      <c r="Y609" s="2">
        <v>9.5</v>
      </c>
      <c r="Z609" s="2">
        <v>36.75</v>
      </c>
      <c r="AA609" s="2">
        <v>11.75</v>
      </c>
      <c r="AB609" s="2">
        <v>2.3740000000000001</v>
      </c>
      <c r="AC609" s="2">
        <v>13.82</v>
      </c>
      <c r="AE609" s="2">
        <v>4</v>
      </c>
      <c r="AF609" s="2" t="s">
        <v>2749</v>
      </c>
      <c r="AG609" s="2">
        <v>8</v>
      </c>
      <c r="AK609" s="2" t="s">
        <v>96</v>
      </c>
      <c r="AM609" s="2" t="s">
        <v>95</v>
      </c>
      <c r="AN609" s="2" t="s">
        <v>96</v>
      </c>
      <c r="AO609" s="2" t="s">
        <v>95</v>
      </c>
      <c r="AP609" s="2" t="s">
        <v>97</v>
      </c>
      <c r="AQ609" s="2" t="s">
        <v>98</v>
      </c>
      <c r="AV609" s="2" t="s">
        <v>95</v>
      </c>
      <c r="AX609" s="2" t="s">
        <v>395</v>
      </c>
      <c r="AZ609" s="2" t="s">
        <v>483</v>
      </c>
      <c r="BB609" s="2" t="s">
        <v>329</v>
      </c>
      <c r="BC609" s="2" t="s">
        <v>2742</v>
      </c>
      <c r="BF609" s="2" t="s">
        <v>2753</v>
      </c>
      <c r="BG609" s="2" t="s">
        <v>95</v>
      </c>
      <c r="BH609" s="2" t="s">
        <v>95</v>
      </c>
      <c r="BI609" s="2" t="s">
        <v>95</v>
      </c>
      <c r="BK609" s="2" t="s">
        <v>414</v>
      </c>
      <c r="BL609" s="2" t="s">
        <v>993</v>
      </c>
      <c r="BM609" s="2">
        <v>10</v>
      </c>
      <c r="BN609" s="2">
        <v>5</v>
      </c>
      <c r="CA609" s="2" t="s">
        <v>2754</v>
      </c>
      <c r="CB609" s="2" t="s">
        <v>395</v>
      </c>
      <c r="CG609" s="2">
        <v>3000</v>
      </c>
      <c r="CH609" s="2">
        <v>91</v>
      </c>
      <c r="CI609" s="2">
        <v>2437</v>
      </c>
      <c r="CJ609" s="2">
        <v>1841</v>
      </c>
      <c r="CK609" s="2">
        <v>30000</v>
      </c>
      <c r="CL609" s="2" t="s">
        <v>96</v>
      </c>
      <c r="CM609" s="2" t="s">
        <v>95</v>
      </c>
      <c r="CN609" s="2" t="s">
        <v>471</v>
      </c>
      <c r="CO609" s="3">
        <v>42396</v>
      </c>
      <c r="CP609" s="3">
        <v>43634</v>
      </c>
    </row>
    <row r="610" spans="1:94" x14ac:dyDescent="0.25">
      <c r="A610" s="2" t="s">
        <v>2755</v>
      </c>
      <c r="B610" s="2" t="str">
        <f xml:space="preserve"> "" &amp; 844349008262</f>
        <v>844349008262</v>
      </c>
      <c r="C610" s="2" t="s">
        <v>391</v>
      </c>
      <c r="D610" s="2" t="s">
        <v>2756</v>
      </c>
      <c r="E610" s="2" t="s">
        <v>2757</v>
      </c>
      <c r="F610" s="2" t="s">
        <v>393</v>
      </c>
      <c r="G610" s="2">
        <v>1</v>
      </c>
      <c r="H610" s="2">
        <v>1</v>
      </c>
      <c r="I610" s="2" t="s">
        <v>94</v>
      </c>
      <c r="J610" s="6">
        <v>63</v>
      </c>
      <c r="K610" s="6">
        <v>189</v>
      </c>
      <c r="L610" s="2">
        <v>0</v>
      </c>
      <c r="N610" s="2">
        <v>0</v>
      </c>
      <c r="O610" s="2" t="s">
        <v>96</v>
      </c>
      <c r="P610" s="6">
        <v>131.94999999999999</v>
      </c>
      <c r="Q610" s="6"/>
      <c r="R610" s="7"/>
      <c r="S610" s="2">
        <v>12</v>
      </c>
      <c r="U610" s="2">
        <v>8</v>
      </c>
      <c r="W610" s="2">
        <v>5.07</v>
      </c>
      <c r="X610" s="2">
        <v>1</v>
      </c>
      <c r="Y610" s="2">
        <v>11.81</v>
      </c>
      <c r="Z610" s="2">
        <v>10.25</v>
      </c>
      <c r="AA610" s="2">
        <v>10.25</v>
      </c>
      <c r="AB610" s="2">
        <v>0.71799999999999997</v>
      </c>
      <c r="AC610" s="2">
        <v>6.77</v>
      </c>
      <c r="AE610" s="2">
        <v>1</v>
      </c>
      <c r="AF610" s="2" t="s">
        <v>394</v>
      </c>
      <c r="AG610" s="2">
        <v>60</v>
      </c>
      <c r="AK610" s="2" t="s">
        <v>95</v>
      </c>
      <c r="AM610" s="2" t="s">
        <v>96</v>
      </c>
      <c r="AN610" s="2" t="s">
        <v>95</v>
      </c>
      <c r="AO610" s="2" t="s">
        <v>95</v>
      </c>
      <c r="AP610" s="2" t="s">
        <v>97</v>
      </c>
      <c r="AQ610" s="2" t="s">
        <v>98</v>
      </c>
      <c r="AV610" s="2" t="s">
        <v>95</v>
      </c>
      <c r="AX610" s="2" t="s">
        <v>2758</v>
      </c>
      <c r="AZ610" s="2" t="s">
        <v>342</v>
      </c>
      <c r="BB610" s="2" t="s">
        <v>2759</v>
      </c>
      <c r="BC610" s="2" t="s">
        <v>379</v>
      </c>
      <c r="BF610" s="2" t="s">
        <v>2760</v>
      </c>
      <c r="BG610" s="2" t="s">
        <v>95</v>
      </c>
      <c r="BH610" s="2" t="s">
        <v>95</v>
      </c>
      <c r="BI610" s="2" t="s">
        <v>95</v>
      </c>
      <c r="BK610" s="2" t="s">
        <v>100</v>
      </c>
      <c r="BQ610" s="2">
        <v>4.75</v>
      </c>
      <c r="BR610" s="2">
        <v>0.75</v>
      </c>
      <c r="CA610" s="2" t="s">
        <v>2761</v>
      </c>
      <c r="CB610" s="2" t="s">
        <v>2758</v>
      </c>
      <c r="CL610" s="2" t="s">
        <v>96</v>
      </c>
      <c r="CM610" s="2" t="s">
        <v>96</v>
      </c>
      <c r="CN610" s="2" t="s">
        <v>2762</v>
      </c>
      <c r="CO610" s="3">
        <v>40263</v>
      </c>
      <c r="CP610" s="3">
        <v>43634</v>
      </c>
    </row>
    <row r="611" spans="1:94" x14ac:dyDescent="0.25">
      <c r="A611" s="2" t="s">
        <v>2763</v>
      </c>
      <c r="B611" s="2" t="str">
        <f xml:space="preserve"> "" &amp; 844349014133</f>
        <v>844349014133</v>
      </c>
      <c r="C611" s="2" t="s">
        <v>526</v>
      </c>
      <c r="D611" s="2" t="s">
        <v>526</v>
      </c>
      <c r="F611" s="2" t="s">
        <v>418</v>
      </c>
      <c r="G611" s="2">
        <v>1</v>
      </c>
      <c r="H611" s="2">
        <v>1</v>
      </c>
      <c r="I611" s="2" t="s">
        <v>94</v>
      </c>
      <c r="J611" s="6">
        <v>115</v>
      </c>
      <c r="K611" s="6">
        <v>345</v>
      </c>
      <c r="L611" s="2">
        <v>0</v>
      </c>
      <c r="N611" s="2">
        <v>0</v>
      </c>
      <c r="Q611" s="6"/>
      <c r="R611" s="7"/>
      <c r="S611" s="2">
        <v>12</v>
      </c>
      <c r="T611" s="2">
        <v>14.5</v>
      </c>
      <c r="U611" s="2">
        <v>5.75</v>
      </c>
      <c r="V611" s="2">
        <v>3.25</v>
      </c>
      <c r="W611" s="2">
        <v>6.61</v>
      </c>
      <c r="X611" s="2">
        <v>1</v>
      </c>
      <c r="Y611" s="2">
        <v>7.88</v>
      </c>
      <c r="Z611" s="2">
        <v>14.5</v>
      </c>
      <c r="AA611" s="2">
        <v>6.25</v>
      </c>
      <c r="AB611" s="2">
        <v>0.41299999999999998</v>
      </c>
      <c r="AC611" s="2">
        <v>9.7899999999999991</v>
      </c>
      <c r="AE611" s="2">
        <v>1</v>
      </c>
      <c r="AF611" s="2" t="s">
        <v>2764</v>
      </c>
      <c r="AG611" s="2">
        <v>12</v>
      </c>
      <c r="AK611" s="2" t="s">
        <v>96</v>
      </c>
      <c r="AM611" s="2" t="s">
        <v>95</v>
      </c>
      <c r="AN611" s="2" t="s">
        <v>95</v>
      </c>
      <c r="AO611" s="2" t="s">
        <v>95</v>
      </c>
      <c r="AP611" s="2" t="s">
        <v>97</v>
      </c>
      <c r="AQ611" s="2" t="s">
        <v>98</v>
      </c>
      <c r="AV611" s="2" t="s">
        <v>95</v>
      </c>
      <c r="AX611" s="2" t="s">
        <v>883</v>
      </c>
      <c r="AZ611" s="2" t="s">
        <v>342</v>
      </c>
      <c r="BB611" s="2" t="s">
        <v>54</v>
      </c>
      <c r="BC611" s="2" t="s">
        <v>865</v>
      </c>
      <c r="BF611" s="2" t="s">
        <v>2765</v>
      </c>
      <c r="BG611" s="2" t="s">
        <v>95</v>
      </c>
      <c r="BH611" s="2" t="s">
        <v>95</v>
      </c>
      <c r="BI611" s="2" t="s">
        <v>95</v>
      </c>
      <c r="BK611" s="2" t="s">
        <v>414</v>
      </c>
      <c r="CA611" s="2" t="s">
        <v>2766</v>
      </c>
      <c r="CB611" s="2" t="s">
        <v>883</v>
      </c>
      <c r="CG611" s="2">
        <v>3000</v>
      </c>
      <c r="CH611" s="2">
        <v>81</v>
      </c>
      <c r="CI611" s="2">
        <v>1055</v>
      </c>
      <c r="CJ611" s="2">
        <v>603.29999999999995</v>
      </c>
      <c r="CK611" s="2">
        <v>30000</v>
      </c>
      <c r="CL611" s="2" t="s">
        <v>96</v>
      </c>
      <c r="CM611" s="2" t="s">
        <v>95</v>
      </c>
      <c r="CN611" s="2" t="s">
        <v>2767</v>
      </c>
      <c r="CO611" s="3">
        <v>41866</v>
      </c>
      <c r="CP611" s="3">
        <v>43634</v>
      </c>
    </row>
    <row r="612" spans="1:94" x14ac:dyDescent="0.25">
      <c r="A612" s="2" t="s">
        <v>2768</v>
      </c>
      <c r="B612" s="2" t="str">
        <f xml:space="preserve"> "" &amp; 844349008286</f>
        <v>844349008286</v>
      </c>
      <c r="C612" s="2" t="s">
        <v>1691</v>
      </c>
      <c r="D612" s="2" t="s">
        <v>1691</v>
      </c>
      <c r="F612" s="2" t="s">
        <v>418</v>
      </c>
      <c r="G612" s="2">
        <v>1</v>
      </c>
      <c r="H612" s="2">
        <v>1</v>
      </c>
      <c r="I612" s="2" t="s">
        <v>94</v>
      </c>
      <c r="J612" s="6">
        <v>63</v>
      </c>
      <c r="K612" s="6">
        <v>189</v>
      </c>
      <c r="L612" s="2">
        <v>0</v>
      </c>
      <c r="N612" s="2">
        <v>0</v>
      </c>
      <c r="O612" s="2" t="s">
        <v>96</v>
      </c>
      <c r="P612" s="6">
        <v>131.94999999999999</v>
      </c>
      <c r="Q612" s="6"/>
      <c r="R612" s="7"/>
      <c r="S612" s="2">
        <v>18.5</v>
      </c>
      <c r="T612" s="2">
        <v>20.5</v>
      </c>
      <c r="U612" s="2">
        <v>6.75</v>
      </c>
      <c r="V612" s="2">
        <v>3</v>
      </c>
      <c r="W612" s="2">
        <v>5.45</v>
      </c>
      <c r="X612" s="2">
        <v>1</v>
      </c>
      <c r="Y612" s="2">
        <v>7.88</v>
      </c>
      <c r="Z612" s="2">
        <v>20.5</v>
      </c>
      <c r="AA612" s="2">
        <v>8.25</v>
      </c>
      <c r="AB612" s="2">
        <v>0.77100000000000002</v>
      </c>
      <c r="AC612" s="2">
        <v>10.89</v>
      </c>
      <c r="AE612" s="2">
        <v>2</v>
      </c>
      <c r="AF612" s="2" t="s">
        <v>1289</v>
      </c>
      <c r="AG612" s="2">
        <v>40</v>
      </c>
      <c r="AK612" s="2" t="s">
        <v>95</v>
      </c>
      <c r="AM612" s="2" t="s">
        <v>96</v>
      </c>
      <c r="AN612" s="2" t="s">
        <v>95</v>
      </c>
      <c r="AO612" s="2" t="s">
        <v>95</v>
      </c>
      <c r="AP612" s="2" t="s">
        <v>97</v>
      </c>
      <c r="AQ612" s="2" t="s">
        <v>98</v>
      </c>
      <c r="AV612" s="2" t="s">
        <v>95</v>
      </c>
      <c r="AX612" s="2" t="s">
        <v>883</v>
      </c>
      <c r="AZ612" s="2" t="s">
        <v>342</v>
      </c>
      <c r="BB612" s="2" t="s">
        <v>54</v>
      </c>
      <c r="BC612" s="2" t="s">
        <v>865</v>
      </c>
      <c r="BF612" s="2" t="s">
        <v>2769</v>
      </c>
      <c r="BG612" s="2" t="s">
        <v>95</v>
      </c>
      <c r="BH612" s="2" t="s">
        <v>96</v>
      </c>
      <c r="BI612" s="2" t="s">
        <v>95</v>
      </c>
      <c r="BK612" s="2" t="s">
        <v>414</v>
      </c>
      <c r="BL612" s="2" t="s">
        <v>350</v>
      </c>
      <c r="BR612" s="2">
        <v>4.25</v>
      </c>
      <c r="BT612" s="2">
        <v>4.25</v>
      </c>
      <c r="CA612" s="2" t="s">
        <v>2770</v>
      </c>
      <c r="CB612" s="2" t="s">
        <v>883</v>
      </c>
      <c r="CL612" s="2" t="s">
        <v>96</v>
      </c>
      <c r="CM612" s="2" t="s">
        <v>95</v>
      </c>
      <c r="CN612" s="2" t="s">
        <v>2632</v>
      </c>
      <c r="CO612" s="3">
        <v>40263</v>
      </c>
      <c r="CP612" s="3">
        <v>43634</v>
      </c>
    </row>
    <row r="613" spans="1:94" x14ac:dyDescent="0.25">
      <c r="A613" s="2" t="s">
        <v>2771</v>
      </c>
      <c r="B613" s="2" t="str">
        <f xml:space="preserve"> "" &amp; 844349014157</f>
        <v>844349014157</v>
      </c>
      <c r="C613" s="2" t="s">
        <v>526</v>
      </c>
      <c r="D613" s="2" t="s">
        <v>526</v>
      </c>
      <c r="F613" s="2" t="s">
        <v>418</v>
      </c>
      <c r="G613" s="2">
        <v>1</v>
      </c>
      <c r="H613" s="2">
        <v>1</v>
      </c>
      <c r="I613" s="2" t="s">
        <v>94</v>
      </c>
      <c r="J613" s="6">
        <v>129</v>
      </c>
      <c r="K613" s="6">
        <v>387</v>
      </c>
      <c r="L613" s="2">
        <v>0</v>
      </c>
      <c r="N613" s="2">
        <v>0</v>
      </c>
      <c r="O613" s="2" t="s">
        <v>96</v>
      </c>
      <c r="P613" s="6">
        <v>269.95</v>
      </c>
      <c r="Q613" s="6"/>
      <c r="R613" s="7"/>
      <c r="S613" s="2">
        <v>23.75</v>
      </c>
      <c r="T613" s="2">
        <v>26</v>
      </c>
      <c r="U613" s="2">
        <v>5</v>
      </c>
      <c r="V613" s="2">
        <v>4</v>
      </c>
      <c r="W613" s="2">
        <v>7.28</v>
      </c>
      <c r="X613" s="2">
        <v>1</v>
      </c>
      <c r="Y613" s="2">
        <v>8.25</v>
      </c>
      <c r="Z613" s="2">
        <v>26</v>
      </c>
      <c r="AA613" s="2">
        <v>7.5</v>
      </c>
      <c r="AB613" s="2">
        <v>0.93100000000000005</v>
      </c>
      <c r="AC613" s="2">
        <v>12.26</v>
      </c>
      <c r="AE613" s="2">
        <v>1</v>
      </c>
      <c r="AF613" s="2" t="s">
        <v>2772</v>
      </c>
      <c r="AG613" s="2">
        <v>20</v>
      </c>
      <c r="AK613" s="2" t="s">
        <v>96</v>
      </c>
      <c r="AM613" s="2" t="s">
        <v>95</v>
      </c>
      <c r="AN613" s="2" t="s">
        <v>95</v>
      </c>
      <c r="AO613" s="2" t="s">
        <v>95</v>
      </c>
      <c r="AP613" s="2" t="s">
        <v>97</v>
      </c>
      <c r="AQ613" s="2" t="s">
        <v>98</v>
      </c>
      <c r="AV613" s="2" t="s">
        <v>95</v>
      </c>
      <c r="AX613" s="2" t="s">
        <v>395</v>
      </c>
      <c r="AZ613" s="2" t="s">
        <v>342</v>
      </c>
      <c r="BB613" s="2" t="s">
        <v>54</v>
      </c>
      <c r="BC613" s="2" t="s">
        <v>865</v>
      </c>
      <c r="BF613" s="2" t="s">
        <v>2773</v>
      </c>
      <c r="BG613" s="2" t="s">
        <v>95</v>
      </c>
      <c r="BH613" s="2" t="s">
        <v>95</v>
      </c>
      <c r="BI613" s="2" t="s">
        <v>95</v>
      </c>
      <c r="BK613" s="2" t="s">
        <v>414</v>
      </c>
      <c r="BR613" s="2">
        <v>4.5</v>
      </c>
      <c r="BT613" s="2">
        <v>22</v>
      </c>
      <c r="CA613" s="2">
        <v>564</v>
      </c>
      <c r="CB613" s="2" t="s">
        <v>395</v>
      </c>
      <c r="CG613" s="2">
        <v>3000</v>
      </c>
      <c r="CH613" s="2">
        <v>92</v>
      </c>
      <c r="CI613" s="2">
        <v>1768</v>
      </c>
      <c r="CJ613" s="2">
        <v>1131</v>
      </c>
      <c r="CK613" s="2">
        <v>30000</v>
      </c>
      <c r="CL613" s="2" t="s">
        <v>96</v>
      </c>
      <c r="CM613" s="2" t="s">
        <v>95</v>
      </c>
      <c r="CN613" s="2" t="s">
        <v>2774</v>
      </c>
      <c r="CO613" s="3">
        <v>41339</v>
      </c>
      <c r="CP613" s="3">
        <v>43634</v>
      </c>
    </row>
    <row r="614" spans="1:94" x14ac:dyDescent="0.25">
      <c r="A614" s="2" t="s">
        <v>2775</v>
      </c>
      <c r="B614" s="2" t="str">
        <f xml:space="preserve"> "" &amp; 844349008255</f>
        <v>844349008255</v>
      </c>
      <c r="C614" s="2" t="s">
        <v>1691</v>
      </c>
      <c r="D614" s="2" t="s">
        <v>1691</v>
      </c>
      <c r="F614" s="2" t="s">
        <v>418</v>
      </c>
      <c r="G614" s="2">
        <v>1</v>
      </c>
      <c r="H614" s="2">
        <v>1</v>
      </c>
      <c r="I614" s="2" t="s">
        <v>94</v>
      </c>
      <c r="J614" s="6">
        <v>52</v>
      </c>
      <c r="K614" s="6">
        <v>156</v>
      </c>
      <c r="L614" s="2">
        <v>0</v>
      </c>
      <c r="N614" s="2">
        <v>0</v>
      </c>
      <c r="O614" s="2" t="s">
        <v>96</v>
      </c>
      <c r="P614" s="6">
        <v>108.95</v>
      </c>
      <c r="Q614" s="6"/>
      <c r="R614" s="7"/>
      <c r="S614" s="2">
        <v>16</v>
      </c>
      <c r="T614" s="2">
        <v>19.63</v>
      </c>
      <c r="U614" s="2">
        <v>4.18</v>
      </c>
      <c r="V614" s="2">
        <v>3.75</v>
      </c>
      <c r="W614" s="2">
        <v>3.13</v>
      </c>
      <c r="X614" s="2">
        <v>1</v>
      </c>
      <c r="Y614" s="2">
        <v>7.88</v>
      </c>
      <c r="Z614" s="2">
        <v>19.63</v>
      </c>
      <c r="AA614" s="2">
        <v>6.25</v>
      </c>
      <c r="AB614" s="2">
        <v>0.55900000000000005</v>
      </c>
      <c r="AC614" s="2">
        <v>4.01</v>
      </c>
      <c r="AE614" s="2">
        <v>2</v>
      </c>
      <c r="AF614" s="2" t="s">
        <v>1289</v>
      </c>
      <c r="AG614" s="2">
        <v>40</v>
      </c>
      <c r="AK614" s="2" t="s">
        <v>95</v>
      </c>
      <c r="AL614" s="2">
        <v>1</v>
      </c>
      <c r="AM614" s="2" t="s">
        <v>96</v>
      </c>
      <c r="AN614" s="2" t="s">
        <v>95</v>
      </c>
      <c r="AO614" s="2" t="s">
        <v>95</v>
      </c>
      <c r="AP614" s="2" t="s">
        <v>97</v>
      </c>
      <c r="AQ614" s="2" t="s">
        <v>98</v>
      </c>
      <c r="AV614" s="2" t="s">
        <v>95</v>
      </c>
      <c r="AX614" s="2" t="s">
        <v>395</v>
      </c>
      <c r="AZ614" s="2" t="s">
        <v>342</v>
      </c>
      <c r="BB614" s="2" t="s">
        <v>329</v>
      </c>
      <c r="BC614" s="2" t="s">
        <v>865</v>
      </c>
      <c r="BF614" s="2" t="s">
        <v>2776</v>
      </c>
      <c r="BG614" s="2" t="s">
        <v>95</v>
      </c>
      <c r="BH614" s="2" t="s">
        <v>96</v>
      </c>
      <c r="BI614" s="2" t="s">
        <v>95</v>
      </c>
      <c r="BK614" s="2" t="s">
        <v>414</v>
      </c>
      <c r="BL614" s="2" t="s">
        <v>421</v>
      </c>
      <c r="BR614" s="2">
        <v>4.25</v>
      </c>
      <c r="BT614" s="2">
        <v>4.25</v>
      </c>
      <c r="CA614" s="2" t="s">
        <v>2777</v>
      </c>
      <c r="CB614" s="2" t="s">
        <v>395</v>
      </c>
      <c r="CL614" s="2" t="s">
        <v>96</v>
      </c>
      <c r="CM614" s="2" t="s">
        <v>95</v>
      </c>
      <c r="CN614" s="2" t="s">
        <v>2632</v>
      </c>
      <c r="CO614" s="3">
        <v>40263</v>
      </c>
      <c r="CP614" s="3">
        <v>43634</v>
      </c>
    </row>
    <row r="615" spans="1:94" x14ac:dyDescent="0.25">
      <c r="A615" s="2" t="s">
        <v>2778</v>
      </c>
      <c r="B615" s="2" t="str">
        <f xml:space="preserve"> "" &amp; 844349019824</f>
        <v>844349019824</v>
      </c>
      <c r="C615" s="2" t="s">
        <v>417</v>
      </c>
      <c r="D615" s="2" t="s">
        <v>2779</v>
      </c>
      <c r="E615" s="2" t="s">
        <v>2780</v>
      </c>
      <c r="F615" s="2" t="s">
        <v>418</v>
      </c>
      <c r="G615" s="2">
        <v>1</v>
      </c>
      <c r="H615" s="2">
        <v>1</v>
      </c>
      <c r="I615" s="2" t="s">
        <v>94</v>
      </c>
      <c r="J615" s="6">
        <v>57</v>
      </c>
      <c r="K615" s="6">
        <v>171</v>
      </c>
      <c r="L615" s="2">
        <v>0</v>
      </c>
      <c r="N615" s="2">
        <v>0</v>
      </c>
      <c r="O615" s="2" t="s">
        <v>96</v>
      </c>
      <c r="P615" s="6">
        <v>119.95</v>
      </c>
      <c r="Q615" s="6"/>
      <c r="R615" s="7"/>
      <c r="S615" s="2">
        <v>9.5</v>
      </c>
      <c r="U615" s="2">
        <v>5</v>
      </c>
      <c r="V615" s="2">
        <v>6.75</v>
      </c>
      <c r="W615" s="2">
        <v>1.9</v>
      </c>
      <c r="X615" s="2">
        <v>1</v>
      </c>
      <c r="Y615" s="2">
        <v>8.5</v>
      </c>
      <c r="Z615" s="2">
        <v>12.5</v>
      </c>
      <c r="AA615" s="2">
        <v>9.5</v>
      </c>
      <c r="AB615" s="2">
        <v>0.58399999999999996</v>
      </c>
      <c r="AC615" s="2">
        <v>2.8</v>
      </c>
      <c r="AE615" s="2">
        <v>1</v>
      </c>
      <c r="AF615" s="2" t="s">
        <v>2781</v>
      </c>
      <c r="AG615" s="2">
        <v>100</v>
      </c>
      <c r="AK615" s="2" t="s">
        <v>95</v>
      </c>
      <c r="AL615" s="2">
        <v>1</v>
      </c>
      <c r="AM615" s="2" t="s">
        <v>95</v>
      </c>
      <c r="AN615" s="2" t="s">
        <v>95</v>
      </c>
      <c r="AO615" s="2" t="s">
        <v>96</v>
      </c>
      <c r="AP615" s="2" t="s">
        <v>97</v>
      </c>
      <c r="AQ615" s="2" t="s">
        <v>98</v>
      </c>
      <c r="AV615" s="2" t="s">
        <v>95</v>
      </c>
      <c r="AX615" s="2" t="s">
        <v>116</v>
      </c>
      <c r="AZ615" s="2" t="s">
        <v>483</v>
      </c>
      <c r="BB615" s="2" t="s">
        <v>329</v>
      </c>
      <c r="BC615" s="2" t="s">
        <v>593</v>
      </c>
      <c r="BF615" s="2" t="s">
        <v>2782</v>
      </c>
      <c r="BG615" s="2" t="s">
        <v>95</v>
      </c>
      <c r="BH615" s="2" t="s">
        <v>95</v>
      </c>
      <c r="BI615" s="2" t="s">
        <v>95</v>
      </c>
      <c r="BK615" s="2" t="s">
        <v>414</v>
      </c>
      <c r="BL615" s="2" t="s">
        <v>476</v>
      </c>
      <c r="BM615" s="2">
        <v>5</v>
      </c>
      <c r="BN615" s="2">
        <v>5</v>
      </c>
      <c r="BO615" s="2">
        <v>5</v>
      </c>
      <c r="BP615" s="2">
        <v>5</v>
      </c>
      <c r="CA615" s="2" t="s">
        <v>2783</v>
      </c>
      <c r="CB615" s="2" t="s">
        <v>116</v>
      </c>
      <c r="CL615" s="2" t="s">
        <v>96</v>
      </c>
      <c r="CM615" s="2" t="s">
        <v>95</v>
      </c>
      <c r="CN615" s="2" t="s">
        <v>460</v>
      </c>
      <c r="CO615" s="3">
        <v>42325</v>
      </c>
      <c r="CP615" s="3">
        <v>43634</v>
      </c>
    </row>
    <row r="616" spans="1:94" x14ac:dyDescent="0.25">
      <c r="A616" s="2" t="s">
        <v>2784</v>
      </c>
      <c r="B616" s="2" t="str">
        <f xml:space="preserve"> "" &amp; 844349019831</f>
        <v>844349019831</v>
      </c>
      <c r="C616" s="2" t="s">
        <v>391</v>
      </c>
      <c r="D616" s="2" t="s">
        <v>2785</v>
      </c>
      <c r="E616" s="2" t="s">
        <v>2780</v>
      </c>
      <c r="F616" s="2" t="s">
        <v>393</v>
      </c>
      <c r="G616" s="2">
        <v>1</v>
      </c>
      <c r="H616" s="2">
        <v>1</v>
      </c>
      <c r="I616" s="2" t="s">
        <v>94</v>
      </c>
      <c r="J616" s="6">
        <v>64</v>
      </c>
      <c r="K616" s="6">
        <v>192</v>
      </c>
      <c r="L616" s="2">
        <v>0</v>
      </c>
      <c r="N616" s="2">
        <v>0</v>
      </c>
      <c r="O616" s="2" t="s">
        <v>96</v>
      </c>
      <c r="P616" s="6">
        <v>134.94999999999999</v>
      </c>
      <c r="Q616" s="6"/>
      <c r="R616" s="7"/>
      <c r="S616" s="2">
        <v>5.5</v>
      </c>
      <c r="T616" s="2">
        <v>5</v>
      </c>
      <c r="U616" s="2">
        <v>5</v>
      </c>
      <c r="W616" s="2">
        <v>2.93</v>
      </c>
      <c r="X616" s="2">
        <v>1</v>
      </c>
      <c r="Y616" s="2">
        <v>8</v>
      </c>
      <c r="Z616" s="2">
        <v>17</v>
      </c>
      <c r="AA616" s="2">
        <v>9.5</v>
      </c>
      <c r="AB616" s="2">
        <v>0.748</v>
      </c>
      <c r="AC616" s="2">
        <v>3.97</v>
      </c>
      <c r="AE616" s="2">
        <v>1</v>
      </c>
      <c r="AF616" s="2" t="s">
        <v>2781</v>
      </c>
      <c r="AG616" s="2">
        <v>100</v>
      </c>
      <c r="AK616" s="2" t="s">
        <v>95</v>
      </c>
      <c r="AM616" s="2" t="s">
        <v>95</v>
      </c>
      <c r="AN616" s="2" t="s">
        <v>95</v>
      </c>
      <c r="AO616" s="2" t="s">
        <v>96</v>
      </c>
      <c r="AP616" s="2" t="s">
        <v>97</v>
      </c>
      <c r="AQ616" s="2" t="s">
        <v>98</v>
      </c>
      <c r="AV616" s="2" t="s">
        <v>95</v>
      </c>
      <c r="AX616" s="2" t="s">
        <v>116</v>
      </c>
      <c r="AZ616" s="2" t="s">
        <v>483</v>
      </c>
      <c r="BB616" s="2" t="s">
        <v>329</v>
      </c>
      <c r="BC616" s="2" t="s">
        <v>593</v>
      </c>
      <c r="BF616" s="2" t="s">
        <v>2786</v>
      </c>
      <c r="BG616" s="2" t="s">
        <v>95</v>
      </c>
      <c r="BH616" s="2" t="s">
        <v>95</v>
      </c>
      <c r="BI616" s="2" t="s">
        <v>95</v>
      </c>
      <c r="BK616" s="2" t="s">
        <v>100</v>
      </c>
      <c r="BQ616" s="2">
        <v>4.75</v>
      </c>
      <c r="BR616" s="2">
        <v>0.75</v>
      </c>
      <c r="BS616" s="2">
        <v>4.75</v>
      </c>
      <c r="BT616" s="2">
        <v>4.75</v>
      </c>
      <c r="CA616" s="2" t="s">
        <v>2787</v>
      </c>
      <c r="CB616" s="2" t="s">
        <v>116</v>
      </c>
      <c r="CL616" s="2" t="s">
        <v>96</v>
      </c>
      <c r="CM616" s="2" t="s">
        <v>96</v>
      </c>
      <c r="CN616" s="2" t="s">
        <v>460</v>
      </c>
      <c r="CO616" s="3">
        <v>42325</v>
      </c>
      <c r="CP616" s="3">
        <v>43634</v>
      </c>
    </row>
    <row r="617" spans="1:94" x14ac:dyDescent="0.25">
      <c r="A617" s="2" t="s">
        <v>2788</v>
      </c>
      <c r="B617" s="2" t="str">
        <f xml:space="preserve"> "" &amp; 844349019848</f>
        <v>844349019848</v>
      </c>
      <c r="C617" s="2" t="s">
        <v>996</v>
      </c>
      <c r="D617" s="2" t="s">
        <v>2789</v>
      </c>
      <c r="E617" s="2" t="s">
        <v>2780</v>
      </c>
      <c r="F617" s="2" t="s">
        <v>658</v>
      </c>
      <c r="G617" s="2">
        <v>1</v>
      </c>
      <c r="H617" s="2">
        <v>1</v>
      </c>
      <c r="I617" s="2" t="s">
        <v>94</v>
      </c>
      <c r="J617" s="6">
        <v>79</v>
      </c>
      <c r="K617" s="6">
        <v>237</v>
      </c>
      <c r="L617" s="2">
        <v>0</v>
      </c>
      <c r="N617" s="2">
        <v>0</v>
      </c>
      <c r="O617" s="2" t="s">
        <v>96</v>
      </c>
      <c r="P617" s="6">
        <v>165.95</v>
      </c>
      <c r="Q617" s="6"/>
      <c r="R617" s="7"/>
      <c r="S617" s="2">
        <v>5.5</v>
      </c>
      <c r="U617" s="2">
        <v>16.5</v>
      </c>
      <c r="V617" s="2">
        <v>5</v>
      </c>
      <c r="W617" s="2">
        <v>4.9800000000000004</v>
      </c>
      <c r="X617" s="2">
        <v>1</v>
      </c>
      <c r="Y617" s="2">
        <v>8.75</v>
      </c>
      <c r="Z617" s="2">
        <v>19.5</v>
      </c>
      <c r="AA617" s="2">
        <v>11</v>
      </c>
      <c r="AB617" s="2">
        <v>1.0860000000000001</v>
      </c>
      <c r="AC617" s="2">
        <v>6.83</v>
      </c>
      <c r="AE617" s="2">
        <v>2</v>
      </c>
      <c r="AF617" s="2" t="s">
        <v>2781</v>
      </c>
      <c r="AG617" s="2">
        <v>60</v>
      </c>
      <c r="AK617" s="2" t="s">
        <v>95</v>
      </c>
      <c r="AM617" s="2" t="s">
        <v>95</v>
      </c>
      <c r="AN617" s="2" t="s">
        <v>95</v>
      </c>
      <c r="AO617" s="2" t="s">
        <v>96</v>
      </c>
      <c r="AP617" s="2" t="s">
        <v>97</v>
      </c>
      <c r="AQ617" s="2" t="s">
        <v>98</v>
      </c>
      <c r="AV617" s="2" t="s">
        <v>95</v>
      </c>
      <c r="AX617" s="2" t="s">
        <v>116</v>
      </c>
      <c r="AZ617" s="2" t="s">
        <v>483</v>
      </c>
      <c r="BB617" s="2" t="s">
        <v>329</v>
      </c>
      <c r="BC617" s="2" t="s">
        <v>593</v>
      </c>
      <c r="BF617" s="2" t="s">
        <v>2790</v>
      </c>
      <c r="BG617" s="2" t="s">
        <v>95</v>
      </c>
      <c r="BH617" s="2" t="s">
        <v>95</v>
      </c>
      <c r="BI617" s="2" t="s">
        <v>95</v>
      </c>
      <c r="BK617" s="2" t="s">
        <v>414</v>
      </c>
      <c r="BL617" s="2" t="s">
        <v>1105</v>
      </c>
      <c r="BM617" s="2">
        <v>14</v>
      </c>
      <c r="BN617" s="2">
        <v>5</v>
      </c>
      <c r="CA617" s="2" t="s">
        <v>2791</v>
      </c>
      <c r="CB617" s="2" t="s">
        <v>116</v>
      </c>
      <c r="CL617" s="2" t="s">
        <v>96</v>
      </c>
      <c r="CM617" s="2" t="s">
        <v>95</v>
      </c>
      <c r="CN617" s="2" t="s">
        <v>460</v>
      </c>
      <c r="CO617" s="3">
        <v>42325</v>
      </c>
      <c r="CP617" s="3">
        <v>43634</v>
      </c>
    </row>
    <row r="618" spans="1:94" x14ac:dyDescent="0.25">
      <c r="A618" s="2" t="s">
        <v>2792</v>
      </c>
      <c r="B618" s="2" t="str">
        <f xml:space="preserve"> "" &amp; 844349019855</f>
        <v>844349019855</v>
      </c>
      <c r="C618" s="2" t="s">
        <v>1001</v>
      </c>
      <c r="D618" s="2" t="s">
        <v>2793</v>
      </c>
      <c r="E618" s="2" t="s">
        <v>2780</v>
      </c>
      <c r="F618" s="2" t="s">
        <v>658</v>
      </c>
      <c r="G618" s="2">
        <v>1</v>
      </c>
      <c r="H618" s="2">
        <v>1</v>
      </c>
      <c r="I618" s="2" t="s">
        <v>94</v>
      </c>
      <c r="J618" s="6">
        <v>112</v>
      </c>
      <c r="K618" s="6">
        <v>336</v>
      </c>
      <c r="L618" s="2">
        <v>0</v>
      </c>
      <c r="N618" s="2">
        <v>0</v>
      </c>
      <c r="O618" s="2" t="s">
        <v>96</v>
      </c>
      <c r="P618" s="6">
        <v>234.95</v>
      </c>
      <c r="Q618" s="6"/>
      <c r="R618" s="7"/>
      <c r="S618" s="2">
        <v>5.5</v>
      </c>
      <c r="U618" s="2">
        <v>25</v>
      </c>
      <c r="V618" s="2">
        <v>5</v>
      </c>
      <c r="W618" s="2">
        <v>7.63</v>
      </c>
      <c r="X618" s="2">
        <v>1</v>
      </c>
      <c r="Y618" s="2">
        <v>8.5</v>
      </c>
      <c r="Z618" s="2">
        <v>29.5</v>
      </c>
      <c r="AA618" s="2">
        <v>12</v>
      </c>
      <c r="AB618" s="2">
        <v>1.7410000000000001</v>
      </c>
      <c r="AC618" s="2">
        <v>9.9600000000000009</v>
      </c>
      <c r="AE618" s="2">
        <v>3</v>
      </c>
      <c r="AF618" s="2" t="s">
        <v>2781</v>
      </c>
      <c r="AG618" s="2">
        <v>60</v>
      </c>
      <c r="AK618" s="2" t="s">
        <v>95</v>
      </c>
      <c r="AM618" s="2" t="s">
        <v>95</v>
      </c>
      <c r="AN618" s="2" t="s">
        <v>95</v>
      </c>
      <c r="AO618" s="2" t="s">
        <v>96</v>
      </c>
      <c r="AP618" s="2" t="s">
        <v>97</v>
      </c>
      <c r="AQ618" s="2" t="s">
        <v>98</v>
      </c>
      <c r="AV618" s="2" t="s">
        <v>95</v>
      </c>
      <c r="AX618" s="2" t="s">
        <v>116</v>
      </c>
      <c r="AZ618" s="2" t="s">
        <v>483</v>
      </c>
      <c r="BB618" s="2" t="s">
        <v>329</v>
      </c>
      <c r="BC618" s="2" t="s">
        <v>593</v>
      </c>
      <c r="BF618" s="2" t="s">
        <v>2794</v>
      </c>
      <c r="BG618" s="2" t="s">
        <v>95</v>
      </c>
      <c r="BH618" s="2" t="s">
        <v>95</v>
      </c>
      <c r="BI618" s="2" t="s">
        <v>95</v>
      </c>
      <c r="BK618" s="2" t="s">
        <v>414</v>
      </c>
      <c r="BL618" s="2" t="s">
        <v>1105</v>
      </c>
      <c r="BM618" s="2">
        <v>22.38</v>
      </c>
      <c r="BN618" s="2">
        <v>5</v>
      </c>
      <c r="CA618" s="2" t="s">
        <v>2795</v>
      </c>
      <c r="CB618" s="2" t="s">
        <v>116</v>
      </c>
      <c r="CL618" s="2" t="s">
        <v>96</v>
      </c>
      <c r="CM618" s="2" t="s">
        <v>95</v>
      </c>
      <c r="CN618" s="2" t="s">
        <v>552</v>
      </c>
      <c r="CO618" s="3">
        <v>42325</v>
      </c>
      <c r="CP618" s="3">
        <v>43634</v>
      </c>
    </row>
    <row r="619" spans="1:94" x14ac:dyDescent="0.25">
      <c r="A619" s="2" t="s">
        <v>2796</v>
      </c>
      <c r="B619" s="2" t="str">
        <f xml:space="preserve"> "" &amp; 844349019879</f>
        <v>844349019879</v>
      </c>
      <c r="C619" s="2" t="s">
        <v>1795</v>
      </c>
      <c r="D619" s="2" t="s">
        <v>2797</v>
      </c>
      <c r="E619" s="2" t="s">
        <v>2780</v>
      </c>
      <c r="F619" s="2" t="s">
        <v>1126</v>
      </c>
      <c r="G619" s="2">
        <v>1</v>
      </c>
      <c r="H619" s="2">
        <v>1</v>
      </c>
      <c r="I619" s="2" t="s">
        <v>94</v>
      </c>
      <c r="J619" s="6">
        <v>179.95</v>
      </c>
      <c r="K619" s="6">
        <v>539.85</v>
      </c>
      <c r="L619" s="2">
        <v>0</v>
      </c>
      <c r="N619" s="2">
        <v>0</v>
      </c>
      <c r="O619" s="2" t="s">
        <v>96</v>
      </c>
      <c r="P619" s="6">
        <v>377.95</v>
      </c>
      <c r="Q619" s="6"/>
      <c r="R619" s="7"/>
      <c r="S619" s="2">
        <v>18</v>
      </c>
      <c r="T619" s="2">
        <v>24.25</v>
      </c>
      <c r="U619" s="2">
        <v>24.25</v>
      </c>
      <c r="W619" s="2">
        <v>9.57</v>
      </c>
      <c r="X619" s="2">
        <v>1</v>
      </c>
      <c r="Y619" s="2">
        <v>9</v>
      </c>
      <c r="Z619" s="2">
        <v>23</v>
      </c>
      <c r="AA619" s="2">
        <v>23</v>
      </c>
      <c r="AB619" s="2">
        <v>2.7549999999999999</v>
      </c>
      <c r="AC619" s="2">
        <v>12.94</v>
      </c>
      <c r="AE619" s="2">
        <v>5</v>
      </c>
      <c r="AF619" s="2" t="s">
        <v>2798</v>
      </c>
      <c r="AG619" s="2">
        <v>60</v>
      </c>
      <c r="AK619" s="2" t="s">
        <v>95</v>
      </c>
      <c r="AL619" s="2">
        <v>5</v>
      </c>
      <c r="AM619" s="2" t="s">
        <v>95</v>
      </c>
      <c r="AN619" s="2" t="s">
        <v>95</v>
      </c>
      <c r="AO619" s="2" t="s">
        <v>96</v>
      </c>
      <c r="AP619" s="2" t="s">
        <v>97</v>
      </c>
      <c r="AQ619" s="2" t="s">
        <v>98</v>
      </c>
      <c r="AV619" s="2" t="s">
        <v>95</v>
      </c>
      <c r="AX619" s="2" t="s">
        <v>116</v>
      </c>
      <c r="AZ619" s="2" t="s">
        <v>483</v>
      </c>
      <c r="BB619" s="2" t="s">
        <v>329</v>
      </c>
      <c r="BC619" s="2" t="s">
        <v>565</v>
      </c>
      <c r="BF619" s="2" t="s">
        <v>2799</v>
      </c>
      <c r="BG619" s="2" t="s">
        <v>95</v>
      </c>
      <c r="BH619" s="2" t="s">
        <v>95</v>
      </c>
      <c r="BI619" s="2" t="s">
        <v>95</v>
      </c>
      <c r="BK619" s="2" t="s">
        <v>100</v>
      </c>
      <c r="BR619" s="2">
        <v>0.75</v>
      </c>
      <c r="BS619" s="2">
        <v>4.75</v>
      </c>
      <c r="BT619" s="2">
        <v>4.75</v>
      </c>
      <c r="CA619" s="2" t="s">
        <v>2800</v>
      </c>
      <c r="CB619" s="2" t="s">
        <v>116</v>
      </c>
      <c r="CL619" s="2" t="s">
        <v>96</v>
      </c>
      <c r="CM619" s="2" t="s">
        <v>96</v>
      </c>
      <c r="CN619" s="2" t="s">
        <v>460</v>
      </c>
      <c r="CO619" s="3">
        <v>42325</v>
      </c>
      <c r="CP619" s="3">
        <v>43634</v>
      </c>
    </row>
    <row r="620" spans="1:94" x14ac:dyDescent="0.25">
      <c r="A620" s="2" t="s">
        <v>2801</v>
      </c>
      <c r="B620" s="2" t="str">
        <f xml:space="preserve"> "" &amp; 844349020318</f>
        <v>844349020318</v>
      </c>
      <c r="C620" s="2" t="s">
        <v>2368</v>
      </c>
      <c r="D620" s="2" t="s">
        <v>2802</v>
      </c>
      <c r="E620" s="2" t="s">
        <v>1495</v>
      </c>
      <c r="F620" s="2" t="s">
        <v>658</v>
      </c>
      <c r="G620" s="2">
        <v>1</v>
      </c>
      <c r="H620" s="2">
        <v>1</v>
      </c>
      <c r="I620" s="2" t="s">
        <v>94</v>
      </c>
      <c r="J620" s="6">
        <v>88</v>
      </c>
      <c r="K620" s="6">
        <v>264</v>
      </c>
      <c r="L620" s="2">
        <v>0</v>
      </c>
      <c r="N620" s="2">
        <v>0</v>
      </c>
      <c r="O620" s="2" t="s">
        <v>96</v>
      </c>
      <c r="P620" s="6">
        <v>184.95</v>
      </c>
      <c r="Q620" s="6"/>
      <c r="R620" s="7"/>
      <c r="S620" s="2">
        <v>5.75</v>
      </c>
      <c r="U620" s="2">
        <v>8</v>
      </c>
      <c r="V620" s="2">
        <v>3.25</v>
      </c>
      <c r="W620" s="2">
        <v>3.59</v>
      </c>
      <c r="X620" s="2">
        <v>1</v>
      </c>
      <c r="Y620" s="2">
        <v>8.5</v>
      </c>
      <c r="Z620" s="2">
        <v>10.63</v>
      </c>
      <c r="AA620" s="2">
        <v>7.13</v>
      </c>
      <c r="AB620" s="2">
        <v>0.373</v>
      </c>
      <c r="AC620" s="2">
        <v>4.3</v>
      </c>
      <c r="AE620" s="2">
        <v>1</v>
      </c>
      <c r="AF620" s="2" t="s">
        <v>1496</v>
      </c>
      <c r="AG620" s="2">
        <v>11</v>
      </c>
      <c r="AK620" s="2" t="s">
        <v>96</v>
      </c>
      <c r="AM620" s="2" t="s">
        <v>95</v>
      </c>
      <c r="AN620" s="2" t="s">
        <v>96</v>
      </c>
      <c r="AO620" s="2" t="s">
        <v>95</v>
      </c>
      <c r="AP620" s="2" t="s">
        <v>97</v>
      </c>
      <c r="AQ620" s="2" t="s">
        <v>98</v>
      </c>
      <c r="AV620" s="2" t="s">
        <v>95</v>
      </c>
      <c r="AX620" s="2" t="s">
        <v>116</v>
      </c>
      <c r="AZ620" s="2" t="s">
        <v>483</v>
      </c>
      <c r="BB620" s="2" t="s">
        <v>348</v>
      </c>
      <c r="BC620" s="2" t="s">
        <v>1313</v>
      </c>
      <c r="BF620" s="2" t="s">
        <v>2803</v>
      </c>
      <c r="BG620" s="2" t="s">
        <v>95</v>
      </c>
      <c r="BH620" s="2" t="s">
        <v>95</v>
      </c>
      <c r="BI620" s="2" t="s">
        <v>95</v>
      </c>
      <c r="BK620" s="2" t="s">
        <v>414</v>
      </c>
      <c r="BL620" s="2" t="s">
        <v>993</v>
      </c>
      <c r="BM620" s="2">
        <v>8</v>
      </c>
      <c r="BN620" s="2">
        <v>5</v>
      </c>
      <c r="CA620" s="2" t="s">
        <v>2804</v>
      </c>
      <c r="CB620" s="2" t="s">
        <v>116</v>
      </c>
      <c r="CG620" s="2">
        <v>3000</v>
      </c>
      <c r="CH620" s="2">
        <v>93</v>
      </c>
      <c r="CI620" s="2">
        <v>603.20000000000005</v>
      </c>
      <c r="CJ620" s="2">
        <v>455.6</v>
      </c>
      <c r="CK620" s="2">
        <v>30000</v>
      </c>
      <c r="CL620" s="2" t="s">
        <v>96</v>
      </c>
      <c r="CM620" s="2" t="s">
        <v>95</v>
      </c>
      <c r="CN620" s="2" t="s">
        <v>677</v>
      </c>
      <c r="CO620" s="3">
        <v>42394</v>
      </c>
      <c r="CP620" s="3">
        <v>43634</v>
      </c>
    </row>
    <row r="621" spans="1:94" x14ac:dyDescent="0.25">
      <c r="A621" s="2" t="s">
        <v>2805</v>
      </c>
      <c r="B621" s="2" t="str">
        <f xml:space="preserve"> "" &amp; 844349020325</f>
        <v>844349020325</v>
      </c>
      <c r="C621" s="2" t="s">
        <v>526</v>
      </c>
      <c r="D621" s="2" t="s">
        <v>2802</v>
      </c>
      <c r="E621" s="2" t="s">
        <v>1495</v>
      </c>
      <c r="F621" s="2" t="s">
        <v>658</v>
      </c>
      <c r="G621" s="2">
        <v>1</v>
      </c>
      <c r="H621" s="2">
        <v>1</v>
      </c>
      <c r="I621" s="2" t="s">
        <v>94</v>
      </c>
      <c r="J621" s="6">
        <v>116</v>
      </c>
      <c r="K621" s="6">
        <v>348</v>
      </c>
      <c r="L621" s="2">
        <v>0</v>
      </c>
      <c r="N621" s="2">
        <v>0</v>
      </c>
      <c r="O621" s="2" t="s">
        <v>96</v>
      </c>
      <c r="P621" s="6">
        <v>243.95</v>
      </c>
      <c r="Q621" s="6"/>
      <c r="R621" s="7"/>
      <c r="S621" s="2">
        <v>6</v>
      </c>
      <c r="U621" s="2">
        <v>17</v>
      </c>
      <c r="V621" s="2">
        <v>3.25</v>
      </c>
      <c r="W621" s="2">
        <v>7.61</v>
      </c>
      <c r="X621" s="2">
        <v>1</v>
      </c>
      <c r="Y621" s="2">
        <v>8.5</v>
      </c>
      <c r="Z621" s="2">
        <v>19.63</v>
      </c>
      <c r="AA621" s="2">
        <v>7.5</v>
      </c>
      <c r="AB621" s="2">
        <v>0.72399999999999998</v>
      </c>
      <c r="AC621" s="2">
        <v>8.5299999999999994</v>
      </c>
      <c r="AE621" s="2">
        <v>1</v>
      </c>
      <c r="AF621" s="2" t="s">
        <v>347</v>
      </c>
      <c r="AG621" s="2">
        <v>28</v>
      </c>
      <c r="AK621" s="2" t="s">
        <v>96</v>
      </c>
      <c r="AM621" s="2" t="s">
        <v>95</v>
      </c>
      <c r="AN621" s="2" t="s">
        <v>96</v>
      </c>
      <c r="AO621" s="2" t="s">
        <v>95</v>
      </c>
      <c r="AP621" s="2" t="s">
        <v>97</v>
      </c>
      <c r="AQ621" s="2" t="s">
        <v>98</v>
      </c>
      <c r="AV621" s="2" t="s">
        <v>95</v>
      </c>
      <c r="AX621" s="2" t="s">
        <v>116</v>
      </c>
      <c r="AZ621" s="2" t="s">
        <v>483</v>
      </c>
      <c r="BB621" s="2" t="s">
        <v>348</v>
      </c>
      <c r="BC621" s="2" t="s">
        <v>1313</v>
      </c>
      <c r="BF621" s="2" t="s">
        <v>2806</v>
      </c>
      <c r="BG621" s="2" t="s">
        <v>95</v>
      </c>
      <c r="BH621" s="2" t="s">
        <v>95</v>
      </c>
      <c r="BI621" s="2" t="s">
        <v>95</v>
      </c>
      <c r="BK621" s="2" t="s">
        <v>414</v>
      </c>
      <c r="BL621" s="2" t="s">
        <v>993</v>
      </c>
      <c r="BM621" s="2">
        <v>16.88</v>
      </c>
      <c r="BN621" s="2">
        <v>5</v>
      </c>
      <c r="CA621" s="2" t="s">
        <v>2807</v>
      </c>
      <c r="CB621" s="2" t="s">
        <v>116</v>
      </c>
      <c r="CG621" s="2">
        <v>3000</v>
      </c>
      <c r="CH621" s="2">
        <v>93</v>
      </c>
      <c r="CI621" s="2">
        <v>1453</v>
      </c>
      <c r="CJ621" s="2">
        <v>1018</v>
      </c>
      <c r="CK621" s="2">
        <v>30000</v>
      </c>
      <c r="CL621" s="2" t="s">
        <v>96</v>
      </c>
      <c r="CM621" s="2" t="s">
        <v>95</v>
      </c>
      <c r="CN621" s="2" t="s">
        <v>677</v>
      </c>
      <c r="CO621" s="3">
        <v>42394</v>
      </c>
      <c r="CP621" s="3">
        <v>43634</v>
      </c>
    </row>
    <row r="622" spans="1:94" x14ac:dyDescent="0.25">
      <c r="A622" s="2" t="s">
        <v>2808</v>
      </c>
      <c r="B622" s="2" t="str">
        <f xml:space="preserve"> "" &amp; 844349020332</f>
        <v>844349020332</v>
      </c>
      <c r="C622" s="2" t="s">
        <v>526</v>
      </c>
      <c r="D622" s="2" t="s">
        <v>2802</v>
      </c>
      <c r="E622" s="2" t="s">
        <v>1495</v>
      </c>
      <c r="F622" s="2" t="s">
        <v>658</v>
      </c>
      <c r="G622" s="2">
        <v>1</v>
      </c>
      <c r="H622" s="2">
        <v>1</v>
      </c>
      <c r="I622" s="2" t="s">
        <v>94</v>
      </c>
      <c r="J622" s="6">
        <v>169</v>
      </c>
      <c r="K622" s="6">
        <v>507</v>
      </c>
      <c r="L622" s="2">
        <v>0</v>
      </c>
      <c r="N622" s="2">
        <v>0</v>
      </c>
      <c r="O622" s="2" t="s">
        <v>96</v>
      </c>
      <c r="P622" s="6">
        <v>354.95</v>
      </c>
      <c r="Q622" s="6"/>
      <c r="R622" s="7"/>
      <c r="S622" s="2">
        <v>6</v>
      </c>
      <c r="U622" s="2">
        <v>23</v>
      </c>
      <c r="V622" s="2">
        <v>3.25</v>
      </c>
      <c r="W622" s="2">
        <v>10.38</v>
      </c>
      <c r="X622" s="2">
        <v>1</v>
      </c>
      <c r="Y622" s="2">
        <v>9</v>
      </c>
      <c r="Z622" s="2">
        <v>26.88</v>
      </c>
      <c r="AA622" s="2">
        <v>7.88</v>
      </c>
      <c r="AB622" s="2">
        <v>1.103</v>
      </c>
      <c r="AC622" s="2">
        <v>11.57</v>
      </c>
      <c r="AE622" s="2">
        <v>1</v>
      </c>
      <c r="AF622" s="2" t="s">
        <v>347</v>
      </c>
      <c r="AG622" s="2">
        <v>40</v>
      </c>
      <c r="AK622" s="2" t="s">
        <v>96</v>
      </c>
      <c r="AM622" s="2" t="s">
        <v>95</v>
      </c>
      <c r="AN622" s="2" t="s">
        <v>96</v>
      </c>
      <c r="AO622" s="2" t="s">
        <v>95</v>
      </c>
      <c r="AP622" s="2" t="s">
        <v>97</v>
      </c>
      <c r="AQ622" s="2" t="s">
        <v>98</v>
      </c>
      <c r="AV622" s="2" t="s">
        <v>95</v>
      </c>
      <c r="AX622" s="2" t="s">
        <v>116</v>
      </c>
      <c r="AZ622" s="2" t="s">
        <v>483</v>
      </c>
      <c r="BB622" s="2" t="s">
        <v>348</v>
      </c>
      <c r="BC622" s="2" t="s">
        <v>1313</v>
      </c>
      <c r="BF622" s="2" t="s">
        <v>2809</v>
      </c>
      <c r="BG622" s="2" t="s">
        <v>95</v>
      </c>
      <c r="BH622" s="2" t="s">
        <v>95</v>
      </c>
      <c r="BI622" s="2" t="s">
        <v>95</v>
      </c>
      <c r="BK622" s="2" t="s">
        <v>414</v>
      </c>
      <c r="BL622" s="2" t="s">
        <v>993</v>
      </c>
      <c r="BM622" s="2">
        <v>22.88</v>
      </c>
      <c r="BN622" s="2">
        <v>5</v>
      </c>
      <c r="CA622" s="2" t="s">
        <v>2810</v>
      </c>
      <c r="CB622" s="2" t="s">
        <v>116</v>
      </c>
      <c r="CG622" s="2">
        <v>3000</v>
      </c>
      <c r="CH622" s="2">
        <v>93</v>
      </c>
      <c r="CI622" s="2">
        <v>1775</v>
      </c>
      <c r="CJ622" s="2">
        <v>1471</v>
      </c>
      <c r="CK622" s="2">
        <v>30000</v>
      </c>
      <c r="CL622" s="2" t="s">
        <v>96</v>
      </c>
      <c r="CM622" s="2" t="s">
        <v>95</v>
      </c>
      <c r="CN622" s="2" t="s">
        <v>1500</v>
      </c>
      <c r="CO622" s="3">
        <v>42394</v>
      </c>
      <c r="CP622" s="3">
        <v>43634</v>
      </c>
    </row>
    <row r="623" spans="1:94" x14ac:dyDescent="0.25">
      <c r="A623" s="2" t="s">
        <v>2811</v>
      </c>
      <c r="B623" s="2" t="str">
        <f xml:space="preserve"> "" &amp; 844349020349</f>
        <v>844349020349</v>
      </c>
      <c r="C623" s="2" t="s">
        <v>526</v>
      </c>
      <c r="D623" s="2" t="s">
        <v>2802</v>
      </c>
      <c r="E623" s="2" t="s">
        <v>1495</v>
      </c>
      <c r="F623" s="2" t="s">
        <v>658</v>
      </c>
      <c r="G623" s="2">
        <v>1</v>
      </c>
      <c r="H623" s="2">
        <v>1</v>
      </c>
      <c r="I623" s="2" t="s">
        <v>94</v>
      </c>
      <c r="J623" s="6">
        <v>225</v>
      </c>
      <c r="K623" s="6">
        <v>675</v>
      </c>
      <c r="L623" s="2">
        <v>0</v>
      </c>
      <c r="N623" s="2">
        <v>0</v>
      </c>
      <c r="O623" s="2" t="s">
        <v>96</v>
      </c>
      <c r="P623" s="6">
        <v>472.95</v>
      </c>
      <c r="Q623" s="6"/>
      <c r="R623" s="7"/>
      <c r="S623" s="2">
        <v>6</v>
      </c>
      <c r="U623" s="2">
        <v>32</v>
      </c>
      <c r="V623" s="2">
        <v>3.25</v>
      </c>
      <c r="W623" s="2">
        <v>14.44</v>
      </c>
      <c r="X623" s="2">
        <v>1</v>
      </c>
      <c r="Y623" s="2">
        <v>9</v>
      </c>
      <c r="Z623" s="2">
        <v>35.880000000000003</v>
      </c>
      <c r="AA623" s="2">
        <v>7.88</v>
      </c>
      <c r="AB623" s="2">
        <v>1.4730000000000001</v>
      </c>
      <c r="AC623" s="2">
        <v>15.79</v>
      </c>
      <c r="AE623" s="2">
        <v>1</v>
      </c>
      <c r="AF623" s="2" t="s">
        <v>347</v>
      </c>
      <c r="AG623" s="2">
        <v>54</v>
      </c>
      <c r="AK623" s="2" t="s">
        <v>96</v>
      </c>
      <c r="AM623" s="2" t="s">
        <v>95</v>
      </c>
      <c r="AN623" s="2" t="s">
        <v>96</v>
      </c>
      <c r="AO623" s="2" t="s">
        <v>95</v>
      </c>
      <c r="AP623" s="2" t="s">
        <v>97</v>
      </c>
      <c r="AQ623" s="2" t="s">
        <v>98</v>
      </c>
      <c r="AV623" s="2" t="s">
        <v>95</v>
      </c>
      <c r="AX623" s="2" t="s">
        <v>116</v>
      </c>
      <c r="AZ623" s="2" t="s">
        <v>483</v>
      </c>
      <c r="BB623" s="2" t="s">
        <v>348</v>
      </c>
      <c r="BC623" s="2" t="s">
        <v>1313</v>
      </c>
      <c r="BF623" s="2" t="s">
        <v>2812</v>
      </c>
      <c r="BG623" s="2" t="s">
        <v>95</v>
      </c>
      <c r="BH623" s="2" t="s">
        <v>95</v>
      </c>
      <c r="BI623" s="2" t="s">
        <v>95</v>
      </c>
      <c r="BK623" s="2" t="s">
        <v>414</v>
      </c>
      <c r="BL623" s="2" t="s">
        <v>993</v>
      </c>
      <c r="BM623" s="2">
        <v>31.88</v>
      </c>
      <c r="BN623" s="2">
        <v>5</v>
      </c>
      <c r="CA623" s="2" t="s">
        <v>2813</v>
      </c>
      <c r="CB623" s="2" t="s">
        <v>116</v>
      </c>
      <c r="CG623" s="2">
        <v>3000</v>
      </c>
      <c r="CH623" s="2">
        <v>93</v>
      </c>
      <c r="CI623" s="2">
        <v>2387</v>
      </c>
      <c r="CJ623" s="2">
        <v>1939</v>
      </c>
      <c r="CK623" s="2">
        <v>30000</v>
      </c>
      <c r="CL623" s="2" t="s">
        <v>96</v>
      </c>
      <c r="CM623" s="2" t="s">
        <v>95</v>
      </c>
      <c r="CN623" s="2" t="s">
        <v>1500</v>
      </c>
      <c r="CO623" s="3">
        <v>42394</v>
      </c>
      <c r="CP623" s="3">
        <v>43634</v>
      </c>
    </row>
    <row r="624" spans="1:94" x14ac:dyDescent="0.25">
      <c r="A624" s="2" t="s">
        <v>2814</v>
      </c>
      <c r="B624" s="2" t="str">
        <f xml:space="preserve"> "" &amp; 844349025467</f>
        <v>844349025467</v>
      </c>
      <c r="C624" s="2" t="s">
        <v>655</v>
      </c>
      <c r="D624" s="2" t="s">
        <v>2815</v>
      </c>
      <c r="F624" s="2" t="s">
        <v>340</v>
      </c>
      <c r="G624" s="2">
        <v>1</v>
      </c>
      <c r="H624" s="2">
        <v>1</v>
      </c>
      <c r="I624" s="2" t="s">
        <v>94</v>
      </c>
      <c r="J624" s="6">
        <v>42</v>
      </c>
      <c r="K624" s="6">
        <v>126</v>
      </c>
      <c r="L624" s="2">
        <v>0</v>
      </c>
      <c r="N624" s="2">
        <v>0</v>
      </c>
      <c r="O624" s="2" t="s">
        <v>96</v>
      </c>
      <c r="P624" s="6">
        <v>89.95</v>
      </c>
      <c r="Q624" s="6"/>
      <c r="R624" s="7"/>
      <c r="S624" s="2">
        <v>4.75</v>
      </c>
      <c r="U624" s="2">
        <v>20</v>
      </c>
      <c r="V624" s="2">
        <v>3.25</v>
      </c>
      <c r="W624" s="2">
        <v>1.9</v>
      </c>
      <c r="X624" s="2">
        <v>1</v>
      </c>
      <c r="Y624" s="2">
        <v>5.25</v>
      </c>
      <c r="Z624" s="2">
        <v>21.88</v>
      </c>
      <c r="AA624" s="2">
        <v>8.8800000000000008</v>
      </c>
      <c r="AB624" s="2">
        <v>0.59</v>
      </c>
      <c r="AC624" s="2">
        <v>2.98</v>
      </c>
      <c r="AE624" s="2">
        <v>1</v>
      </c>
      <c r="AF624" s="2" t="s">
        <v>347</v>
      </c>
      <c r="AG624" s="2">
        <v>21</v>
      </c>
      <c r="AK624" s="2" t="s">
        <v>96</v>
      </c>
      <c r="AM624" s="2" t="s">
        <v>95</v>
      </c>
      <c r="AN624" s="2" t="s">
        <v>96</v>
      </c>
      <c r="AO624" s="2" t="s">
        <v>95</v>
      </c>
      <c r="AP624" s="2" t="s">
        <v>97</v>
      </c>
      <c r="AQ624" s="2" t="s">
        <v>98</v>
      </c>
      <c r="AV624" s="2" t="s">
        <v>95</v>
      </c>
      <c r="AX624" s="2" t="s">
        <v>116</v>
      </c>
      <c r="AZ624" s="2" t="s">
        <v>449</v>
      </c>
      <c r="BB624" s="2" t="s">
        <v>329</v>
      </c>
      <c r="BF624" s="2" t="s">
        <v>2816</v>
      </c>
      <c r="BG624" s="2" t="s">
        <v>95</v>
      </c>
      <c r="BH624" s="2" t="s">
        <v>95</v>
      </c>
      <c r="BI624" s="2" t="s">
        <v>95</v>
      </c>
      <c r="BK624" s="2" t="s">
        <v>414</v>
      </c>
      <c r="BM624" s="2">
        <v>7.88</v>
      </c>
      <c r="BN624" s="2">
        <v>4.34</v>
      </c>
      <c r="CA624" s="2" t="s">
        <v>2817</v>
      </c>
      <c r="CB624" s="2" t="s">
        <v>116</v>
      </c>
      <c r="CG624" s="2">
        <v>3000</v>
      </c>
      <c r="CH624" s="2">
        <v>94</v>
      </c>
      <c r="CI624" s="2">
        <v>1724</v>
      </c>
      <c r="CJ624" s="2">
        <v>1248</v>
      </c>
      <c r="CK624" s="2">
        <v>30000</v>
      </c>
      <c r="CL624" s="2" t="s">
        <v>96</v>
      </c>
      <c r="CM624" s="2" t="s">
        <v>95</v>
      </c>
      <c r="CN624" s="2" t="s">
        <v>460</v>
      </c>
      <c r="CO624" s="3">
        <v>43088</v>
      </c>
      <c r="CP624" s="3">
        <v>43634</v>
      </c>
    </row>
    <row r="625" spans="1:94" x14ac:dyDescent="0.25">
      <c r="A625" s="2" t="s">
        <v>2818</v>
      </c>
      <c r="B625" s="2" t="str">
        <f xml:space="preserve"> "" &amp; 844349017561</f>
        <v>844349017561</v>
      </c>
      <c r="C625" s="2" t="s">
        <v>439</v>
      </c>
      <c r="D625" s="2" t="s">
        <v>3686</v>
      </c>
      <c r="E625" s="2" t="s">
        <v>2819</v>
      </c>
      <c r="F625" s="2" t="s">
        <v>393</v>
      </c>
      <c r="G625" s="2">
        <v>1</v>
      </c>
      <c r="H625" s="2">
        <v>1</v>
      </c>
      <c r="I625" s="2" t="s">
        <v>94</v>
      </c>
      <c r="J625" s="6">
        <v>115</v>
      </c>
      <c r="K625" s="6">
        <v>345</v>
      </c>
      <c r="L625" s="2">
        <v>0</v>
      </c>
      <c r="N625" s="2">
        <v>0</v>
      </c>
      <c r="O625" s="2" t="s">
        <v>96</v>
      </c>
      <c r="P625" s="6">
        <v>239.95</v>
      </c>
      <c r="Q625" s="6"/>
      <c r="R625" s="7"/>
      <c r="S625" s="2">
        <v>7.5</v>
      </c>
      <c r="T625" s="2">
        <v>18</v>
      </c>
      <c r="U625" s="2">
        <v>18</v>
      </c>
      <c r="W625" s="2">
        <v>8.82</v>
      </c>
      <c r="X625" s="2">
        <v>1</v>
      </c>
      <c r="Y625" s="2">
        <v>10.24</v>
      </c>
      <c r="Z625" s="2">
        <v>18.899999999999999</v>
      </c>
      <c r="AA625" s="2">
        <v>18.899999999999999</v>
      </c>
      <c r="AB625" s="2">
        <v>2.117</v>
      </c>
      <c r="AC625" s="2">
        <v>12.57</v>
      </c>
      <c r="AE625" s="2">
        <v>3</v>
      </c>
      <c r="AF625" s="2" t="s">
        <v>2820</v>
      </c>
      <c r="AG625" s="2">
        <v>75</v>
      </c>
      <c r="AK625" s="2" t="s">
        <v>95</v>
      </c>
      <c r="AM625" s="2" t="s">
        <v>95</v>
      </c>
      <c r="AN625" s="2" t="s">
        <v>95</v>
      </c>
      <c r="AO625" s="2" t="s">
        <v>95</v>
      </c>
      <c r="AP625" s="2" t="s">
        <v>97</v>
      </c>
      <c r="AQ625" s="2" t="s">
        <v>98</v>
      </c>
      <c r="AV625" s="2" t="s">
        <v>95</v>
      </c>
      <c r="AX625" s="2" t="s">
        <v>116</v>
      </c>
      <c r="AZ625" s="2" t="s">
        <v>342</v>
      </c>
      <c r="BB625" s="2" t="s">
        <v>212</v>
      </c>
      <c r="BC625" s="2" t="s">
        <v>116</v>
      </c>
      <c r="BF625" s="2" t="s">
        <v>2821</v>
      </c>
      <c r="BG625" s="2" t="s">
        <v>95</v>
      </c>
      <c r="BH625" s="2" t="s">
        <v>95</v>
      </c>
      <c r="BI625" s="2" t="s">
        <v>95</v>
      </c>
      <c r="BK625" s="2" t="s">
        <v>100</v>
      </c>
      <c r="BR625" s="2">
        <v>1</v>
      </c>
      <c r="BT625" s="2">
        <v>4.88</v>
      </c>
      <c r="CA625" s="2" t="s">
        <v>2822</v>
      </c>
      <c r="CB625" s="2" t="s">
        <v>116</v>
      </c>
      <c r="CL625" s="2" t="s">
        <v>95</v>
      </c>
      <c r="CM625" s="2" t="s">
        <v>95</v>
      </c>
      <c r="CN625" s="2" t="s">
        <v>212</v>
      </c>
      <c r="CO625" s="3">
        <v>41992</v>
      </c>
      <c r="CP625" s="3">
        <v>43634</v>
      </c>
    </row>
    <row r="626" spans="1:94" x14ac:dyDescent="0.25">
      <c r="A626" s="2" t="s">
        <v>2823</v>
      </c>
      <c r="B626" s="2" t="str">
        <f xml:space="preserve"> "" &amp; 844349017578</f>
        <v>844349017578</v>
      </c>
      <c r="C626" s="2" t="s">
        <v>1738</v>
      </c>
      <c r="D626" s="2" t="s">
        <v>3688</v>
      </c>
      <c r="E626" s="2" t="s">
        <v>2819</v>
      </c>
      <c r="F626" s="2" t="s">
        <v>393</v>
      </c>
      <c r="G626" s="2">
        <v>1</v>
      </c>
      <c r="H626" s="2">
        <v>1</v>
      </c>
      <c r="I626" s="2" t="s">
        <v>94</v>
      </c>
      <c r="J626" s="6">
        <v>154</v>
      </c>
      <c r="K626" s="6">
        <v>462</v>
      </c>
      <c r="L626" s="2">
        <v>0</v>
      </c>
      <c r="N626" s="2">
        <v>0</v>
      </c>
      <c r="O626" s="2" t="s">
        <v>96</v>
      </c>
      <c r="P626" s="6">
        <v>323.95</v>
      </c>
      <c r="Q626" s="6"/>
      <c r="R626" s="7"/>
      <c r="S626" s="2">
        <v>7.5</v>
      </c>
      <c r="T626" s="2">
        <v>24</v>
      </c>
      <c r="U626" s="2">
        <v>24</v>
      </c>
      <c r="W626" s="2">
        <v>13.01</v>
      </c>
      <c r="X626" s="2">
        <v>1</v>
      </c>
      <c r="Y626" s="2">
        <v>10.236000000000001</v>
      </c>
      <c r="Z626" s="2">
        <v>25.196000000000002</v>
      </c>
      <c r="AA626" s="2">
        <v>25.196000000000002</v>
      </c>
      <c r="AB626" s="2">
        <v>3.7610000000000001</v>
      </c>
      <c r="AC626" s="2">
        <v>19.18</v>
      </c>
      <c r="AE626" s="2">
        <v>4</v>
      </c>
      <c r="AF626" s="2" t="s">
        <v>440</v>
      </c>
      <c r="AG626" s="2">
        <v>75</v>
      </c>
      <c r="AK626" s="2" t="s">
        <v>95</v>
      </c>
      <c r="AM626" s="2" t="s">
        <v>96</v>
      </c>
      <c r="AN626" s="2" t="s">
        <v>95</v>
      </c>
      <c r="AO626" s="2" t="s">
        <v>95</v>
      </c>
      <c r="AP626" s="2" t="s">
        <v>97</v>
      </c>
      <c r="AQ626" s="2" t="s">
        <v>98</v>
      </c>
      <c r="AV626" s="2" t="s">
        <v>95</v>
      </c>
      <c r="AX626" s="2" t="s">
        <v>116</v>
      </c>
      <c r="AZ626" s="2" t="s">
        <v>342</v>
      </c>
      <c r="BB626" s="2" t="s">
        <v>212</v>
      </c>
      <c r="BC626" s="2" t="s">
        <v>116</v>
      </c>
      <c r="BF626" s="2" t="s">
        <v>2824</v>
      </c>
      <c r="BG626" s="2" t="s">
        <v>95</v>
      </c>
      <c r="BH626" s="2" t="s">
        <v>95</v>
      </c>
      <c r="BI626" s="2" t="s">
        <v>95</v>
      </c>
      <c r="BK626" s="2" t="s">
        <v>100</v>
      </c>
      <c r="BR626" s="2">
        <v>1</v>
      </c>
      <c r="BS626" s="2">
        <v>5</v>
      </c>
      <c r="BT626" s="2">
        <v>5</v>
      </c>
      <c r="CA626" s="2" t="s">
        <v>2825</v>
      </c>
      <c r="CB626" s="2" t="s">
        <v>116</v>
      </c>
      <c r="CL626" s="2" t="s">
        <v>96</v>
      </c>
      <c r="CM626" s="2" t="s">
        <v>95</v>
      </c>
      <c r="CN626" s="2" t="s">
        <v>212</v>
      </c>
      <c r="CO626" s="3">
        <v>41992</v>
      </c>
      <c r="CP626" s="3">
        <v>43634</v>
      </c>
    </row>
    <row r="627" spans="1:94" x14ac:dyDescent="0.25">
      <c r="A627" s="2" t="s">
        <v>2826</v>
      </c>
      <c r="B627" s="2" t="str">
        <f xml:space="preserve"> "" &amp; 870540005342</f>
        <v>870540005342</v>
      </c>
      <c r="C627" s="2" t="s">
        <v>391</v>
      </c>
      <c r="D627" s="2" t="s">
        <v>3684</v>
      </c>
      <c r="E627" s="2" t="s">
        <v>2819</v>
      </c>
      <c r="F627" s="2" t="s">
        <v>393</v>
      </c>
      <c r="G627" s="2">
        <v>1</v>
      </c>
      <c r="H627" s="2">
        <v>1</v>
      </c>
      <c r="I627" s="2" t="s">
        <v>94</v>
      </c>
      <c r="J627" s="6">
        <v>75</v>
      </c>
      <c r="K627" s="6">
        <v>225</v>
      </c>
      <c r="L627" s="2">
        <v>0</v>
      </c>
      <c r="N627" s="2">
        <v>0</v>
      </c>
      <c r="O627" s="2" t="s">
        <v>96</v>
      </c>
      <c r="P627" s="6">
        <v>157.94999999999999</v>
      </c>
      <c r="Q627" s="6"/>
      <c r="R627" s="7"/>
      <c r="S627" s="2">
        <v>12.75</v>
      </c>
      <c r="U627" s="2">
        <v>6</v>
      </c>
      <c r="W627" s="2">
        <v>3.53</v>
      </c>
      <c r="X627" s="2">
        <v>1</v>
      </c>
      <c r="Y627" s="2">
        <v>17.32</v>
      </c>
      <c r="Z627" s="2">
        <v>7.48</v>
      </c>
      <c r="AA627" s="2">
        <v>7.48</v>
      </c>
      <c r="AB627" s="2">
        <v>0.56100000000000005</v>
      </c>
      <c r="AC627" s="2">
        <v>5.29</v>
      </c>
      <c r="AE627" s="2">
        <v>1</v>
      </c>
      <c r="AF627" s="2" t="s">
        <v>474</v>
      </c>
      <c r="AG627" s="2">
        <v>75</v>
      </c>
      <c r="AH627" s="2">
        <v>0</v>
      </c>
      <c r="AJ627" s="2">
        <v>0</v>
      </c>
      <c r="AK627" s="2" t="s">
        <v>95</v>
      </c>
      <c r="AM627" s="2" t="s">
        <v>95</v>
      </c>
      <c r="AN627" s="2" t="s">
        <v>95</v>
      </c>
      <c r="AO627" s="2" t="s">
        <v>96</v>
      </c>
      <c r="AP627" s="2" t="s">
        <v>97</v>
      </c>
      <c r="AQ627" s="2" t="s">
        <v>98</v>
      </c>
      <c r="AV627" s="2" t="s">
        <v>95</v>
      </c>
      <c r="AX627" s="2" t="s">
        <v>116</v>
      </c>
      <c r="AZ627" s="2" t="s">
        <v>342</v>
      </c>
      <c r="BB627" s="2" t="s">
        <v>2827</v>
      </c>
      <c r="BC627" s="2" t="s">
        <v>135</v>
      </c>
      <c r="BF627" s="2" t="s">
        <v>2828</v>
      </c>
      <c r="BG627" s="2" t="s">
        <v>95</v>
      </c>
      <c r="BH627" s="2" t="s">
        <v>95</v>
      </c>
      <c r="BI627" s="2" t="s">
        <v>95</v>
      </c>
      <c r="BK627" s="2" t="s">
        <v>100</v>
      </c>
      <c r="BQ627" s="2">
        <v>5.13</v>
      </c>
      <c r="BR627" s="2">
        <v>1.1299999999999999</v>
      </c>
      <c r="CA627" s="2" t="s">
        <v>2829</v>
      </c>
      <c r="CB627" s="2" t="s">
        <v>116</v>
      </c>
      <c r="CL627" s="2" t="s">
        <v>96</v>
      </c>
      <c r="CM627" s="2" t="s">
        <v>96</v>
      </c>
      <c r="CN627" s="2" t="s">
        <v>230</v>
      </c>
      <c r="CO627" s="3">
        <v>38567</v>
      </c>
      <c r="CP627" s="3">
        <v>43634</v>
      </c>
    </row>
    <row r="628" spans="1:94" x14ac:dyDescent="0.25">
      <c r="A628" s="2" t="s">
        <v>2830</v>
      </c>
      <c r="B628" s="2" t="str">
        <f xml:space="preserve"> "" &amp; 844349017554</f>
        <v>844349017554</v>
      </c>
      <c r="C628" s="2" t="s">
        <v>411</v>
      </c>
      <c r="D628" s="2" t="s">
        <v>3687</v>
      </c>
      <c r="E628" s="2" t="s">
        <v>2819</v>
      </c>
      <c r="F628" s="2" t="s">
        <v>412</v>
      </c>
      <c r="G628" s="2">
        <v>1</v>
      </c>
      <c r="H628" s="2">
        <v>1</v>
      </c>
      <c r="I628" s="2" t="s">
        <v>94</v>
      </c>
      <c r="J628" s="6">
        <v>112</v>
      </c>
      <c r="K628" s="6">
        <v>336</v>
      </c>
      <c r="L628" s="2">
        <v>0</v>
      </c>
      <c r="N628" s="2">
        <v>0</v>
      </c>
      <c r="O628" s="2" t="s">
        <v>96</v>
      </c>
      <c r="P628" s="6">
        <v>234.95</v>
      </c>
      <c r="Q628" s="6"/>
      <c r="R628" s="7"/>
      <c r="S628" s="2">
        <v>12</v>
      </c>
      <c r="T628" s="2">
        <v>16</v>
      </c>
      <c r="U628" s="2">
        <v>16</v>
      </c>
      <c r="W628" s="2">
        <v>6.61</v>
      </c>
      <c r="X628" s="2">
        <v>1</v>
      </c>
      <c r="Y628" s="2">
        <v>9.06</v>
      </c>
      <c r="Z628" s="2">
        <v>16.93</v>
      </c>
      <c r="AA628" s="2">
        <v>16.93</v>
      </c>
      <c r="AB628" s="2">
        <v>1.5029999999999999</v>
      </c>
      <c r="AC628" s="2">
        <v>9.48</v>
      </c>
      <c r="AE628" s="2">
        <v>3</v>
      </c>
      <c r="AF628" s="2" t="s">
        <v>2820</v>
      </c>
      <c r="AG628" s="2">
        <v>75</v>
      </c>
      <c r="AK628" s="2" t="s">
        <v>95</v>
      </c>
      <c r="AM628" s="2" t="s">
        <v>95</v>
      </c>
      <c r="AN628" s="2" t="s">
        <v>95</v>
      </c>
      <c r="AO628" s="2" t="s">
        <v>95</v>
      </c>
      <c r="AP628" s="2" t="s">
        <v>97</v>
      </c>
      <c r="AQ628" s="2" t="s">
        <v>98</v>
      </c>
      <c r="AV628" s="2" t="s">
        <v>95</v>
      </c>
      <c r="AX628" s="2" t="s">
        <v>116</v>
      </c>
      <c r="AZ628" s="2" t="s">
        <v>342</v>
      </c>
      <c r="BB628" s="2" t="s">
        <v>212</v>
      </c>
      <c r="BC628" s="2" t="s">
        <v>116</v>
      </c>
      <c r="BF628" s="2" t="s">
        <v>2831</v>
      </c>
      <c r="BG628" s="2" t="s">
        <v>95</v>
      </c>
      <c r="BH628" s="2" t="s">
        <v>95</v>
      </c>
      <c r="BI628" s="2" t="s">
        <v>95</v>
      </c>
      <c r="BK628" s="2" t="s">
        <v>100</v>
      </c>
      <c r="BR628" s="2">
        <v>0.63</v>
      </c>
      <c r="BT628" s="2">
        <v>4.75</v>
      </c>
      <c r="CA628" s="2" t="s">
        <v>2832</v>
      </c>
      <c r="CB628" s="2" t="s">
        <v>116</v>
      </c>
      <c r="CL628" s="2" t="s">
        <v>95</v>
      </c>
      <c r="CM628" s="2" t="s">
        <v>95</v>
      </c>
      <c r="CN628" s="2" t="s">
        <v>212</v>
      </c>
      <c r="CO628" s="3">
        <v>41992</v>
      </c>
      <c r="CP628" s="3">
        <v>43634</v>
      </c>
    </row>
    <row r="629" spans="1:94" x14ac:dyDescent="0.25">
      <c r="A629" s="2" t="s">
        <v>2833</v>
      </c>
      <c r="B629" s="2" t="str">
        <f xml:space="preserve"> "" &amp; 844349028437</f>
        <v>844349028437</v>
      </c>
      <c r="C629" s="2" t="s">
        <v>2834</v>
      </c>
      <c r="D629" s="2" t="s">
        <v>2835</v>
      </c>
      <c r="E629" s="2" t="s">
        <v>2836</v>
      </c>
      <c r="F629" s="2" t="s">
        <v>340</v>
      </c>
      <c r="G629" s="2">
        <v>1</v>
      </c>
      <c r="H629" s="2">
        <v>1</v>
      </c>
      <c r="I629" s="2" t="s">
        <v>94</v>
      </c>
      <c r="J629" s="6">
        <v>63</v>
      </c>
      <c r="K629" s="6">
        <v>189</v>
      </c>
      <c r="L629" s="2">
        <v>0</v>
      </c>
      <c r="N629" s="2">
        <v>0</v>
      </c>
      <c r="O629" s="2" t="s">
        <v>96</v>
      </c>
      <c r="P629" s="6">
        <v>129.94999999999999</v>
      </c>
      <c r="Q629" s="6"/>
      <c r="R629" s="7"/>
      <c r="S629" s="2">
        <v>4.75</v>
      </c>
      <c r="U629" s="2">
        <v>28</v>
      </c>
      <c r="V629" s="2">
        <v>3.25</v>
      </c>
      <c r="W629" s="2">
        <v>2.36</v>
      </c>
      <c r="X629" s="2">
        <v>1</v>
      </c>
      <c r="Y629" s="2">
        <v>5.25</v>
      </c>
      <c r="Z629" s="2">
        <v>30.75</v>
      </c>
      <c r="AA629" s="2">
        <v>8.8800000000000008</v>
      </c>
      <c r="AB629" s="2">
        <v>0.83</v>
      </c>
      <c r="AC629" s="2">
        <v>3.77</v>
      </c>
      <c r="AE629" s="2">
        <v>1</v>
      </c>
      <c r="AF629" s="2" t="s">
        <v>2837</v>
      </c>
      <c r="AG629" s="2">
        <v>26</v>
      </c>
      <c r="AK629" s="2" t="s">
        <v>96</v>
      </c>
      <c r="AM629" s="2" t="s">
        <v>95</v>
      </c>
      <c r="AN629" s="2" t="s">
        <v>96</v>
      </c>
      <c r="AO629" s="2" t="s">
        <v>95</v>
      </c>
      <c r="AP629" s="2" t="s">
        <v>97</v>
      </c>
      <c r="AQ629" s="2" t="s">
        <v>98</v>
      </c>
      <c r="AV629" s="2" t="s">
        <v>95</v>
      </c>
      <c r="AX629" s="2" t="s">
        <v>116</v>
      </c>
      <c r="AZ629" s="2" t="s">
        <v>483</v>
      </c>
      <c r="BC629" s="2" t="s">
        <v>2838</v>
      </c>
      <c r="BF629" s="2" t="s">
        <v>2839</v>
      </c>
      <c r="BG629" s="2" t="s">
        <v>95</v>
      </c>
      <c r="BH629" s="2" t="s">
        <v>95</v>
      </c>
      <c r="BI629" s="2" t="s">
        <v>95</v>
      </c>
      <c r="BK629" s="2" t="s">
        <v>414</v>
      </c>
      <c r="BL629" s="2" t="s">
        <v>1105</v>
      </c>
      <c r="BM629" s="2">
        <v>8</v>
      </c>
      <c r="BN629" s="2">
        <v>4.75</v>
      </c>
      <c r="CA629" s="2" t="s">
        <v>2840</v>
      </c>
      <c r="CB629" s="2" t="s">
        <v>116</v>
      </c>
      <c r="CG629" s="2">
        <v>3000</v>
      </c>
      <c r="CH629" s="2">
        <v>95</v>
      </c>
      <c r="CI629" s="2">
        <v>2356</v>
      </c>
      <c r="CJ629" s="2">
        <v>1733.4</v>
      </c>
      <c r="CK629" s="2">
        <v>30000</v>
      </c>
      <c r="CL629" s="2" t="s">
        <v>96</v>
      </c>
      <c r="CM629" s="2" t="s">
        <v>95</v>
      </c>
      <c r="CN629" s="2" t="s">
        <v>460</v>
      </c>
      <c r="CO629" s="3">
        <v>43537</v>
      </c>
      <c r="CP629" s="3">
        <v>43634</v>
      </c>
    </row>
    <row r="630" spans="1:94" x14ac:dyDescent="0.25">
      <c r="A630" s="2" t="s">
        <v>2841</v>
      </c>
      <c r="B630" s="2" t="str">
        <f xml:space="preserve"> "" &amp; 870540005359</f>
        <v>870540005359</v>
      </c>
      <c r="C630" s="2" t="s">
        <v>417</v>
      </c>
      <c r="D630" s="2" t="s">
        <v>3685</v>
      </c>
      <c r="E630" s="2" t="s">
        <v>2819</v>
      </c>
      <c r="F630" s="2" t="s">
        <v>418</v>
      </c>
      <c r="G630" s="2">
        <v>1</v>
      </c>
      <c r="H630" s="2">
        <v>1</v>
      </c>
      <c r="I630" s="2" t="s">
        <v>94</v>
      </c>
      <c r="J630" s="6">
        <v>74</v>
      </c>
      <c r="K630" s="6">
        <v>222</v>
      </c>
      <c r="L630" s="2">
        <v>0</v>
      </c>
      <c r="N630" s="2">
        <v>0</v>
      </c>
      <c r="O630" s="2" t="s">
        <v>96</v>
      </c>
      <c r="P630" s="6">
        <v>154.94999999999999</v>
      </c>
      <c r="Q630" s="6"/>
      <c r="R630" s="7"/>
      <c r="S630" s="2">
        <v>16.75</v>
      </c>
      <c r="U630" s="2">
        <v>14.5</v>
      </c>
      <c r="V630" s="2">
        <v>4</v>
      </c>
      <c r="W630" s="2">
        <v>2.0499999999999998</v>
      </c>
      <c r="X630" s="2">
        <v>1</v>
      </c>
      <c r="Y630" s="2">
        <v>6.25</v>
      </c>
      <c r="Z630" s="2">
        <v>13.75</v>
      </c>
      <c r="AA630" s="2">
        <v>13.75</v>
      </c>
      <c r="AB630" s="2">
        <v>0.68400000000000005</v>
      </c>
      <c r="AC630" s="2">
        <v>3.86</v>
      </c>
      <c r="AE630" s="2">
        <v>1</v>
      </c>
      <c r="AF630" s="2" t="s">
        <v>474</v>
      </c>
      <c r="AG630" s="2">
        <v>60</v>
      </c>
      <c r="AH630" s="2">
        <v>0</v>
      </c>
      <c r="AJ630" s="2">
        <v>0</v>
      </c>
      <c r="AK630" s="2" t="s">
        <v>95</v>
      </c>
      <c r="AM630" s="2" t="s">
        <v>95</v>
      </c>
      <c r="AN630" s="2" t="s">
        <v>95</v>
      </c>
      <c r="AO630" s="2" t="s">
        <v>96</v>
      </c>
      <c r="AP630" s="2" t="s">
        <v>97</v>
      </c>
      <c r="AQ630" s="2" t="s">
        <v>98</v>
      </c>
      <c r="AV630" s="2" t="s">
        <v>95</v>
      </c>
      <c r="AX630" s="2" t="s">
        <v>116</v>
      </c>
      <c r="AZ630" s="2" t="s">
        <v>342</v>
      </c>
      <c r="BF630" s="2" t="s">
        <v>2842</v>
      </c>
      <c r="BG630" s="2" t="s">
        <v>95</v>
      </c>
      <c r="BH630" s="2" t="s">
        <v>96</v>
      </c>
      <c r="BI630" s="2" t="s">
        <v>95</v>
      </c>
      <c r="BK630" s="2" t="s">
        <v>100</v>
      </c>
      <c r="BL630" s="2" t="s">
        <v>421</v>
      </c>
      <c r="CA630" s="2" t="s">
        <v>2843</v>
      </c>
      <c r="CB630" s="2" t="s">
        <v>116</v>
      </c>
      <c r="CL630" s="2" t="s">
        <v>96</v>
      </c>
      <c r="CM630" s="2" t="s">
        <v>95</v>
      </c>
      <c r="CN630" s="2" t="s">
        <v>230</v>
      </c>
      <c r="CO630" s="3">
        <v>38470</v>
      </c>
      <c r="CP630" s="3">
        <v>43634</v>
      </c>
    </row>
    <row r="631" spans="1:94" x14ac:dyDescent="0.25">
      <c r="A631" s="2" t="s">
        <v>2844</v>
      </c>
      <c r="B631" s="2" t="str">
        <f xml:space="preserve"> "" &amp; 844349006602</f>
        <v>844349006602</v>
      </c>
      <c r="C631" s="2" t="s">
        <v>1001</v>
      </c>
      <c r="D631" s="2" t="s">
        <v>2845</v>
      </c>
      <c r="E631" s="2" t="s">
        <v>2846</v>
      </c>
      <c r="F631" s="2" t="s">
        <v>658</v>
      </c>
      <c r="G631" s="2">
        <v>1</v>
      </c>
      <c r="H631" s="2">
        <v>1</v>
      </c>
      <c r="I631" s="2" t="s">
        <v>94</v>
      </c>
      <c r="J631" s="6">
        <v>95</v>
      </c>
      <c r="K631" s="6">
        <v>285</v>
      </c>
      <c r="L631" s="2">
        <v>0</v>
      </c>
      <c r="N631" s="2">
        <v>0</v>
      </c>
      <c r="O631" s="2" t="s">
        <v>96</v>
      </c>
      <c r="P631" s="6">
        <v>199.95</v>
      </c>
      <c r="Q631" s="6"/>
      <c r="R631" s="7"/>
      <c r="S631" s="2">
        <v>4.75</v>
      </c>
      <c r="U631" s="2">
        <v>26</v>
      </c>
      <c r="V631" s="2">
        <v>6.25</v>
      </c>
      <c r="W631" s="2">
        <v>6.28</v>
      </c>
      <c r="X631" s="2">
        <v>1</v>
      </c>
      <c r="Y631" s="2">
        <v>10.236000000000001</v>
      </c>
      <c r="Z631" s="2">
        <v>28.346</v>
      </c>
      <c r="AA631" s="2">
        <v>6.6920000000000002</v>
      </c>
      <c r="AB631" s="2">
        <v>1.1240000000000001</v>
      </c>
      <c r="AC631" s="2">
        <v>8.07</v>
      </c>
      <c r="AE631" s="2">
        <v>3</v>
      </c>
      <c r="AF631" s="2" t="s">
        <v>2847</v>
      </c>
      <c r="AG631" s="2">
        <v>40</v>
      </c>
      <c r="AK631" s="2" t="s">
        <v>96</v>
      </c>
      <c r="AM631" s="2" t="s">
        <v>96</v>
      </c>
      <c r="AN631" s="2" t="s">
        <v>95</v>
      </c>
      <c r="AO631" s="2" t="s">
        <v>95</v>
      </c>
      <c r="AP631" s="2" t="s">
        <v>97</v>
      </c>
      <c r="AQ631" s="2" t="s">
        <v>98</v>
      </c>
      <c r="AV631" s="2" t="s">
        <v>95</v>
      </c>
      <c r="AX631" s="2" t="s">
        <v>395</v>
      </c>
      <c r="AZ631" s="2" t="s">
        <v>342</v>
      </c>
      <c r="BB631" s="2" t="s">
        <v>2848</v>
      </c>
      <c r="BC631" s="2" t="s">
        <v>2849</v>
      </c>
      <c r="BF631" s="2" t="s">
        <v>2850</v>
      </c>
      <c r="BG631" s="2" t="s">
        <v>95</v>
      </c>
      <c r="BH631" s="2" t="s">
        <v>95</v>
      </c>
      <c r="BI631" s="2" t="s">
        <v>95</v>
      </c>
      <c r="BK631" s="2" t="s">
        <v>414</v>
      </c>
      <c r="BL631" s="2" t="s">
        <v>1105</v>
      </c>
      <c r="BR631" s="2">
        <v>4.5</v>
      </c>
      <c r="BT631" s="2">
        <v>23</v>
      </c>
      <c r="CA631" s="2" t="s">
        <v>2851</v>
      </c>
      <c r="CB631" s="2" t="s">
        <v>395</v>
      </c>
      <c r="CL631" s="2" t="s">
        <v>96</v>
      </c>
      <c r="CM631" s="2" t="s">
        <v>95</v>
      </c>
      <c r="CN631" s="2" t="s">
        <v>2852</v>
      </c>
      <c r="CO631" s="3">
        <v>40595</v>
      </c>
      <c r="CP631" s="3">
        <v>43634</v>
      </c>
    </row>
    <row r="632" spans="1:94" x14ac:dyDescent="0.25">
      <c r="A632" s="2" t="s">
        <v>2853</v>
      </c>
      <c r="B632" s="2" t="str">
        <f xml:space="preserve"> "" &amp; 844349006619</f>
        <v>844349006619</v>
      </c>
      <c r="C632" s="2" t="s">
        <v>1006</v>
      </c>
      <c r="D632" s="2" t="s">
        <v>2854</v>
      </c>
      <c r="E632" s="2" t="s">
        <v>2846</v>
      </c>
      <c r="F632" s="2" t="s">
        <v>658</v>
      </c>
      <c r="G632" s="2">
        <v>1</v>
      </c>
      <c r="H632" s="2">
        <v>1</v>
      </c>
      <c r="I632" s="2" t="s">
        <v>94</v>
      </c>
      <c r="J632" s="6">
        <v>125</v>
      </c>
      <c r="K632" s="6">
        <v>375</v>
      </c>
      <c r="L632" s="2">
        <v>0</v>
      </c>
      <c r="N632" s="2">
        <v>0</v>
      </c>
      <c r="O632" s="2" t="s">
        <v>96</v>
      </c>
      <c r="P632" s="6">
        <v>262.95</v>
      </c>
      <c r="Q632" s="6"/>
      <c r="R632" s="7"/>
      <c r="S632" s="2">
        <v>4.75</v>
      </c>
      <c r="U632" s="2">
        <v>36.75</v>
      </c>
      <c r="V632" s="2">
        <v>6.25</v>
      </c>
      <c r="W632" s="2">
        <v>8.1999999999999993</v>
      </c>
      <c r="X632" s="2">
        <v>1</v>
      </c>
      <c r="Y632" s="2">
        <v>10.236000000000001</v>
      </c>
      <c r="Z632" s="2">
        <v>38.975999999999999</v>
      </c>
      <c r="AA632" s="2">
        <v>6.6920000000000002</v>
      </c>
      <c r="AB632" s="2">
        <v>1.5449999999999999</v>
      </c>
      <c r="AC632" s="2">
        <v>10.65</v>
      </c>
      <c r="AE632" s="2">
        <v>4</v>
      </c>
      <c r="AF632" s="2" t="s">
        <v>2855</v>
      </c>
      <c r="AG632" s="2">
        <v>40</v>
      </c>
      <c r="AK632" s="2" t="s">
        <v>96</v>
      </c>
      <c r="AM632" s="2" t="s">
        <v>96</v>
      </c>
      <c r="AN632" s="2" t="s">
        <v>95</v>
      </c>
      <c r="AO632" s="2" t="s">
        <v>95</v>
      </c>
      <c r="AP632" s="2" t="s">
        <v>97</v>
      </c>
      <c r="AQ632" s="2" t="s">
        <v>98</v>
      </c>
      <c r="AV632" s="2" t="s">
        <v>95</v>
      </c>
      <c r="AX632" s="2" t="s">
        <v>395</v>
      </c>
      <c r="AZ632" s="2" t="s">
        <v>342</v>
      </c>
      <c r="BB632" s="2" t="s">
        <v>2856</v>
      </c>
      <c r="BC632" s="2" t="s">
        <v>397</v>
      </c>
      <c r="BF632" s="2" t="s">
        <v>2857</v>
      </c>
      <c r="BG632" s="2" t="s">
        <v>95</v>
      </c>
      <c r="BH632" s="2" t="s">
        <v>95</v>
      </c>
      <c r="BI632" s="2" t="s">
        <v>95</v>
      </c>
      <c r="BK632" s="2" t="s">
        <v>414</v>
      </c>
      <c r="BL632" s="2" t="s">
        <v>1105</v>
      </c>
      <c r="BR632" s="2">
        <v>4.5</v>
      </c>
      <c r="BT632" s="2">
        <v>33.25</v>
      </c>
      <c r="CA632" s="2" t="s">
        <v>2858</v>
      </c>
      <c r="CB632" s="2" t="s">
        <v>395</v>
      </c>
      <c r="CL632" s="2" t="s">
        <v>96</v>
      </c>
      <c r="CM632" s="2" t="s">
        <v>95</v>
      </c>
      <c r="CN632" s="2" t="s">
        <v>2859</v>
      </c>
      <c r="CO632" s="3">
        <v>39925</v>
      </c>
      <c r="CP632" s="3">
        <v>43634</v>
      </c>
    </row>
    <row r="633" spans="1:94" x14ac:dyDescent="0.25">
      <c r="A633" s="2" t="s">
        <v>2860</v>
      </c>
      <c r="B633" s="2" t="str">
        <f xml:space="preserve"> "" &amp; 844349006626</f>
        <v>844349006626</v>
      </c>
      <c r="C633" s="2" t="s">
        <v>2434</v>
      </c>
      <c r="D633" s="2" t="s">
        <v>2861</v>
      </c>
      <c r="E633" s="2" t="s">
        <v>2846</v>
      </c>
      <c r="F633" s="2" t="s">
        <v>658</v>
      </c>
      <c r="G633" s="2">
        <v>1</v>
      </c>
      <c r="H633" s="2">
        <v>1</v>
      </c>
      <c r="I633" s="2" t="s">
        <v>94</v>
      </c>
      <c r="J633" s="6">
        <v>145</v>
      </c>
      <c r="K633" s="6">
        <v>435</v>
      </c>
      <c r="L633" s="2">
        <v>0</v>
      </c>
      <c r="N633" s="2">
        <v>0</v>
      </c>
      <c r="O633" s="2" t="s">
        <v>96</v>
      </c>
      <c r="P633" s="6">
        <v>304.95</v>
      </c>
      <c r="Q633" s="6"/>
      <c r="R633" s="7"/>
      <c r="S633" s="2">
        <v>4.75</v>
      </c>
      <c r="U633" s="2">
        <v>47.25</v>
      </c>
      <c r="V633" s="2">
        <v>6.25</v>
      </c>
      <c r="W633" s="2">
        <v>10.56</v>
      </c>
      <c r="X633" s="2">
        <v>1</v>
      </c>
      <c r="Y633" s="2">
        <v>10.24</v>
      </c>
      <c r="Z633" s="2">
        <v>49.61</v>
      </c>
      <c r="AA633" s="2">
        <v>6.69</v>
      </c>
      <c r="AB633" s="2">
        <v>1.9670000000000001</v>
      </c>
      <c r="AC633" s="2">
        <v>13.27</v>
      </c>
      <c r="AE633" s="2">
        <v>5</v>
      </c>
      <c r="AF633" s="2" t="s">
        <v>2855</v>
      </c>
      <c r="AG633" s="2">
        <v>40</v>
      </c>
      <c r="AK633" s="2" t="s">
        <v>96</v>
      </c>
      <c r="AM633" s="2" t="s">
        <v>95</v>
      </c>
      <c r="AN633" s="2" t="s">
        <v>95</v>
      </c>
      <c r="AO633" s="2" t="s">
        <v>96</v>
      </c>
      <c r="AP633" s="2" t="s">
        <v>97</v>
      </c>
      <c r="AQ633" s="2" t="s">
        <v>98</v>
      </c>
      <c r="AV633" s="2" t="s">
        <v>95</v>
      </c>
      <c r="AX633" s="2" t="s">
        <v>395</v>
      </c>
      <c r="AZ633" s="2" t="s">
        <v>342</v>
      </c>
      <c r="BB633" s="2" t="s">
        <v>2848</v>
      </c>
      <c r="BC633" s="2" t="s">
        <v>2849</v>
      </c>
      <c r="BF633" s="2" t="s">
        <v>2862</v>
      </c>
      <c r="BG633" s="2" t="s">
        <v>95</v>
      </c>
      <c r="BH633" s="2" t="s">
        <v>95</v>
      </c>
      <c r="BI633" s="2" t="s">
        <v>95</v>
      </c>
      <c r="BK633" s="2" t="s">
        <v>414</v>
      </c>
      <c r="BL633" s="2" t="s">
        <v>1105</v>
      </c>
      <c r="BR633" s="2">
        <v>4.5</v>
      </c>
      <c r="BT633" s="2">
        <v>44.13</v>
      </c>
      <c r="CA633" s="2" t="s">
        <v>2863</v>
      </c>
      <c r="CB633" s="2" t="s">
        <v>395</v>
      </c>
      <c r="CL633" s="2" t="s">
        <v>96</v>
      </c>
      <c r="CM633" s="2" t="s">
        <v>95</v>
      </c>
      <c r="CN633" s="2" t="s">
        <v>2864</v>
      </c>
      <c r="CO633" s="3">
        <v>39905</v>
      </c>
      <c r="CP633" s="3">
        <v>43634</v>
      </c>
    </row>
    <row r="634" spans="1:94" x14ac:dyDescent="0.25">
      <c r="A634" s="2" t="s">
        <v>2865</v>
      </c>
      <c r="B634" s="2" t="str">
        <f xml:space="preserve"> "" &amp; 874944004734</f>
        <v>874944004734</v>
      </c>
      <c r="C634" s="2" t="s">
        <v>402</v>
      </c>
      <c r="D634" s="2" t="s">
        <v>402</v>
      </c>
      <c r="F634" s="2" t="s">
        <v>393</v>
      </c>
      <c r="G634" s="2">
        <v>1</v>
      </c>
      <c r="H634" s="2">
        <v>1</v>
      </c>
      <c r="I634" s="2" t="s">
        <v>94</v>
      </c>
      <c r="J634" s="6">
        <v>219</v>
      </c>
      <c r="K634" s="6">
        <v>657</v>
      </c>
      <c r="L634" s="2">
        <v>0</v>
      </c>
      <c r="N634" s="2">
        <v>0</v>
      </c>
      <c r="O634" s="2" t="s">
        <v>96</v>
      </c>
      <c r="P634" s="6">
        <v>459.95</v>
      </c>
      <c r="Q634" s="6"/>
      <c r="R634" s="7"/>
      <c r="S634" s="2">
        <v>8.75</v>
      </c>
      <c r="U634" s="2">
        <v>20.5</v>
      </c>
      <c r="W634" s="2">
        <v>6.5</v>
      </c>
      <c r="X634" s="2">
        <v>1</v>
      </c>
      <c r="Y634" s="2">
        <v>11.5</v>
      </c>
      <c r="Z634" s="2">
        <v>22.5</v>
      </c>
      <c r="AA634" s="2">
        <v>22.5</v>
      </c>
      <c r="AB634" s="2">
        <v>3.3690000000000002</v>
      </c>
      <c r="AC634" s="2">
        <v>13.29</v>
      </c>
      <c r="AE634" s="2">
        <v>3</v>
      </c>
      <c r="AF634" s="2" t="s">
        <v>394</v>
      </c>
      <c r="AG634" s="2">
        <v>100</v>
      </c>
      <c r="AH634" s="2">
        <v>0</v>
      </c>
      <c r="AJ634" s="2">
        <v>0</v>
      </c>
      <c r="AK634" s="2" t="s">
        <v>95</v>
      </c>
      <c r="AM634" s="2" t="s">
        <v>95</v>
      </c>
      <c r="AN634" s="2" t="s">
        <v>95</v>
      </c>
      <c r="AO634" s="2" t="s">
        <v>96</v>
      </c>
      <c r="AP634" s="2" t="s">
        <v>97</v>
      </c>
      <c r="AQ634" s="2" t="s">
        <v>98</v>
      </c>
      <c r="AV634" s="2" t="s">
        <v>95</v>
      </c>
      <c r="AX634" s="2" t="s">
        <v>116</v>
      </c>
      <c r="AZ634" s="2" t="s">
        <v>342</v>
      </c>
      <c r="BB634" s="2" t="s">
        <v>54</v>
      </c>
      <c r="BC634" s="2" t="s">
        <v>865</v>
      </c>
      <c r="BF634" s="2" t="s">
        <v>2866</v>
      </c>
      <c r="BG634" s="2" t="s">
        <v>95</v>
      </c>
      <c r="BH634" s="2" t="s">
        <v>95</v>
      </c>
      <c r="BI634" s="2" t="s">
        <v>95</v>
      </c>
      <c r="BK634" s="2" t="s">
        <v>100</v>
      </c>
      <c r="BQ634" s="2">
        <v>4.75</v>
      </c>
      <c r="BR634" s="2">
        <v>1</v>
      </c>
      <c r="CA634" s="2" t="s">
        <v>2867</v>
      </c>
      <c r="CB634" s="2" t="s">
        <v>116</v>
      </c>
      <c r="CL634" s="2" t="s">
        <v>96</v>
      </c>
      <c r="CM634" s="2" t="s">
        <v>96</v>
      </c>
      <c r="CN634" s="2" t="s">
        <v>1404</v>
      </c>
      <c r="CO634" s="3">
        <v>38857</v>
      </c>
      <c r="CP634" s="3">
        <v>43634</v>
      </c>
    </row>
    <row r="635" spans="1:94" x14ac:dyDescent="0.25">
      <c r="A635" s="2" t="s">
        <v>2868</v>
      </c>
      <c r="B635" s="2" t="str">
        <f xml:space="preserve"> "" &amp; 874944004758</f>
        <v>874944004758</v>
      </c>
      <c r="C635" s="2" t="s">
        <v>411</v>
      </c>
      <c r="D635" s="2" t="s">
        <v>2869</v>
      </c>
      <c r="E635" s="2" t="s">
        <v>2870</v>
      </c>
      <c r="F635" s="2" t="s">
        <v>412</v>
      </c>
      <c r="G635" s="2">
        <v>1</v>
      </c>
      <c r="H635" s="2">
        <v>1</v>
      </c>
      <c r="I635" s="2" t="s">
        <v>94</v>
      </c>
      <c r="J635" s="6">
        <v>135</v>
      </c>
      <c r="K635" s="6">
        <v>405</v>
      </c>
      <c r="L635" s="2">
        <v>0</v>
      </c>
      <c r="N635" s="2">
        <v>0</v>
      </c>
      <c r="O635" s="2" t="s">
        <v>96</v>
      </c>
      <c r="P635" s="6">
        <v>283.95</v>
      </c>
      <c r="Q635" s="6"/>
      <c r="R635" s="7"/>
      <c r="S635" s="2">
        <v>10.25</v>
      </c>
      <c r="U635" s="2">
        <v>17.25</v>
      </c>
      <c r="W635" s="2">
        <v>9.0399999999999991</v>
      </c>
      <c r="X635" s="2">
        <v>1</v>
      </c>
      <c r="Y635" s="2">
        <v>11</v>
      </c>
      <c r="Z635" s="2">
        <v>18.5</v>
      </c>
      <c r="AA635" s="2">
        <v>18.5</v>
      </c>
      <c r="AB635" s="2">
        <v>2.1789999999999998</v>
      </c>
      <c r="AC635" s="2">
        <v>12.13</v>
      </c>
      <c r="AE635" s="2">
        <v>3</v>
      </c>
      <c r="AF635" s="2" t="s">
        <v>394</v>
      </c>
      <c r="AG635" s="2">
        <v>60</v>
      </c>
      <c r="AH635" s="2">
        <v>0</v>
      </c>
      <c r="AJ635" s="2">
        <v>0</v>
      </c>
      <c r="AK635" s="2" t="s">
        <v>95</v>
      </c>
      <c r="AM635" s="2" t="s">
        <v>95</v>
      </c>
      <c r="AN635" s="2" t="s">
        <v>96</v>
      </c>
      <c r="AO635" s="2" t="s">
        <v>95</v>
      </c>
      <c r="AP635" s="2" t="s">
        <v>97</v>
      </c>
      <c r="AQ635" s="2" t="s">
        <v>98</v>
      </c>
      <c r="AV635" s="2" t="s">
        <v>95</v>
      </c>
      <c r="AX635" s="2" t="s">
        <v>116</v>
      </c>
      <c r="AZ635" s="2" t="s">
        <v>342</v>
      </c>
      <c r="BB635" s="2" t="s">
        <v>54</v>
      </c>
      <c r="BC635" s="2" t="s">
        <v>2871</v>
      </c>
      <c r="BF635" s="2" t="s">
        <v>2872</v>
      </c>
      <c r="BG635" s="2" t="s">
        <v>95</v>
      </c>
      <c r="BH635" s="2" t="s">
        <v>95</v>
      </c>
      <c r="BI635" s="2" t="s">
        <v>95</v>
      </c>
      <c r="BK635" s="2" t="s">
        <v>100</v>
      </c>
      <c r="BQ635" s="2">
        <v>7</v>
      </c>
      <c r="BR635" s="2">
        <v>1</v>
      </c>
      <c r="CA635" s="2" t="s">
        <v>2873</v>
      </c>
      <c r="CB635" s="2" t="s">
        <v>116</v>
      </c>
      <c r="CL635" s="2" t="s">
        <v>96</v>
      </c>
      <c r="CM635" s="2" t="s">
        <v>95</v>
      </c>
      <c r="CN635" s="2" t="s">
        <v>1404</v>
      </c>
      <c r="CO635" s="3">
        <v>40123</v>
      </c>
      <c r="CP635" s="3">
        <v>43634</v>
      </c>
    </row>
    <row r="636" spans="1:94" x14ac:dyDescent="0.25">
      <c r="A636" s="2" t="s">
        <v>2874</v>
      </c>
      <c r="B636" s="2" t="str">
        <f xml:space="preserve"> "" &amp; 844349009726</f>
        <v>844349009726</v>
      </c>
      <c r="C636" s="2" t="s">
        <v>411</v>
      </c>
      <c r="D636" s="2" t="s">
        <v>2869</v>
      </c>
      <c r="E636" s="2" t="s">
        <v>2870</v>
      </c>
      <c r="F636" s="2" t="s">
        <v>412</v>
      </c>
      <c r="G636" s="2">
        <v>1</v>
      </c>
      <c r="H636" s="2">
        <v>1</v>
      </c>
      <c r="I636" s="2" t="s">
        <v>94</v>
      </c>
      <c r="J636" s="6">
        <v>135</v>
      </c>
      <c r="K636" s="6">
        <v>405</v>
      </c>
      <c r="L636" s="2">
        <v>0</v>
      </c>
      <c r="N636" s="2">
        <v>0</v>
      </c>
      <c r="O636" s="2" t="s">
        <v>96</v>
      </c>
      <c r="P636" s="6">
        <v>283.95</v>
      </c>
      <c r="Q636" s="6"/>
      <c r="R636" s="7"/>
      <c r="S636" s="2">
        <v>10.25</v>
      </c>
      <c r="U636" s="2">
        <v>17.25</v>
      </c>
      <c r="W636" s="2">
        <v>8.93</v>
      </c>
      <c r="X636" s="2">
        <v>1</v>
      </c>
      <c r="Y636" s="2">
        <v>11</v>
      </c>
      <c r="Z636" s="2">
        <v>18.5</v>
      </c>
      <c r="AA636" s="2">
        <v>18.5</v>
      </c>
      <c r="AB636" s="2">
        <v>2.1789999999999998</v>
      </c>
      <c r="AC636" s="2">
        <v>5.36</v>
      </c>
      <c r="AE636" s="2">
        <v>3</v>
      </c>
      <c r="AF636" s="2" t="s">
        <v>519</v>
      </c>
      <c r="AG636" s="2">
        <v>60</v>
      </c>
      <c r="AK636" s="2" t="s">
        <v>95</v>
      </c>
      <c r="AM636" s="2" t="s">
        <v>95</v>
      </c>
      <c r="AN636" s="2" t="s">
        <v>96</v>
      </c>
      <c r="AO636" s="2" t="s">
        <v>95</v>
      </c>
      <c r="AP636" s="2" t="s">
        <v>97</v>
      </c>
      <c r="AQ636" s="2" t="s">
        <v>98</v>
      </c>
      <c r="AV636" s="2" t="s">
        <v>95</v>
      </c>
      <c r="AX636" s="2" t="s">
        <v>1483</v>
      </c>
      <c r="AZ636" s="2" t="s">
        <v>342</v>
      </c>
      <c r="BB636" s="2" t="s">
        <v>329</v>
      </c>
      <c r="BC636" s="2" t="s">
        <v>2875</v>
      </c>
      <c r="BF636" s="2" t="s">
        <v>2876</v>
      </c>
      <c r="BG636" s="2" t="s">
        <v>95</v>
      </c>
      <c r="BH636" s="2" t="s">
        <v>95</v>
      </c>
      <c r="BI636" s="2" t="s">
        <v>95</v>
      </c>
      <c r="BK636" s="2" t="s">
        <v>100</v>
      </c>
      <c r="BQ636" s="2">
        <v>7</v>
      </c>
      <c r="BR636" s="2">
        <v>1</v>
      </c>
      <c r="CA636" s="2" t="s">
        <v>2873</v>
      </c>
      <c r="CB636" s="2" t="s">
        <v>1483</v>
      </c>
      <c r="CL636" s="2" t="s">
        <v>96</v>
      </c>
      <c r="CM636" s="2" t="s">
        <v>95</v>
      </c>
      <c r="CN636" s="2" t="s">
        <v>460</v>
      </c>
      <c r="CO636" s="3">
        <v>40635</v>
      </c>
      <c r="CP636" s="3">
        <v>43634</v>
      </c>
    </row>
    <row r="637" spans="1:94" x14ac:dyDescent="0.25">
      <c r="A637" s="2" t="s">
        <v>2877</v>
      </c>
      <c r="B637" s="2" t="str">
        <f xml:space="preserve"> "" &amp; 874944004765</f>
        <v>874944004765</v>
      </c>
      <c r="C637" s="2" t="s">
        <v>406</v>
      </c>
      <c r="D637" s="2" t="s">
        <v>2878</v>
      </c>
      <c r="E637" s="2" t="s">
        <v>2870</v>
      </c>
      <c r="F637" s="2" t="s">
        <v>393</v>
      </c>
      <c r="G637" s="2">
        <v>1</v>
      </c>
      <c r="H637" s="2">
        <v>1</v>
      </c>
      <c r="I637" s="2" t="s">
        <v>94</v>
      </c>
      <c r="J637" s="6">
        <v>185</v>
      </c>
      <c r="K637" s="6">
        <v>555</v>
      </c>
      <c r="L637" s="2">
        <v>0</v>
      </c>
      <c r="N637" s="2">
        <v>0</v>
      </c>
      <c r="O637" s="2" t="s">
        <v>96</v>
      </c>
      <c r="P637" s="6">
        <v>389.95</v>
      </c>
      <c r="Q637" s="6"/>
      <c r="R637" s="7"/>
      <c r="S637" s="2">
        <v>28.75</v>
      </c>
      <c r="U637" s="2">
        <v>21</v>
      </c>
      <c r="W637" s="2">
        <v>15.28</v>
      </c>
      <c r="X637" s="2">
        <v>1</v>
      </c>
      <c r="Y637" s="2">
        <v>8.5</v>
      </c>
      <c r="Z637" s="2">
        <v>29</v>
      </c>
      <c r="AA637" s="2">
        <v>22.5</v>
      </c>
      <c r="AB637" s="2">
        <v>3.21</v>
      </c>
      <c r="AC637" s="2">
        <v>20.94</v>
      </c>
      <c r="AE637" s="2">
        <v>4</v>
      </c>
      <c r="AF637" s="2" t="s">
        <v>394</v>
      </c>
      <c r="AG637" s="2">
        <v>100</v>
      </c>
      <c r="AH637" s="2">
        <v>0</v>
      </c>
      <c r="AJ637" s="2">
        <v>0</v>
      </c>
      <c r="AK637" s="2" t="s">
        <v>95</v>
      </c>
      <c r="AM637" s="2" t="s">
        <v>95</v>
      </c>
      <c r="AN637" s="2" t="s">
        <v>95</v>
      </c>
      <c r="AO637" s="2" t="s">
        <v>96</v>
      </c>
      <c r="AP637" s="2" t="s">
        <v>97</v>
      </c>
      <c r="AQ637" s="2" t="s">
        <v>98</v>
      </c>
      <c r="AV637" s="2" t="s">
        <v>95</v>
      </c>
      <c r="AX637" s="2" t="s">
        <v>116</v>
      </c>
      <c r="AZ637" s="2" t="s">
        <v>342</v>
      </c>
      <c r="BB637" s="2" t="s">
        <v>54</v>
      </c>
      <c r="BC637" s="2" t="s">
        <v>2871</v>
      </c>
      <c r="BF637" s="2" t="s">
        <v>2879</v>
      </c>
      <c r="BG637" s="2" t="s">
        <v>95</v>
      </c>
      <c r="BH637" s="2" t="s">
        <v>95</v>
      </c>
      <c r="BI637" s="2" t="s">
        <v>95</v>
      </c>
      <c r="BK637" s="2" t="s">
        <v>100</v>
      </c>
      <c r="BQ637" s="2">
        <v>8</v>
      </c>
      <c r="BR637" s="2">
        <v>1</v>
      </c>
      <c r="CA637" s="2" t="s">
        <v>2880</v>
      </c>
      <c r="CB637" s="2" t="s">
        <v>116</v>
      </c>
      <c r="CL637" s="2" t="s">
        <v>96</v>
      </c>
      <c r="CM637" s="2" t="s">
        <v>96</v>
      </c>
      <c r="CN637" s="2" t="s">
        <v>1404</v>
      </c>
      <c r="CO637" s="3">
        <v>38856</v>
      </c>
      <c r="CP637" s="3">
        <v>43634</v>
      </c>
    </row>
    <row r="638" spans="1:94" x14ac:dyDescent="0.25">
      <c r="A638" s="2" t="s">
        <v>2881</v>
      </c>
      <c r="B638" s="2" t="str">
        <f xml:space="preserve"> "" &amp; 844349009733</f>
        <v>844349009733</v>
      </c>
      <c r="C638" s="2" t="s">
        <v>406</v>
      </c>
      <c r="D638" s="2" t="s">
        <v>2878</v>
      </c>
      <c r="E638" s="2" t="s">
        <v>2870</v>
      </c>
      <c r="F638" s="2" t="s">
        <v>393</v>
      </c>
      <c r="G638" s="2">
        <v>1</v>
      </c>
      <c r="H638" s="2">
        <v>1</v>
      </c>
      <c r="I638" s="2" t="s">
        <v>94</v>
      </c>
      <c r="J638" s="6">
        <v>185</v>
      </c>
      <c r="K638" s="6">
        <v>555</v>
      </c>
      <c r="L638" s="2">
        <v>0</v>
      </c>
      <c r="N638" s="2">
        <v>0</v>
      </c>
      <c r="O638" s="2" t="s">
        <v>96</v>
      </c>
      <c r="P638" s="6">
        <v>389.95</v>
      </c>
      <c r="Q638" s="6"/>
      <c r="R638" s="7"/>
      <c r="S638" s="2">
        <v>28.75</v>
      </c>
      <c r="U638" s="2">
        <v>21.25</v>
      </c>
      <c r="W638" s="2">
        <v>15.28</v>
      </c>
      <c r="X638" s="2">
        <v>1</v>
      </c>
      <c r="Y638" s="2">
        <v>8.5</v>
      </c>
      <c r="Z638" s="2">
        <v>29</v>
      </c>
      <c r="AA638" s="2">
        <v>22.5</v>
      </c>
      <c r="AB638" s="2">
        <v>3.21</v>
      </c>
      <c r="AC638" s="2">
        <v>20.94</v>
      </c>
      <c r="AE638" s="2">
        <v>4</v>
      </c>
      <c r="AF638" s="2" t="s">
        <v>519</v>
      </c>
      <c r="AG638" s="2">
        <v>100</v>
      </c>
      <c r="AK638" s="2" t="s">
        <v>95</v>
      </c>
      <c r="AM638" s="2" t="s">
        <v>95</v>
      </c>
      <c r="AN638" s="2" t="s">
        <v>96</v>
      </c>
      <c r="AO638" s="2" t="s">
        <v>95</v>
      </c>
      <c r="AP638" s="2" t="s">
        <v>97</v>
      </c>
      <c r="AQ638" s="2" t="s">
        <v>98</v>
      </c>
      <c r="AV638" s="2" t="s">
        <v>95</v>
      </c>
      <c r="AX638" s="2" t="s">
        <v>1483</v>
      </c>
      <c r="AZ638" s="2" t="s">
        <v>342</v>
      </c>
      <c r="BF638" s="2" t="s">
        <v>2882</v>
      </c>
      <c r="BG638" s="2" t="s">
        <v>95</v>
      </c>
      <c r="BH638" s="2" t="s">
        <v>95</v>
      </c>
      <c r="BI638" s="2" t="s">
        <v>95</v>
      </c>
      <c r="BK638" s="2" t="s">
        <v>100</v>
      </c>
      <c r="BQ638" s="2">
        <v>8</v>
      </c>
      <c r="BR638" s="2">
        <v>1</v>
      </c>
      <c r="CA638" s="2" t="s">
        <v>2880</v>
      </c>
      <c r="CB638" s="2" t="s">
        <v>1483</v>
      </c>
      <c r="CL638" s="2" t="s">
        <v>96</v>
      </c>
      <c r="CM638" s="2" t="s">
        <v>96</v>
      </c>
      <c r="CN638" s="2" t="s">
        <v>460</v>
      </c>
      <c r="CO638" s="3">
        <v>40641</v>
      </c>
      <c r="CP638" s="3">
        <v>43634</v>
      </c>
    </row>
    <row r="639" spans="1:94" x14ac:dyDescent="0.25">
      <c r="A639" s="2" t="s">
        <v>2883</v>
      </c>
      <c r="B639" s="2" t="str">
        <f xml:space="preserve"> "" &amp; 874944004772</f>
        <v>874944004772</v>
      </c>
      <c r="C639" s="2" t="s">
        <v>1158</v>
      </c>
      <c r="D639" s="2" t="s">
        <v>2884</v>
      </c>
      <c r="E639" s="2" t="s">
        <v>2870</v>
      </c>
      <c r="F639" s="2" t="s">
        <v>393</v>
      </c>
      <c r="G639" s="2">
        <v>1</v>
      </c>
      <c r="H639" s="2">
        <v>1</v>
      </c>
      <c r="I639" s="2" t="s">
        <v>94</v>
      </c>
      <c r="J639" s="6">
        <v>335</v>
      </c>
      <c r="K639" s="6">
        <v>1005</v>
      </c>
      <c r="L639" s="2">
        <v>0</v>
      </c>
      <c r="N639" s="2">
        <v>0</v>
      </c>
      <c r="O639" s="2" t="s">
        <v>96</v>
      </c>
      <c r="P639" s="6">
        <v>703.95</v>
      </c>
      <c r="Q639" s="6"/>
      <c r="R639" s="7"/>
      <c r="S639" s="2">
        <v>26.5</v>
      </c>
      <c r="U639" s="2">
        <v>34.5</v>
      </c>
      <c r="W639" s="2">
        <v>26.63</v>
      </c>
      <c r="X639" s="2">
        <v>1</v>
      </c>
      <c r="Y639" s="2">
        <v>14</v>
      </c>
      <c r="Z639" s="2">
        <v>36.5</v>
      </c>
      <c r="AA639" s="2">
        <v>36.5</v>
      </c>
      <c r="AB639" s="2">
        <v>10.794</v>
      </c>
      <c r="AC639" s="2">
        <v>38.14</v>
      </c>
      <c r="AE639" s="2">
        <v>6</v>
      </c>
      <c r="AF639" s="2" t="s">
        <v>394</v>
      </c>
      <c r="AG639" s="2">
        <v>100</v>
      </c>
      <c r="AH639" s="2">
        <v>0</v>
      </c>
      <c r="AJ639" s="2">
        <v>0</v>
      </c>
      <c r="AK639" s="2" t="s">
        <v>95</v>
      </c>
      <c r="AM639" s="2" t="s">
        <v>95</v>
      </c>
      <c r="AN639" s="2" t="s">
        <v>95</v>
      </c>
      <c r="AO639" s="2" t="s">
        <v>96</v>
      </c>
      <c r="AP639" s="2" t="s">
        <v>97</v>
      </c>
      <c r="AQ639" s="2" t="s">
        <v>98</v>
      </c>
      <c r="AV639" s="2" t="s">
        <v>95</v>
      </c>
      <c r="AX639" s="2" t="s">
        <v>116</v>
      </c>
      <c r="AZ639" s="2" t="s">
        <v>342</v>
      </c>
      <c r="BB639" s="2" t="s">
        <v>54</v>
      </c>
      <c r="BC639" s="2" t="s">
        <v>2871</v>
      </c>
      <c r="BF639" s="2" t="s">
        <v>2885</v>
      </c>
      <c r="BG639" s="2" t="s">
        <v>95</v>
      </c>
      <c r="BH639" s="2" t="s">
        <v>95</v>
      </c>
      <c r="BI639" s="2" t="s">
        <v>95</v>
      </c>
      <c r="BK639" s="2" t="s">
        <v>100</v>
      </c>
      <c r="BQ639" s="2">
        <v>7</v>
      </c>
      <c r="BR639" s="2">
        <v>1</v>
      </c>
      <c r="CA639" s="2" t="s">
        <v>2886</v>
      </c>
      <c r="CB639" s="2" t="s">
        <v>116</v>
      </c>
      <c r="CL639" s="2" t="s">
        <v>96</v>
      </c>
      <c r="CM639" s="2" t="s">
        <v>96</v>
      </c>
      <c r="CN639" s="2" t="s">
        <v>2887</v>
      </c>
      <c r="CO639" s="3">
        <v>38856</v>
      </c>
      <c r="CP639" s="3">
        <v>43634</v>
      </c>
    </row>
    <row r="640" spans="1:94" x14ac:dyDescent="0.25">
      <c r="A640" s="2" t="s">
        <v>2888</v>
      </c>
      <c r="B640" s="2" t="str">
        <f xml:space="preserve"> "" &amp; 844349009740</f>
        <v>844349009740</v>
      </c>
      <c r="C640" s="2" t="s">
        <v>1158</v>
      </c>
      <c r="D640" s="2" t="s">
        <v>2884</v>
      </c>
      <c r="E640" s="2" t="s">
        <v>2870</v>
      </c>
      <c r="F640" s="2" t="s">
        <v>393</v>
      </c>
      <c r="G640" s="2">
        <v>1</v>
      </c>
      <c r="H640" s="2">
        <v>1</v>
      </c>
      <c r="I640" s="2" t="s">
        <v>94</v>
      </c>
      <c r="J640" s="6">
        <v>335</v>
      </c>
      <c r="K640" s="6">
        <v>1005</v>
      </c>
      <c r="L640" s="2">
        <v>0</v>
      </c>
      <c r="N640" s="2">
        <v>0</v>
      </c>
      <c r="O640" s="2" t="s">
        <v>96</v>
      </c>
      <c r="P640" s="6">
        <v>703.95</v>
      </c>
      <c r="Q640" s="6"/>
      <c r="R640" s="7"/>
      <c r="S640" s="2">
        <v>26.5</v>
      </c>
      <c r="U640" s="2">
        <v>34.5</v>
      </c>
      <c r="W640" s="2">
        <v>26.63</v>
      </c>
      <c r="X640" s="2">
        <v>1</v>
      </c>
      <c r="Y640" s="2">
        <v>14</v>
      </c>
      <c r="Z640" s="2">
        <v>36.5</v>
      </c>
      <c r="AA640" s="2">
        <v>36.5</v>
      </c>
      <c r="AB640" s="2">
        <v>10.794</v>
      </c>
      <c r="AC640" s="2">
        <v>38.14</v>
      </c>
      <c r="AE640" s="2">
        <v>6</v>
      </c>
      <c r="AF640" s="2" t="s">
        <v>519</v>
      </c>
      <c r="AG640" s="2">
        <v>100</v>
      </c>
      <c r="AK640" s="2" t="s">
        <v>95</v>
      </c>
      <c r="AM640" s="2" t="s">
        <v>95</v>
      </c>
      <c r="AN640" s="2" t="s">
        <v>96</v>
      </c>
      <c r="AO640" s="2" t="s">
        <v>95</v>
      </c>
      <c r="AP640" s="2" t="s">
        <v>428</v>
      </c>
      <c r="AQ640" s="2" t="s">
        <v>98</v>
      </c>
      <c r="AV640" s="2" t="s">
        <v>95</v>
      </c>
      <c r="AX640" s="2" t="s">
        <v>1483</v>
      </c>
      <c r="AZ640" s="2" t="s">
        <v>342</v>
      </c>
      <c r="BF640" s="2" t="s">
        <v>2889</v>
      </c>
      <c r="BG640" s="2" t="s">
        <v>95</v>
      </c>
      <c r="BH640" s="2" t="s">
        <v>95</v>
      </c>
      <c r="BI640" s="2" t="s">
        <v>95</v>
      </c>
      <c r="BK640" s="2" t="s">
        <v>100</v>
      </c>
      <c r="BQ640" s="2">
        <v>7</v>
      </c>
      <c r="BR640" s="2">
        <v>1</v>
      </c>
      <c r="CA640" s="2" t="s">
        <v>2886</v>
      </c>
      <c r="CB640" s="2" t="s">
        <v>1483</v>
      </c>
      <c r="CL640" s="2" t="s">
        <v>96</v>
      </c>
      <c r="CM640" s="2" t="s">
        <v>95</v>
      </c>
      <c r="CN640" s="2" t="s">
        <v>460</v>
      </c>
      <c r="CO640" s="3">
        <v>40641</v>
      </c>
      <c r="CP640" s="3">
        <v>43634</v>
      </c>
    </row>
    <row r="641" spans="1:94" x14ac:dyDescent="0.25">
      <c r="A641" s="2" t="s">
        <v>2890</v>
      </c>
      <c r="B641" s="2" t="str">
        <f xml:space="preserve"> "" &amp; 844349008194</f>
        <v>844349008194</v>
      </c>
      <c r="C641" s="2" t="s">
        <v>417</v>
      </c>
      <c r="D641" s="2" t="s">
        <v>2891</v>
      </c>
      <c r="E641" s="2" t="s">
        <v>2892</v>
      </c>
      <c r="F641" s="2" t="s">
        <v>418</v>
      </c>
      <c r="G641" s="2">
        <v>1</v>
      </c>
      <c r="H641" s="2">
        <v>1</v>
      </c>
      <c r="I641" s="2" t="s">
        <v>94</v>
      </c>
      <c r="J641" s="6">
        <v>35</v>
      </c>
      <c r="K641" s="6">
        <v>105</v>
      </c>
      <c r="L641" s="2">
        <v>0</v>
      </c>
      <c r="N641" s="2">
        <v>0</v>
      </c>
      <c r="O641" s="2" t="s">
        <v>96</v>
      </c>
      <c r="P641" s="6">
        <v>73.95</v>
      </c>
      <c r="Q641" s="6"/>
      <c r="R641" s="7"/>
      <c r="S641" s="2">
        <v>7</v>
      </c>
      <c r="T641" s="2">
        <v>8.5</v>
      </c>
      <c r="U641" s="2">
        <v>5</v>
      </c>
      <c r="V641" s="2">
        <v>2.75</v>
      </c>
      <c r="W641" s="2">
        <v>1.63</v>
      </c>
      <c r="X641" s="2">
        <v>1</v>
      </c>
      <c r="Y641" s="2">
        <v>7.125</v>
      </c>
      <c r="Z641" s="2">
        <v>8.5</v>
      </c>
      <c r="AA641" s="2">
        <v>6.125</v>
      </c>
      <c r="AB641" s="2">
        <v>0.215</v>
      </c>
      <c r="AC641" s="2">
        <v>2.27</v>
      </c>
      <c r="AE641" s="2">
        <v>1</v>
      </c>
      <c r="AF641" s="2" t="s">
        <v>968</v>
      </c>
      <c r="AG641" s="2">
        <v>60</v>
      </c>
      <c r="AK641" s="2" t="s">
        <v>96</v>
      </c>
      <c r="AM641" s="2" t="s">
        <v>96</v>
      </c>
      <c r="AN641" s="2" t="s">
        <v>95</v>
      </c>
      <c r="AO641" s="2" t="s">
        <v>95</v>
      </c>
      <c r="AP641" s="2" t="s">
        <v>97</v>
      </c>
      <c r="AQ641" s="2" t="s">
        <v>98</v>
      </c>
      <c r="AV641" s="2" t="s">
        <v>95</v>
      </c>
      <c r="AX641" s="2" t="s">
        <v>395</v>
      </c>
      <c r="AZ641" s="2" t="s">
        <v>342</v>
      </c>
      <c r="BB641" s="2" t="s">
        <v>329</v>
      </c>
      <c r="BC641" s="2" t="s">
        <v>865</v>
      </c>
      <c r="BF641" s="2" t="s">
        <v>2893</v>
      </c>
      <c r="BG641" s="2" t="s">
        <v>95</v>
      </c>
      <c r="BH641" s="2" t="s">
        <v>96</v>
      </c>
      <c r="BI641" s="2" t="s">
        <v>95</v>
      </c>
      <c r="BK641" s="2" t="s">
        <v>414</v>
      </c>
      <c r="BL641" s="2" t="s">
        <v>476</v>
      </c>
      <c r="BR641" s="2">
        <v>7</v>
      </c>
      <c r="BT641" s="2">
        <v>5</v>
      </c>
      <c r="CA641" s="2" t="s">
        <v>2894</v>
      </c>
      <c r="CB641" s="2" t="s">
        <v>395</v>
      </c>
      <c r="CL641" s="2" t="s">
        <v>96</v>
      </c>
      <c r="CM641" s="2" t="s">
        <v>95</v>
      </c>
      <c r="CN641" s="2" t="s">
        <v>2767</v>
      </c>
      <c r="CO641" s="3">
        <v>40263</v>
      </c>
      <c r="CP641" s="3">
        <v>43634</v>
      </c>
    </row>
    <row r="642" spans="1:94" x14ac:dyDescent="0.25">
      <c r="A642" s="2" t="s">
        <v>2895</v>
      </c>
      <c r="B642" s="2" t="str">
        <f xml:space="preserve"> "" &amp; 844349008200</f>
        <v>844349008200</v>
      </c>
      <c r="C642" s="2" t="s">
        <v>990</v>
      </c>
      <c r="D642" s="2" t="s">
        <v>2896</v>
      </c>
      <c r="E642" s="2" t="s">
        <v>2892</v>
      </c>
      <c r="F642" s="2" t="s">
        <v>418</v>
      </c>
      <c r="G642" s="2">
        <v>1</v>
      </c>
      <c r="H642" s="2">
        <v>1</v>
      </c>
      <c r="I642" s="2" t="s">
        <v>94</v>
      </c>
      <c r="J642" s="6">
        <v>33</v>
      </c>
      <c r="K642" s="6">
        <v>99</v>
      </c>
      <c r="L642" s="2">
        <v>0</v>
      </c>
      <c r="N642" s="2">
        <v>0</v>
      </c>
      <c r="O642" s="2" t="s">
        <v>96</v>
      </c>
      <c r="P642" s="6">
        <v>69.95</v>
      </c>
      <c r="Q642" s="6"/>
      <c r="R642" s="7"/>
      <c r="S642" s="2">
        <v>5</v>
      </c>
      <c r="T642" s="2">
        <v>6</v>
      </c>
      <c r="U642" s="2">
        <v>5</v>
      </c>
      <c r="V642" s="2">
        <v>2.75</v>
      </c>
      <c r="W642" s="2">
        <v>1.04</v>
      </c>
      <c r="X642" s="2">
        <v>1</v>
      </c>
      <c r="Y642" s="2">
        <v>7.125</v>
      </c>
      <c r="Z642" s="2">
        <v>6</v>
      </c>
      <c r="AA642" s="2">
        <v>6</v>
      </c>
      <c r="AB642" s="2">
        <v>0.14799999999999999</v>
      </c>
      <c r="AC642" s="2">
        <v>1.5</v>
      </c>
      <c r="AE642" s="2">
        <v>1</v>
      </c>
      <c r="AF642" s="2" t="s">
        <v>968</v>
      </c>
      <c r="AG642" s="2">
        <v>60</v>
      </c>
      <c r="AK642" s="2" t="s">
        <v>96</v>
      </c>
      <c r="AL642" s="2">
        <v>1</v>
      </c>
      <c r="AM642" s="2" t="s">
        <v>96</v>
      </c>
      <c r="AN642" s="2" t="s">
        <v>95</v>
      </c>
      <c r="AO642" s="2" t="s">
        <v>95</v>
      </c>
      <c r="AP642" s="2" t="s">
        <v>97</v>
      </c>
      <c r="AQ642" s="2" t="s">
        <v>98</v>
      </c>
      <c r="AV642" s="2" t="s">
        <v>95</v>
      </c>
      <c r="AX642" s="2" t="s">
        <v>395</v>
      </c>
      <c r="AZ642" s="2" t="s">
        <v>342</v>
      </c>
      <c r="BB642" s="2" t="s">
        <v>329</v>
      </c>
      <c r="BC642" s="2" t="s">
        <v>865</v>
      </c>
      <c r="BF642" s="2" t="s">
        <v>2897</v>
      </c>
      <c r="BG642" s="2" t="s">
        <v>95</v>
      </c>
      <c r="BH642" s="2" t="s">
        <v>96</v>
      </c>
      <c r="BI642" s="2" t="s">
        <v>95</v>
      </c>
      <c r="BK642" s="2" t="s">
        <v>414</v>
      </c>
      <c r="BL642" s="2" t="s">
        <v>476</v>
      </c>
      <c r="BR642" s="2">
        <v>5</v>
      </c>
      <c r="BT642" s="2">
        <v>5</v>
      </c>
      <c r="CA642" s="2" t="s">
        <v>2898</v>
      </c>
      <c r="CB642" s="2" t="s">
        <v>395</v>
      </c>
      <c r="CL642" s="2" t="s">
        <v>96</v>
      </c>
      <c r="CM642" s="2" t="s">
        <v>95</v>
      </c>
      <c r="CN642" s="2" t="s">
        <v>2899</v>
      </c>
      <c r="CO642" s="3">
        <v>40263</v>
      </c>
      <c r="CP642" s="3">
        <v>43634</v>
      </c>
    </row>
    <row r="643" spans="1:94" x14ac:dyDescent="0.25">
      <c r="A643" s="2" t="s">
        <v>2900</v>
      </c>
      <c r="B643" s="2" t="str">
        <f xml:space="preserve"> "" &amp; 844349008217</f>
        <v>844349008217</v>
      </c>
      <c r="C643" s="2" t="s">
        <v>1001</v>
      </c>
      <c r="D643" s="2" t="s">
        <v>2901</v>
      </c>
      <c r="E643" s="2" t="s">
        <v>2892</v>
      </c>
      <c r="F643" s="2" t="s">
        <v>658</v>
      </c>
      <c r="G643" s="2">
        <v>1</v>
      </c>
      <c r="H643" s="2">
        <v>1</v>
      </c>
      <c r="I643" s="2" t="s">
        <v>94</v>
      </c>
      <c r="J643" s="6">
        <v>65</v>
      </c>
      <c r="K643" s="6">
        <v>195</v>
      </c>
      <c r="L643" s="2">
        <v>0</v>
      </c>
      <c r="N643" s="2">
        <v>0</v>
      </c>
      <c r="O643" s="2" t="s">
        <v>96</v>
      </c>
      <c r="P643" s="6">
        <v>136.94999999999999</v>
      </c>
      <c r="Q643" s="6"/>
      <c r="R643" s="7"/>
      <c r="S643" s="2">
        <v>5</v>
      </c>
      <c r="T643" s="2">
        <v>25.63</v>
      </c>
      <c r="U643" s="2">
        <v>21</v>
      </c>
      <c r="V643" s="2">
        <v>2.75</v>
      </c>
      <c r="W643" s="2">
        <v>4.1399999999999997</v>
      </c>
      <c r="X643" s="2">
        <v>1</v>
      </c>
      <c r="Y643" s="2">
        <v>7.125</v>
      </c>
      <c r="Z643" s="2">
        <v>25.63</v>
      </c>
      <c r="AA643" s="2">
        <v>6.13</v>
      </c>
      <c r="AB643" s="2">
        <v>0.64800000000000002</v>
      </c>
      <c r="AC643" s="2">
        <v>6.06</v>
      </c>
      <c r="AE643" s="2">
        <v>3</v>
      </c>
      <c r="AF643" s="2" t="s">
        <v>968</v>
      </c>
      <c r="AG643" s="2">
        <v>50</v>
      </c>
      <c r="AK643" s="2" t="s">
        <v>96</v>
      </c>
      <c r="AM643" s="2" t="s">
        <v>96</v>
      </c>
      <c r="AN643" s="2" t="s">
        <v>95</v>
      </c>
      <c r="AO643" s="2" t="s">
        <v>95</v>
      </c>
      <c r="AP643" s="2" t="s">
        <v>97</v>
      </c>
      <c r="AQ643" s="2" t="s">
        <v>98</v>
      </c>
      <c r="AV643" s="2" t="s">
        <v>95</v>
      </c>
      <c r="AX643" s="2" t="s">
        <v>395</v>
      </c>
      <c r="AZ643" s="2" t="s">
        <v>342</v>
      </c>
      <c r="BB643" s="2" t="s">
        <v>329</v>
      </c>
      <c r="BC643" s="2" t="s">
        <v>865</v>
      </c>
      <c r="BF643" s="2" t="s">
        <v>2902</v>
      </c>
      <c r="BG643" s="2" t="s">
        <v>95</v>
      </c>
      <c r="BH643" s="2" t="s">
        <v>96</v>
      </c>
      <c r="BI643" s="2" t="s">
        <v>95</v>
      </c>
      <c r="BK643" s="2" t="s">
        <v>414</v>
      </c>
      <c r="BL643" s="2" t="s">
        <v>476</v>
      </c>
      <c r="BR643" s="2">
        <v>4.38</v>
      </c>
      <c r="BT643" s="2">
        <v>21</v>
      </c>
      <c r="CA643" s="2" t="s">
        <v>2903</v>
      </c>
      <c r="CB643" s="2" t="s">
        <v>395</v>
      </c>
      <c r="CL643" s="2" t="s">
        <v>96</v>
      </c>
      <c r="CM643" s="2" t="s">
        <v>95</v>
      </c>
      <c r="CN643" s="2" t="s">
        <v>2899</v>
      </c>
      <c r="CO643" s="3">
        <v>40263</v>
      </c>
      <c r="CP643" s="3">
        <v>43634</v>
      </c>
    </row>
    <row r="644" spans="1:94" x14ac:dyDescent="0.25">
      <c r="A644" s="2" t="s">
        <v>2904</v>
      </c>
      <c r="B644" s="2" t="str">
        <f xml:space="preserve"> "" &amp; 844349008224</f>
        <v>844349008224</v>
      </c>
      <c r="C644" s="2" t="s">
        <v>1006</v>
      </c>
      <c r="D644" s="2" t="s">
        <v>2905</v>
      </c>
      <c r="E644" s="2" t="s">
        <v>2892</v>
      </c>
      <c r="F644" s="2" t="s">
        <v>658</v>
      </c>
      <c r="G644" s="2">
        <v>1</v>
      </c>
      <c r="H644" s="2">
        <v>1</v>
      </c>
      <c r="I644" s="2" t="s">
        <v>94</v>
      </c>
      <c r="J644" s="6">
        <v>85</v>
      </c>
      <c r="K644" s="6">
        <v>255</v>
      </c>
      <c r="L644" s="2">
        <v>0</v>
      </c>
      <c r="N644" s="2">
        <v>0</v>
      </c>
      <c r="O644" s="2" t="s">
        <v>96</v>
      </c>
      <c r="P644" s="6">
        <v>178.95</v>
      </c>
      <c r="Q644" s="6"/>
      <c r="R644" s="7"/>
      <c r="S644" s="2">
        <v>5</v>
      </c>
      <c r="T644" s="2">
        <v>33.5</v>
      </c>
      <c r="U644" s="2">
        <v>29</v>
      </c>
      <c r="V644" s="2">
        <v>2.75</v>
      </c>
      <c r="W644" s="2">
        <v>5.51</v>
      </c>
      <c r="X644" s="2">
        <v>1</v>
      </c>
      <c r="Y644" s="2">
        <v>7.125</v>
      </c>
      <c r="Z644" s="2">
        <v>33.5</v>
      </c>
      <c r="AA644" s="2">
        <v>6.125</v>
      </c>
      <c r="AB644" s="2">
        <v>0.84599999999999997</v>
      </c>
      <c r="AC644" s="2">
        <v>7.5</v>
      </c>
      <c r="AE644" s="2">
        <v>4</v>
      </c>
      <c r="AF644" s="2" t="s">
        <v>968</v>
      </c>
      <c r="AG644" s="2">
        <v>60</v>
      </c>
      <c r="AK644" s="2" t="s">
        <v>96</v>
      </c>
      <c r="AM644" s="2" t="s">
        <v>96</v>
      </c>
      <c r="AN644" s="2" t="s">
        <v>95</v>
      </c>
      <c r="AO644" s="2" t="s">
        <v>95</v>
      </c>
      <c r="AP644" s="2" t="s">
        <v>97</v>
      </c>
      <c r="AQ644" s="2" t="s">
        <v>98</v>
      </c>
      <c r="AV644" s="2" t="s">
        <v>95</v>
      </c>
      <c r="AX644" s="2" t="s">
        <v>395</v>
      </c>
      <c r="AZ644" s="2" t="s">
        <v>342</v>
      </c>
      <c r="BB644" s="2" t="s">
        <v>329</v>
      </c>
      <c r="BC644" s="2" t="s">
        <v>865</v>
      </c>
      <c r="BF644" s="2" t="s">
        <v>2906</v>
      </c>
      <c r="BG644" s="2" t="s">
        <v>95</v>
      </c>
      <c r="BH644" s="2" t="s">
        <v>96</v>
      </c>
      <c r="BI644" s="2" t="s">
        <v>95</v>
      </c>
      <c r="BK644" s="2" t="s">
        <v>414</v>
      </c>
      <c r="BL644" s="2" t="s">
        <v>476</v>
      </c>
      <c r="BR644" s="2">
        <v>5</v>
      </c>
      <c r="BT644" s="2">
        <v>28.88</v>
      </c>
      <c r="CA644" s="2" t="s">
        <v>2907</v>
      </c>
      <c r="CB644" s="2" t="s">
        <v>395</v>
      </c>
      <c r="CL644" s="2" t="s">
        <v>96</v>
      </c>
      <c r="CM644" s="2" t="s">
        <v>95</v>
      </c>
      <c r="CN644" s="2" t="s">
        <v>2899</v>
      </c>
      <c r="CO644" s="3">
        <v>40263</v>
      </c>
      <c r="CP644" s="3">
        <v>43634</v>
      </c>
    </row>
    <row r="645" spans="1:94" x14ac:dyDescent="0.25">
      <c r="A645" s="2" t="s">
        <v>2908</v>
      </c>
      <c r="B645" s="2" t="str">
        <f xml:space="preserve"> "" &amp; 844349008231</f>
        <v>844349008231</v>
      </c>
      <c r="C645" s="2" t="s">
        <v>2434</v>
      </c>
      <c r="D645" s="2" t="s">
        <v>2909</v>
      </c>
      <c r="E645" s="2" t="s">
        <v>2892</v>
      </c>
      <c r="F645" s="2" t="s">
        <v>658</v>
      </c>
      <c r="G645" s="2">
        <v>1</v>
      </c>
      <c r="H645" s="2">
        <v>1</v>
      </c>
      <c r="I645" s="2" t="s">
        <v>94</v>
      </c>
      <c r="J645" s="6">
        <v>95</v>
      </c>
      <c r="K645" s="6">
        <v>285</v>
      </c>
      <c r="L645" s="2">
        <v>0</v>
      </c>
      <c r="N645" s="2">
        <v>0</v>
      </c>
      <c r="O645" s="2" t="s">
        <v>96</v>
      </c>
      <c r="P645" s="6">
        <v>199.95</v>
      </c>
      <c r="Q645" s="6"/>
      <c r="R645" s="7"/>
      <c r="S645" s="2">
        <v>5</v>
      </c>
      <c r="T645" s="2">
        <v>41.375</v>
      </c>
      <c r="U645" s="2">
        <v>36.75</v>
      </c>
      <c r="V645" s="2">
        <v>2.75</v>
      </c>
      <c r="W645" s="2">
        <v>6.83</v>
      </c>
      <c r="X645" s="2">
        <v>1</v>
      </c>
      <c r="Y645" s="2">
        <v>7.125</v>
      </c>
      <c r="Z645" s="2">
        <v>41.375</v>
      </c>
      <c r="AA645" s="2">
        <v>6.125</v>
      </c>
      <c r="AB645" s="2">
        <v>1.0449999999999999</v>
      </c>
      <c r="AC645" s="2">
        <v>9.6999999999999993</v>
      </c>
      <c r="AE645" s="2">
        <v>5</v>
      </c>
      <c r="AF645" s="2" t="s">
        <v>968</v>
      </c>
      <c r="AG645" s="2">
        <v>60</v>
      </c>
      <c r="AK645" s="2" t="s">
        <v>96</v>
      </c>
      <c r="AM645" s="2" t="s">
        <v>96</v>
      </c>
      <c r="AN645" s="2" t="s">
        <v>95</v>
      </c>
      <c r="AO645" s="2" t="s">
        <v>95</v>
      </c>
      <c r="AP645" s="2" t="s">
        <v>97</v>
      </c>
      <c r="AQ645" s="2" t="s">
        <v>98</v>
      </c>
      <c r="AV645" s="2" t="s">
        <v>95</v>
      </c>
      <c r="AX645" s="2" t="s">
        <v>395</v>
      </c>
      <c r="AZ645" s="2" t="s">
        <v>342</v>
      </c>
      <c r="BB645" s="2" t="s">
        <v>329</v>
      </c>
      <c r="BC645" s="2" t="s">
        <v>593</v>
      </c>
      <c r="BF645" s="2" t="s">
        <v>2910</v>
      </c>
      <c r="BG645" s="2" t="s">
        <v>95</v>
      </c>
      <c r="BH645" s="2" t="s">
        <v>96</v>
      </c>
      <c r="BI645" s="2" t="s">
        <v>95</v>
      </c>
      <c r="BK645" s="2" t="s">
        <v>414</v>
      </c>
      <c r="BL645" s="2" t="s">
        <v>476</v>
      </c>
      <c r="BR645" s="2">
        <v>5</v>
      </c>
      <c r="BT645" s="2">
        <v>36.75</v>
      </c>
      <c r="CA645" s="2" t="s">
        <v>2911</v>
      </c>
      <c r="CB645" s="2" t="s">
        <v>395</v>
      </c>
      <c r="CL645" s="2" t="s">
        <v>96</v>
      </c>
      <c r="CM645" s="2" t="s">
        <v>95</v>
      </c>
      <c r="CN645" s="2" t="s">
        <v>2899</v>
      </c>
      <c r="CO645" s="3">
        <v>40263</v>
      </c>
      <c r="CP645" s="3">
        <v>43634</v>
      </c>
    </row>
    <row r="646" spans="1:94" x14ac:dyDescent="0.25">
      <c r="A646" s="2" t="s">
        <v>2912</v>
      </c>
      <c r="B646" s="2" t="str">
        <f xml:space="preserve"> "" &amp; 870540002600</f>
        <v>870540002600</v>
      </c>
      <c r="C646" s="2" t="s">
        <v>2913</v>
      </c>
      <c r="D646" s="2" t="s">
        <v>3699</v>
      </c>
      <c r="E646" s="2" t="s">
        <v>2917</v>
      </c>
      <c r="F646" s="2" t="s">
        <v>418</v>
      </c>
      <c r="G646" s="2">
        <v>1</v>
      </c>
      <c r="H646" s="2">
        <v>1</v>
      </c>
      <c r="I646" s="2" t="s">
        <v>94</v>
      </c>
      <c r="J646" s="6">
        <v>85</v>
      </c>
      <c r="K646" s="6">
        <v>255</v>
      </c>
      <c r="L646" s="2">
        <v>0</v>
      </c>
      <c r="N646" s="2">
        <v>0</v>
      </c>
      <c r="O646" s="2" t="s">
        <v>96</v>
      </c>
      <c r="P646" s="6">
        <v>178.95</v>
      </c>
      <c r="Q646" s="6"/>
      <c r="R646" s="7"/>
      <c r="S646" s="2">
        <v>7.25</v>
      </c>
      <c r="U646" s="2">
        <v>17</v>
      </c>
      <c r="V646" s="2">
        <v>6</v>
      </c>
      <c r="W646" s="2">
        <v>2.87</v>
      </c>
      <c r="X646" s="2">
        <v>1</v>
      </c>
      <c r="Y646" s="2">
        <v>21</v>
      </c>
      <c r="Z646" s="2">
        <v>11.5</v>
      </c>
      <c r="AA646" s="2">
        <v>8.5</v>
      </c>
      <c r="AB646" s="2">
        <v>1.1879999999999999</v>
      </c>
      <c r="AC646" s="2">
        <v>5.73</v>
      </c>
      <c r="AE646" s="2">
        <v>1</v>
      </c>
      <c r="AF646" s="2" t="s">
        <v>1430</v>
      </c>
      <c r="AG646" s="2">
        <v>10</v>
      </c>
      <c r="AK646" s="2" t="s">
        <v>96</v>
      </c>
      <c r="AL646" s="2">
        <v>1</v>
      </c>
      <c r="AM646" s="2" t="s">
        <v>95</v>
      </c>
      <c r="AN646" s="2" t="s">
        <v>96</v>
      </c>
      <c r="AO646" s="2" t="s">
        <v>95</v>
      </c>
      <c r="AP646" s="2" t="s">
        <v>97</v>
      </c>
      <c r="AQ646" s="2" t="s">
        <v>98</v>
      </c>
      <c r="AV646" s="2" t="s">
        <v>95</v>
      </c>
      <c r="AX646" s="2" t="s">
        <v>2335</v>
      </c>
      <c r="AZ646" s="2" t="s">
        <v>342</v>
      </c>
      <c r="BB646" s="2" t="s">
        <v>230</v>
      </c>
      <c r="BC646" s="2" t="s">
        <v>2335</v>
      </c>
      <c r="BF646" s="2" t="s">
        <v>2914</v>
      </c>
      <c r="BG646" s="2" t="s">
        <v>95</v>
      </c>
      <c r="BH646" s="2" t="s">
        <v>95</v>
      </c>
      <c r="BI646" s="2" t="s">
        <v>95</v>
      </c>
      <c r="BK646" s="2" t="s">
        <v>100</v>
      </c>
      <c r="BL646" s="2" t="s">
        <v>617</v>
      </c>
      <c r="BM646" s="2">
        <v>4.5</v>
      </c>
      <c r="BN646" s="2">
        <v>6</v>
      </c>
      <c r="BP646" s="2">
        <v>1</v>
      </c>
      <c r="CA646" s="2" t="s">
        <v>2915</v>
      </c>
      <c r="CB646" s="2" t="s">
        <v>2335</v>
      </c>
      <c r="CG646" s="2">
        <v>3000</v>
      </c>
      <c r="CK646" s="2">
        <v>25000</v>
      </c>
      <c r="CL646" s="2" t="s">
        <v>95</v>
      </c>
      <c r="CM646" s="2" t="s">
        <v>95</v>
      </c>
      <c r="CN646" s="2" t="s">
        <v>230</v>
      </c>
      <c r="CO646" s="3">
        <v>40071</v>
      </c>
      <c r="CP646" s="3">
        <v>43634</v>
      </c>
    </row>
    <row r="647" spans="1:94" x14ac:dyDescent="0.25">
      <c r="A647" s="2" t="s">
        <v>2916</v>
      </c>
      <c r="B647" s="2" t="str">
        <f xml:space="preserve"> "" &amp; 870540002617</f>
        <v>870540002617</v>
      </c>
      <c r="C647" s="2" t="s">
        <v>2913</v>
      </c>
      <c r="D647" s="2" t="s">
        <v>3699</v>
      </c>
      <c r="E647" s="2" t="s">
        <v>2917</v>
      </c>
      <c r="F647" s="2" t="s">
        <v>418</v>
      </c>
      <c r="G647" s="2">
        <v>1</v>
      </c>
      <c r="H647" s="2">
        <v>1</v>
      </c>
      <c r="I647" s="2" t="s">
        <v>94</v>
      </c>
      <c r="J647" s="6">
        <v>85</v>
      </c>
      <c r="K647" s="6">
        <v>255</v>
      </c>
      <c r="L647" s="2">
        <v>0</v>
      </c>
      <c r="N647" s="2">
        <v>0</v>
      </c>
      <c r="O647" s="2" t="s">
        <v>96</v>
      </c>
      <c r="P647" s="6">
        <v>178.95</v>
      </c>
      <c r="Q647" s="6"/>
      <c r="R647" s="7"/>
      <c r="S647" s="2">
        <v>7.25</v>
      </c>
      <c r="U647" s="2">
        <v>17</v>
      </c>
      <c r="V647" s="2">
        <v>6</v>
      </c>
      <c r="W647" s="2">
        <v>2.87</v>
      </c>
      <c r="X647" s="2">
        <v>1</v>
      </c>
      <c r="Y647" s="2">
        <v>21</v>
      </c>
      <c r="Z647" s="2">
        <v>11.5</v>
      </c>
      <c r="AA647" s="2">
        <v>8.5</v>
      </c>
      <c r="AB647" s="2">
        <v>1.1879999999999999</v>
      </c>
      <c r="AC647" s="2">
        <v>5.73</v>
      </c>
      <c r="AE647" s="2">
        <v>1</v>
      </c>
      <c r="AF647" s="2" t="s">
        <v>1430</v>
      </c>
      <c r="AG647" s="2">
        <v>10</v>
      </c>
      <c r="AK647" s="2" t="s">
        <v>96</v>
      </c>
      <c r="AL647" s="2">
        <v>1</v>
      </c>
      <c r="AM647" s="2" t="s">
        <v>95</v>
      </c>
      <c r="AN647" s="2" t="s">
        <v>96</v>
      </c>
      <c r="AO647" s="2" t="s">
        <v>95</v>
      </c>
      <c r="AP647" s="2" t="s">
        <v>97</v>
      </c>
      <c r="AQ647" s="2" t="s">
        <v>98</v>
      </c>
      <c r="AV647" s="2" t="s">
        <v>95</v>
      </c>
      <c r="AX647" s="2" t="s">
        <v>2612</v>
      </c>
      <c r="AZ647" s="2" t="s">
        <v>342</v>
      </c>
      <c r="BB647" s="2" t="s">
        <v>212</v>
      </c>
      <c r="BC647" s="2" t="s">
        <v>2918</v>
      </c>
      <c r="BF647" s="2" t="s">
        <v>2919</v>
      </c>
      <c r="BG647" s="2" t="s">
        <v>95</v>
      </c>
      <c r="BH647" s="2" t="s">
        <v>95</v>
      </c>
      <c r="BI647" s="2" t="s">
        <v>95</v>
      </c>
      <c r="BK647" s="2" t="s">
        <v>100</v>
      </c>
      <c r="BL647" s="2" t="s">
        <v>617</v>
      </c>
      <c r="BM647" s="2">
        <v>4.5</v>
      </c>
      <c r="BN647" s="2">
        <v>6</v>
      </c>
      <c r="BP647" s="2">
        <v>1</v>
      </c>
      <c r="CA647" s="2" t="s">
        <v>2915</v>
      </c>
      <c r="CB647" s="2" t="s">
        <v>2612</v>
      </c>
      <c r="CG647" s="2">
        <v>3000</v>
      </c>
      <c r="CK647" s="2">
        <v>25000</v>
      </c>
      <c r="CL647" s="2" t="s">
        <v>95</v>
      </c>
      <c r="CM647" s="2" t="s">
        <v>95</v>
      </c>
      <c r="CN647" s="2" t="s">
        <v>230</v>
      </c>
      <c r="CO647" s="3">
        <v>39427</v>
      </c>
      <c r="CP647" s="3">
        <v>43634</v>
      </c>
    </row>
    <row r="648" spans="1:94" x14ac:dyDescent="0.25">
      <c r="A648" s="2" t="s">
        <v>2920</v>
      </c>
      <c r="B648" s="2" t="str">
        <f xml:space="preserve"> "" &amp; 844349024682</f>
        <v>844349024682</v>
      </c>
      <c r="C648" s="2" t="s">
        <v>2921</v>
      </c>
      <c r="D648" s="2" t="s">
        <v>2921</v>
      </c>
      <c r="F648" s="2" t="s">
        <v>2922</v>
      </c>
      <c r="G648" s="2">
        <v>1</v>
      </c>
      <c r="H648" s="2">
        <v>1</v>
      </c>
      <c r="I648" s="2" t="s">
        <v>94</v>
      </c>
      <c r="J648" s="6">
        <v>95</v>
      </c>
      <c r="K648" s="6">
        <v>285</v>
      </c>
      <c r="L648" s="2">
        <v>0</v>
      </c>
      <c r="N648" s="2">
        <v>0</v>
      </c>
      <c r="O648" s="2" t="s">
        <v>96</v>
      </c>
      <c r="P648" s="6">
        <v>199.95</v>
      </c>
      <c r="Q648" s="6"/>
      <c r="R648" s="7"/>
      <c r="S648" s="2">
        <v>17.75</v>
      </c>
      <c r="T648" s="2">
        <v>17.75</v>
      </c>
      <c r="U648" s="2">
        <v>17.75</v>
      </c>
      <c r="V648" s="2">
        <v>2</v>
      </c>
      <c r="W648" s="2">
        <v>7.69</v>
      </c>
      <c r="X648" s="2">
        <v>1</v>
      </c>
      <c r="Y648" s="2">
        <v>4</v>
      </c>
      <c r="Z648" s="2">
        <v>21.13</v>
      </c>
      <c r="AA648" s="2">
        <v>21.13</v>
      </c>
      <c r="AB648" s="2">
        <v>1.034</v>
      </c>
      <c r="AC648" s="2">
        <v>9.59</v>
      </c>
      <c r="AE648" s="2">
        <v>1</v>
      </c>
      <c r="AF648" s="2" t="s">
        <v>347</v>
      </c>
      <c r="AG648" s="2">
        <v>10</v>
      </c>
      <c r="AK648" s="2" t="s">
        <v>96</v>
      </c>
      <c r="AM648" s="2" t="s">
        <v>95</v>
      </c>
      <c r="AN648" s="2" t="s">
        <v>96</v>
      </c>
      <c r="AO648" s="2" t="s">
        <v>95</v>
      </c>
      <c r="AP648" s="2" t="s">
        <v>97</v>
      </c>
      <c r="AQ648" s="2" t="s">
        <v>98</v>
      </c>
      <c r="AV648" s="2" t="s">
        <v>95</v>
      </c>
      <c r="AZ648" s="2" t="s">
        <v>449</v>
      </c>
      <c r="BF648" s="2" t="s">
        <v>2923</v>
      </c>
      <c r="BG648" s="2" t="s">
        <v>95</v>
      </c>
      <c r="BH648" s="2" t="s">
        <v>95</v>
      </c>
      <c r="BI648" s="2" t="s">
        <v>95</v>
      </c>
      <c r="BK648" s="2" t="s">
        <v>414</v>
      </c>
      <c r="CA648" s="2" t="s">
        <v>2920</v>
      </c>
      <c r="CG648" s="2">
        <v>3000</v>
      </c>
      <c r="CH648" s="2">
        <v>92</v>
      </c>
      <c r="CJ648" s="2">
        <v>131</v>
      </c>
      <c r="CK648" s="2">
        <v>50000</v>
      </c>
      <c r="CL648" s="2" t="s">
        <v>95</v>
      </c>
      <c r="CM648" s="2" t="s">
        <v>95</v>
      </c>
      <c r="CN648" s="2" t="s">
        <v>2081</v>
      </c>
      <c r="CO648" s="3">
        <v>43096</v>
      </c>
      <c r="CP648" s="3">
        <v>43634</v>
      </c>
    </row>
    <row r="649" spans="1:94" x14ac:dyDescent="0.25">
      <c r="A649" s="2" t="s">
        <v>2924</v>
      </c>
      <c r="B649" s="2" t="str">
        <f xml:space="preserve"> "" &amp; 844349024699</f>
        <v>844349024699</v>
      </c>
      <c r="C649" s="2" t="s">
        <v>2921</v>
      </c>
      <c r="D649" s="2" t="s">
        <v>2921</v>
      </c>
      <c r="F649" s="2" t="s">
        <v>2922</v>
      </c>
      <c r="G649" s="2">
        <v>1</v>
      </c>
      <c r="H649" s="2">
        <v>1</v>
      </c>
      <c r="I649" s="2" t="s">
        <v>94</v>
      </c>
      <c r="J649" s="6">
        <v>112</v>
      </c>
      <c r="K649" s="6">
        <v>336</v>
      </c>
      <c r="L649" s="2">
        <v>0</v>
      </c>
      <c r="N649" s="2">
        <v>0</v>
      </c>
      <c r="O649" s="2" t="s">
        <v>96</v>
      </c>
      <c r="P649" s="6">
        <v>234.95</v>
      </c>
      <c r="Q649" s="6"/>
      <c r="R649" s="7"/>
      <c r="S649" s="2">
        <v>19.75</v>
      </c>
      <c r="U649" s="2">
        <v>15.5</v>
      </c>
      <c r="V649" s="2">
        <v>2</v>
      </c>
      <c r="W649" s="2">
        <v>9.66</v>
      </c>
      <c r="X649" s="2">
        <v>1</v>
      </c>
      <c r="Y649" s="2">
        <v>5</v>
      </c>
      <c r="Z649" s="2">
        <v>23.75</v>
      </c>
      <c r="AA649" s="2">
        <v>20</v>
      </c>
      <c r="AB649" s="2">
        <v>1.3740000000000001</v>
      </c>
      <c r="AC649" s="2">
        <v>12.13</v>
      </c>
      <c r="AE649" s="2">
        <v>1</v>
      </c>
      <c r="AF649" s="2" t="s">
        <v>347</v>
      </c>
      <c r="AG649" s="2">
        <v>10</v>
      </c>
      <c r="AK649" s="2" t="s">
        <v>96</v>
      </c>
      <c r="AM649" s="2" t="s">
        <v>95</v>
      </c>
      <c r="AN649" s="2" t="s">
        <v>96</v>
      </c>
      <c r="AO649" s="2" t="s">
        <v>95</v>
      </c>
      <c r="AP649" s="2" t="s">
        <v>97</v>
      </c>
      <c r="AQ649" s="2" t="s">
        <v>98</v>
      </c>
      <c r="AV649" s="2" t="s">
        <v>95</v>
      </c>
      <c r="AZ649" s="2" t="s">
        <v>177</v>
      </c>
      <c r="BF649" s="2" t="s">
        <v>2925</v>
      </c>
      <c r="BG649" s="2" t="s">
        <v>95</v>
      </c>
      <c r="BH649" s="2" t="s">
        <v>95</v>
      </c>
      <c r="BI649" s="2" t="s">
        <v>95</v>
      </c>
      <c r="BK649" s="2" t="s">
        <v>414</v>
      </c>
      <c r="CA649" s="2" t="s">
        <v>2924</v>
      </c>
      <c r="CG649" s="2">
        <v>3000</v>
      </c>
      <c r="CH649" s="2">
        <v>92</v>
      </c>
      <c r="CJ649" s="2">
        <v>92</v>
      </c>
      <c r="CK649" s="2">
        <v>50000</v>
      </c>
      <c r="CL649" s="2" t="s">
        <v>95</v>
      </c>
      <c r="CM649" s="2" t="s">
        <v>95</v>
      </c>
      <c r="CN649" s="2" t="s">
        <v>2081</v>
      </c>
      <c r="CO649" s="3">
        <v>43096</v>
      </c>
      <c r="CP649" s="3">
        <v>43634</v>
      </c>
    </row>
    <row r="650" spans="1:94" x14ac:dyDescent="0.25">
      <c r="A650" s="2" t="s">
        <v>2926</v>
      </c>
      <c r="B650" s="2" t="str">
        <f xml:space="preserve"> "" &amp; 844349024705</f>
        <v>844349024705</v>
      </c>
      <c r="C650" s="2" t="s">
        <v>2921</v>
      </c>
      <c r="D650" s="2" t="s">
        <v>2921</v>
      </c>
      <c r="F650" s="2" t="s">
        <v>2922</v>
      </c>
      <c r="G650" s="2">
        <v>1</v>
      </c>
      <c r="H650" s="2">
        <v>1</v>
      </c>
      <c r="I650" s="2" t="s">
        <v>94</v>
      </c>
      <c r="J650" s="6">
        <v>145</v>
      </c>
      <c r="K650" s="6">
        <v>435</v>
      </c>
      <c r="L650" s="2">
        <v>0</v>
      </c>
      <c r="N650" s="2">
        <v>0</v>
      </c>
      <c r="O650" s="2" t="s">
        <v>96</v>
      </c>
      <c r="P650" s="6">
        <v>299.95</v>
      </c>
      <c r="Q650" s="6"/>
      <c r="R650" s="7"/>
      <c r="S650" s="2">
        <v>27.5</v>
      </c>
      <c r="U650" s="2">
        <v>19.75</v>
      </c>
      <c r="V650" s="2">
        <v>1.75</v>
      </c>
      <c r="W650" s="2">
        <v>16.29</v>
      </c>
      <c r="X650" s="2">
        <v>1</v>
      </c>
      <c r="Y650" s="2">
        <v>5</v>
      </c>
      <c r="Z650" s="2">
        <v>31.75</v>
      </c>
      <c r="AA650" s="2">
        <v>24.25</v>
      </c>
      <c r="AB650" s="2">
        <v>2.2280000000000002</v>
      </c>
      <c r="AC650" s="2">
        <v>21.27</v>
      </c>
      <c r="AE650" s="2">
        <v>1</v>
      </c>
      <c r="AF650" s="2" t="s">
        <v>347</v>
      </c>
      <c r="AG650" s="2">
        <v>17</v>
      </c>
      <c r="AK650" s="2" t="s">
        <v>96</v>
      </c>
      <c r="AM650" s="2" t="s">
        <v>95</v>
      </c>
      <c r="AN650" s="2" t="s">
        <v>96</v>
      </c>
      <c r="AO650" s="2" t="s">
        <v>95</v>
      </c>
      <c r="AP650" s="2" t="s">
        <v>97</v>
      </c>
      <c r="AQ650" s="2" t="s">
        <v>98</v>
      </c>
      <c r="AV650" s="2" t="s">
        <v>95</v>
      </c>
      <c r="AZ650" s="2" t="s">
        <v>449</v>
      </c>
      <c r="BF650" s="2" t="s">
        <v>2927</v>
      </c>
      <c r="BG650" s="2" t="s">
        <v>95</v>
      </c>
      <c r="BH650" s="2" t="s">
        <v>95</v>
      </c>
      <c r="BI650" s="2" t="s">
        <v>95</v>
      </c>
      <c r="BK650" s="2" t="s">
        <v>414</v>
      </c>
      <c r="CA650" s="2" t="s">
        <v>2926</v>
      </c>
      <c r="CG650" s="2">
        <v>3000</v>
      </c>
      <c r="CH650" s="2">
        <v>91</v>
      </c>
      <c r="CJ650" s="2">
        <v>179</v>
      </c>
      <c r="CK650" s="2">
        <v>50000</v>
      </c>
      <c r="CL650" s="2" t="s">
        <v>95</v>
      </c>
      <c r="CM650" s="2" t="s">
        <v>95</v>
      </c>
      <c r="CN650" s="2" t="s">
        <v>329</v>
      </c>
      <c r="CO650" s="3">
        <v>43096</v>
      </c>
      <c r="CP650" s="3">
        <v>43634</v>
      </c>
    </row>
    <row r="651" spans="1:94" x14ac:dyDescent="0.25">
      <c r="A651" s="2" t="s">
        <v>2928</v>
      </c>
      <c r="B651" s="2" t="str">
        <f xml:space="preserve"> "" &amp; 844349024712</f>
        <v>844349024712</v>
      </c>
      <c r="C651" s="2" t="s">
        <v>2921</v>
      </c>
      <c r="D651" s="2" t="s">
        <v>2921</v>
      </c>
      <c r="F651" s="2" t="s">
        <v>2922</v>
      </c>
      <c r="G651" s="2">
        <v>1</v>
      </c>
      <c r="H651" s="2">
        <v>1</v>
      </c>
      <c r="I651" s="2" t="s">
        <v>94</v>
      </c>
      <c r="J651" s="6">
        <v>185</v>
      </c>
      <c r="K651" s="6">
        <v>555</v>
      </c>
      <c r="L651" s="2">
        <v>0</v>
      </c>
      <c r="N651" s="2">
        <v>0</v>
      </c>
      <c r="O651" s="2" t="s">
        <v>96</v>
      </c>
      <c r="P651" s="6">
        <v>389.99</v>
      </c>
      <c r="Q651" s="6"/>
      <c r="R651" s="7"/>
      <c r="S651" s="2">
        <v>31.5</v>
      </c>
      <c r="U651" s="2">
        <v>23.75</v>
      </c>
      <c r="V651" s="2">
        <v>2</v>
      </c>
      <c r="W651" s="2">
        <v>16.510000000000002</v>
      </c>
      <c r="X651" s="2">
        <v>1</v>
      </c>
      <c r="Y651" s="2">
        <v>5</v>
      </c>
      <c r="Z651" s="2">
        <v>36</v>
      </c>
      <c r="AA651" s="2">
        <v>28.25</v>
      </c>
      <c r="AB651" s="2">
        <v>2.9430000000000001</v>
      </c>
      <c r="AC651" s="2">
        <v>22.66</v>
      </c>
      <c r="AE651" s="2">
        <v>1</v>
      </c>
      <c r="AF651" s="2" t="s">
        <v>347</v>
      </c>
      <c r="AG651" s="2">
        <v>20</v>
      </c>
      <c r="AK651" s="2" t="s">
        <v>96</v>
      </c>
      <c r="AM651" s="2" t="s">
        <v>95</v>
      </c>
      <c r="AN651" s="2" t="s">
        <v>96</v>
      </c>
      <c r="AO651" s="2" t="s">
        <v>95</v>
      </c>
      <c r="AP651" s="2" t="s">
        <v>97</v>
      </c>
      <c r="AQ651" s="2" t="s">
        <v>98</v>
      </c>
      <c r="AV651" s="2" t="s">
        <v>95</v>
      </c>
      <c r="AZ651" s="2" t="s">
        <v>449</v>
      </c>
      <c r="BF651" s="2" t="s">
        <v>2929</v>
      </c>
      <c r="BG651" s="2" t="s">
        <v>95</v>
      </c>
      <c r="BH651" s="2" t="s">
        <v>95</v>
      </c>
      <c r="BI651" s="2" t="s">
        <v>95</v>
      </c>
      <c r="BK651" s="2" t="s">
        <v>414</v>
      </c>
      <c r="CA651" s="2" t="s">
        <v>2928</v>
      </c>
      <c r="CG651" s="2">
        <v>3000</v>
      </c>
      <c r="CH651" s="2">
        <v>93</v>
      </c>
      <c r="CJ651" s="2">
        <v>1013</v>
      </c>
      <c r="CK651" s="2">
        <v>50000</v>
      </c>
      <c r="CL651" s="2" t="s">
        <v>95</v>
      </c>
      <c r="CM651" s="2" t="s">
        <v>95</v>
      </c>
      <c r="CN651" s="2" t="s">
        <v>329</v>
      </c>
      <c r="CO651" s="3">
        <v>43096</v>
      </c>
      <c r="CP651" s="3">
        <v>43634</v>
      </c>
    </row>
    <row r="652" spans="1:94" x14ac:dyDescent="0.25">
      <c r="A652" s="2" t="s">
        <v>2930</v>
      </c>
      <c r="B652" s="2" t="str">
        <f xml:space="preserve"> "" &amp; 844349024729</f>
        <v>844349024729</v>
      </c>
      <c r="C652" s="2" t="s">
        <v>2921</v>
      </c>
      <c r="D652" s="2" t="s">
        <v>2921</v>
      </c>
      <c r="F652" s="2" t="s">
        <v>2922</v>
      </c>
      <c r="G652" s="2">
        <v>1</v>
      </c>
      <c r="H652" s="2">
        <v>1</v>
      </c>
      <c r="I652" s="2" t="s">
        <v>94</v>
      </c>
      <c r="J652" s="6">
        <v>285</v>
      </c>
      <c r="K652" s="6">
        <v>855</v>
      </c>
      <c r="L652" s="2">
        <v>0</v>
      </c>
      <c r="N652" s="2">
        <v>0</v>
      </c>
      <c r="O652" s="2" t="s">
        <v>96</v>
      </c>
      <c r="P652" s="6">
        <v>599.99</v>
      </c>
      <c r="Q652" s="6"/>
      <c r="R652" s="7"/>
      <c r="S652" s="2">
        <v>32</v>
      </c>
      <c r="U652" s="2">
        <v>24</v>
      </c>
      <c r="V652" s="2">
        <v>2</v>
      </c>
      <c r="W652" s="2">
        <v>20.39</v>
      </c>
      <c r="X652" s="2">
        <v>1</v>
      </c>
      <c r="Y652" s="2">
        <v>4.75</v>
      </c>
      <c r="Z652" s="2">
        <v>35.880000000000003</v>
      </c>
      <c r="AA652" s="2">
        <v>28.75</v>
      </c>
      <c r="AB652" s="2">
        <v>2.8359999999999999</v>
      </c>
      <c r="AC652" s="2">
        <v>26.68</v>
      </c>
      <c r="AE652" s="2">
        <v>2</v>
      </c>
      <c r="AF652" s="2" t="s">
        <v>347</v>
      </c>
      <c r="AG652" s="2">
        <v>22</v>
      </c>
      <c r="AK652" s="2" t="s">
        <v>96</v>
      </c>
      <c r="AM652" s="2" t="s">
        <v>95</v>
      </c>
      <c r="AN652" s="2" t="s">
        <v>96</v>
      </c>
      <c r="AO652" s="2" t="s">
        <v>95</v>
      </c>
      <c r="AP652" s="2" t="s">
        <v>97</v>
      </c>
      <c r="AQ652" s="2" t="s">
        <v>98</v>
      </c>
      <c r="AV652" s="2" t="s">
        <v>95</v>
      </c>
      <c r="AZ652" s="2" t="s">
        <v>449</v>
      </c>
      <c r="BF652" s="2" t="s">
        <v>2931</v>
      </c>
      <c r="BG652" s="2" t="s">
        <v>95</v>
      </c>
      <c r="BH652" s="2" t="s">
        <v>95</v>
      </c>
      <c r="BI652" s="2" t="s">
        <v>95</v>
      </c>
      <c r="BK652" s="2" t="s">
        <v>414</v>
      </c>
      <c r="CA652" s="2" t="s">
        <v>2930</v>
      </c>
      <c r="CG652" s="2">
        <v>3000</v>
      </c>
      <c r="CH652" s="2">
        <v>92</v>
      </c>
      <c r="CJ652" s="2">
        <v>776</v>
      </c>
      <c r="CK652" s="2">
        <v>50000</v>
      </c>
      <c r="CL652" s="2" t="s">
        <v>95</v>
      </c>
      <c r="CM652" s="2" t="s">
        <v>95</v>
      </c>
      <c r="CN652" s="2" t="s">
        <v>2081</v>
      </c>
      <c r="CO652" s="3">
        <v>43096</v>
      </c>
      <c r="CP652" s="3">
        <v>43634</v>
      </c>
    </row>
    <row r="653" spans="1:94" x14ac:dyDescent="0.25">
      <c r="A653" s="2" t="s">
        <v>2932</v>
      </c>
      <c r="B653" s="2" t="str">
        <f xml:space="preserve"> "" &amp; 874944008626</f>
        <v>874944008626</v>
      </c>
      <c r="C653" s="2" t="s">
        <v>2913</v>
      </c>
      <c r="D653" s="2" t="s">
        <v>3678</v>
      </c>
      <c r="E653" s="2" t="s">
        <v>425</v>
      </c>
      <c r="F653" s="2" t="s">
        <v>418</v>
      </c>
      <c r="G653" s="2">
        <v>1</v>
      </c>
      <c r="H653" s="2">
        <v>1</v>
      </c>
      <c r="I653" s="2" t="s">
        <v>94</v>
      </c>
      <c r="J653" s="6">
        <v>85</v>
      </c>
      <c r="K653" s="6">
        <v>255</v>
      </c>
      <c r="L653" s="2">
        <v>0</v>
      </c>
      <c r="N653" s="2">
        <v>0</v>
      </c>
      <c r="O653" s="2" t="s">
        <v>96</v>
      </c>
      <c r="P653" s="6">
        <v>178.95</v>
      </c>
      <c r="Q653" s="6"/>
      <c r="R653" s="7"/>
      <c r="S653" s="2">
        <v>5.75</v>
      </c>
      <c r="T653" s="2">
        <v>8.5</v>
      </c>
      <c r="U653" s="2">
        <v>15</v>
      </c>
      <c r="V653" s="2">
        <v>8.25</v>
      </c>
      <c r="W653" s="2">
        <v>3.97</v>
      </c>
      <c r="X653" s="2">
        <v>1</v>
      </c>
      <c r="Y653" s="2">
        <v>21.88</v>
      </c>
      <c r="Z653" s="2">
        <v>8.5</v>
      </c>
      <c r="AA653" s="2">
        <v>5.5</v>
      </c>
      <c r="AB653" s="2">
        <v>0.59199999999999997</v>
      </c>
      <c r="AC653" s="2">
        <v>4.9800000000000004</v>
      </c>
      <c r="AE653" s="2">
        <v>1</v>
      </c>
      <c r="AF653" s="2" t="s">
        <v>2933</v>
      </c>
      <c r="AG653" s="2">
        <v>4</v>
      </c>
      <c r="AK653" s="2" t="s">
        <v>96</v>
      </c>
      <c r="AL653" s="2">
        <v>1</v>
      </c>
      <c r="AM653" s="2" t="s">
        <v>95</v>
      </c>
      <c r="AN653" s="2" t="s">
        <v>96</v>
      </c>
      <c r="AO653" s="2" t="s">
        <v>95</v>
      </c>
      <c r="AP653" s="2" t="s">
        <v>97</v>
      </c>
      <c r="AQ653" s="2" t="s">
        <v>98</v>
      </c>
      <c r="AV653" s="2" t="s">
        <v>95</v>
      </c>
      <c r="AX653" s="2" t="s">
        <v>395</v>
      </c>
      <c r="AZ653" s="2" t="s">
        <v>342</v>
      </c>
      <c r="BB653" s="2" t="s">
        <v>230</v>
      </c>
      <c r="BC653" s="2" t="s">
        <v>395</v>
      </c>
      <c r="BF653" s="2" t="s">
        <v>2934</v>
      </c>
      <c r="BG653" s="2" t="s">
        <v>95</v>
      </c>
      <c r="BH653" s="2" t="s">
        <v>95</v>
      </c>
      <c r="BI653" s="2" t="s">
        <v>95</v>
      </c>
      <c r="BK653" s="2" t="s">
        <v>100</v>
      </c>
      <c r="BL653" s="2" t="s">
        <v>617</v>
      </c>
      <c r="BM653" s="2">
        <v>5.75</v>
      </c>
      <c r="BN653" s="2">
        <v>1.25</v>
      </c>
      <c r="BP653" s="2">
        <v>4.5</v>
      </c>
      <c r="CA653" s="2" t="s">
        <v>2935</v>
      </c>
      <c r="CB653" s="2" t="s">
        <v>395</v>
      </c>
      <c r="CL653" s="2" t="s">
        <v>95</v>
      </c>
      <c r="CM653" s="2" t="s">
        <v>95</v>
      </c>
      <c r="CN653" s="2" t="s">
        <v>230</v>
      </c>
      <c r="CO653" s="3">
        <v>40061</v>
      </c>
      <c r="CP653" s="3">
        <v>43634</v>
      </c>
    </row>
    <row r="654" spans="1:94" x14ac:dyDescent="0.25">
      <c r="A654" s="2" t="s">
        <v>2936</v>
      </c>
      <c r="B654" s="2" t="str">
        <f xml:space="preserve"> "" &amp; 844349018254</f>
        <v>844349018254</v>
      </c>
      <c r="C654" s="2" t="s">
        <v>1994</v>
      </c>
      <c r="D654" s="2" t="s">
        <v>2356</v>
      </c>
      <c r="F654" s="2" t="s">
        <v>418</v>
      </c>
      <c r="G654" s="2">
        <v>1</v>
      </c>
      <c r="H654" s="2">
        <v>1</v>
      </c>
      <c r="I654" s="2" t="s">
        <v>94</v>
      </c>
      <c r="J654" s="6">
        <v>119</v>
      </c>
      <c r="K654" s="6">
        <v>357</v>
      </c>
      <c r="L654" s="2">
        <v>0</v>
      </c>
      <c r="N654" s="2">
        <v>0</v>
      </c>
      <c r="O654" s="2" t="s">
        <v>96</v>
      </c>
      <c r="P654" s="6">
        <v>249.95</v>
      </c>
      <c r="Q654" s="6"/>
      <c r="R654" s="7"/>
      <c r="S654" s="2">
        <v>5.75</v>
      </c>
      <c r="U654" s="2">
        <v>15</v>
      </c>
      <c r="V654" s="2">
        <v>8.25</v>
      </c>
      <c r="W654" s="2">
        <v>3.92</v>
      </c>
      <c r="X654" s="2">
        <v>1</v>
      </c>
      <c r="Y654" s="2">
        <v>22.75</v>
      </c>
      <c r="Z654" s="2">
        <v>14</v>
      </c>
      <c r="AA654" s="2">
        <v>13.75</v>
      </c>
      <c r="AB654" s="2">
        <v>2.5339999999999998</v>
      </c>
      <c r="AC654" s="2">
        <v>6.33</v>
      </c>
      <c r="AE654" s="2">
        <v>1</v>
      </c>
      <c r="AF654" s="2" t="s">
        <v>347</v>
      </c>
      <c r="AG654" s="2">
        <v>8</v>
      </c>
      <c r="AK654" s="2" t="s">
        <v>96</v>
      </c>
      <c r="AM654" s="2" t="s">
        <v>95</v>
      </c>
      <c r="AN654" s="2" t="s">
        <v>96</v>
      </c>
      <c r="AO654" s="2" t="s">
        <v>95</v>
      </c>
      <c r="AP654" s="2" t="s">
        <v>97</v>
      </c>
      <c r="AQ654" s="2" t="s">
        <v>98</v>
      </c>
      <c r="AV654" s="2" t="s">
        <v>95</v>
      </c>
      <c r="AX654" s="2" t="s">
        <v>395</v>
      </c>
      <c r="AZ654" s="2" t="s">
        <v>342</v>
      </c>
      <c r="BB654" s="2" t="s">
        <v>230</v>
      </c>
      <c r="BC654" s="2" t="s">
        <v>397</v>
      </c>
      <c r="BF654" s="2" t="s">
        <v>2937</v>
      </c>
      <c r="BG654" s="2" t="s">
        <v>95</v>
      </c>
      <c r="BH654" s="2" t="s">
        <v>95</v>
      </c>
      <c r="BI654" s="2" t="s">
        <v>95</v>
      </c>
      <c r="BK654" s="2" t="s">
        <v>100</v>
      </c>
      <c r="BR654" s="2">
        <v>1.25</v>
      </c>
      <c r="BS654" s="2">
        <v>4.5</v>
      </c>
      <c r="BT654" s="2">
        <v>5.75</v>
      </c>
      <c r="CA654" s="2" t="s">
        <v>2935</v>
      </c>
      <c r="CB654" s="2" t="s">
        <v>395</v>
      </c>
      <c r="CG654" s="2">
        <v>3000</v>
      </c>
      <c r="CH654" s="2">
        <v>85</v>
      </c>
      <c r="CI654" s="2">
        <v>590</v>
      </c>
      <c r="CJ654" s="2">
        <v>287</v>
      </c>
      <c r="CK654" s="2">
        <v>30000</v>
      </c>
      <c r="CL654" s="2" t="s">
        <v>96</v>
      </c>
      <c r="CM654" s="2" t="s">
        <v>95</v>
      </c>
      <c r="CN654" s="2" t="s">
        <v>230</v>
      </c>
      <c r="CO654" s="3">
        <v>42074</v>
      </c>
      <c r="CP654" s="3">
        <v>43634</v>
      </c>
    </row>
    <row r="655" spans="1:94" x14ac:dyDescent="0.25">
      <c r="A655" s="2" t="s">
        <v>2938</v>
      </c>
      <c r="B655" s="2" t="str">
        <f xml:space="preserve"> "" &amp; 844349008644</f>
        <v>844349008644</v>
      </c>
      <c r="C655" s="2" t="s">
        <v>1001</v>
      </c>
      <c r="D655" s="2" t="s">
        <v>2693</v>
      </c>
      <c r="E655" s="2" t="s">
        <v>2590</v>
      </c>
      <c r="F655" s="2" t="s">
        <v>658</v>
      </c>
      <c r="G655" s="2">
        <v>1</v>
      </c>
      <c r="H655" s="2">
        <v>1</v>
      </c>
      <c r="I655" s="2" t="s">
        <v>94</v>
      </c>
      <c r="J655" s="6">
        <v>47</v>
      </c>
      <c r="K655" s="6">
        <v>141</v>
      </c>
      <c r="L655" s="2">
        <v>0</v>
      </c>
      <c r="N655" s="2">
        <v>0</v>
      </c>
      <c r="O655" s="2" t="s">
        <v>96</v>
      </c>
      <c r="P655" s="6">
        <v>98.95</v>
      </c>
      <c r="Q655" s="6"/>
      <c r="R655" s="7"/>
      <c r="S655" s="2">
        <v>6.5</v>
      </c>
      <c r="U655" s="2">
        <v>14</v>
      </c>
      <c r="V655" s="2">
        <v>4.5</v>
      </c>
      <c r="W655" s="2">
        <v>3.35</v>
      </c>
      <c r="X655" s="2">
        <v>1</v>
      </c>
      <c r="Y655" s="2">
        <v>13.5</v>
      </c>
      <c r="Z655" s="2">
        <v>16.5</v>
      </c>
      <c r="AA655" s="2">
        <v>6.75</v>
      </c>
      <c r="AB655" s="2">
        <v>0.87</v>
      </c>
      <c r="AC655" s="2">
        <v>4.6500000000000004</v>
      </c>
      <c r="AE655" s="2">
        <v>3</v>
      </c>
      <c r="AF655" s="2" t="s">
        <v>1836</v>
      </c>
      <c r="AG655" s="2">
        <v>40</v>
      </c>
      <c r="AK655" s="2" t="s">
        <v>95</v>
      </c>
      <c r="AM655" s="2" t="s">
        <v>95</v>
      </c>
      <c r="AN655" s="2" t="s">
        <v>96</v>
      </c>
      <c r="AO655" s="2" t="s">
        <v>95</v>
      </c>
      <c r="AP655" s="2" t="s">
        <v>97</v>
      </c>
      <c r="AQ655" s="2" t="s">
        <v>98</v>
      </c>
      <c r="AV655" s="2" t="s">
        <v>95</v>
      </c>
      <c r="AX655" s="2" t="s">
        <v>395</v>
      </c>
      <c r="AZ655" s="2" t="s">
        <v>342</v>
      </c>
      <c r="BB655" s="2" t="s">
        <v>329</v>
      </c>
      <c r="BC655" s="2" t="s">
        <v>2592</v>
      </c>
      <c r="BF655" s="2" t="s">
        <v>2939</v>
      </c>
      <c r="BG655" s="2" t="s">
        <v>95</v>
      </c>
      <c r="BH655" s="2" t="s">
        <v>95</v>
      </c>
      <c r="BI655" s="2" t="s">
        <v>95</v>
      </c>
      <c r="BK655" s="2" t="s">
        <v>414</v>
      </c>
      <c r="BL655" s="2" t="s">
        <v>1105</v>
      </c>
      <c r="BR655" s="2">
        <v>4.38</v>
      </c>
      <c r="BT655" s="2">
        <v>10</v>
      </c>
      <c r="CA655" s="2" t="s">
        <v>2940</v>
      </c>
      <c r="CB655" s="2" t="s">
        <v>395</v>
      </c>
      <c r="CL655" s="2" t="s">
        <v>96</v>
      </c>
      <c r="CM655" s="2" t="s">
        <v>95</v>
      </c>
      <c r="CN655" s="2" t="s">
        <v>460</v>
      </c>
      <c r="CO655" s="3">
        <v>40350</v>
      </c>
      <c r="CP655" s="3">
        <v>43634</v>
      </c>
    </row>
    <row r="656" spans="1:94" x14ac:dyDescent="0.25">
      <c r="A656" s="2" t="s">
        <v>2941</v>
      </c>
      <c r="B656" s="2" t="str">
        <f xml:space="preserve"> "" &amp; 874944007803</f>
        <v>874944007803</v>
      </c>
      <c r="C656" s="2" t="s">
        <v>402</v>
      </c>
      <c r="D656" s="2" t="s">
        <v>402</v>
      </c>
      <c r="F656" s="2" t="s">
        <v>393</v>
      </c>
      <c r="G656" s="2">
        <v>1</v>
      </c>
      <c r="H656" s="2">
        <v>1</v>
      </c>
      <c r="I656" s="2" t="s">
        <v>94</v>
      </c>
      <c r="J656" s="6">
        <v>115</v>
      </c>
      <c r="K656" s="6">
        <v>345</v>
      </c>
      <c r="L656" s="2">
        <v>0</v>
      </c>
      <c r="N656" s="2">
        <v>0</v>
      </c>
      <c r="O656" s="2" t="s">
        <v>96</v>
      </c>
      <c r="P656" s="6">
        <v>239.95</v>
      </c>
      <c r="Q656" s="6"/>
      <c r="R656" s="7"/>
      <c r="S656" s="2">
        <v>13.25</v>
      </c>
      <c r="T656" s="2">
        <v>16.25</v>
      </c>
      <c r="U656" s="2">
        <v>16.25</v>
      </c>
      <c r="W656" s="2">
        <v>5.29</v>
      </c>
      <c r="X656" s="2">
        <v>1</v>
      </c>
      <c r="Y656" s="2">
        <v>15</v>
      </c>
      <c r="Z656" s="2">
        <v>18.25</v>
      </c>
      <c r="AA656" s="2">
        <v>18.25</v>
      </c>
      <c r="AB656" s="2">
        <v>2.891</v>
      </c>
      <c r="AC656" s="2">
        <v>10.36</v>
      </c>
      <c r="AE656" s="2">
        <v>3</v>
      </c>
      <c r="AF656" s="2" t="s">
        <v>2942</v>
      </c>
      <c r="AG656" s="2">
        <v>60</v>
      </c>
      <c r="AK656" s="2" t="s">
        <v>95</v>
      </c>
      <c r="AM656" s="2" t="s">
        <v>95</v>
      </c>
      <c r="AN656" s="2" t="s">
        <v>95</v>
      </c>
      <c r="AO656" s="2" t="s">
        <v>96</v>
      </c>
      <c r="AP656" s="2" t="s">
        <v>97</v>
      </c>
      <c r="AQ656" s="2" t="s">
        <v>98</v>
      </c>
      <c r="AV656" s="2" t="s">
        <v>95</v>
      </c>
      <c r="AX656" s="2" t="s">
        <v>395</v>
      </c>
      <c r="AZ656" s="2" t="s">
        <v>342</v>
      </c>
      <c r="BB656" s="2" t="s">
        <v>910</v>
      </c>
      <c r="BC656" s="2" t="s">
        <v>2943</v>
      </c>
      <c r="BF656" s="2" t="s">
        <v>2944</v>
      </c>
      <c r="BG656" s="2" t="s">
        <v>95</v>
      </c>
      <c r="BH656" s="2" t="s">
        <v>95</v>
      </c>
      <c r="BI656" s="2" t="s">
        <v>95</v>
      </c>
      <c r="BK656" s="2" t="s">
        <v>100</v>
      </c>
      <c r="BQ656" s="2">
        <v>4.38</v>
      </c>
      <c r="BR656" s="2">
        <v>1.63</v>
      </c>
      <c r="CA656" s="2" t="s">
        <v>2945</v>
      </c>
      <c r="CB656" s="2" t="s">
        <v>395</v>
      </c>
      <c r="CL656" s="2" t="s">
        <v>96</v>
      </c>
      <c r="CM656" s="2" t="s">
        <v>96</v>
      </c>
      <c r="CN656" s="2" t="s">
        <v>2946</v>
      </c>
      <c r="CO656" s="3">
        <v>38825</v>
      </c>
      <c r="CP656" s="3">
        <v>43634</v>
      </c>
    </row>
    <row r="657" spans="1:94" x14ac:dyDescent="0.25">
      <c r="A657" s="2" t="s">
        <v>2947</v>
      </c>
      <c r="B657" s="2" t="str">
        <f xml:space="preserve"> "" &amp; 874944008817</f>
        <v>874944008817</v>
      </c>
      <c r="C657" s="2" t="s">
        <v>2948</v>
      </c>
      <c r="D657" s="2" t="s">
        <v>2949</v>
      </c>
      <c r="F657" s="2" t="s">
        <v>1429</v>
      </c>
      <c r="G657" s="2">
        <v>1</v>
      </c>
      <c r="H657" s="2">
        <v>1</v>
      </c>
      <c r="I657" s="2" t="s">
        <v>94</v>
      </c>
      <c r="J657" s="6">
        <v>42</v>
      </c>
      <c r="K657" s="6">
        <v>126</v>
      </c>
      <c r="L657" s="2">
        <v>0</v>
      </c>
      <c r="N657" s="2">
        <v>0</v>
      </c>
      <c r="O657" s="2" t="s">
        <v>96</v>
      </c>
      <c r="P657" s="6">
        <v>88.95</v>
      </c>
      <c r="Q657" s="6"/>
      <c r="R657" s="7"/>
      <c r="S657" s="2">
        <v>13.25</v>
      </c>
      <c r="T657" s="2">
        <v>6</v>
      </c>
      <c r="U657" s="2">
        <v>6</v>
      </c>
      <c r="W657" s="2">
        <v>2.67</v>
      </c>
      <c r="X657" s="2">
        <v>1</v>
      </c>
      <c r="Y657" s="2">
        <v>13.5</v>
      </c>
      <c r="Z657" s="2">
        <v>6.5</v>
      </c>
      <c r="AA657" s="2">
        <v>6.5</v>
      </c>
      <c r="AB657" s="2">
        <v>0.33</v>
      </c>
      <c r="AC657" s="2">
        <v>3.68</v>
      </c>
      <c r="AE657" s="2">
        <v>1</v>
      </c>
      <c r="AF657" s="2" t="s">
        <v>1430</v>
      </c>
      <c r="AG657" s="2">
        <v>10</v>
      </c>
      <c r="AK657" s="2" t="s">
        <v>96</v>
      </c>
      <c r="AM657" s="2" t="s">
        <v>95</v>
      </c>
      <c r="AN657" s="2" t="s">
        <v>96</v>
      </c>
      <c r="AO657" s="2" t="s">
        <v>95</v>
      </c>
      <c r="AP657" s="2" t="s">
        <v>97</v>
      </c>
      <c r="AQ657" s="2" t="s">
        <v>98</v>
      </c>
      <c r="AV657" s="2" t="s">
        <v>95</v>
      </c>
      <c r="AX657" s="2" t="s">
        <v>395</v>
      </c>
      <c r="AZ657" s="2" t="s">
        <v>342</v>
      </c>
      <c r="BB657" s="2" t="s">
        <v>329</v>
      </c>
      <c r="BC657" s="2" t="s">
        <v>2950</v>
      </c>
      <c r="BF657" s="2" t="s">
        <v>2951</v>
      </c>
      <c r="BG657" s="2" t="s">
        <v>95</v>
      </c>
      <c r="BH657" s="2" t="s">
        <v>95</v>
      </c>
      <c r="BI657" s="2" t="s">
        <v>95</v>
      </c>
      <c r="BK657" s="2" t="s">
        <v>100</v>
      </c>
      <c r="CA657" s="2" t="s">
        <v>2952</v>
      </c>
      <c r="CB657" s="2" t="s">
        <v>395</v>
      </c>
      <c r="CL657" s="2" t="s">
        <v>95</v>
      </c>
      <c r="CM657" s="2" t="s">
        <v>95</v>
      </c>
      <c r="CN657" s="2" t="s">
        <v>230</v>
      </c>
      <c r="CO657" s="3">
        <v>39333</v>
      </c>
      <c r="CP657" s="3">
        <v>43635</v>
      </c>
    </row>
    <row r="658" spans="1:94" x14ac:dyDescent="0.25">
      <c r="A658" s="2" t="s">
        <v>2953</v>
      </c>
      <c r="B658" s="2" t="str">
        <f xml:space="preserve"> "" &amp; 874944008831</f>
        <v>874944008831</v>
      </c>
      <c r="C658" s="2" t="s">
        <v>2954</v>
      </c>
      <c r="D658" s="2" t="s">
        <v>2949</v>
      </c>
      <c r="F658" s="2" t="s">
        <v>1429</v>
      </c>
      <c r="G658" s="2">
        <v>1</v>
      </c>
      <c r="H658" s="2">
        <v>1</v>
      </c>
      <c r="I658" s="2" t="s">
        <v>94</v>
      </c>
      <c r="J658" s="6">
        <v>42</v>
      </c>
      <c r="K658" s="6">
        <v>126</v>
      </c>
      <c r="L658" s="2">
        <v>0</v>
      </c>
      <c r="N658" s="2">
        <v>0</v>
      </c>
      <c r="O658" s="2" t="s">
        <v>96</v>
      </c>
      <c r="P658" s="6">
        <v>88.95</v>
      </c>
      <c r="Q658" s="6"/>
      <c r="R658" s="7"/>
      <c r="S658" s="2">
        <v>13.25</v>
      </c>
      <c r="T658" s="2">
        <v>6</v>
      </c>
      <c r="U658" s="2">
        <v>6</v>
      </c>
      <c r="W658" s="2">
        <v>2.4900000000000002</v>
      </c>
      <c r="X658" s="2">
        <v>1</v>
      </c>
      <c r="Y658" s="2">
        <v>13.5</v>
      </c>
      <c r="Z658" s="2">
        <v>6.5</v>
      </c>
      <c r="AA658" s="2">
        <v>6.5</v>
      </c>
      <c r="AB658" s="2">
        <v>0.33</v>
      </c>
      <c r="AC658" s="2">
        <v>3.81</v>
      </c>
      <c r="AE658" s="2">
        <v>1</v>
      </c>
      <c r="AF658" s="2" t="s">
        <v>1430</v>
      </c>
      <c r="AG658" s="2">
        <v>10</v>
      </c>
      <c r="AK658" s="2" t="s">
        <v>96</v>
      </c>
      <c r="AM658" s="2" t="s">
        <v>95</v>
      </c>
      <c r="AN658" s="2" t="s">
        <v>96</v>
      </c>
      <c r="AO658" s="2" t="s">
        <v>95</v>
      </c>
      <c r="AP658" s="2" t="s">
        <v>97</v>
      </c>
      <c r="AQ658" s="2" t="s">
        <v>98</v>
      </c>
      <c r="AV658" s="2" t="s">
        <v>95</v>
      </c>
      <c r="AX658" s="2" t="s">
        <v>397</v>
      </c>
      <c r="AZ658" s="2" t="s">
        <v>483</v>
      </c>
      <c r="BB658" s="2" t="s">
        <v>329</v>
      </c>
      <c r="BC658" s="2" t="s">
        <v>2955</v>
      </c>
      <c r="BF658" s="2" t="s">
        <v>2956</v>
      </c>
      <c r="BG658" s="2" t="s">
        <v>95</v>
      </c>
      <c r="BH658" s="2" t="s">
        <v>95</v>
      </c>
      <c r="BI658" s="2" t="s">
        <v>95</v>
      </c>
      <c r="BK658" s="2" t="s">
        <v>100</v>
      </c>
      <c r="CA658" s="2" t="s">
        <v>2957</v>
      </c>
      <c r="CB658" s="2" t="s">
        <v>397</v>
      </c>
      <c r="CL658" s="2" t="s">
        <v>95</v>
      </c>
      <c r="CM658" s="2" t="s">
        <v>95</v>
      </c>
      <c r="CN658" s="2" t="s">
        <v>230</v>
      </c>
      <c r="CO658" s="3">
        <v>39333</v>
      </c>
      <c r="CP658" s="3">
        <v>43634</v>
      </c>
    </row>
    <row r="659" spans="1:94" x14ac:dyDescent="0.25">
      <c r="A659" s="2" t="s">
        <v>2958</v>
      </c>
      <c r="B659" s="2" t="str">
        <f xml:space="preserve"> "" &amp; 874944008848</f>
        <v>874944008848</v>
      </c>
      <c r="C659" s="2" t="s">
        <v>2948</v>
      </c>
      <c r="D659" s="2" t="s">
        <v>2949</v>
      </c>
      <c r="F659" s="2" t="s">
        <v>1429</v>
      </c>
      <c r="G659" s="2">
        <v>1</v>
      </c>
      <c r="H659" s="2">
        <v>1</v>
      </c>
      <c r="I659" s="2" t="s">
        <v>94</v>
      </c>
      <c r="J659" s="6">
        <v>42</v>
      </c>
      <c r="K659" s="6">
        <v>126</v>
      </c>
      <c r="L659" s="2">
        <v>0</v>
      </c>
      <c r="N659" s="2">
        <v>0</v>
      </c>
      <c r="O659" s="2" t="s">
        <v>96</v>
      </c>
      <c r="P659" s="6">
        <v>88.95</v>
      </c>
      <c r="Q659" s="6"/>
      <c r="R659" s="7"/>
      <c r="S659" s="2">
        <v>13.25</v>
      </c>
      <c r="T659" s="2">
        <v>6</v>
      </c>
      <c r="U659" s="2">
        <v>6</v>
      </c>
      <c r="W659" s="2">
        <v>2.67</v>
      </c>
      <c r="X659" s="2">
        <v>1</v>
      </c>
      <c r="Y659" s="2">
        <v>13.5</v>
      </c>
      <c r="Z659" s="2">
        <v>6.5</v>
      </c>
      <c r="AA659" s="2">
        <v>6.5</v>
      </c>
      <c r="AB659" s="2">
        <v>0.33</v>
      </c>
      <c r="AC659" s="2">
        <v>3.68</v>
      </c>
      <c r="AE659" s="2">
        <v>1</v>
      </c>
      <c r="AF659" s="2" t="s">
        <v>1430</v>
      </c>
      <c r="AG659" s="2">
        <v>10</v>
      </c>
      <c r="AK659" s="2" t="s">
        <v>96</v>
      </c>
      <c r="AM659" s="2" t="s">
        <v>95</v>
      </c>
      <c r="AN659" s="2" t="s">
        <v>96</v>
      </c>
      <c r="AO659" s="2" t="s">
        <v>95</v>
      </c>
      <c r="AP659" s="2" t="s">
        <v>97</v>
      </c>
      <c r="AQ659" s="2" t="s">
        <v>98</v>
      </c>
      <c r="AV659" s="2" t="s">
        <v>95</v>
      </c>
      <c r="AX659" s="2" t="s">
        <v>395</v>
      </c>
      <c r="AZ659" s="2" t="s">
        <v>342</v>
      </c>
      <c r="BB659" s="2" t="s">
        <v>329</v>
      </c>
      <c r="BC659" s="2" t="s">
        <v>2959</v>
      </c>
      <c r="BF659" s="2" t="s">
        <v>2960</v>
      </c>
      <c r="BG659" s="2" t="s">
        <v>95</v>
      </c>
      <c r="BH659" s="2" t="s">
        <v>95</v>
      </c>
      <c r="BI659" s="2" t="s">
        <v>95</v>
      </c>
      <c r="BK659" s="2" t="s">
        <v>100</v>
      </c>
      <c r="CA659" s="2" t="s">
        <v>2961</v>
      </c>
      <c r="CB659" s="2" t="s">
        <v>395</v>
      </c>
      <c r="CL659" s="2" t="s">
        <v>95</v>
      </c>
      <c r="CM659" s="2" t="s">
        <v>95</v>
      </c>
      <c r="CN659" s="2" t="s">
        <v>230</v>
      </c>
      <c r="CO659" s="3">
        <v>39333</v>
      </c>
      <c r="CP659" s="3">
        <v>43634</v>
      </c>
    </row>
    <row r="660" spans="1:94" x14ac:dyDescent="0.25">
      <c r="A660" s="2" t="s">
        <v>2962</v>
      </c>
      <c r="B660" s="2" t="str">
        <f xml:space="preserve"> "" &amp; 844349014010</f>
        <v>844349014010</v>
      </c>
      <c r="C660" s="2" t="s">
        <v>915</v>
      </c>
      <c r="D660" s="2" t="s">
        <v>2963</v>
      </c>
      <c r="E660" s="2" t="s">
        <v>2964</v>
      </c>
      <c r="F660" s="2" t="s">
        <v>658</v>
      </c>
      <c r="G660" s="2">
        <v>1</v>
      </c>
      <c r="H660" s="2">
        <v>1</v>
      </c>
      <c r="I660" s="2" t="s">
        <v>94</v>
      </c>
      <c r="J660" s="6">
        <v>149</v>
      </c>
      <c r="K660" s="6">
        <v>447</v>
      </c>
      <c r="L660" s="2">
        <v>0</v>
      </c>
      <c r="N660" s="2">
        <v>0</v>
      </c>
      <c r="O660" s="2" t="s">
        <v>96</v>
      </c>
      <c r="P660" s="6">
        <v>312.95</v>
      </c>
      <c r="Q660" s="6"/>
      <c r="R660" s="7"/>
      <c r="S660" s="2">
        <v>5.25</v>
      </c>
      <c r="U660" s="2">
        <v>15.75</v>
      </c>
      <c r="V660" s="2">
        <v>4</v>
      </c>
      <c r="W660" s="2">
        <v>4.08</v>
      </c>
      <c r="X660" s="2">
        <v>1</v>
      </c>
      <c r="Y660" s="2">
        <v>9.5</v>
      </c>
      <c r="Z660" s="2">
        <v>17.25</v>
      </c>
      <c r="AA660" s="2">
        <v>7</v>
      </c>
      <c r="AB660" s="2">
        <v>0.66400000000000003</v>
      </c>
      <c r="AC660" s="2">
        <v>5.89</v>
      </c>
      <c r="AE660" s="2">
        <v>1</v>
      </c>
      <c r="AF660" s="2" t="s">
        <v>347</v>
      </c>
      <c r="AG660" s="2">
        <v>20</v>
      </c>
      <c r="AK660" s="2" t="s">
        <v>96</v>
      </c>
      <c r="AM660" s="2" t="s">
        <v>95</v>
      </c>
      <c r="AN660" s="2" t="s">
        <v>96</v>
      </c>
      <c r="AO660" s="2" t="s">
        <v>95</v>
      </c>
      <c r="AP660" s="2" t="s">
        <v>97</v>
      </c>
      <c r="AQ660" s="2" t="s">
        <v>98</v>
      </c>
      <c r="AV660" s="2" t="s">
        <v>95</v>
      </c>
      <c r="AX660" s="2" t="s">
        <v>395</v>
      </c>
      <c r="AZ660" s="2" t="s">
        <v>342</v>
      </c>
      <c r="BB660" s="2" t="s">
        <v>219</v>
      </c>
      <c r="BC660" s="2" t="s">
        <v>397</v>
      </c>
      <c r="BF660" s="2" t="s">
        <v>2965</v>
      </c>
      <c r="BG660" s="2" t="s">
        <v>95</v>
      </c>
      <c r="BH660" s="2" t="s">
        <v>96</v>
      </c>
      <c r="BI660" s="2" t="s">
        <v>95</v>
      </c>
      <c r="BK660" s="2" t="s">
        <v>414</v>
      </c>
      <c r="BM660" s="2">
        <v>15.75</v>
      </c>
      <c r="BN660" s="2">
        <v>5</v>
      </c>
      <c r="CA660" s="2" t="s">
        <v>2966</v>
      </c>
      <c r="CB660" s="2" t="s">
        <v>395</v>
      </c>
      <c r="CG660" s="2">
        <v>3000</v>
      </c>
      <c r="CH660" s="2">
        <v>90</v>
      </c>
      <c r="CI660" s="2">
        <v>2110.1999999999998</v>
      </c>
      <c r="CJ660" s="2">
        <v>908.6</v>
      </c>
      <c r="CK660" s="2">
        <v>30000</v>
      </c>
      <c r="CL660" s="2" t="s">
        <v>96</v>
      </c>
      <c r="CM660" s="2" t="s">
        <v>95</v>
      </c>
      <c r="CN660" s="2" t="s">
        <v>2967</v>
      </c>
      <c r="CO660" s="3">
        <v>41394</v>
      </c>
      <c r="CP660" s="3">
        <v>43634</v>
      </c>
    </row>
    <row r="661" spans="1:94" x14ac:dyDescent="0.25">
      <c r="A661" s="2" t="s">
        <v>2968</v>
      </c>
      <c r="B661" s="2" t="str">
        <f xml:space="preserve"> "" &amp; 844349014027</f>
        <v>844349014027</v>
      </c>
      <c r="C661" s="2" t="s">
        <v>1364</v>
      </c>
      <c r="D661" s="2" t="s">
        <v>2963</v>
      </c>
      <c r="E661" s="2" t="s">
        <v>2964</v>
      </c>
      <c r="F661" s="2" t="s">
        <v>658</v>
      </c>
      <c r="G661" s="2">
        <v>1</v>
      </c>
      <c r="H661" s="2">
        <v>1</v>
      </c>
      <c r="I661" s="2" t="s">
        <v>94</v>
      </c>
      <c r="J661" s="6">
        <v>195</v>
      </c>
      <c r="K661" s="6">
        <v>585</v>
      </c>
      <c r="L661" s="2">
        <v>0</v>
      </c>
      <c r="N661" s="2">
        <v>0</v>
      </c>
      <c r="O661" s="2" t="s">
        <v>96</v>
      </c>
      <c r="P661" s="6">
        <v>409.95</v>
      </c>
      <c r="Q661" s="6"/>
      <c r="R661" s="7"/>
      <c r="S661" s="2">
        <v>5.25</v>
      </c>
      <c r="U661" s="2">
        <v>23.75</v>
      </c>
      <c r="V661" s="2">
        <v>4</v>
      </c>
      <c r="W661" s="2">
        <v>6.28</v>
      </c>
      <c r="X661" s="2">
        <v>1</v>
      </c>
      <c r="Y661" s="2">
        <v>9</v>
      </c>
      <c r="Z661" s="2">
        <v>26</v>
      </c>
      <c r="AA661" s="2">
        <v>7</v>
      </c>
      <c r="AB661" s="2">
        <v>0.94799999999999995</v>
      </c>
      <c r="AC661" s="2">
        <v>9.26</v>
      </c>
      <c r="AE661" s="2">
        <v>1</v>
      </c>
      <c r="AF661" s="2" t="s">
        <v>347</v>
      </c>
      <c r="AG661" s="2">
        <v>40</v>
      </c>
      <c r="AK661" s="2" t="s">
        <v>96</v>
      </c>
      <c r="AM661" s="2" t="s">
        <v>95</v>
      </c>
      <c r="AN661" s="2" t="s">
        <v>96</v>
      </c>
      <c r="AO661" s="2" t="s">
        <v>95</v>
      </c>
      <c r="AP661" s="2" t="s">
        <v>97</v>
      </c>
      <c r="AQ661" s="2" t="s">
        <v>98</v>
      </c>
      <c r="AV661" s="2" t="s">
        <v>95</v>
      </c>
      <c r="AX661" s="2" t="s">
        <v>395</v>
      </c>
      <c r="AZ661" s="2" t="s">
        <v>342</v>
      </c>
      <c r="BB661" s="2" t="s">
        <v>219</v>
      </c>
      <c r="BF661" s="2" t="s">
        <v>2969</v>
      </c>
      <c r="BG661" s="2" t="s">
        <v>95</v>
      </c>
      <c r="BH661" s="2" t="s">
        <v>96</v>
      </c>
      <c r="BI661" s="2" t="s">
        <v>95</v>
      </c>
      <c r="BK661" s="2" t="s">
        <v>414</v>
      </c>
      <c r="BR661" s="2">
        <v>5</v>
      </c>
      <c r="BT661" s="2">
        <v>23.63</v>
      </c>
      <c r="CA661" s="2" t="s">
        <v>2970</v>
      </c>
      <c r="CB661" s="2" t="s">
        <v>395</v>
      </c>
      <c r="CG661" s="2">
        <v>3000</v>
      </c>
      <c r="CH661" s="2">
        <v>90</v>
      </c>
      <c r="CI661" s="2">
        <v>3000.01</v>
      </c>
      <c r="CJ661" s="2">
        <v>1552.24</v>
      </c>
      <c r="CK661" s="2">
        <v>30000</v>
      </c>
      <c r="CL661" s="2" t="s">
        <v>95</v>
      </c>
      <c r="CM661" s="2" t="s">
        <v>95</v>
      </c>
      <c r="CN661" s="2" t="s">
        <v>2967</v>
      </c>
      <c r="CO661" s="3">
        <v>41394</v>
      </c>
      <c r="CP661" s="3">
        <v>43634</v>
      </c>
    </row>
    <row r="662" spans="1:94" x14ac:dyDescent="0.25">
      <c r="A662" s="2" t="s">
        <v>2971</v>
      </c>
      <c r="B662" s="2" t="str">
        <f xml:space="preserve"> "" &amp; 844349009672</f>
        <v>844349009672</v>
      </c>
      <c r="C662" s="2" t="s">
        <v>515</v>
      </c>
      <c r="D662" s="2" t="s">
        <v>1428</v>
      </c>
      <c r="F662" s="2" t="s">
        <v>1429</v>
      </c>
      <c r="G662" s="2">
        <v>1</v>
      </c>
      <c r="H662" s="2">
        <v>1</v>
      </c>
      <c r="I662" s="2" t="s">
        <v>94</v>
      </c>
      <c r="J662" s="6">
        <v>195</v>
      </c>
      <c r="K662" s="6">
        <v>585</v>
      </c>
      <c r="L662" s="2">
        <v>0</v>
      </c>
      <c r="N662" s="2">
        <v>0</v>
      </c>
      <c r="O662" s="2" t="s">
        <v>96</v>
      </c>
      <c r="P662" s="6">
        <v>409.95</v>
      </c>
      <c r="Q662" s="6"/>
      <c r="R662" s="7"/>
      <c r="S662" s="2">
        <v>29</v>
      </c>
      <c r="T662" s="2">
        <v>19.5</v>
      </c>
      <c r="U662" s="2">
        <v>13</v>
      </c>
      <c r="W662" s="2">
        <v>10.58</v>
      </c>
      <c r="X662" s="2">
        <v>1</v>
      </c>
      <c r="Y662" s="2">
        <v>20.25</v>
      </c>
      <c r="Z662" s="2">
        <v>26</v>
      </c>
      <c r="AA662" s="2">
        <v>14.5</v>
      </c>
      <c r="AB662" s="2">
        <v>4.4180000000000001</v>
      </c>
      <c r="AC662" s="2">
        <v>15.26</v>
      </c>
      <c r="AE662" s="2">
        <v>1</v>
      </c>
      <c r="AF662" s="2" t="s">
        <v>1430</v>
      </c>
      <c r="AG662" s="2">
        <v>10</v>
      </c>
      <c r="AK662" s="2" t="s">
        <v>96</v>
      </c>
      <c r="AM662" s="2" t="s">
        <v>95</v>
      </c>
      <c r="AN662" s="2" t="s">
        <v>96</v>
      </c>
      <c r="AO662" s="2" t="s">
        <v>95</v>
      </c>
      <c r="AP662" s="2" t="s">
        <v>97</v>
      </c>
      <c r="AQ662" s="2" t="s">
        <v>98</v>
      </c>
      <c r="AV662" s="2" t="s">
        <v>95</v>
      </c>
      <c r="AX662" s="2" t="s">
        <v>529</v>
      </c>
      <c r="AZ662" s="2" t="s">
        <v>342</v>
      </c>
      <c r="BB662" s="2" t="s">
        <v>2613</v>
      </c>
      <c r="BC662" s="2" t="s">
        <v>379</v>
      </c>
      <c r="BF662" s="2" t="s">
        <v>2972</v>
      </c>
      <c r="BG662" s="2" t="s">
        <v>95</v>
      </c>
      <c r="BH662" s="2" t="s">
        <v>95</v>
      </c>
      <c r="BI662" s="2" t="s">
        <v>95</v>
      </c>
      <c r="BK662" s="2" t="s">
        <v>100</v>
      </c>
      <c r="CA662" s="2" t="s">
        <v>2973</v>
      </c>
      <c r="CB662" s="2" t="s">
        <v>529</v>
      </c>
      <c r="CL662" s="2" t="s">
        <v>95</v>
      </c>
      <c r="CM662" s="2" t="s">
        <v>95</v>
      </c>
      <c r="CN662" s="2" t="s">
        <v>230</v>
      </c>
      <c r="CO662" s="3">
        <v>40474</v>
      </c>
      <c r="CP662" s="3">
        <v>43634</v>
      </c>
    </row>
    <row r="663" spans="1:94" x14ac:dyDescent="0.25">
      <c r="A663" s="2" t="s">
        <v>2974</v>
      </c>
      <c r="B663" s="2" t="str">
        <f xml:space="preserve"> "" &amp; 844349009078</f>
        <v>844349009078</v>
      </c>
      <c r="C663" s="2" t="s">
        <v>515</v>
      </c>
      <c r="D663" s="2" t="s">
        <v>1428</v>
      </c>
      <c r="F663" s="2" t="s">
        <v>1429</v>
      </c>
      <c r="G663" s="2">
        <v>1</v>
      </c>
      <c r="H663" s="2">
        <v>1</v>
      </c>
      <c r="I663" s="2" t="s">
        <v>94</v>
      </c>
      <c r="J663" s="6">
        <v>115</v>
      </c>
      <c r="K663" s="6">
        <v>345</v>
      </c>
      <c r="L663" s="2">
        <v>0</v>
      </c>
      <c r="N663" s="2">
        <v>0</v>
      </c>
      <c r="O663" s="2" t="s">
        <v>96</v>
      </c>
      <c r="P663" s="6">
        <v>239.95</v>
      </c>
      <c r="Q663" s="6"/>
      <c r="R663" s="7"/>
      <c r="S663" s="2">
        <v>33</v>
      </c>
      <c r="T663" s="2">
        <v>18</v>
      </c>
      <c r="U663" s="2">
        <v>1</v>
      </c>
      <c r="V663" s="2">
        <v>11</v>
      </c>
      <c r="W663" s="2">
        <v>8.4700000000000006</v>
      </c>
      <c r="X663" s="2">
        <v>1</v>
      </c>
      <c r="Y663" s="2">
        <v>22.5</v>
      </c>
      <c r="Z663" s="2">
        <v>28</v>
      </c>
      <c r="AA663" s="2">
        <v>11</v>
      </c>
      <c r="AB663" s="2">
        <v>4.01</v>
      </c>
      <c r="AC663" s="2">
        <v>13.23</v>
      </c>
      <c r="AE663" s="2">
        <v>1</v>
      </c>
      <c r="AF663" s="2" t="s">
        <v>1430</v>
      </c>
      <c r="AG663" s="2">
        <v>10</v>
      </c>
      <c r="AK663" s="2" t="s">
        <v>96</v>
      </c>
      <c r="AM663" s="2" t="s">
        <v>95</v>
      </c>
      <c r="AN663" s="2" t="s">
        <v>96</v>
      </c>
      <c r="AO663" s="2" t="s">
        <v>95</v>
      </c>
      <c r="AP663" s="2" t="s">
        <v>97</v>
      </c>
      <c r="AQ663" s="2" t="s">
        <v>98</v>
      </c>
      <c r="AV663" s="2" t="s">
        <v>95</v>
      </c>
      <c r="AX663" s="2" t="s">
        <v>395</v>
      </c>
      <c r="AZ663" s="2" t="s">
        <v>342</v>
      </c>
      <c r="BB663" s="2" t="s">
        <v>2613</v>
      </c>
      <c r="BC663" s="2" t="s">
        <v>379</v>
      </c>
      <c r="BF663" s="2" t="s">
        <v>2975</v>
      </c>
      <c r="BG663" s="2" t="s">
        <v>95</v>
      </c>
      <c r="BH663" s="2" t="s">
        <v>95</v>
      </c>
      <c r="BI663" s="2" t="s">
        <v>95</v>
      </c>
      <c r="BK663" s="2" t="s">
        <v>100</v>
      </c>
      <c r="CA663" s="2" t="s">
        <v>2976</v>
      </c>
      <c r="CB663" s="2" t="s">
        <v>395</v>
      </c>
      <c r="CL663" s="2" t="s">
        <v>95</v>
      </c>
      <c r="CM663" s="2" t="s">
        <v>95</v>
      </c>
      <c r="CN663" s="2" t="s">
        <v>230</v>
      </c>
      <c r="CO663" s="3">
        <v>40474</v>
      </c>
      <c r="CP663" s="3">
        <v>43634</v>
      </c>
    </row>
    <row r="664" spans="1:94" x14ac:dyDescent="0.25">
      <c r="A664" s="2" t="s">
        <v>2977</v>
      </c>
      <c r="B664" s="2" t="str">
        <f xml:space="preserve"> "" &amp; 844349009085</f>
        <v>844349009085</v>
      </c>
      <c r="C664" s="2" t="s">
        <v>515</v>
      </c>
      <c r="D664" s="2" t="s">
        <v>1428</v>
      </c>
      <c r="F664" s="2" t="s">
        <v>1429</v>
      </c>
      <c r="G664" s="2">
        <v>1</v>
      </c>
      <c r="H664" s="2">
        <v>1</v>
      </c>
      <c r="I664" s="2" t="s">
        <v>94</v>
      </c>
      <c r="J664" s="6">
        <v>195</v>
      </c>
      <c r="K664" s="6">
        <v>585</v>
      </c>
      <c r="L664" s="2">
        <v>0</v>
      </c>
      <c r="N664" s="2">
        <v>0</v>
      </c>
      <c r="O664" s="2" t="s">
        <v>96</v>
      </c>
      <c r="P664" s="6">
        <v>409.95</v>
      </c>
      <c r="Q664" s="6"/>
      <c r="R664" s="7"/>
      <c r="S664" s="2">
        <v>29.5</v>
      </c>
      <c r="T664" s="2">
        <v>19.5</v>
      </c>
      <c r="U664" s="2">
        <v>13</v>
      </c>
      <c r="W664" s="2">
        <v>18.079999999999998</v>
      </c>
      <c r="X664" s="2">
        <v>1</v>
      </c>
      <c r="Y664" s="2">
        <v>21.5</v>
      </c>
      <c r="Z664" s="2">
        <v>28.5</v>
      </c>
      <c r="AA664" s="2">
        <v>14.75</v>
      </c>
      <c r="AB664" s="2">
        <v>5.23</v>
      </c>
      <c r="AC664" s="2">
        <v>26.01</v>
      </c>
      <c r="AE664" s="2">
        <v>1</v>
      </c>
      <c r="AF664" s="2" t="s">
        <v>1430</v>
      </c>
      <c r="AG664" s="2">
        <v>10</v>
      </c>
      <c r="AK664" s="2" t="s">
        <v>96</v>
      </c>
      <c r="AM664" s="2" t="s">
        <v>95</v>
      </c>
      <c r="AN664" s="2" t="s">
        <v>96</v>
      </c>
      <c r="AO664" s="2" t="s">
        <v>95</v>
      </c>
      <c r="AP664" s="2" t="s">
        <v>97</v>
      </c>
      <c r="AQ664" s="2" t="s">
        <v>98</v>
      </c>
      <c r="AV664" s="2" t="s">
        <v>95</v>
      </c>
      <c r="AX664" s="2" t="s">
        <v>395</v>
      </c>
      <c r="AZ664" s="2" t="s">
        <v>342</v>
      </c>
      <c r="BB664" s="2" t="s">
        <v>2613</v>
      </c>
      <c r="BC664" s="2" t="s">
        <v>379</v>
      </c>
      <c r="BD664" s="2" t="s">
        <v>2978</v>
      </c>
      <c r="BF664" s="2" t="s">
        <v>2979</v>
      </c>
      <c r="BG664" s="2" t="s">
        <v>95</v>
      </c>
      <c r="BH664" s="2" t="s">
        <v>95</v>
      </c>
      <c r="BI664" s="2" t="s">
        <v>95</v>
      </c>
      <c r="BK664" s="2" t="s">
        <v>100</v>
      </c>
      <c r="CA664" s="2" t="s">
        <v>2980</v>
      </c>
      <c r="CB664" s="2" t="s">
        <v>395</v>
      </c>
      <c r="CL664" s="2" t="s">
        <v>95</v>
      </c>
      <c r="CM664" s="2" t="s">
        <v>95</v>
      </c>
      <c r="CN664" s="2" t="s">
        <v>1434</v>
      </c>
      <c r="CO664" s="3">
        <v>40474</v>
      </c>
      <c r="CP664" s="3">
        <v>43634</v>
      </c>
    </row>
    <row r="665" spans="1:94" x14ac:dyDescent="0.25">
      <c r="A665" s="2" t="s">
        <v>2981</v>
      </c>
      <c r="B665" s="2" t="str">
        <f xml:space="preserve"> "" &amp; 874944009401</f>
        <v>874944009401</v>
      </c>
      <c r="C665" s="2" t="s">
        <v>515</v>
      </c>
      <c r="D665" s="2" t="s">
        <v>1428</v>
      </c>
      <c r="F665" s="2" t="s">
        <v>1429</v>
      </c>
      <c r="G665" s="2">
        <v>1</v>
      </c>
      <c r="H665" s="2">
        <v>1</v>
      </c>
      <c r="I665" s="2" t="s">
        <v>94</v>
      </c>
      <c r="J665" s="6">
        <v>140</v>
      </c>
      <c r="K665" s="6">
        <v>420</v>
      </c>
      <c r="L665" s="2">
        <v>0</v>
      </c>
      <c r="N665" s="2">
        <v>0</v>
      </c>
      <c r="O665" s="2" t="s">
        <v>96</v>
      </c>
      <c r="P665" s="6">
        <v>294.95</v>
      </c>
      <c r="Q665" s="6"/>
      <c r="R665" s="7"/>
      <c r="S665" s="2">
        <v>27.5</v>
      </c>
      <c r="T665" s="2">
        <v>13.5</v>
      </c>
      <c r="U665" s="2">
        <v>13.5</v>
      </c>
      <c r="W665" s="2">
        <v>7.72</v>
      </c>
      <c r="X665" s="2">
        <v>1</v>
      </c>
      <c r="Y665" s="2">
        <v>20.88</v>
      </c>
      <c r="Z665" s="2">
        <v>23.88</v>
      </c>
      <c r="AA665" s="2">
        <v>14.75</v>
      </c>
      <c r="AB665" s="2">
        <v>4.2560000000000002</v>
      </c>
      <c r="AC665" s="2">
        <v>11.53</v>
      </c>
      <c r="AE665" s="2">
        <v>1</v>
      </c>
      <c r="AF665" s="2" t="s">
        <v>1430</v>
      </c>
      <c r="AG665" s="2">
        <v>10</v>
      </c>
      <c r="AK665" s="2" t="s">
        <v>96</v>
      </c>
      <c r="AM665" s="2" t="s">
        <v>95</v>
      </c>
      <c r="AN665" s="2" t="s">
        <v>96</v>
      </c>
      <c r="AO665" s="2" t="s">
        <v>95</v>
      </c>
      <c r="AP665" s="2" t="s">
        <v>97</v>
      </c>
      <c r="AQ665" s="2" t="s">
        <v>98</v>
      </c>
      <c r="AV665" s="2" t="s">
        <v>95</v>
      </c>
      <c r="AX665" s="2" t="s">
        <v>395</v>
      </c>
      <c r="AZ665" s="2" t="s">
        <v>342</v>
      </c>
      <c r="BB665" s="2" t="s">
        <v>2982</v>
      </c>
      <c r="BC665" s="2" t="s">
        <v>2983</v>
      </c>
      <c r="BF665" s="2" t="s">
        <v>2984</v>
      </c>
      <c r="BG665" s="2" t="s">
        <v>95</v>
      </c>
      <c r="BH665" s="2" t="s">
        <v>95</v>
      </c>
      <c r="BI665" s="2" t="s">
        <v>95</v>
      </c>
      <c r="BK665" s="2" t="s">
        <v>100</v>
      </c>
      <c r="CA665" s="2" t="s">
        <v>2985</v>
      </c>
      <c r="CB665" s="2" t="s">
        <v>395</v>
      </c>
      <c r="CL665" s="2" t="s">
        <v>95</v>
      </c>
      <c r="CM665" s="2" t="s">
        <v>95</v>
      </c>
      <c r="CN665" s="2" t="s">
        <v>2986</v>
      </c>
      <c r="CO665" s="3">
        <v>39453</v>
      </c>
      <c r="CP665" s="3">
        <v>43634</v>
      </c>
    </row>
    <row r="666" spans="1:94" x14ac:dyDescent="0.25">
      <c r="A666" s="2" t="s">
        <v>2987</v>
      </c>
      <c r="B666" s="2" t="str">
        <f xml:space="preserve"> "" &amp; 874944009449</f>
        <v>874944009449</v>
      </c>
      <c r="C666" s="2" t="s">
        <v>515</v>
      </c>
      <c r="D666" s="2" t="s">
        <v>1428</v>
      </c>
      <c r="F666" s="2" t="s">
        <v>1429</v>
      </c>
      <c r="G666" s="2">
        <v>1</v>
      </c>
      <c r="H666" s="2">
        <v>1</v>
      </c>
      <c r="I666" s="2" t="s">
        <v>94</v>
      </c>
      <c r="J666" s="6">
        <v>175</v>
      </c>
      <c r="K666" s="6">
        <v>525</v>
      </c>
      <c r="L666" s="2">
        <v>0</v>
      </c>
      <c r="N666" s="2">
        <v>0</v>
      </c>
      <c r="O666" s="2" t="s">
        <v>96</v>
      </c>
      <c r="P666" s="6">
        <v>367.95</v>
      </c>
      <c r="Q666" s="6"/>
      <c r="R666" s="7"/>
      <c r="S666" s="2">
        <v>29</v>
      </c>
      <c r="U666" s="2">
        <v>16</v>
      </c>
      <c r="W666" s="2">
        <v>10.55</v>
      </c>
      <c r="X666" s="2">
        <v>1</v>
      </c>
      <c r="Y666" s="2">
        <v>21.75</v>
      </c>
      <c r="Z666" s="2">
        <v>25.75</v>
      </c>
      <c r="AA666" s="2">
        <v>17.5</v>
      </c>
      <c r="AB666" s="2">
        <v>5.6719999999999997</v>
      </c>
      <c r="AC666" s="2">
        <v>18.5</v>
      </c>
      <c r="AE666" s="2">
        <v>1</v>
      </c>
      <c r="AF666" s="2" t="s">
        <v>394</v>
      </c>
      <c r="AG666" s="2">
        <v>150</v>
      </c>
      <c r="AK666" s="2" t="s">
        <v>95</v>
      </c>
      <c r="AM666" s="2" t="s">
        <v>95</v>
      </c>
      <c r="AN666" s="2" t="s">
        <v>96</v>
      </c>
      <c r="AO666" s="2" t="s">
        <v>95</v>
      </c>
      <c r="AP666" s="2" t="s">
        <v>428</v>
      </c>
      <c r="AQ666" s="2" t="s">
        <v>98</v>
      </c>
      <c r="AV666" s="2" t="s">
        <v>95</v>
      </c>
      <c r="AX666" s="2" t="s">
        <v>395</v>
      </c>
      <c r="AZ666" s="2" t="s">
        <v>342</v>
      </c>
      <c r="BB666" s="2" t="s">
        <v>490</v>
      </c>
      <c r="BC666" s="2" t="s">
        <v>2988</v>
      </c>
      <c r="BD666" s="2" t="s">
        <v>2978</v>
      </c>
      <c r="BF666" s="2" t="s">
        <v>2989</v>
      </c>
      <c r="BG666" s="2" t="s">
        <v>95</v>
      </c>
      <c r="BH666" s="2" t="s">
        <v>95</v>
      </c>
      <c r="BI666" s="2" t="s">
        <v>95</v>
      </c>
      <c r="BK666" s="2" t="s">
        <v>100</v>
      </c>
      <c r="CA666" s="2" t="s">
        <v>2990</v>
      </c>
      <c r="CB666" s="2" t="s">
        <v>395</v>
      </c>
      <c r="CL666" s="2" t="s">
        <v>95</v>
      </c>
      <c r="CM666" s="2" t="s">
        <v>95</v>
      </c>
      <c r="CN666" s="2" t="s">
        <v>552</v>
      </c>
      <c r="CO666" s="3">
        <v>39452</v>
      </c>
      <c r="CP666" s="3">
        <v>43634</v>
      </c>
    </row>
    <row r="667" spans="1:94" x14ac:dyDescent="0.25">
      <c r="A667" s="2" t="s">
        <v>2991</v>
      </c>
      <c r="B667" s="2" t="str">
        <f xml:space="preserve"> "" &amp; 874944009531</f>
        <v>874944009531</v>
      </c>
      <c r="C667" s="2" t="s">
        <v>515</v>
      </c>
      <c r="D667" s="2" t="s">
        <v>1428</v>
      </c>
      <c r="F667" s="2" t="s">
        <v>1429</v>
      </c>
      <c r="G667" s="2">
        <v>1</v>
      </c>
      <c r="H667" s="2">
        <v>1</v>
      </c>
      <c r="I667" s="2" t="s">
        <v>94</v>
      </c>
      <c r="J667" s="6">
        <v>175</v>
      </c>
      <c r="K667" s="6">
        <v>525</v>
      </c>
      <c r="L667" s="2">
        <v>0</v>
      </c>
      <c r="N667" s="2">
        <v>0</v>
      </c>
      <c r="O667" s="2" t="s">
        <v>96</v>
      </c>
      <c r="P667" s="6">
        <v>367.95</v>
      </c>
      <c r="Q667" s="6"/>
      <c r="R667" s="7"/>
      <c r="S667" s="2">
        <v>30.25</v>
      </c>
      <c r="T667" s="2">
        <v>14</v>
      </c>
      <c r="U667" s="2">
        <v>14</v>
      </c>
      <c r="W667" s="2">
        <v>10.56</v>
      </c>
      <c r="X667" s="2">
        <v>1</v>
      </c>
      <c r="Y667" s="2">
        <v>21</v>
      </c>
      <c r="Z667" s="2">
        <v>25.75</v>
      </c>
      <c r="AA667" s="2">
        <v>15.5</v>
      </c>
      <c r="AB667" s="2">
        <v>4.8499999999999996</v>
      </c>
      <c r="AC667" s="2">
        <v>15.37</v>
      </c>
      <c r="AE667" s="2">
        <v>1</v>
      </c>
      <c r="AF667" s="2" t="s">
        <v>2992</v>
      </c>
      <c r="AG667" s="2">
        <v>150</v>
      </c>
      <c r="AK667" s="2" t="s">
        <v>95</v>
      </c>
      <c r="AM667" s="2" t="s">
        <v>95</v>
      </c>
      <c r="AN667" s="2" t="s">
        <v>96</v>
      </c>
      <c r="AO667" s="2" t="s">
        <v>95</v>
      </c>
      <c r="AP667" s="2" t="s">
        <v>97</v>
      </c>
      <c r="AQ667" s="2" t="s">
        <v>98</v>
      </c>
      <c r="AV667" s="2" t="s">
        <v>95</v>
      </c>
      <c r="AX667" s="2" t="s">
        <v>395</v>
      </c>
      <c r="AZ667" s="2" t="s">
        <v>342</v>
      </c>
      <c r="BB667" s="2" t="s">
        <v>490</v>
      </c>
      <c r="BC667" s="2" t="s">
        <v>379</v>
      </c>
      <c r="BD667" s="2" t="s">
        <v>2978</v>
      </c>
      <c r="BF667" s="2" t="s">
        <v>2993</v>
      </c>
      <c r="BG667" s="2" t="s">
        <v>95</v>
      </c>
      <c r="BH667" s="2" t="s">
        <v>95</v>
      </c>
      <c r="BI667" s="2" t="s">
        <v>95</v>
      </c>
      <c r="BK667" s="2" t="s">
        <v>100</v>
      </c>
      <c r="CA667" s="2" t="s">
        <v>2994</v>
      </c>
      <c r="CB667" s="2" t="s">
        <v>395</v>
      </c>
      <c r="CL667" s="2" t="s">
        <v>95</v>
      </c>
      <c r="CM667" s="2" t="s">
        <v>95</v>
      </c>
      <c r="CN667" s="2" t="s">
        <v>2995</v>
      </c>
      <c r="CO667" s="3">
        <v>39452</v>
      </c>
      <c r="CP667" s="3">
        <v>43634</v>
      </c>
    </row>
    <row r="668" spans="1:94" x14ac:dyDescent="0.25">
      <c r="A668" s="2" t="s">
        <v>2996</v>
      </c>
      <c r="B668" s="2" t="str">
        <f xml:space="preserve"> "" &amp; 874944009562</f>
        <v>874944009562</v>
      </c>
      <c r="C668" s="2" t="s">
        <v>515</v>
      </c>
      <c r="D668" s="2" t="s">
        <v>1428</v>
      </c>
      <c r="F668" s="2" t="s">
        <v>1429</v>
      </c>
      <c r="G668" s="2">
        <v>1</v>
      </c>
      <c r="H668" s="2">
        <v>1</v>
      </c>
      <c r="I668" s="2" t="s">
        <v>94</v>
      </c>
      <c r="J668" s="6">
        <v>135</v>
      </c>
      <c r="K668" s="6">
        <v>405</v>
      </c>
      <c r="L668" s="2">
        <v>0</v>
      </c>
      <c r="N668" s="2">
        <v>0</v>
      </c>
      <c r="O668" s="2" t="s">
        <v>96</v>
      </c>
      <c r="P668" s="6">
        <v>283.95</v>
      </c>
      <c r="Q668" s="6"/>
      <c r="R668" s="7"/>
      <c r="S668" s="2">
        <v>24.5</v>
      </c>
      <c r="T668" s="2">
        <v>16</v>
      </c>
      <c r="U668" s="2">
        <v>16</v>
      </c>
      <c r="W668" s="2">
        <v>9.59</v>
      </c>
      <c r="X668" s="2">
        <v>1</v>
      </c>
      <c r="Y668" s="2">
        <v>22.5</v>
      </c>
      <c r="Z668" s="2">
        <v>20.88</v>
      </c>
      <c r="AA668" s="2">
        <v>17.38</v>
      </c>
      <c r="AB668" s="2">
        <v>4.7249999999999996</v>
      </c>
      <c r="AC668" s="2">
        <v>14.57</v>
      </c>
      <c r="AE668" s="2">
        <v>1</v>
      </c>
      <c r="AF668" s="2" t="s">
        <v>2992</v>
      </c>
      <c r="AG668" s="2">
        <v>150</v>
      </c>
      <c r="AK668" s="2" t="s">
        <v>95</v>
      </c>
      <c r="AM668" s="2" t="s">
        <v>95</v>
      </c>
      <c r="AN668" s="2" t="s">
        <v>96</v>
      </c>
      <c r="AO668" s="2" t="s">
        <v>95</v>
      </c>
      <c r="AP668" s="2" t="s">
        <v>97</v>
      </c>
      <c r="AQ668" s="2" t="s">
        <v>98</v>
      </c>
      <c r="AV668" s="2" t="s">
        <v>95</v>
      </c>
      <c r="AX668" s="2" t="s">
        <v>395</v>
      </c>
      <c r="AZ668" s="2" t="s">
        <v>342</v>
      </c>
      <c r="BB668" s="2" t="s">
        <v>490</v>
      </c>
      <c r="BC668" s="2" t="s">
        <v>205</v>
      </c>
      <c r="BF668" s="2" t="s">
        <v>2997</v>
      </c>
      <c r="BG668" s="2" t="s">
        <v>95</v>
      </c>
      <c r="BH668" s="2" t="s">
        <v>95</v>
      </c>
      <c r="BI668" s="2" t="s">
        <v>95</v>
      </c>
      <c r="BK668" s="2" t="s">
        <v>100</v>
      </c>
      <c r="CA668" s="2" t="s">
        <v>2998</v>
      </c>
      <c r="CB668" s="2" t="s">
        <v>395</v>
      </c>
      <c r="CL668" s="2" t="s">
        <v>95</v>
      </c>
      <c r="CM668" s="2" t="s">
        <v>95</v>
      </c>
      <c r="CN668" s="2" t="s">
        <v>230</v>
      </c>
      <c r="CO668" s="3">
        <v>39453</v>
      </c>
      <c r="CP668" s="3">
        <v>43634</v>
      </c>
    </row>
    <row r="669" spans="1:94" x14ac:dyDescent="0.25">
      <c r="A669" s="2" t="s">
        <v>2999</v>
      </c>
      <c r="B669" s="2" t="str">
        <f xml:space="preserve"> "" &amp; 844349010845</f>
        <v>844349010845</v>
      </c>
      <c r="C669" s="2" t="s">
        <v>1829</v>
      </c>
      <c r="D669" s="2" t="s">
        <v>1830</v>
      </c>
      <c r="F669" s="2" t="s">
        <v>1429</v>
      </c>
      <c r="G669" s="2">
        <v>1</v>
      </c>
      <c r="H669" s="2">
        <v>1</v>
      </c>
      <c r="I669" s="2" t="s">
        <v>94</v>
      </c>
      <c r="J669" s="6">
        <v>215</v>
      </c>
      <c r="K669" s="6">
        <v>645</v>
      </c>
      <c r="L669" s="2">
        <v>0</v>
      </c>
      <c r="N669" s="2">
        <v>0</v>
      </c>
      <c r="O669" s="2" t="s">
        <v>96</v>
      </c>
      <c r="P669" s="6">
        <v>449.95</v>
      </c>
      <c r="Q669" s="6"/>
      <c r="R669" s="7"/>
      <c r="S669" s="2">
        <v>26.5</v>
      </c>
      <c r="T669" s="2">
        <v>17</v>
      </c>
      <c r="U669" s="2">
        <v>11</v>
      </c>
      <c r="W669" s="2">
        <v>19.399999999999999</v>
      </c>
      <c r="X669" s="2">
        <v>1</v>
      </c>
      <c r="Y669" s="2">
        <v>22.5</v>
      </c>
      <c r="Z669" s="2">
        <v>24</v>
      </c>
      <c r="AA669" s="2">
        <v>15</v>
      </c>
      <c r="AB669" s="2">
        <v>4.6879999999999997</v>
      </c>
      <c r="AC669" s="2">
        <v>24.98</v>
      </c>
      <c r="AE669" s="2">
        <v>2</v>
      </c>
      <c r="AF669" s="2" t="s">
        <v>1430</v>
      </c>
      <c r="AG669" s="2">
        <v>10</v>
      </c>
      <c r="AK669" s="2" t="s">
        <v>96</v>
      </c>
      <c r="AM669" s="2" t="s">
        <v>95</v>
      </c>
      <c r="AN669" s="2" t="s">
        <v>96</v>
      </c>
      <c r="AO669" s="2" t="s">
        <v>95</v>
      </c>
      <c r="AP669" s="2" t="s">
        <v>97</v>
      </c>
      <c r="AQ669" s="2" t="s">
        <v>98</v>
      </c>
      <c r="AV669" s="2" t="s">
        <v>95</v>
      </c>
      <c r="AX669" s="2" t="s">
        <v>529</v>
      </c>
      <c r="AZ669" s="2" t="s">
        <v>342</v>
      </c>
      <c r="BB669" s="2" t="s">
        <v>2613</v>
      </c>
      <c r="BC669" s="2" t="s">
        <v>379</v>
      </c>
      <c r="BD669" s="2" t="s">
        <v>2978</v>
      </c>
      <c r="BF669" s="2" t="s">
        <v>3000</v>
      </c>
      <c r="BG669" s="2" t="s">
        <v>95</v>
      </c>
      <c r="BH669" s="2" t="s">
        <v>95</v>
      </c>
      <c r="BI669" s="2" t="s">
        <v>95</v>
      </c>
      <c r="BK669" s="2" t="s">
        <v>100</v>
      </c>
      <c r="CA669" s="2" t="s">
        <v>3001</v>
      </c>
      <c r="CB669" s="2" t="s">
        <v>529</v>
      </c>
      <c r="CL669" s="2" t="s">
        <v>95</v>
      </c>
      <c r="CM669" s="2" t="s">
        <v>95</v>
      </c>
      <c r="CN669" s="2" t="s">
        <v>3002</v>
      </c>
      <c r="CO669" s="3">
        <v>40788</v>
      </c>
      <c r="CP669" s="3">
        <v>43634</v>
      </c>
    </row>
    <row r="670" spans="1:94" x14ac:dyDescent="0.25">
      <c r="A670" s="2" t="s">
        <v>3003</v>
      </c>
      <c r="B670" s="2" t="str">
        <f xml:space="preserve"> "" &amp; 844349010852</f>
        <v>844349010852</v>
      </c>
      <c r="C670" s="2" t="s">
        <v>1829</v>
      </c>
      <c r="D670" s="2" t="s">
        <v>1830</v>
      </c>
      <c r="F670" s="2" t="s">
        <v>1429</v>
      </c>
      <c r="G670" s="2">
        <v>1</v>
      </c>
      <c r="H670" s="2">
        <v>1</v>
      </c>
      <c r="I670" s="2" t="s">
        <v>94</v>
      </c>
      <c r="J670" s="6">
        <v>279</v>
      </c>
      <c r="K670" s="6">
        <v>837</v>
      </c>
      <c r="L670" s="2">
        <v>0</v>
      </c>
      <c r="N670" s="2">
        <v>0</v>
      </c>
      <c r="O670" s="2" t="s">
        <v>96</v>
      </c>
      <c r="P670" s="6">
        <v>585.95000000000005</v>
      </c>
      <c r="Q670" s="6"/>
      <c r="R670" s="7"/>
      <c r="S670" s="2">
        <v>33.5</v>
      </c>
      <c r="T670" s="2">
        <v>17</v>
      </c>
      <c r="U670" s="2">
        <v>11</v>
      </c>
      <c r="W670" s="2">
        <v>19</v>
      </c>
      <c r="X670" s="2">
        <v>1</v>
      </c>
      <c r="Y670" s="2">
        <v>23.5</v>
      </c>
      <c r="Z670" s="2">
        <v>31.88</v>
      </c>
      <c r="AA670" s="2">
        <v>13</v>
      </c>
      <c r="AB670" s="2">
        <v>5.6360000000000001</v>
      </c>
      <c r="AC670" s="2">
        <v>26.74</v>
      </c>
      <c r="AE670" s="2">
        <v>2</v>
      </c>
      <c r="AF670" s="2" t="s">
        <v>1430</v>
      </c>
      <c r="AG670" s="2">
        <v>10</v>
      </c>
      <c r="AK670" s="2" t="s">
        <v>96</v>
      </c>
      <c r="AM670" s="2" t="s">
        <v>95</v>
      </c>
      <c r="AN670" s="2" t="s">
        <v>96</v>
      </c>
      <c r="AO670" s="2" t="s">
        <v>95</v>
      </c>
      <c r="AP670" s="2" t="s">
        <v>97</v>
      </c>
      <c r="AQ670" s="2" t="s">
        <v>98</v>
      </c>
      <c r="AV670" s="2" t="s">
        <v>95</v>
      </c>
      <c r="AX670" s="2" t="s">
        <v>529</v>
      </c>
      <c r="AZ670" s="2" t="s">
        <v>342</v>
      </c>
      <c r="BB670" s="2" t="s">
        <v>2613</v>
      </c>
      <c r="BC670" s="2" t="s">
        <v>379</v>
      </c>
      <c r="BD670" s="2" t="s">
        <v>2978</v>
      </c>
      <c r="BF670" s="2" t="s">
        <v>3004</v>
      </c>
      <c r="BG670" s="2" t="s">
        <v>95</v>
      </c>
      <c r="BH670" s="2" t="s">
        <v>95</v>
      </c>
      <c r="BI670" s="2" t="s">
        <v>95</v>
      </c>
      <c r="BK670" s="2" t="s">
        <v>100</v>
      </c>
      <c r="CA670" s="2" t="s">
        <v>3005</v>
      </c>
      <c r="CB670" s="2" t="s">
        <v>529</v>
      </c>
      <c r="CL670" s="2" t="s">
        <v>95</v>
      </c>
      <c r="CM670" s="2" t="s">
        <v>95</v>
      </c>
      <c r="CN670" s="2" t="s">
        <v>2967</v>
      </c>
      <c r="CO670" s="3">
        <v>40788</v>
      </c>
      <c r="CP670" s="3">
        <v>43634</v>
      </c>
    </row>
    <row r="671" spans="1:94" x14ac:dyDescent="0.25">
      <c r="A671" s="2" t="s">
        <v>3006</v>
      </c>
      <c r="B671" s="2" t="str">
        <f xml:space="preserve"> "" &amp; 844349013563</f>
        <v>844349013563</v>
      </c>
      <c r="C671" s="2" t="s">
        <v>515</v>
      </c>
      <c r="D671" s="2" t="s">
        <v>1428</v>
      </c>
      <c r="F671" s="2" t="s">
        <v>1429</v>
      </c>
      <c r="G671" s="2">
        <v>1</v>
      </c>
      <c r="H671" s="2">
        <v>1</v>
      </c>
      <c r="I671" s="2" t="s">
        <v>94</v>
      </c>
      <c r="J671" s="6">
        <v>159</v>
      </c>
      <c r="K671" s="6">
        <v>477</v>
      </c>
      <c r="L671" s="2">
        <v>0</v>
      </c>
      <c r="N671" s="2">
        <v>0</v>
      </c>
      <c r="O671" s="2" t="s">
        <v>96</v>
      </c>
      <c r="P671" s="6">
        <v>334.95</v>
      </c>
      <c r="Q671" s="6"/>
      <c r="R671" s="7"/>
      <c r="S671" s="2">
        <v>30</v>
      </c>
      <c r="U671" s="2">
        <v>17</v>
      </c>
      <c r="W671" s="2">
        <v>10.14</v>
      </c>
      <c r="X671" s="2">
        <v>1</v>
      </c>
      <c r="Y671" s="2">
        <v>22</v>
      </c>
      <c r="Z671" s="2">
        <v>27.5</v>
      </c>
      <c r="AA671" s="2">
        <v>18.5</v>
      </c>
      <c r="AB671" s="2">
        <v>6.4770000000000003</v>
      </c>
      <c r="AC671" s="2">
        <v>16.760000000000002</v>
      </c>
      <c r="AE671" s="2">
        <v>1</v>
      </c>
      <c r="AF671" s="2" t="s">
        <v>1430</v>
      </c>
      <c r="AG671" s="2">
        <v>10</v>
      </c>
      <c r="AK671" s="2" t="s">
        <v>96</v>
      </c>
      <c r="AM671" s="2" t="s">
        <v>95</v>
      </c>
      <c r="AN671" s="2" t="s">
        <v>96</v>
      </c>
      <c r="AO671" s="2" t="s">
        <v>95</v>
      </c>
      <c r="AP671" s="2" t="s">
        <v>97</v>
      </c>
      <c r="AQ671" s="2" t="s">
        <v>98</v>
      </c>
      <c r="AV671" s="2" t="s">
        <v>95</v>
      </c>
      <c r="AX671" s="2" t="s">
        <v>529</v>
      </c>
      <c r="AZ671" s="2" t="s">
        <v>342</v>
      </c>
      <c r="BB671" s="2" t="s">
        <v>490</v>
      </c>
      <c r="BC671" s="2" t="s">
        <v>379</v>
      </c>
      <c r="BF671" s="2" t="s">
        <v>3007</v>
      </c>
      <c r="BG671" s="2" t="s">
        <v>95</v>
      </c>
      <c r="BH671" s="2" t="s">
        <v>95</v>
      </c>
      <c r="BI671" s="2" t="s">
        <v>95</v>
      </c>
      <c r="BK671" s="2" t="s">
        <v>100</v>
      </c>
      <c r="BM671" s="2">
        <v>6.75</v>
      </c>
      <c r="BN671" s="2">
        <v>1.25</v>
      </c>
      <c r="BP671" s="2">
        <v>6.75</v>
      </c>
      <c r="CA671" s="2" t="s">
        <v>3008</v>
      </c>
      <c r="CB671" s="2" t="s">
        <v>529</v>
      </c>
      <c r="CL671" s="2" t="s">
        <v>95</v>
      </c>
      <c r="CM671" s="2" t="s">
        <v>95</v>
      </c>
      <c r="CN671" s="2" t="s">
        <v>230</v>
      </c>
      <c r="CO671" s="3">
        <v>41561</v>
      </c>
      <c r="CP671" s="3">
        <v>43634</v>
      </c>
    </row>
    <row r="672" spans="1:94" x14ac:dyDescent="0.25">
      <c r="A672" s="2" t="s">
        <v>3009</v>
      </c>
      <c r="B672" s="2" t="str">
        <f xml:space="preserve"> "" &amp; 844349009047</f>
        <v>844349009047</v>
      </c>
      <c r="C672" s="2" t="s">
        <v>515</v>
      </c>
      <c r="D672" s="2" t="s">
        <v>1428</v>
      </c>
      <c r="F672" s="2" t="s">
        <v>1429</v>
      </c>
      <c r="G672" s="2">
        <v>1</v>
      </c>
      <c r="H672" s="2">
        <v>1</v>
      </c>
      <c r="I672" s="2" t="s">
        <v>94</v>
      </c>
      <c r="J672" s="6">
        <v>135</v>
      </c>
      <c r="K672" s="6">
        <v>405</v>
      </c>
      <c r="L672" s="2">
        <v>0</v>
      </c>
      <c r="N672" s="2">
        <v>0</v>
      </c>
      <c r="O672" s="2" t="s">
        <v>96</v>
      </c>
      <c r="P672" s="6">
        <v>283.95</v>
      </c>
      <c r="Q672" s="6"/>
      <c r="R672" s="7"/>
      <c r="S672" s="2">
        <v>30.25</v>
      </c>
      <c r="T672" s="2">
        <v>18</v>
      </c>
      <c r="U672" s="2">
        <v>10</v>
      </c>
      <c r="W672" s="2">
        <v>11.66</v>
      </c>
      <c r="X672" s="2">
        <v>1</v>
      </c>
      <c r="Y672" s="2">
        <v>22.5</v>
      </c>
      <c r="Z672" s="2">
        <v>24.5</v>
      </c>
      <c r="AA672" s="2">
        <v>12</v>
      </c>
      <c r="AB672" s="2">
        <v>3.8279999999999998</v>
      </c>
      <c r="AC672" s="2">
        <v>15.98</v>
      </c>
      <c r="AE672" s="2">
        <v>1</v>
      </c>
      <c r="AF672" s="2" t="s">
        <v>1430</v>
      </c>
      <c r="AG672" s="2">
        <v>10</v>
      </c>
      <c r="AK672" s="2" t="s">
        <v>96</v>
      </c>
      <c r="AM672" s="2" t="s">
        <v>95</v>
      </c>
      <c r="AN672" s="2" t="s">
        <v>96</v>
      </c>
      <c r="AO672" s="2" t="s">
        <v>95</v>
      </c>
      <c r="AP672" s="2" t="s">
        <v>97</v>
      </c>
      <c r="AQ672" s="2" t="s">
        <v>98</v>
      </c>
      <c r="AV672" s="2" t="s">
        <v>95</v>
      </c>
      <c r="AX672" s="2" t="s">
        <v>529</v>
      </c>
      <c r="AZ672" s="2" t="s">
        <v>342</v>
      </c>
      <c r="BB672" s="2" t="s">
        <v>2613</v>
      </c>
      <c r="BC672" s="2" t="s">
        <v>379</v>
      </c>
      <c r="BF672" s="2" t="s">
        <v>3010</v>
      </c>
      <c r="BG672" s="2" t="s">
        <v>95</v>
      </c>
      <c r="BH672" s="2" t="s">
        <v>95</v>
      </c>
      <c r="BI672" s="2" t="s">
        <v>95</v>
      </c>
      <c r="BK672" s="2" t="s">
        <v>100</v>
      </c>
      <c r="CA672" s="2" t="s">
        <v>3011</v>
      </c>
      <c r="CB672" s="2" t="s">
        <v>529</v>
      </c>
      <c r="CL672" s="2" t="s">
        <v>95</v>
      </c>
      <c r="CM672" s="2" t="s">
        <v>95</v>
      </c>
      <c r="CN672" s="2" t="s">
        <v>552</v>
      </c>
      <c r="CO672" s="3">
        <v>40474</v>
      </c>
      <c r="CP672" s="3">
        <v>43634</v>
      </c>
    </row>
    <row r="673" spans="1:94" x14ac:dyDescent="0.25">
      <c r="A673" s="2" t="s">
        <v>3012</v>
      </c>
      <c r="B673" s="2" t="str">
        <f xml:space="preserve"> "" &amp; 844349009054</f>
        <v>844349009054</v>
      </c>
      <c r="C673" s="2" t="s">
        <v>515</v>
      </c>
      <c r="D673" s="2" t="s">
        <v>1428</v>
      </c>
      <c r="F673" s="2" t="s">
        <v>1429</v>
      </c>
      <c r="G673" s="2">
        <v>1</v>
      </c>
      <c r="H673" s="2">
        <v>1</v>
      </c>
      <c r="I673" s="2" t="s">
        <v>94</v>
      </c>
      <c r="J673" s="6">
        <v>120</v>
      </c>
      <c r="K673" s="6">
        <v>360</v>
      </c>
      <c r="L673" s="2">
        <v>0</v>
      </c>
      <c r="N673" s="2">
        <v>0</v>
      </c>
      <c r="O673" s="2" t="s">
        <v>96</v>
      </c>
      <c r="P673" s="6">
        <v>249.95</v>
      </c>
      <c r="Q673" s="6"/>
      <c r="R673" s="7"/>
      <c r="S673" s="2">
        <v>29.5</v>
      </c>
      <c r="T673" s="2">
        <v>17</v>
      </c>
      <c r="U673" s="2">
        <v>11</v>
      </c>
      <c r="W673" s="2">
        <v>10.71</v>
      </c>
      <c r="X673" s="2">
        <v>1</v>
      </c>
      <c r="Y673" s="2">
        <v>21.5</v>
      </c>
      <c r="Z673" s="2">
        <v>24.5</v>
      </c>
      <c r="AA673" s="2">
        <v>12.25</v>
      </c>
      <c r="AB673" s="2">
        <v>3.73</v>
      </c>
      <c r="AC673" s="2">
        <v>15.1</v>
      </c>
      <c r="AE673" s="2">
        <v>1</v>
      </c>
      <c r="AF673" s="2" t="s">
        <v>1430</v>
      </c>
      <c r="AG673" s="2">
        <v>10</v>
      </c>
      <c r="AK673" s="2" t="s">
        <v>96</v>
      </c>
      <c r="AM673" s="2" t="s">
        <v>95</v>
      </c>
      <c r="AN673" s="2" t="s">
        <v>96</v>
      </c>
      <c r="AO673" s="2" t="s">
        <v>95</v>
      </c>
      <c r="AP673" s="2" t="s">
        <v>97</v>
      </c>
      <c r="AQ673" s="2" t="s">
        <v>98</v>
      </c>
      <c r="AV673" s="2" t="s">
        <v>95</v>
      </c>
      <c r="AX673" s="2" t="s">
        <v>529</v>
      </c>
      <c r="AZ673" s="2" t="s">
        <v>342</v>
      </c>
      <c r="BB673" s="2" t="s">
        <v>2613</v>
      </c>
      <c r="BC673" s="2" t="s">
        <v>379</v>
      </c>
      <c r="BF673" s="2" t="s">
        <v>3013</v>
      </c>
      <c r="BG673" s="2" t="s">
        <v>95</v>
      </c>
      <c r="BH673" s="2" t="s">
        <v>95</v>
      </c>
      <c r="BI673" s="2" t="s">
        <v>95</v>
      </c>
      <c r="BK673" s="2" t="s">
        <v>100</v>
      </c>
      <c r="CA673" s="2" t="s">
        <v>3014</v>
      </c>
      <c r="CB673" s="2" t="s">
        <v>529</v>
      </c>
      <c r="CL673" s="2" t="s">
        <v>95</v>
      </c>
      <c r="CM673" s="2" t="s">
        <v>95</v>
      </c>
      <c r="CN673" s="2" t="s">
        <v>230</v>
      </c>
      <c r="CO673" s="3">
        <v>40474</v>
      </c>
      <c r="CP673" s="3">
        <v>43634</v>
      </c>
    </row>
    <row r="674" spans="1:94" x14ac:dyDescent="0.25">
      <c r="A674" s="2" t="s">
        <v>3015</v>
      </c>
      <c r="B674" s="2" t="str">
        <f xml:space="preserve"> "" &amp; 844349014041</f>
        <v>844349014041</v>
      </c>
      <c r="C674" s="2" t="s">
        <v>990</v>
      </c>
      <c r="D674" s="2" t="s">
        <v>3016</v>
      </c>
      <c r="E674" s="2" t="s">
        <v>3017</v>
      </c>
      <c r="F674" s="2" t="s">
        <v>658</v>
      </c>
      <c r="G674" s="2">
        <v>1</v>
      </c>
      <c r="H674" s="2">
        <v>1</v>
      </c>
      <c r="I674" s="2" t="s">
        <v>94</v>
      </c>
      <c r="J674" s="6">
        <v>55</v>
      </c>
      <c r="K674" s="6">
        <v>165</v>
      </c>
      <c r="L674" s="2">
        <v>0</v>
      </c>
      <c r="N674" s="2">
        <v>0</v>
      </c>
      <c r="O674" s="2" t="s">
        <v>96</v>
      </c>
      <c r="P674" s="6">
        <v>115.95</v>
      </c>
      <c r="Q674" s="6"/>
      <c r="R674" s="7"/>
      <c r="S674" s="2">
        <v>6.25</v>
      </c>
      <c r="U674" s="2">
        <v>7.5</v>
      </c>
      <c r="V674" s="2">
        <v>4.25</v>
      </c>
      <c r="W674" s="2">
        <v>2.16</v>
      </c>
      <c r="X674" s="2">
        <v>1</v>
      </c>
      <c r="Y674" s="2">
        <v>6.5</v>
      </c>
      <c r="Z674" s="2">
        <v>16.25</v>
      </c>
      <c r="AA674" s="2">
        <v>9.75</v>
      </c>
      <c r="AB674" s="2">
        <v>0.59599999999999997</v>
      </c>
      <c r="AC674" s="2">
        <v>3.13</v>
      </c>
      <c r="AE674" s="2">
        <v>1</v>
      </c>
      <c r="AF674" s="2" t="s">
        <v>3018</v>
      </c>
      <c r="AG674" s="2">
        <v>100</v>
      </c>
      <c r="AK674" s="2" t="s">
        <v>95</v>
      </c>
      <c r="AM674" s="2" t="s">
        <v>95</v>
      </c>
      <c r="AN674" s="2" t="s">
        <v>95</v>
      </c>
      <c r="AO674" s="2" t="s">
        <v>96</v>
      </c>
      <c r="AP674" s="2" t="s">
        <v>97</v>
      </c>
      <c r="AQ674" s="2" t="s">
        <v>98</v>
      </c>
      <c r="AV674" s="2" t="s">
        <v>95</v>
      </c>
      <c r="AX674" s="2" t="s">
        <v>395</v>
      </c>
      <c r="AZ674" s="2" t="s">
        <v>342</v>
      </c>
      <c r="BB674" s="2" t="s">
        <v>54</v>
      </c>
      <c r="BC674" s="2" t="s">
        <v>976</v>
      </c>
      <c r="BF674" s="2" t="s">
        <v>3019</v>
      </c>
      <c r="BG674" s="2" t="s">
        <v>95</v>
      </c>
      <c r="BH674" s="2" t="s">
        <v>95</v>
      </c>
      <c r="BI674" s="2" t="s">
        <v>95</v>
      </c>
      <c r="BK674" s="2" t="s">
        <v>539</v>
      </c>
      <c r="BL674" s="2" t="s">
        <v>1105</v>
      </c>
      <c r="BM674" s="2">
        <v>7.5</v>
      </c>
      <c r="BN674" s="2">
        <v>6.25</v>
      </c>
      <c r="CA674" s="2" t="s">
        <v>3020</v>
      </c>
      <c r="CB674" s="2" t="s">
        <v>395</v>
      </c>
      <c r="CL674" s="2" t="s">
        <v>96</v>
      </c>
      <c r="CM674" s="2" t="s">
        <v>95</v>
      </c>
      <c r="CN674" s="2" t="s">
        <v>3021</v>
      </c>
      <c r="CO674" s="3">
        <v>42478</v>
      </c>
      <c r="CP674" s="3">
        <v>43634</v>
      </c>
    </row>
    <row r="675" spans="1:94" x14ac:dyDescent="0.25">
      <c r="A675" s="2" t="s">
        <v>3022</v>
      </c>
      <c r="B675" s="2" t="str">
        <f xml:space="preserve"> "" &amp; 844349014089</f>
        <v>844349014089</v>
      </c>
      <c r="C675" s="2" t="s">
        <v>3023</v>
      </c>
      <c r="D675" s="2" t="s">
        <v>3024</v>
      </c>
      <c r="E675" s="2" t="s">
        <v>3017</v>
      </c>
      <c r="F675" s="2" t="s">
        <v>393</v>
      </c>
      <c r="G675" s="2">
        <v>1</v>
      </c>
      <c r="H675" s="2">
        <v>1</v>
      </c>
      <c r="I675" s="2" t="s">
        <v>94</v>
      </c>
      <c r="J675" s="6">
        <v>149</v>
      </c>
      <c r="K675" s="6">
        <v>447</v>
      </c>
      <c r="L675" s="2">
        <v>0</v>
      </c>
      <c r="N675" s="2">
        <v>0</v>
      </c>
      <c r="O675" s="2" t="s">
        <v>96</v>
      </c>
      <c r="P675" s="6">
        <v>312.95</v>
      </c>
      <c r="Q675" s="6"/>
      <c r="R675" s="7"/>
      <c r="S675" s="2">
        <v>8</v>
      </c>
      <c r="T675" s="2">
        <v>15.75</v>
      </c>
      <c r="U675" s="2">
        <v>15.75</v>
      </c>
      <c r="W675" s="2">
        <v>7.41</v>
      </c>
      <c r="X675" s="2">
        <v>1</v>
      </c>
      <c r="Y675" s="2">
        <v>11.25</v>
      </c>
      <c r="Z675" s="2">
        <v>18</v>
      </c>
      <c r="AA675" s="2">
        <v>18</v>
      </c>
      <c r="AB675" s="2">
        <v>2.109</v>
      </c>
      <c r="AC675" s="2">
        <v>11.79</v>
      </c>
      <c r="AE675" s="2">
        <v>2</v>
      </c>
      <c r="AF675" s="2" t="s">
        <v>519</v>
      </c>
      <c r="AG675" s="2">
        <v>100</v>
      </c>
      <c r="AK675" s="2" t="s">
        <v>95</v>
      </c>
      <c r="AM675" s="2" t="s">
        <v>95</v>
      </c>
      <c r="AN675" s="2" t="s">
        <v>95</v>
      </c>
      <c r="AO675" s="2" t="s">
        <v>96</v>
      </c>
      <c r="AP675" s="2" t="s">
        <v>97</v>
      </c>
      <c r="AQ675" s="2" t="s">
        <v>98</v>
      </c>
      <c r="AV675" s="2" t="s">
        <v>95</v>
      </c>
      <c r="AX675" s="2" t="s">
        <v>395</v>
      </c>
      <c r="AZ675" s="2" t="s">
        <v>342</v>
      </c>
      <c r="BB675" s="2" t="s">
        <v>490</v>
      </c>
      <c r="BC675" s="2" t="s">
        <v>498</v>
      </c>
      <c r="BF675" s="2" t="s">
        <v>3025</v>
      </c>
      <c r="BG675" s="2" t="s">
        <v>95</v>
      </c>
      <c r="BH675" s="2" t="s">
        <v>95</v>
      </c>
      <c r="BI675" s="2" t="s">
        <v>95</v>
      </c>
      <c r="BK675" s="2" t="s">
        <v>100</v>
      </c>
      <c r="BR675" s="2">
        <v>1</v>
      </c>
      <c r="BT675" s="2">
        <v>4.88</v>
      </c>
      <c r="CA675" s="2" t="s">
        <v>3026</v>
      </c>
      <c r="CB675" s="2" t="s">
        <v>395</v>
      </c>
      <c r="CL675" s="2" t="s">
        <v>95</v>
      </c>
      <c r="CM675" s="2" t="s">
        <v>95</v>
      </c>
      <c r="CN675" s="2" t="s">
        <v>3027</v>
      </c>
      <c r="CO675" s="3">
        <v>42478</v>
      </c>
      <c r="CP675" s="3">
        <v>43634</v>
      </c>
    </row>
    <row r="676" spans="1:94" x14ac:dyDescent="0.25">
      <c r="A676" s="2" t="s">
        <v>3028</v>
      </c>
      <c r="B676" s="2" t="str">
        <f xml:space="preserve"> "" &amp; 844349014096</f>
        <v>844349014096</v>
      </c>
      <c r="C676" s="2" t="s">
        <v>1738</v>
      </c>
      <c r="D676" s="2" t="s">
        <v>3029</v>
      </c>
      <c r="E676" s="2" t="s">
        <v>3017</v>
      </c>
      <c r="F676" s="2" t="s">
        <v>393</v>
      </c>
      <c r="G676" s="2">
        <v>1</v>
      </c>
      <c r="H676" s="2">
        <v>1</v>
      </c>
      <c r="I676" s="2" t="s">
        <v>94</v>
      </c>
      <c r="J676" s="6">
        <v>215</v>
      </c>
      <c r="K676" s="6">
        <v>645</v>
      </c>
      <c r="L676" s="2">
        <v>0</v>
      </c>
      <c r="N676" s="2">
        <v>0</v>
      </c>
      <c r="O676" s="2" t="s">
        <v>96</v>
      </c>
      <c r="P676" s="6">
        <v>449.95</v>
      </c>
      <c r="Q676" s="6"/>
      <c r="R676" s="7"/>
      <c r="S676" s="2">
        <v>8</v>
      </c>
      <c r="T676" s="2">
        <v>23.5</v>
      </c>
      <c r="U676" s="2">
        <v>23.5</v>
      </c>
      <c r="W676" s="2">
        <v>12.46</v>
      </c>
      <c r="X676" s="2">
        <v>1</v>
      </c>
      <c r="Y676" s="2">
        <v>11.25</v>
      </c>
      <c r="Z676" s="2">
        <v>26</v>
      </c>
      <c r="AA676" s="2">
        <v>26</v>
      </c>
      <c r="AB676" s="2">
        <v>4.4009999999999998</v>
      </c>
      <c r="AC676" s="2">
        <v>20.170000000000002</v>
      </c>
      <c r="AE676" s="2">
        <v>4</v>
      </c>
      <c r="AF676" s="2" t="s">
        <v>1740</v>
      </c>
      <c r="AG676" s="2">
        <v>100</v>
      </c>
      <c r="AK676" s="2" t="s">
        <v>95</v>
      </c>
      <c r="AM676" s="2" t="s">
        <v>95</v>
      </c>
      <c r="AN676" s="2" t="s">
        <v>96</v>
      </c>
      <c r="AO676" s="2" t="s">
        <v>95</v>
      </c>
      <c r="AP676" s="2" t="s">
        <v>97</v>
      </c>
      <c r="AQ676" s="2" t="s">
        <v>98</v>
      </c>
      <c r="AV676" s="2" t="s">
        <v>95</v>
      </c>
      <c r="AX676" s="2" t="s">
        <v>395</v>
      </c>
      <c r="AZ676" s="2" t="s">
        <v>342</v>
      </c>
      <c r="BB676" s="2" t="s">
        <v>490</v>
      </c>
      <c r="BC676" s="2" t="s">
        <v>498</v>
      </c>
      <c r="BF676" s="2" t="s">
        <v>3030</v>
      </c>
      <c r="BG676" s="2" t="s">
        <v>95</v>
      </c>
      <c r="BH676" s="2" t="s">
        <v>95</v>
      </c>
      <c r="BI676" s="2" t="s">
        <v>95</v>
      </c>
      <c r="BK676" s="2" t="s">
        <v>2200</v>
      </c>
      <c r="BQ676" s="2">
        <v>4.75</v>
      </c>
      <c r="BR676" s="2">
        <v>1</v>
      </c>
      <c r="CA676" s="2" t="s">
        <v>3031</v>
      </c>
      <c r="CB676" s="2" t="s">
        <v>395</v>
      </c>
      <c r="CL676" s="2" t="s">
        <v>96</v>
      </c>
      <c r="CM676" s="2" t="s">
        <v>96</v>
      </c>
      <c r="CN676" s="2" t="s">
        <v>3032</v>
      </c>
      <c r="CO676" s="3">
        <v>42478</v>
      </c>
      <c r="CP676" s="3">
        <v>43634</v>
      </c>
    </row>
    <row r="677" spans="1:94" x14ac:dyDescent="0.25">
      <c r="A677" s="2" t="s">
        <v>3033</v>
      </c>
      <c r="B677" s="2" t="str">
        <f xml:space="preserve"> "" &amp; 844349014102</f>
        <v>844349014102</v>
      </c>
      <c r="C677" s="2" t="s">
        <v>3034</v>
      </c>
      <c r="D677" s="2" t="s">
        <v>3035</v>
      </c>
      <c r="E677" s="2" t="s">
        <v>3017</v>
      </c>
      <c r="F677" s="2" t="s">
        <v>614</v>
      </c>
      <c r="G677" s="2">
        <v>1</v>
      </c>
      <c r="H677" s="2">
        <v>1</v>
      </c>
      <c r="I677" s="2" t="s">
        <v>94</v>
      </c>
      <c r="J677" s="6">
        <v>219</v>
      </c>
      <c r="K677" s="6">
        <v>657</v>
      </c>
      <c r="L677" s="2">
        <v>0</v>
      </c>
      <c r="N677" s="2">
        <v>0</v>
      </c>
      <c r="O677" s="2" t="s">
        <v>96</v>
      </c>
      <c r="P677" s="6">
        <v>459.95</v>
      </c>
      <c r="Q677" s="6"/>
      <c r="R677" s="7"/>
      <c r="S677" s="2">
        <v>8</v>
      </c>
      <c r="U677" s="2">
        <v>32.25</v>
      </c>
      <c r="V677" s="2">
        <v>11.75</v>
      </c>
      <c r="W677" s="2">
        <v>9.61</v>
      </c>
      <c r="X677" s="2">
        <v>1</v>
      </c>
      <c r="Y677" s="2">
        <v>12.5</v>
      </c>
      <c r="Z677" s="2">
        <v>35.75</v>
      </c>
      <c r="AA677" s="2">
        <v>14.5</v>
      </c>
      <c r="AB677" s="2">
        <v>3.75</v>
      </c>
      <c r="AC677" s="2">
        <v>15.81</v>
      </c>
      <c r="AE677" s="2">
        <v>3</v>
      </c>
      <c r="AF677" s="2" t="s">
        <v>440</v>
      </c>
      <c r="AG677" s="2">
        <v>100</v>
      </c>
      <c r="AK677" s="2" t="s">
        <v>95</v>
      </c>
      <c r="AM677" s="2" t="s">
        <v>95</v>
      </c>
      <c r="AN677" s="2" t="s">
        <v>95</v>
      </c>
      <c r="AO677" s="2" t="s">
        <v>96</v>
      </c>
      <c r="AP677" s="2" t="s">
        <v>97</v>
      </c>
      <c r="AQ677" s="2" t="s">
        <v>98</v>
      </c>
      <c r="AV677" s="2" t="s">
        <v>95</v>
      </c>
      <c r="AX677" s="2" t="s">
        <v>395</v>
      </c>
      <c r="AZ677" s="2" t="s">
        <v>342</v>
      </c>
      <c r="BB677" s="2" t="s">
        <v>490</v>
      </c>
      <c r="BC677" s="2" t="s">
        <v>498</v>
      </c>
      <c r="BF677" s="2" t="s">
        <v>3036</v>
      </c>
      <c r="BG677" s="2" t="s">
        <v>95</v>
      </c>
      <c r="BH677" s="2" t="s">
        <v>95</v>
      </c>
      <c r="BI677" s="2" t="s">
        <v>95</v>
      </c>
      <c r="BK677" s="2" t="s">
        <v>100</v>
      </c>
      <c r="BL677" s="2" t="s">
        <v>617</v>
      </c>
      <c r="BR677" s="2">
        <v>1</v>
      </c>
      <c r="BT677" s="2">
        <v>4.88</v>
      </c>
      <c r="CA677" s="2" t="s">
        <v>3037</v>
      </c>
      <c r="CB677" s="2" t="s">
        <v>395</v>
      </c>
      <c r="CL677" s="2" t="s">
        <v>96</v>
      </c>
      <c r="CM677" s="2" t="s">
        <v>96</v>
      </c>
      <c r="CN677" s="2" t="s">
        <v>3027</v>
      </c>
      <c r="CO677" s="3">
        <v>42478</v>
      </c>
      <c r="CP677" s="3">
        <v>43634</v>
      </c>
    </row>
    <row r="678" spans="1:94" x14ac:dyDescent="0.25">
      <c r="A678" s="2" t="s">
        <v>3038</v>
      </c>
      <c r="B678" s="2" t="str">
        <f xml:space="preserve"> "" &amp; 844349014119</f>
        <v>844349014119</v>
      </c>
      <c r="C678" s="2" t="s">
        <v>3039</v>
      </c>
      <c r="D678" s="2" t="s">
        <v>3040</v>
      </c>
      <c r="E678" s="2" t="s">
        <v>3017</v>
      </c>
      <c r="F678" s="2" t="s">
        <v>412</v>
      </c>
      <c r="G678" s="2">
        <v>1</v>
      </c>
      <c r="H678" s="2">
        <v>1</v>
      </c>
      <c r="I678" s="2" t="s">
        <v>94</v>
      </c>
      <c r="J678" s="6">
        <v>149</v>
      </c>
      <c r="K678" s="6">
        <v>447</v>
      </c>
      <c r="L678" s="2">
        <v>0</v>
      </c>
      <c r="N678" s="2">
        <v>0</v>
      </c>
      <c r="O678" s="2" t="s">
        <v>96</v>
      </c>
      <c r="P678" s="6">
        <v>312.95</v>
      </c>
      <c r="Q678" s="6"/>
      <c r="R678" s="7"/>
      <c r="S678" s="2">
        <v>13.25</v>
      </c>
      <c r="T678" s="2">
        <v>18.25</v>
      </c>
      <c r="U678" s="2">
        <v>18.25</v>
      </c>
      <c r="W678" s="2">
        <v>6.97</v>
      </c>
      <c r="X678" s="2">
        <v>1</v>
      </c>
      <c r="Y678" s="2">
        <v>11.25</v>
      </c>
      <c r="Z678" s="2">
        <v>20.5</v>
      </c>
      <c r="AA678" s="2">
        <v>20.5</v>
      </c>
      <c r="AB678" s="2">
        <v>2.7360000000000002</v>
      </c>
      <c r="AC678" s="2">
        <v>12.06</v>
      </c>
      <c r="AE678" s="2">
        <v>2</v>
      </c>
      <c r="AF678" s="2" t="s">
        <v>440</v>
      </c>
      <c r="AG678" s="2">
        <v>100</v>
      </c>
      <c r="AK678" s="2" t="s">
        <v>95</v>
      </c>
      <c r="AM678" s="2" t="s">
        <v>95</v>
      </c>
      <c r="AN678" s="2" t="s">
        <v>95</v>
      </c>
      <c r="AO678" s="2" t="s">
        <v>96</v>
      </c>
      <c r="AP678" s="2" t="s">
        <v>97</v>
      </c>
      <c r="AQ678" s="2" t="s">
        <v>98</v>
      </c>
      <c r="AV678" s="2" t="s">
        <v>95</v>
      </c>
      <c r="AX678" s="2" t="s">
        <v>395</v>
      </c>
      <c r="AZ678" s="2" t="s">
        <v>342</v>
      </c>
      <c r="BB678" s="2" t="s">
        <v>490</v>
      </c>
      <c r="BC678" s="2" t="s">
        <v>498</v>
      </c>
      <c r="BF678" s="2" t="s">
        <v>3041</v>
      </c>
      <c r="BG678" s="2" t="s">
        <v>95</v>
      </c>
      <c r="BH678" s="2" t="s">
        <v>95</v>
      </c>
      <c r="BI678" s="2" t="s">
        <v>95</v>
      </c>
      <c r="BK678" s="2" t="s">
        <v>414</v>
      </c>
      <c r="BL678" s="2" t="s">
        <v>617</v>
      </c>
      <c r="BR678" s="2">
        <v>1</v>
      </c>
      <c r="BT678" s="2">
        <v>4.88</v>
      </c>
      <c r="CA678" s="2" t="s">
        <v>3042</v>
      </c>
      <c r="CB678" s="2" t="s">
        <v>395</v>
      </c>
      <c r="CL678" s="2" t="s">
        <v>96</v>
      </c>
      <c r="CM678" s="2" t="s">
        <v>95</v>
      </c>
      <c r="CN678" s="2" t="s">
        <v>3027</v>
      </c>
      <c r="CO678" s="3">
        <v>42478</v>
      </c>
      <c r="CP678" s="3">
        <v>43634</v>
      </c>
    </row>
    <row r="679" spans="1:94" x14ac:dyDescent="0.25">
      <c r="A679" s="2" t="s">
        <v>3043</v>
      </c>
      <c r="B679" s="2" t="str">
        <f xml:space="preserve"> "" &amp; 844349014126</f>
        <v>844349014126</v>
      </c>
      <c r="C679" s="2" t="s">
        <v>3044</v>
      </c>
      <c r="D679" s="2" t="s">
        <v>3045</v>
      </c>
      <c r="E679" s="2" t="s">
        <v>3017</v>
      </c>
      <c r="F679" s="2" t="s">
        <v>102</v>
      </c>
      <c r="G679" s="2">
        <v>1</v>
      </c>
      <c r="H679" s="2">
        <v>1</v>
      </c>
      <c r="I679" s="2" t="s">
        <v>94</v>
      </c>
      <c r="J679" s="6">
        <v>129</v>
      </c>
      <c r="K679" s="6">
        <v>387</v>
      </c>
      <c r="L679" s="2">
        <v>0</v>
      </c>
      <c r="N679" s="2">
        <v>0</v>
      </c>
      <c r="O679" s="2" t="s">
        <v>96</v>
      </c>
      <c r="P679" s="6">
        <v>269.95</v>
      </c>
      <c r="Q679" s="6"/>
      <c r="R679" s="7"/>
      <c r="S679" s="2">
        <v>6.75</v>
      </c>
      <c r="T679" s="2">
        <v>15.75</v>
      </c>
      <c r="U679" s="2">
        <v>15.75</v>
      </c>
      <c r="W679" s="2">
        <v>6.92</v>
      </c>
      <c r="X679" s="2">
        <v>1</v>
      </c>
      <c r="Y679" s="2">
        <v>9.75</v>
      </c>
      <c r="Z679" s="2">
        <v>18</v>
      </c>
      <c r="AA679" s="2">
        <v>18</v>
      </c>
      <c r="AB679" s="2">
        <v>1.8280000000000001</v>
      </c>
      <c r="AC679" s="2">
        <v>10.91</v>
      </c>
      <c r="AE679" s="2">
        <v>2</v>
      </c>
      <c r="AF679" s="2" t="s">
        <v>440</v>
      </c>
      <c r="AG679" s="2">
        <v>60</v>
      </c>
      <c r="AK679" s="2" t="s">
        <v>95</v>
      </c>
      <c r="AM679" s="2" t="s">
        <v>95</v>
      </c>
      <c r="AN679" s="2" t="s">
        <v>96</v>
      </c>
      <c r="AO679" s="2" t="s">
        <v>95</v>
      </c>
      <c r="AP679" s="2" t="s">
        <v>97</v>
      </c>
      <c r="AQ679" s="2" t="s">
        <v>98</v>
      </c>
      <c r="AV679" s="2" t="s">
        <v>95</v>
      </c>
      <c r="AX679" s="2" t="s">
        <v>395</v>
      </c>
      <c r="AZ679" s="2" t="s">
        <v>342</v>
      </c>
      <c r="BB679" s="2" t="s">
        <v>490</v>
      </c>
      <c r="BC679" s="2" t="s">
        <v>498</v>
      </c>
      <c r="BF679" s="2" t="s">
        <v>3046</v>
      </c>
      <c r="BG679" s="2" t="s">
        <v>95</v>
      </c>
      <c r="BH679" s="2" t="s">
        <v>95</v>
      </c>
      <c r="BI679" s="2" t="s">
        <v>95</v>
      </c>
      <c r="BK679" s="2" t="s">
        <v>414</v>
      </c>
      <c r="BL679" s="2" t="s">
        <v>617</v>
      </c>
      <c r="BR679" s="2">
        <v>1</v>
      </c>
      <c r="BT679" s="2">
        <v>13.75</v>
      </c>
      <c r="CA679" s="2" t="s">
        <v>3047</v>
      </c>
      <c r="CB679" s="2" t="s">
        <v>395</v>
      </c>
      <c r="CL679" s="2" t="s">
        <v>96</v>
      </c>
      <c r="CM679" s="2" t="s">
        <v>95</v>
      </c>
      <c r="CN679" s="2" t="s">
        <v>3027</v>
      </c>
      <c r="CO679" s="3">
        <v>42478</v>
      </c>
      <c r="CP679" s="3">
        <v>43634</v>
      </c>
    </row>
    <row r="680" spans="1:94" x14ac:dyDescent="0.25">
      <c r="A680" s="2" t="s">
        <v>3048</v>
      </c>
      <c r="B680" s="2" t="str">
        <f xml:space="preserve"> "" &amp; 844349006565</f>
        <v>844349006565</v>
      </c>
      <c r="C680" s="2" t="s">
        <v>990</v>
      </c>
      <c r="D680" s="2" t="s">
        <v>3049</v>
      </c>
      <c r="E680" s="2" t="s">
        <v>2846</v>
      </c>
      <c r="F680" s="2" t="s">
        <v>418</v>
      </c>
      <c r="G680" s="2">
        <v>1</v>
      </c>
      <c r="H680" s="2">
        <v>1</v>
      </c>
      <c r="I680" s="2" t="s">
        <v>94</v>
      </c>
      <c r="J680" s="6">
        <v>42</v>
      </c>
      <c r="K680" s="6">
        <v>126</v>
      </c>
      <c r="L680" s="2">
        <v>0</v>
      </c>
      <c r="N680" s="2">
        <v>0</v>
      </c>
      <c r="O680" s="2" t="s">
        <v>96</v>
      </c>
      <c r="P680" s="6">
        <v>88.95</v>
      </c>
      <c r="Q680" s="6"/>
      <c r="R680" s="7"/>
      <c r="S680" s="2">
        <v>6.25</v>
      </c>
      <c r="U680" s="2">
        <v>6.25</v>
      </c>
      <c r="V680" s="2">
        <v>6</v>
      </c>
      <c r="W680" s="2">
        <v>1.54</v>
      </c>
      <c r="X680" s="2">
        <v>1</v>
      </c>
      <c r="Y680" s="2">
        <v>8.6300000000000008</v>
      </c>
      <c r="Z680" s="2">
        <v>7.88</v>
      </c>
      <c r="AA680" s="2">
        <v>7.88</v>
      </c>
      <c r="AB680" s="2">
        <v>0.31</v>
      </c>
      <c r="AC680" s="2">
        <v>2.6</v>
      </c>
      <c r="AE680" s="2">
        <v>1</v>
      </c>
      <c r="AF680" s="2" t="s">
        <v>3050</v>
      </c>
      <c r="AG680" s="2">
        <v>40</v>
      </c>
      <c r="AK680" s="2" t="s">
        <v>96</v>
      </c>
      <c r="AL680" s="2">
        <v>1</v>
      </c>
      <c r="AM680" s="2" t="s">
        <v>96</v>
      </c>
      <c r="AN680" s="2" t="s">
        <v>95</v>
      </c>
      <c r="AO680" s="2" t="s">
        <v>95</v>
      </c>
      <c r="AP680" s="2" t="s">
        <v>97</v>
      </c>
      <c r="AQ680" s="2" t="s">
        <v>98</v>
      </c>
      <c r="AV680" s="2" t="s">
        <v>95</v>
      </c>
      <c r="AX680" s="2" t="s">
        <v>395</v>
      </c>
      <c r="AZ680" s="2" t="s">
        <v>342</v>
      </c>
      <c r="BB680" s="2" t="s">
        <v>2848</v>
      </c>
      <c r="BC680" s="2" t="s">
        <v>2849</v>
      </c>
      <c r="BF680" s="2" t="s">
        <v>3051</v>
      </c>
      <c r="BG680" s="2" t="s">
        <v>95</v>
      </c>
      <c r="BH680" s="2" t="s">
        <v>95</v>
      </c>
      <c r="BI680" s="2" t="s">
        <v>95</v>
      </c>
      <c r="BK680" s="2" t="s">
        <v>414</v>
      </c>
      <c r="BL680" s="2" t="s">
        <v>1105</v>
      </c>
      <c r="BR680" s="2">
        <v>4</v>
      </c>
      <c r="BT680" s="2">
        <v>4</v>
      </c>
      <c r="CA680" s="2" t="s">
        <v>3052</v>
      </c>
      <c r="CB680" s="2" t="s">
        <v>395</v>
      </c>
      <c r="CL680" s="2" t="s">
        <v>96</v>
      </c>
      <c r="CM680" s="2" t="s">
        <v>95</v>
      </c>
      <c r="CN680" s="2" t="s">
        <v>3053</v>
      </c>
      <c r="CO680" s="3">
        <v>40604</v>
      </c>
      <c r="CP680" s="3">
        <v>43634</v>
      </c>
    </row>
    <row r="681" spans="1:94" x14ac:dyDescent="0.25">
      <c r="A681" s="2" t="s">
        <v>3054</v>
      </c>
      <c r="B681" s="2" t="str">
        <f xml:space="preserve"> "" &amp; 844349010647</f>
        <v>844349010647</v>
      </c>
      <c r="C681" s="2" t="s">
        <v>391</v>
      </c>
      <c r="D681" s="2" t="s">
        <v>3055</v>
      </c>
      <c r="E681" s="2" t="s">
        <v>2846</v>
      </c>
      <c r="F681" s="2" t="s">
        <v>393</v>
      </c>
      <c r="G681" s="2">
        <v>1</v>
      </c>
      <c r="H681" s="2">
        <v>1</v>
      </c>
      <c r="I681" s="2" t="s">
        <v>94</v>
      </c>
      <c r="J681" s="6">
        <v>59</v>
      </c>
      <c r="K681" s="6">
        <v>177</v>
      </c>
      <c r="L681" s="2">
        <v>0</v>
      </c>
      <c r="N681" s="2">
        <v>0</v>
      </c>
      <c r="O681" s="2" t="s">
        <v>96</v>
      </c>
      <c r="P681" s="6">
        <v>123.95</v>
      </c>
      <c r="Q681" s="6"/>
      <c r="R681" s="7"/>
      <c r="S681" s="2">
        <v>6.25</v>
      </c>
      <c r="T681" s="2">
        <v>4.75</v>
      </c>
      <c r="U681" s="2">
        <v>4.75</v>
      </c>
      <c r="W681" s="2">
        <v>2.78</v>
      </c>
      <c r="X681" s="2">
        <v>1</v>
      </c>
      <c r="Y681" s="2">
        <v>7.8739999999999997</v>
      </c>
      <c r="Z681" s="2">
        <v>11.811</v>
      </c>
      <c r="AA681" s="2">
        <v>6.6920000000000002</v>
      </c>
      <c r="AB681" s="2">
        <v>0.36</v>
      </c>
      <c r="AC681" s="2">
        <v>3.59</v>
      </c>
      <c r="AE681" s="2">
        <v>1</v>
      </c>
      <c r="AF681" s="2" t="s">
        <v>3056</v>
      </c>
      <c r="AG681" s="2">
        <v>40</v>
      </c>
      <c r="AK681" s="2" t="s">
        <v>96</v>
      </c>
      <c r="AM681" s="2" t="s">
        <v>96</v>
      </c>
      <c r="AN681" s="2" t="s">
        <v>95</v>
      </c>
      <c r="AO681" s="2" t="s">
        <v>95</v>
      </c>
      <c r="AP681" s="2" t="s">
        <v>97</v>
      </c>
      <c r="AQ681" s="2" t="s">
        <v>98</v>
      </c>
      <c r="AV681" s="2" t="s">
        <v>95</v>
      </c>
      <c r="AX681" s="2" t="s">
        <v>395</v>
      </c>
      <c r="AZ681" s="2" t="s">
        <v>342</v>
      </c>
      <c r="BB681" s="2" t="s">
        <v>2848</v>
      </c>
      <c r="BC681" s="2" t="s">
        <v>3057</v>
      </c>
      <c r="BF681" s="2" t="s">
        <v>3058</v>
      </c>
      <c r="BG681" s="2" t="s">
        <v>95</v>
      </c>
      <c r="BH681" s="2" t="s">
        <v>95</v>
      </c>
      <c r="BI681" s="2" t="s">
        <v>95</v>
      </c>
      <c r="BK681" s="2" t="s">
        <v>414</v>
      </c>
      <c r="BS681" s="2">
        <v>5.13</v>
      </c>
      <c r="BT681" s="2">
        <v>5.13</v>
      </c>
      <c r="CA681" s="2" t="s">
        <v>3059</v>
      </c>
      <c r="CB681" s="2" t="s">
        <v>395</v>
      </c>
      <c r="CL681" s="2" t="s">
        <v>96</v>
      </c>
      <c r="CM681" s="2" t="s">
        <v>95</v>
      </c>
      <c r="CN681" s="2" t="s">
        <v>3060</v>
      </c>
      <c r="CO681" s="3">
        <v>40695</v>
      </c>
      <c r="CP681" s="3">
        <v>43634</v>
      </c>
    </row>
    <row r="682" spans="1:94" x14ac:dyDescent="0.25">
      <c r="A682" s="2" t="s">
        <v>3061</v>
      </c>
      <c r="B682" s="2" t="str">
        <f xml:space="preserve"> "" &amp; 844349010654</f>
        <v>844349010654</v>
      </c>
      <c r="C682" s="2" t="s">
        <v>1860</v>
      </c>
      <c r="D682" s="2" t="s">
        <v>3062</v>
      </c>
      <c r="E682" s="2" t="s">
        <v>2846</v>
      </c>
      <c r="F682" s="2" t="s">
        <v>412</v>
      </c>
      <c r="G682" s="2">
        <v>1</v>
      </c>
      <c r="H682" s="2">
        <v>1</v>
      </c>
      <c r="I682" s="2" t="s">
        <v>94</v>
      </c>
      <c r="J682" s="6">
        <v>100</v>
      </c>
      <c r="K682" s="6">
        <v>300</v>
      </c>
      <c r="L682" s="2">
        <v>0</v>
      </c>
      <c r="N682" s="2">
        <v>0</v>
      </c>
      <c r="O682" s="2" t="s">
        <v>96</v>
      </c>
      <c r="P682" s="6">
        <v>209.95</v>
      </c>
      <c r="Q682" s="6"/>
      <c r="R682" s="7"/>
      <c r="S682" s="2">
        <v>6.75</v>
      </c>
      <c r="T682" s="2">
        <v>11.5</v>
      </c>
      <c r="U682" s="2">
        <v>11.5</v>
      </c>
      <c r="W682" s="2">
        <v>4.45</v>
      </c>
      <c r="X682" s="2">
        <v>1</v>
      </c>
      <c r="Y682" s="2">
        <v>18.11</v>
      </c>
      <c r="Z682" s="2">
        <v>13.385</v>
      </c>
      <c r="AA682" s="2">
        <v>7.48</v>
      </c>
      <c r="AB682" s="2">
        <v>1.0489999999999999</v>
      </c>
      <c r="AC682" s="2">
        <v>5.91</v>
      </c>
      <c r="AE682" s="2">
        <v>4</v>
      </c>
      <c r="AF682" s="2" t="s">
        <v>3063</v>
      </c>
      <c r="AG682" s="2">
        <v>40</v>
      </c>
      <c r="AK682" s="2" t="s">
        <v>96</v>
      </c>
      <c r="AM682" s="2" t="s">
        <v>96</v>
      </c>
      <c r="AN682" s="2" t="s">
        <v>95</v>
      </c>
      <c r="AO682" s="2" t="s">
        <v>95</v>
      </c>
      <c r="AP682" s="2" t="s">
        <v>97</v>
      </c>
      <c r="AQ682" s="2" t="s">
        <v>98</v>
      </c>
      <c r="AV682" s="2" t="s">
        <v>95</v>
      </c>
      <c r="AX682" s="2" t="s">
        <v>395</v>
      </c>
      <c r="AZ682" s="2" t="s">
        <v>342</v>
      </c>
      <c r="BB682" s="2" t="s">
        <v>2848</v>
      </c>
      <c r="BC682" s="2" t="s">
        <v>3057</v>
      </c>
      <c r="BF682" s="2" t="s">
        <v>3064</v>
      </c>
      <c r="BG682" s="2" t="s">
        <v>95</v>
      </c>
      <c r="BH682" s="2" t="s">
        <v>95</v>
      </c>
      <c r="BI682" s="2" t="s">
        <v>95</v>
      </c>
      <c r="BK682" s="2" t="s">
        <v>414</v>
      </c>
      <c r="BS682" s="2">
        <v>4.75</v>
      </c>
      <c r="BT682" s="2">
        <v>4.75</v>
      </c>
      <c r="CA682" s="2" t="s">
        <v>3065</v>
      </c>
      <c r="CB682" s="2" t="s">
        <v>395</v>
      </c>
      <c r="CL682" s="2" t="s">
        <v>96</v>
      </c>
      <c r="CM682" s="2" t="s">
        <v>95</v>
      </c>
      <c r="CN682" s="2" t="s">
        <v>3066</v>
      </c>
      <c r="CO682" s="3">
        <v>40695</v>
      </c>
      <c r="CP682" s="3">
        <v>43634</v>
      </c>
    </row>
    <row r="683" spans="1:94" x14ac:dyDescent="0.25">
      <c r="A683" s="2" t="s">
        <v>3067</v>
      </c>
      <c r="B683" s="2" t="str">
        <f xml:space="preserve"> "" &amp; 870540002990</f>
        <v>870540002990</v>
      </c>
      <c r="C683" s="2" t="s">
        <v>3068</v>
      </c>
      <c r="D683" s="2" t="s">
        <v>3702</v>
      </c>
      <c r="E683" s="2" t="s">
        <v>3069</v>
      </c>
      <c r="F683" s="2" t="s">
        <v>393</v>
      </c>
      <c r="G683" s="2">
        <v>1</v>
      </c>
      <c r="H683" s="2">
        <v>1</v>
      </c>
      <c r="I683" s="2" t="s">
        <v>94</v>
      </c>
      <c r="J683" s="6">
        <v>63</v>
      </c>
      <c r="K683" s="6">
        <v>189</v>
      </c>
      <c r="L683" s="2">
        <v>0</v>
      </c>
      <c r="N683" s="2">
        <v>0</v>
      </c>
      <c r="O683" s="2" t="s">
        <v>96</v>
      </c>
      <c r="P683" s="6">
        <v>132.94999999999999</v>
      </c>
      <c r="Q683" s="6"/>
      <c r="R683" s="7"/>
      <c r="S683" s="2">
        <v>8.25</v>
      </c>
      <c r="T683" s="2">
        <v>2.5</v>
      </c>
      <c r="U683" s="2">
        <v>2.5</v>
      </c>
      <c r="W683" s="2">
        <v>1.52</v>
      </c>
      <c r="X683" s="2">
        <v>1</v>
      </c>
      <c r="Y683" s="2">
        <v>8.875</v>
      </c>
      <c r="Z683" s="2">
        <v>10.75</v>
      </c>
      <c r="AA683" s="2">
        <v>5.625</v>
      </c>
      <c r="AB683" s="2">
        <v>0.311</v>
      </c>
      <c r="AC683" s="2">
        <v>2.12</v>
      </c>
      <c r="AE683" s="2">
        <v>1</v>
      </c>
      <c r="AF683" s="2" t="s">
        <v>3070</v>
      </c>
      <c r="AG683" s="2">
        <v>50</v>
      </c>
      <c r="AH683" s="2">
        <v>0</v>
      </c>
      <c r="AJ683" s="2">
        <v>0</v>
      </c>
      <c r="AK683" s="2" t="s">
        <v>95</v>
      </c>
      <c r="AM683" s="2" t="s">
        <v>95</v>
      </c>
      <c r="AN683" s="2" t="s">
        <v>96</v>
      </c>
      <c r="AO683" s="2" t="s">
        <v>95</v>
      </c>
      <c r="AP683" s="2" t="s">
        <v>97</v>
      </c>
      <c r="AQ683" s="2" t="s">
        <v>98</v>
      </c>
      <c r="AV683" s="2" t="s">
        <v>95</v>
      </c>
      <c r="AX683" s="2" t="s">
        <v>116</v>
      </c>
      <c r="AZ683" s="2" t="s">
        <v>342</v>
      </c>
      <c r="BB683" s="2" t="s">
        <v>54</v>
      </c>
      <c r="BC683" s="2" t="s">
        <v>1968</v>
      </c>
      <c r="BF683" s="2" t="s">
        <v>3071</v>
      </c>
      <c r="BG683" s="2" t="s">
        <v>95</v>
      </c>
      <c r="BH683" s="2" t="s">
        <v>95</v>
      </c>
      <c r="BI683" s="2" t="s">
        <v>95</v>
      </c>
      <c r="BK683" s="2" t="s">
        <v>100</v>
      </c>
      <c r="BR683" s="2">
        <v>2.5</v>
      </c>
      <c r="BT683" s="2">
        <v>5.25</v>
      </c>
      <c r="CA683" s="2" t="s">
        <v>3072</v>
      </c>
      <c r="CB683" s="2" t="s">
        <v>116</v>
      </c>
      <c r="CL683" s="2" t="s">
        <v>96</v>
      </c>
      <c r="CM683" s="2" t="s">
        <v>96</v>
      </c>
      <c r="CN683" s="2" t="s">
        <v>1404</v>
      </c>
      <c r="CO683" s="3">
        <v>39424</v>
      </c>
      <c r="CP683" s="3">
        <v>43634</v>
      </c>
    </row>
    <row r="684" spans="1:94" x14ac:dyDescent="0.25">
      <c r="A684" s="2" t="s">
        <v>3073</v>
      </c>
      <c r="B684" s="2" t="str">
        <f xml:space="preserve"> "" &amp; 870540003027</f>
        <v>870540003027</v>
      </c>
      <c r="C684" s="2" t="s">
        <v>3074</v>
      </c>
      <c r="D684" s="2" t="s">
        <v>3075</v>
      </c>
      <c r="E684" s="2" t="s">
        <v>2757</v>
      </c>
      <c r="F684" s="2" t="s">
        <v>1126</v>
      </c>
      <c r="G684" s="2">
        <v>1</v>
      </c>
      <c r="H684" s="2">
        <v>1</v>
      </c>
      <c r="I684" s="2" t="s">
        <v>94</v>
      </c>
      <c r="J684" s="6">
        <v>185</v>
      </c>
      <c r="K684" s="6">
        <v>555</v>
      </c>
      <c r="L684" s="2">
        <v>0</v>
      </c>
      <c r="N684" s="2">
        <v>0</v>
      </c>
      <c r="Q684" s="6"/>
      <c r="R684" s="7"/>
      <c r="S684" s="2">
        <v>4.25</v>
      </c>
      <c r="T684" s="2">
        <v>24.75</v>
      </c>
      <c r="U684" s="2">
        <v>24.75</v>
      </c>
      <c r="W684" s="2">
        <v>13.67</v>
      </c>
      <c r="X684" s="2">
        <v>1</v>
      </c>
      <c r="Y684" s="2">
        <v>25.75</v>
      </c>
      <c r="Z684" s="2">
        <v>25.75</v>
      </c>
      <c r="AA684" s="2">
        <v>4.25</v>
      </c>
      <c r="AB684" s="2">
        <v>1.631</v>
      </c>
      <c r="AC684" s="2">
        <v>16.760000000000002</v>
      </c>
      <c r="AE684" s="2">
        <v>6</v>
      </c>
      <c r="AF684" s="2" t="s">
        <v>3076</v>
      </c>
      <c r="AG684" s="2">
        <v>20</v>
      </c>
      <c r="AH684" s="2">
        <v>0</v>
      </c>
      <c r="AJ684" s="2">
        <v>0</v>
      </c>
      <c r="AK684" s="2" t="s">
        <v>96</v>
      </c>
      <c r="AM684" s="2" t="s">
        <v>95</v>
      </c>
      <c r="AN684" s="2" t="s">
        <v>96</v>
      </c>
      <c r="AO684" s="2" t="s">
        <v>95</v>
      </c>
      <c r="AP684" s="2" t="s">
        <v>97</v>
      </c>
      <c r="AQ684" s="2" t="s">
        <v>98</v>
      </c>
      <c r="AV684" s="2" t="s">
        <v>95</v>
      </c>
      <c r="AX684" s="2" t="s">
        <v>116</v>
      </c>
      <c r="AZ684" s="2" t="s">
        <v>342</v>
      </c>
      <c r="BB684" s="2" t="s">
        <v>2520</v>
      </c>
      <c r="BC684" s="2" t="s">
        <v>3077</v>
      </c>
      <c r="BF684" s="2" t="s">
        <v>3078</v>
      </c>
      <c r="BG684" s="2" t="s">
        <v>95</v>
      </c>
      <c r="BH684" s="2" t="s">
        <v>95</v>
      </c>
      <c r="BI684" s="2" t="s">
        <v>95</v>
      </c>
      <c r="BK684" s="2" t="s">
        <v>100</v>
      </c>
      <c r="BQ684" s="2">
        <v>8.25</v>
      </c>
      <c r="BR684" s="2">
        <v>1.75</v>
      </c>
      <c r="CA684" s="2" t="s">
        <v>3079</v>
      </c>
      <c r="CB684" s="2" t="s">
        <v>116</v>
      </c>
      <c r="CL684" s="2" t="s">
        <v>96</v>
      </c>
      <c r="CM684" s="2" t="s">
        <v>95</v>
      </c>
      <c r="CN684" s="2" t="s">
        <v>552</v>
      </c>
      <c r="CO684" s="3">
        <v>37615</v>
      </c>
      <c r="CP684" s="3">
        <v>43634</v>
      </c>
    </row>
    <row r="685" spans="1:94" x14ac:dyDescent="0.25">
      <c r="A685" s="2" t="s">
        <v>3080</v>
      </c>
      <c r="B685" s="2" t="str">
        <f xml:space="preserve"> "" &amp; 844349006572</f>
        <v>844349006572</v>
      </c>
      <c r="C685" s="2" t="s">
        <v>3081</v>
      </c>
      <c r="D685" s="2" t="s">
        <v>3082</v>
      </c>
      <c r="E685" s="2" t="s">
        <v>2846</v>
      </c>
      <c r="F685" s="2" t="s">
        <v>614</v>
      </c>
      <c r="G685" s="2">
        <v>1</v>
      </c>
      <c r="H685" s="2">
        <v>1</v>
      </c>
      <c r="I685" s="2" t="s">
        <v>94</v>
      </c>
      <c r="J685" s="6">
        <v>140</v>
      </c>
      <c r="K685" s="6">
        <v>420</v>
      </c>
      <c r="L685" s="2">
        <v>0</v>
      </c>
      <c r="N685" s="2">
        <v>0</v>
      </c>
      <c r="O685" s="2" t="s">
        <v>96</v>
      </c>
      <c r="P685" s="6">
        <v>289.95</v>
      </c>
      <c r="Q685" s="6"/>
      <c r="R685" s="7"/>
      <c r="S685" s="2">
        <v>4.75</v>
      </c>
      <c r="T685" s="2">
        <v>29.5</v>
      </c>
      <c r="U685" s="2">
        <v>13.75</v>
      </c>
      <c r="W685" s="2">
        <v>7.83</v>
      </c>
      <c r="X685" s="2">
        <v>1</v>
      </c>
      <c r="Y685" s="2">
        <v>10.24</v>
      </c>
      <c r="Z685" s="2">
        <v>39.369999999999997</v>
      </c>
      <c r="AA685" s="2">
        <v>7.87</v>
      </c>
      <c r="AB685" s="2">
        <v>1.8360000000000001</v>
      </c>
      <c r="AC685" s="2">
        <v>11.02</v>
      </c>
      <c r="AE685" s="2">
        <v>6</v>
      </c>
      <c r="AF685" s="2" t="s">
        <v>3056</v>
      </c>
      <c r="AG685" s="2">
        <v>40</v>
      </c>
      <c r="AK685" s="2" t="s">
        <v>96</v>
      </c>
      <c r="AM685" s="2" t="s">
        <v>95</v>
      </c>
      <c r="AN685" s="2" t="s">
        <v>95</v>
      </c>
      <c r="AO685" s="2" t="s">
        <v>95</v>
      </c>
      <c r="AP685" s="2" t="s">
        <v>97</v>
      </c>
      <c r="AQ685" s="2" t="s">
        <v>98</v>
      </c>
      <c r="AV685" s="2" t="s">
        <v>95</v>
      </c>
      <c r="AX685" s="2" t="s">
        <v>395</v>
      </c>
      <c r="AZ685" s="2" t="s">
        <v>342</v>
      </c>
      <c r="BB685" s="2" t="s">
        <v>2848</v>
      </c>
      <c r="BC685" s="2" t="s">
        <v>3057</v>
      </c>
      <c r="BF685" s="2" t="s">
        <v>3083</v>
      </c>
      <c r="BG685" s="2" t="s">
        <v>95</v>
      </c>
      <c r="BH685" s="2" t="s">
        <v>95</v>
      </c>
      <c r="BI685" s="2" t="s">
        <v>95</v>
      </c>
      <c r="BK685" s="2" t="s">
        <v>100</v>
      </c>
      <c r="BR685" s="2">
        <v>1.63</v>
      </c>
      <c r="BS685" s="2">
        <v>10.25</v>
      </c>
      <c r="BT685" s="2">
        <v>4.38</v>
      </c>
      <c r="CA685" s="2" t="s">
        <v>3084</v>
      </c>
      <c r="CB685" s="2" t="s">
        <v>395</v>
      </c>
      <c r="CL685" s="2" t="s">
        <v>96</v>
      </c>
      <c r="CM685" s="2" t="s">
        <v>96</v>
      </c>
      <c r="CN685" s="2" t="s">
        <v>3085</v>
      </c>
      <c r="CO685" s="3">
        <v>39905</v>
      </c>
      <c r="CP685" s="3">
        <v>43634</v>
      </c>
    </row>
    <row r="686" spans="1:94" x14ac:dyDescent="0.25">
      <c r="A686" s="2" t="s">
        <v>3086</v>
      </c>
      <c r="B686" s="2" t="str">
        <f xml:space="preserve"> "" &amp; 844349006589</f>
        <v>844349006589</v>
      </c>
      <c r="C686" s="2" t="s">
        <v>965</v>
      </c>
      <c r="D686" s="2" t="s">
        <v>3087</v>
      </c>
      <c r="E686" s="2" t="s">
        <v>2846</v>
      </c>
      <c r="F686" s="2" t="s">
        <v>614</v>
      </c>
      <c r="G686" s="2">
        <v>1</v>
      </c>
      <c r="H686" s="2">
        <v>1</v>
      </c>
      <c r="I686" s="2" t="s">
        <v>94</v>
      </c>
      <c r="J686" s="6">
        <v>110</v>
      </c>
      <c r="K686" s="6">
        <v>330</v>
      </c>
      <c r="L686" s="2">
        <v>0</v>
      </c>
      <c r="N686" s="2">
        <v>0</v>
      </c>
      <c r="O686" s="2" t="s">
        <v>96</v>
      </c>
      <c r="P686" s="6">
        <v>229.95</v>
      </c>
      <c r="Q686" s="6"/>
      <c r="R686" s="7"/>
      <c r="S686" s="2">
        <v>6.5</v>
      </c>
      <c r="T686" s="2">
        <v>38.75</v>
      </c>
      <c r="U686" s="2">
        <v>4.75</v>
      </c>
      <c r="W686" s="2">
        <v>6.53</v>
      </c>
      <c r="X686" s="2">
        <v>1</v>
      </c>
      <c r="Y686" s="2">
        <v>10</v>
      </c>
      <c r="Z686" s="2">
        <v>41</v>
      </c>
      <c r="AA686" s="2">
        <v>7.88</v>
      </c>
      <c r="AB686" s="2">
        <v>1.87</v>
      </c>
      <c r="AC686" s="2">
        <v>9.6999999999999993</v>
      </c>
      <c r="AE686" s="2">
        <v>4</v>
      </c>
      <c r="AF686" s="2" t="s">
        <v>3056</v>
      </c>
      <c r="AG686" s="2">
        <v>40</v>
      </c>
      <c r="AK686" s="2" t="s">
        <v>96</v>
      </c>
      <c r="AM686" s="2" t="s">
        <v>95</v>
      </c>
      <c r="AN686" s="2" t="s">
        <v>95</v>
      </c>
      <c r="AO686" s="2" t="s">
        <v>95</v>
      </c>
      <c r="AP686" s="2" t="s">
        <v>97</v>
      </c>
      <c r="AQ686" s="2" t="s">
        <v>98</v>
      </c>
      <c r="AV686" s="2" t="s">
        <v>95</v>
      </c>
      <c r="AX686" s="2" t="s">
        <v>395</v>
      </c>
      <c r="AZ686" s="2" t="s">
        <v>342</v>
      </c>
      <c r="BB686" s="2" t="s">
        <v>2848</v>
      </c>
      <c r="BC686" s="2" t="s">
        <v>2849</v>
      </c>
      <c r="BF686" s="2" t="s">
        <v>3088</v>
      </c>
      <c r="BG686" s="2" t="s">
        <v>95</v>
      </c>
      <c r="BH686" s="2" t="s">
        <v>95</v>
      </c>
      <c r="BI686" s="2" t="s">
        <v>95</v>
      </c>
      <c r="BK686" s="2" t="s">
        <v>100</v>
      </c>
      <c r="BR686" s="2">
        <v>1.63</v>
      </c>
      <c r="BS686" s="2">
        <v>10.25</v>
      </c>
      <c r="BT686" s="2">
        <v>4.38</v>
      </c>
      <c r="CA686" s="2" t="s">
        <v>3089</v>
      </c>
      <c r="CB686" s="2" t="s">
        <v>395</v>
      </c>
      <c r="CL686" s="2" t="s">
        <v>96</v>
      </c>
      <c r="CM686" s="2" t="s">
        <v>96</v>
      </c>
      <c r="CN686" s="2" t="s">
        <v>3085</v>
      </c>
      <c r="CO686" s="3">
        <v>39905</v>
      </c>
      <c r="CP686" s="3">
        <v>43634</v>
      </c>
    </row>
    <row r="687" spans="1:94" x14ac:dyDescent="0.25">
      <c r="A687" s="2" t="s">
        <v>3090</v>
      </c>
      <c r="B687" s="2" t="str">
        <f xml:space="preserve"> "" &amp; 844349006596</f>
        <v>844349006596</v>
      </c>
      <c r="C687" s="2" t="s">
        <v>1707</v>
      </c>
      <c r="D687" s="2" t="s">
        <v>3091</v>
      </c>
      <c r="E687" s="2" t="s">
        <v>2846</v>
      </c>
      <c r="F687" s="2" t="s">
        <v>1126</v>
      </c>
      <c r="G687" s="2">
        <v>1</v>
      </c>
      <c r="H687" s="2">
        <v>1</v>
      </c>
      <c r="I687" s="2" t="s">
        <v>94</v>
      </c>
      <c r="J687" s="6">
        <v>185</v>
      </c>
      <c r="K687" s="6">
        <v>555</v>
      </c>
      <c r="L687" s="2">
        <v>0</v>
      </c>
      <c r="N687" s="2">
        <v>0</v>
      </c>
      <c r="O687" s="2" t="s">
        <v>96</v>
      </c>
      <c r="P687" s="6">
        <v>388.95</v>
      </c>
      <c r="Q687" s="6"/>
      <c r="R687" s="7"/>
      <c r="S687" s="2">
        <v>6.25</v>
      </c>
      <c r="U687" s="2">
        <v>23</v>
      </c>
      <c r="W687" s="2">
        <v>8.1999999999999993</v>
      </c>
      <c r="X687" s="2">
        <v>1</v>
      </c>
      <c r="Y687" s="2">
        <v>7.63</v>
      </c>
      <c r="Z687" s="2">
        <v>24.25</v>
      </c>
      <c r="AA687" s="2">
        <v>23</v>
      </c>
      <c r="AB687" s="2">
        <v>2.4630000000000001</v>
      </c>
      <c r="AC687" s="2">
        <v>12.35</v>
      </c>
      <c r="AE687" s="2">
        <v>6</v>
      </c>
      <c r="AF687" s="2" t="s">
        <v>3092</v>
      </c>
      <c r="AG687" s="2">
        <v>40</v>
      </c>
      <c r="AK687" s="2" t="s">
        <v>96</v>
      </c>
      <c r="AL687" s="2">
        <v>6</v>
      </c>
      <c r="AM687" s="2" t="s">
        <v>95</v>
      </c>
      <c r="AN687" s="2" t="s">
        <v>95</v>
      </c>
      <c r="AO687" s="2" t="s">
        <v>96</v>
      </c>
      <c r="AP687" s="2" t="s">
        <v>97</v>
      </c>
      <c r="AQ687" s="2" t="s">
        <v>98</v>
      </c>
      <c r="AV687" s="2" t="s">
        <v>95</v>
      </c>
      <c r="AX687" s="2" t="s">
        <v>395</v>
      </c>
      <c r="AZ687" s="2" t="s">
        <v>342</v>
      </c>
      <c r="BB687" s="2" t="s">
        <v>2848</v>
      </c>
      <c r="BC687" s="2" t="s">
        <v>2849</v>
      </c>
      <c r="BF687" s="2" t="s">
        <v>3093</v>
      </c>
      <c r="BG687" s="2" t="s">
        <v>95</v>
      </c>
      <c r="BH687" s="2" t="s">
        <v>95</v>
      </c>
      <c r="BI687" s="2" t="s">
        <v>95</v>
      </c>
      <c r="BK687" s="2" t="s">
        <v>100</v>
      </c>
      <c r="BQ687" s="2">
        <v>4.25</v>
      </c>
      <c r="BR687" s="2">
        <v>1.1299999999999999</v>
      </c>
      <c r="CA687" s="2" t="s">
        <v>3094</v>
      </c>
      <c r="CB687" s="2" t="s">
        <v>395</v>
      </c>
      <c r="CL687" s="2" t="s">
        <v>96</v>
      </c>
      <c r="CM687" s="2" t="s">
        <v>96</v>
      </c>
      <c r="CN687" s="2" t="s">
        <v>3066</v>
      </c>
      <c r="CO687" s="3">
        <v>39905</v>
      </c>
      <c r="CP687" s="3">
        <v>43634</v>
      </c>
    </row>
    <row r="688" spans="1:94" x14ac:dyDescent="0.25">
      <c r="A688" s="2" t="s">
        <v>3095</v>
      </c>
      <c r="B688" s="2" t="str">
        <f xml:space="preserve"> "" &amp; 870540009722</f>
        <v>870540009722</v>
      </c>
      <c r="C688" s="2" t="s">
        <v>1214</v>
      </c>
      <c r="D688" s="2" t="s">
        <v>3096</v>
      </c>
      <c r="E688" s="2" t="s">
        <v>2590</v>
      </c>
      <c r="F688" s="2" t="s">
        <v>102</v>
      </c>
      <c r="G688" s="2">
        <v>1</v>
      </c>
      <c r="H688" s="2">
        <v>1</v>
      </c>
      <c r="I688" s="2" t="s">
        <v>94</v>
      </c>
      <c r="J688" s="6">
        <v>99</v>
      </c>
      <c r="K688" s="6">
        <v>297</v>
      </c>
      <c r="L688" s="2">
        <v>0</v>
      </c>
      <c r="N688" s="2">
        <v>0</v>
      </c>
      <c r="O688" s="2" t="s">
        <v>96</v>
      </c>
      <c r="P688" s="6">
        <v>207.95</v>
      </c>
      <c r="Q688" s="6"/>
      <c r="R688" s="7"/>
      <c r="S688" s="2">
        <v>4</v>
      </c>
      <c r="T688" s="2">
        <v>16</v>
      </c>
      <c r="U688" s="2">
        <v>16</v>
      </c>
      <c r="W688" s="2">
        <v>6.94</v>
      </c>
      <c r="X688" s="2">
        <v>1</v>
      </c>
      <c r="Y688" s="2">
        <v>8.5</v>
      </c>
      <c r="Z688" s="2">
        <v>18.5</v>
      </c>
      <c r="AA688" s="2">
        <v>18.5</v>
      </c>
      <c r="AB688" s="2">
        <v>1.6839999999999999</v>
      </c>
      <c r="AC688" s="2">
        <v>10.8</v>
      </c>
      <c r="AE688" s="2">
        <v>4</v>
      </c>
      <c r="AF688" s="2" t="s">
        <v>3097</v>
      </c>
      <c r="AG688" s="2">
        <v>40</v>
      </c>
      <c r="AH688" s="2">
        <v>0</v>
      </c>
      <c r="AJ688" s="2">
        <v>0</v>
      </c>
      <c r="AK688" s="2" t="s">
        <v>95</v>
      </c>
      <c r="AM688" s="2" t="s">
        <v>95</v>
      </c>
      <c r="AN688" s="2" t="s">
        <v>95</v>
      </c>
      <c r="AO688" s="2" t="s">
        <v>96</v>
      </c>
      <c r="AP688" s="2" t="s">
        <v>97</v>
      </c>
      <c r="AQ688" s="2" t="s">
        <v>98</v>
      </c>
      <c r="AV688" s="2" t="s">
        <v>95</v>
      </c>
      <c r="AX688" s="2" t="s">
        <v>395</v>
      </c>
      <c r="AZ688" s="2" t="s">
        <v>342</v>
      </c>
      <c r="BB688" s="2" t="s">
        <v>54</v>
      </c>
      <c r="BC688" s="2" t="s">
        <v>2592</v>
      </c>
      <c r="BF688" s="2" t="s">
        <v>3098</v>
      </c>
      <c r="BG688" s="2" t="s">
        <v>95</v>
      </c>
      <c r="BH688" s="2" t="s">
        <v>95</v>
      </c>
      <c r="BI688" s="2" t="s">
        <v>95</v>
      </c>
      <c r="BK688" s="2" t="s">
        <v>414</v>
      </c>
      <c r="CA688" s="2" t="s">
        <v>3099</v>
      </c>
      <c r="CB688" s="2" t="s">
        <v>395</v>
      </c>
      <c r="CL688" s="2" t="s">
        <v>96</v>
      </c>
      <c r="CM688" s="2" t="s">
        <v>95</v>
      </c>
      <c r="CN688" s="2" t="s">
        <v>2487</v>
      </c>
      <c r="CO688" s="3">
        <v>37211</v>
      </c>
      <c r="CP688" s="3">
        <v>43634</v>
      </c>
    </row>
    <row r="689" spans="1:94" x14ac:dyDescent="0.25">
      <c r="A689" s="2" t="s">
        <v>3100</v>
      </c>
      <c r="B689" s="2" t="str">
        <f xml:space="preserve"> "" &amp; 844349017585</f>
        <v>844349017585</v>
      </c>
      <c r="C689" s="2" t="s">
        <v>391</v>
      </c>
      <c r="D689" s="2" t="s">
        <v>3693</v>
      </c>
      <c r="E689" s="2" t="s">
        <v>3101</v>
      </c>
      <c r="F689" s="2" t="s">
        <v>393</v>
      </c>
      <c r="G689" s="2">
        <v>1</v>
      </c>
      <c r="H689" s="2">
        <v>1</v>
      </c>
      <c r="I689" s="2" t="s">
        <v>94</v>
      </c>
      <c r="J689" s="6">
        <v>55</v>
      </c>
      <c r="K689" s="6">
        <v>165</v>
      </c>
      <c r="L689" s="2">
        <v>0</v>
      </c>
      <c r="N689" s="2">
        <v>0</v>
      </c>
      <c r="O689" s="2" t="s">
        <v>96</v>
      </c>
      <c r="P689" s="6">
        <v>115.95</v>
      </c>
      <c r="Q689" s="6"/>
      <c r="R689" s="7"/>
      <c r="S689" s="2">
        <v>10.25</v>
      </c>
      <c r="T689" s="2">
        <v>6</v>
      </c>
      <c r="U689" s="2">
        <v>6</v>
      </c>
      <c r="W689" s="2">
        <v>2.5099999999999998</v>
      </c>
      <c r="X689" s="2">
        <v>1</v>
      </c>
      <c r="Y689" s="2">
        <v>8.25</v>
      </c>
      <c r="Z689" s="2">
        <v>13.5</v>
      </c>
      <c r="AA689" s="2">
        <v>9</v>
      </c>
      <c r="AB689" s="2">
        <v>0.57999999999999996</v>
      </c>
      <c r="AC689" s="2">
        <v>4.0599999999999996</v>
      </c>
      <c r="AE689" s="2">
        <v>1</v>
      </c>
      <c r="AF689" s="2" t="s">
        <v>3102</v>
      </c>
      <c r="AG689" s="2">
        <v>60</v>
      </c>
      <c r="AK689" s="2" t="s">
        <v>95</v>
      </c>
      <c r="AM689" s="2" t="s">
        <v>95</v>
      </c>
      <c r="AN689" s="2" t="s">
        <v>96</v>
      </c>
      <c r="AO689" s="2" t="s">
        <v>95</v>
      </c>
      <c r="AP689" s="2" t="s">
        <v>97</v>
      </c>
      <c r="AQ689" s="2" t="s">
        <v>98</v>
      </c>
      <c r="AV689" s="2" t="s">
        <v>95</v>
      </c>
      <c r="AX689" s="2" t="s">
        <v>2612</v>
      </c>
      <c r="AZ689" s="2" t="s">
        <v>342</v>
      </c>
      <c r="BB689" s="2" t="s">
        <v>490</v>
      </c>
      <c r="BC689" s="2" t="s">
        <v>3103</v>
      </c>
      <c r="BF689" s="2" t="s">
        <v>3104</v>
      </c>
      <c r="BG689" s="2" t="s">
        <v>95</v>
      </c>
      <c r="BH689" s="2" t="s">
        <v>95</v>
      </c>
      <c r="BI689" s="2" t="s">
        <v>95</v>
      </c>
      <c r="BK689" s="2" t="s">
        <v>100</v>
      </c>
      <c r="BQ689" s="2">
        <v>5.13</v>
      </c>
      <c r="BR689" s="2">
        <v>0.5</v>
      </c>
      <c r="BS689" s="2">
        <v>5.13</v>
      </c>
      <c r="BT689" s="2">
        <v>5.13</v>
      </c>
      <c r="CA689" s="2" t="s">
        <v>3105</v>
      </c>
      <c r="CB689" s="2" t="s">
        <v>2612</v>
      </c>
      <c r="CL689" s="2" t="s">
        <v>95</v>
      </c>
      <c r="CM689" s="2" t="s">
        <v>95</v>
      </c>
      <c r="CN689" s="2" t="s">
        <v>2382</v>
      </c>
      <c r="CO689" s="3">
        <v>41939</v>
      </c>
      <c r="CP689" s="3">
        <v>43634</v>
      </c>
    </row>
    <row r="690" spans="1:94" x14ac:dyDescent="0.25">
      <c r="A690" s="2" t="s">
        <v>3106</v>
      </c>
      <c r="B690" s="2" t="str">
        <f xml:space="preserve"> "" &amp; 844349017592</f>
        <v>844349017592</v>
      </c>
      <c r="C690" s="2" t="s">
        <v>439</v>
      </c>
      <c r="D690" s="2" t="s">
        <v>3694</v>
      </c>
      <c r="E690" s="2" t="s">
        <v>3101</v>
      </c>
      <c r="F690" s="2" t="s">
        <v>393</v>
      </c>
      <c r="G690" s="2">
        <v>1</v>
      </c>
      <c r="H690" s="2">
        <v>1</v>
      </c>
      <c r="I690" s="2" t="s">
        <v>94</v>
      </c>
      <c r="J690" s="6">
        <v>115</v>
      </c>
      <c r="K690" s="6">
        <v>345</v>
      </c>
      <c r="L690" s="2">
        <v>0</v>
      </c>
      <c r="N690" s="2">
        <v>0</v>
      </c>
      <c r="Q690" s="6"/>
      <c r="R690" s="7"/>
      <c r="S690" s="2">
        <v>8</v>
      </c>
      <c r="T690" s="2">
        <v>18</v>
      </c>
      <c r="U690" s="2">
        <v>18</v>
      </c>
      <c r="W690" s="2">
        <v>7.56</v>
      </c>
      <c r="X690" s="2">
        <v>1</v>
      </c>
      <c r="Y690" s="2">
        <v>11.5</v>
      </c>
      <c r="Z690" s="2">
        <v>20.5</v>
      </c>
      <c r="AA690" s="2">
        <v>20.5</v>
      </c>
      <c r="AB690" s="2">
        <v>2.7970000000000002</v>
      </c>
      <c r="AC690" s="2">
        <v>11.84</v>
      </c>
      <c r="AE690" s="2">
        <v>3</v>
      </c>
      <c r="AF690" s="2" t="s">
        <v>3107</v>
      </c>
      <c r="AG690" s="2">
        <v>100</v>
      </c>
      <c r="AK690" s="2" t="s">
        <v>95</v>
      </c>
      <c r="AM690" s="2" t="s">
        <v>95</v>
      </c>
      <c r="AN690" s="2" t="s">
        <v>96</v>
      </c>
      <c r="AO690" s="2" t="s">
        <v>95</v>
      </c>
      <c r="AP690" s="2" t="s">
        <v>97</v>
      </c>
      <c r="AQ690" s="2" t="s">
        <v>98</v>
      </c>
      <c r="AV690" s="2" t="s">
        <v>95</v>
      </c>
      <c r="AX690" s="2" t="s">
        <v>2612</v>
      </c>
      <c r="AZ690" s="2" t="s">
        <v>342</v>
      </c>
      <c r="BB690" s="2" t="s">
        <v>490</v>
      </c>
      <c r="BC690" s="2" t="s">
        <v>3103</v>
      </c>
      <c r="BF690" s="2" t="s">
        <v>3108</v>
      </c>
      <c r="BG690" s="2" t="s">
        <v>95</v>
      </c>
      <c r="BH690" s="2" t="s">
        <v>95</v>
      </c>
      <c r="BI690" s="2" t="s">
        <v>95</v>
      </c>
      <c r="BK690" s="2" t="s">
        <v>100</v>
      </c>
      <c r="BQ690" s="2">
        <v>5.13</v>
      </c>
      <c r="BR690" s="2">
        <v>0.5</v>
      </c>
      <c r="BS690" s="2">
        <v>5.13</v>
      </c>
      <c r="BT690" s="2">
        <v>5.13</v>
      </c>
      <c r="CA690" s="2" t="s">
        <v>3109</v>
      </c>
      <c r="CB690" s="2" t="s">
        <v>2612</v>
      </c>
      <c r="CL690" s="2" t="s">
        <v>95</v>
      </c>
      <c r="CM690" s="2" t="s">
        <v>95</v>
      </c>
      <c r="CN690" s="2" t="s">
        <v>1490</v>
      </c>
      <c r="CO690" s="3">
        <v>42025</v>
      </c>
      <c r="CP690" s="3">
        <v>43634</v>
      </c>
    </row>
    <row r="691" spans="1:94" x14ac:dyDescent="0.25">
      <c r="A691" s="2" t="s">
        <v>3110</v>
      </c>
      <c r="B691" s="2" t="str">
        <f xml:space="preserve"> "" &amp; 870540003355</f>
        <v>870540003355</v>
      </c>
      <c r="C691" s="2" t="s">
        <v>1795</v>
      </c>
      <c r="D691" s="2" t="s">
        <v>3696</v>
      </c>
      <c r="E691" s="2" t="s">
        <v>3101</v>
      </c>
      <c r="F691" s="2" t="s">
        <v>1126</v>
      </c>
      <c r="G691" s="2">
        <v>1</v>
      </c>
      <c r="H691" s="2">
        <v>1</v>
      </c>
      <c r="I691" s="2" t="s">
        <v>94</v>
      </c>
      <c r="J691" s="6">
        <v>205</v>
      </c>
      <c r="K691" s="6">
        <v>615</v>
      </c>
      <c r="L691" s="2">
        <v>0</v>
      </c>
      <c r="N691" s="2">
        <v>0</v>
      </c>
      <c r="O691" s="2" t="s">
        <v>96</v>
      </c>
      <c r="P691" s="6">
        <v>429.95</v>
      </c>
      <c r="Q691" s="6"/>
      <c r="R691" s="7"/>
      <c r="S691" s="2">
        <v>18.25</v>
      </c>
      <c r="T691" s="2">
        <v>30</v>
      </c>
      <c r="U691" s="2">
        <v>30</v>
      </c>
      <c r="W691" s="2">
        <v>9.26</v>
      </c>
      <c r="X691" s="2">
        <v>1</v>
      </c>
      <c r="Y691" s="2">
        <v>19.25</v>
      </c>
      <c r="Z691" s="2">
        <v>23.25</v>
      </c>
      <c r="AA691" s="2">
        <v>23.25</v>
      </c>
      <c r="AB691" s="2">
        <v>6.0220000000000002</v>
      </c>
      <c r="AC691" s="2">
        <v>16.98</v>
      </c>
      <c r="AE691" s="2">
        <v>5</v>
      </c>
      <c r="AF691" s="2" t="s">
        <v>474</v>
      </c>
      <c r="AG691" s="2">
        <v>60</v>
      </c>
      <c r="AH691" s="2">
        <v>0</v>
      </c>
      <c r="AJ691" s="2">
        <v>0</v>
      </c>
      <c r="AK691" s="2" t="s">
        <v>95</v>
      </c>
      <c r="AL691" s="2">
        <v>4</v>
      </c>
      <c r="AM691" s="2" t="s">
        <v>95</v>
      </c>
      <c r="AN691" s="2" t="s">
        <v>95</v>
      </c>
      <c r="AO691" s="2" t="s">
        <v>96</v>
      </c>
      <c r="AP691" s="2" t="s">
        <v>97</v>
      </c>
      <c r="AQ691" s="2" t="s">
        <v>98</v>
      </c>
      <c r="AV691" s="2" t="s">
        <v>95</v>
      </c>
      <c r="AX691" s="2" t="s">
        <v>2612</v>
      </c>
      <c r="AZ691" s="2" t="s">
        <v>342</v>
      </c>
      <c r="BB691" s="2" t="s">
        <v>3111</v>
      </c>
      <c r="BC691" s="2" t="s">
        <v>3112</v>
      </c>
      <c r="BF691" s="2" t="s">
        <v>3113</v>
      </c>
      <c r="BG691" s="2" t="s">
        <v>95</v>
      </c>
      <c r="BH691" s="2" t="s">
        <v>95</v>
      </c>
      <c r="BI691" s="2" t="s">
        <v>95</v>
      </c>
      <c r="BK691" s="2" t="s">
        <v>100</v>
      </c>
      <c r="BQ691" s="2">
        <v>5</v>
      </c>
      <c r="BR691" s="2">
        <v>0.5</v>
      </c>
      <c r="CA691" s="2" t="s">
        <v>3114</v>
      </c>
      <c r="CB691" s="2" t="s">
        <v>2612</v>
      </c>
      <c r="CL691" s="2" t="s">
        <v>96</v>
      </c>
      <c r="CM691" s="2" t="s">
        <v>96</v>
      </c>
      <c r="CN691" s="2" t="s">
        <v>230</v>
      </c>
      <c r="CO691" s="3">
        <v>39143</v>
      </c>
      <c r="CP691" s="3">
        <v>43634</v>
      </c>
    </row>
    <row r="692" spans="1:94" x14ac:dyDescent="0.25">
      <c r="A692" s="2" t="s">
        <v>3115</v>
      </c>
      <c r="B692" s="2" t="str">
        <f xml:space="preserve"> "" &amp; 870540003379</f>
        <v>870540003379</v>
      </c>
      <c r="C692" s="2" t="s">
        <v>1707</v>
      </c>
      <c r="D692" s="2" t="s">
        <v>3697</v>
      </c>
      <c r="E692" s="2" t="s">
        <v>3101</v>
      </c>
      <c r="F692" s="2" t="s">
        <v>1126</v>
      </c>
      <c r="G692" s="2">
        <v>1</v>
      </c>
      <c r="H692" s="2">
        <v>1</v>
      </c>
      <c r="I692" s="2" t="s">
        <v>94</v>
      </c>
      <c r="J692" s="6">
        <v>195</v>
      </c>
      <c r="K692" s="6">
        <v>585</v>
      </c>
      <c r="L692" s="2">
        <v>0</v>
      </c>
      <c r="N692" s="2">
        <v>0</v>
      </c>
      <c r="O692" s="2" t="s">
        <v>96</v>
      </c>
      <c r="P692" s="6">
        <v>409.95</v>
      </c>
      <c r="Q692" s="6"/>
      <c r="R692" s="7"/>
      <c r="S692" s="2">
        <v>11.25</v>
      </c>
      <c r="T692" s="2">
        <v>21.25</v>
      </c>
      <c r="U692" s="2">
        <v>13.75</v>
      </c>
      <c r="W692" s="2">
        <v>10.14</v>
      </c>
      <c r="X692" s="2">
        <v>1</v>
      </c>
      <c r="Y692" s="2">
        <v>16.5</v>
      </c>
      <c r="Z692" s="2">
        <v>22.5</v>
      </c>
      <c r="AA692" s="2">
        <v>12.75</v>
      </c>
      <c r="AB692" s="2">
        <v>2.7389999999999999</v>
      </c>
      <c r="AC692" s="2">
        <v>14.44</v>
      </c>
      <c r="AE692" s="2">
        <v>6</v>
      </c>
      <c r="AF692" s="2" t="s">
        <v>474</v>
      </c>
      <c r="AG692" s="2">
        <v>60</v>
      </c>
      <c r="AH692" s="2">
        <v>0</v>
      </c>
      <c r="AJ692" s="2">
        <v>0</v>
      </c>
      <c r="AK692" s="2" t="s">
        <v>95</v>
      </c>
      <c r="AL692" s="2">
        <v>6</v>
      </c>
      <c r="AM692" s="2" t="s">
        <v>95</v>
      </c>
      <c r="AN692" s="2" t="s">
        <v>95</v>
      </c>
      <c r="AO692" s="2" t="s">
        <v>96</v>
      </c>
      <c r="AP692" s="2" t="s">
        <v>97</v>
      </c>
      <c r="AQ692" s="2" t="s">
        <v>98</v>
      </c>
      <c r="AV692" s="2" t="s">
        <v>95</v>
      </c>
      <c r="AX692" s="2" t="s">
        <v>2612</v>
      </c>
      <c r="AZ692" s="2" t="s">
        <v>342</v>
      </c>
      <c r="BB692" s="2" t="s">
        <v>3111</v>
      </c>
      <c r="BC692" s="2" t="s">
        <v>3112</v>
      </c>
      <c r="BF692" s="2" t="s">
        <v>3116</v>
      </c>
      <c r="BG692" s="2" t="s">
        <v>95</v>
      </c>
      <c r="BH692" s="2" t="s">
        <v>95</v>
      </c>
      <c r="BI692" s="2" t="s">
        <v>95</v>
      </c>
      <c r="BK692" s="2" t="s">
        <v>100</v>
      </c>
      <c r="BR692" s="2">
        <v>0.63</v>
      </c>
      <c r="BS692" s="2">
        <v>9</v>
      </c>
      <c r="BT692" s="2">
        <v>5.75</v>
      </c>
      <c r="CA692" s="2" t="s">
        <v>3117</v>
      </c>
      <c r="CB692" s="2" t="s">
        <v>2612</v>
      </c>
      <c r="CL692" s="2" t="s">
        <v>96</v>
      </c>
      <c r="CM692" s="2" t="s">
        <v>96</v>
      </c>
      <c r="CN692" s="2" t="s">
        <v>230</v>
      </c>
      <c r="CO692" s="3">
        <v>39143</v>
      </c>
      <c r="CP692" s="3">
        <v>43634</v>
      </c>
    </row>
    <row r="693" spans="1:94" x14ac:dyDescent="0.25">
      <c r="A693" s="2" t="s">
        <v>3118</v>
      </c>
      <c r="B693" s="2" t="str">
        <f xml:space="preserve"> "" &amp; 844349017615</f>
        <v>844349017615</v>
      </c>
      <c r="C693" s="2" t="s">
        <v>1738</v>
      </c>
      <c r="D693" s="2" t="s">
        <v>3695</v>
      </c>
      <c r="E693" s="2" t="s">
        <v>3101</v>
      </c>
      <c r="F693" s="2" t="s">
        <v>393</v>
      </c>
      <c r="G693" s="2">
        <v>1</v>
      </c>
      <c r="H693" s="2">
        <v>1</v>
      </c>
      <c r="I693" s="2" t="s">
        <v>94</v>
      </c>
      <c r="J693" s="6">
        <v>129</v>
      </c>
      <c r="K693" s="6">
        <v>387</v>
      </c>
      <c r="L693" s="2">
        <v>0</v>
      </c>
      <c r="N693" s="2">
        <v>0</v>
      </c>
      <c r="Q693" s="6"/>
      <c r="R693" s="7"/>
      <c r="S693" s="2">
        <v>8</v>
      </c>
      <c r="T693" s="2">
        <v>24</v>
      </c>
      <c r="U693" s="2">
        <v>24</v>
      </c>
      <c r="W693" s="2">
        <v>11.02</v>
      </c>
      <c r="X693" s="2">
        <v>1</v>
      </c>
      <c r="Y693" s="2">
        <v>11.5</v>
      </c>
      <c r="Z693" s="2">
        <v>26.5</v>
      </c>
      <c r="AA693" s="2">
        <v>26.5</v>
      </c>
      <c r="AB693" s="2">
        <v>4.6740000000000004</v>
      </c>
      <c r="AC693" s="2">
        <v>17.02</v>
      </c>
      <c r="AE693" s="2">
        <v>4</v>
      </c>
      <c r="AF693" s="2" t="s">
        <v>3107</v>
      </c>
      <c r="AG693" s="2">
        <v>100</v>
      </c>
      <c r="AK693" s="2" t="s">
        <v>95</v>
      </c>
      <c r="AM693" s="2" t="s">
        <v>95</v>
      </c>
      <c r="AN693" s="2" t="s">
        <v>96</v>
      </c>
      <c r="AO693" s="2" t="s">
        <v>95</v>
      </c>
      <c r="AP693" s="2" t="s">
        <v>97</v>
      </c>
      <c r="AQ693" s="2" t="s">
        <v>98</v>
      </c>
      <c r="AV693" s="2" t="s">
        <v>95</v>
      </c>
      <c r="AX693" s="2" t="s">
        <v>2612</v>
      </c>
      <c r="AZ693" s="2" t="s">
        <v>342</v>
      </c>
      <c r="BB693" s="2" t="s">
        <v>490</v>
      </c>
      <c r="BC693" s="2" t="s">
        <v>3103</v>
      </c>
      <c r="BF693" s="2" t="s">
        <v>3119</v>
      </c>
      <c r="BG693" s="2" t="s">
        <v>95</v>
      </c>
      <c r="BH693" s="2" t="s">
        <v>95</v>
      </c>
      <c r="BI693" s="2" t="s">
        <v>95</v>
      </c>
      <c r="BK693" s="2" t="s">
        <v>100</v>
      </c>
      <c r="BQ693" s="2">
        <v>5.13</v>
      </c>
      <c r="BR693" s="2">
        <v>0.5</v>
      </c>
      <c r="BS693" s="2">
        <v>5.13</v>
      </c>
      <c r="BT693" s="2">
        <v>5.13</v>
      </c>
      <c r="CA693" s="2" t="s">
        <v>3120</v>
      </c>
      <c r="CB693" s="2" t="s">
        <v>2612</v>
      </c>
      <c r="CL693" s="2" t="s">
        <v>95</v>
      </c>
      <c r="CM693" s="2" t="s">
        <v>95</v>
      </c>
      <c r="CN693" s="2" t="s">
        <v>1490</v>
      </c>
      <c r="CO693" s="3">
        <v>41939</v>
      </c>
      <c r="CP693" s="3">
        <v>43634</v>
      </c>
    </row>
    <row r="694" spans="1:94" x14ac:dyDescent="0.25">
      <c r="A694" s="2" t="s">
        <v>3121</v>
      </c>
      <c r="B694" s="2" t="str">
        <f xml:space="preserve"> "" &amp; 844349024866</f>
        <v>844349024866</v>
      </c>
      <c r="C694" s="2" t="s">
        <v>467</v>
      </c>
      <c r="D694" s="2" t="s">
        <v>3122</v>
      </c>
      <c r="E694" s="2" t="s">
        <v>3123</v>
      </c>
      <c r="F694" s="2" t="s">
        <v>393</v>
      </c>
      <c r="G694" s="2">
        <v>1</v>
      </c>
      <c r="H694" s="2">
        <v>1</v>
      </c>
      <c r="I694" s="2" t="s">
        <v>94</v>
      </c>
      <c r="J694" s="6">
        <v>339</v>
      </c>
      <c r="K694" s="6">
        <v>1017</v>
      </c>
      <c r="L694" s="2">
        <v>0</v>
      </c>
      <c r="N694" s="2">
        <v>0</v>
      </c>
      <c r="O694" s="2" t="s">
        <v>96</v>
      </c>
      <c r="P694" s="6">
        <v>714.95</v>
      </c>
      <c r="Q694" s="6"/>
      <c r="R694" s="7"/>
      <c r="S694" s="2">
        <v>47.25</v>
      </c>
      <c r="T694" s="2">
        <v>23.75</v>
      </c>
      <c r="U694" s="2">
        <v>23.75</v>
      </c>
      <c r="W694" s="2">
        <v>8.23</v>
      </c>
      <c r="X694" s="2">
        <v>1</v>
      </c>
      <c r="Y694" s="2">
        <v>7.88</v>
      </c>
      <c r="Z694" s="2">
        <v>26.75</v>
      </c>
      <c r="AA694" s="2">
        <v>26.75</v>
      </c>
      <c r="AB694" s="2">
        <v>3.2629999999999999</v>
      </c>
      <c r="AC694" s="2">
        <v>15.07</v>
      </c>
      <c r="AE694" s="2">
        <v>1</v>
      </c>
      <c r="AF694" s="2" t="s">
        <v>347</v>
      </c>
      <c r="AG694" s="2">
        <v>47</v>
      </c>
      <c r="AK694" s="2" t="s">
        <v>96</v>
      </c>
      <c r="AM694" s="2" t="s">
        <v>95</v>
      </c>
      <c r="AN694" s="2" t="s">
        <v>95</v>
      </c>
      <c r="AO694" s="2" t="s">
        <v>95</v>
      </c>
      <c r="AP694" s="2" t="s">
        <v>97</v>
      </c>
      <c r="AQ694" s="2" t="s">
        <v>98</v>
      </c>
      <c r="AV694" s="2" t="s">
        <v>95</v>
      </c>
      <c r="AX694" s="2" t="s">
        <v>379</v>
      </c>
      <c r="AZ694" s="2" t="s">
        <v>483</v>
      </c>
      <c r="BF694" s="2" t="s">
        <v>3124</v>
      </c>
      <c r="BG694" s="2" t="s">
        <v>95</v>
      </c>
      <c r="BH694" s="2" t="s">
        <v>95</v>
      </c>
      <c r="BI694" s="2" t="s">
        <v>95</v>
      </c>
      <c r="BK694" s="2" t="s">
        <v>100</v>
      </c>
      <c r="CA694" s="2" t="s">
        <v>3125</v>
      </c>
      <c r="CB694" s="2" t="s">
        <v>379</v>
      </c>
      <c r="CG694" s="2">
        <v>3000</v>
      </c>
      <c r="CJ694" s="2">
        <v>1880</v>
      </c>
      <c r="CK694" s="2">
        <v>30000</v>
      </c>
      <c r="CL694" s="2" t="s">
        <v>95</v>
      </c>
      <c r="CM694" s="2" t="s">
        <v>95</v>
      </c>
      <c r="CO694" s="3">
        <v>43090</v>
      </c>
      <c r="CP694" s="3">
        <v>43634</v>
      </c>
    </row>
    <row r="695" spans="1:94" x14ac:dyDescent="0.25">
      <c r="A695" s="2" t="s">
        <v>3126</v>
      </c>
      <c r="B695" s="2" t="str">
        <f xml:space="preserve"> "" &amp; 844349024873</f>
        <v>844349024873</v>
      </c>
      <c r="C695" s="2" t="s">
        <v>467</v>
      </c>
      <c r="D695" s="2" t="s">
        <v>3127</v>
      </c>
      <c r="E695" s="2" t="s">
        <v>3123</v>
      </c>
      <c r="F695" s="2" t="s">
        <v>393</v>
      </c>
      <c r="G695" s="2">
        <v>1</v>
      </c>
      <c r="H695" s="2">
        <v>1</v>
      </c>
      <c r="I695" s="2" t="s">
        <v>94</v>
      </c>
      <c r="J695" s="6">
        <v>569</v>
      </c>
      <c r="K695" s="6">
        <v>1707</v>
      </c>
      <c r="L695" s="2">
        <v>0</v>
      </c>
      <c r="N695" s="2">
        <v>0</v>
      </c>
      <c r="O695" s="2" t="s">
        <v>96</v>
      </c>
      <c r="P695" s="6">
        <v>1197.95</v>
      </c>
      <c r="Q695" s="6"/>
      <c r="R695" s="7"/>
      <c r="S695" s="2">
        <v>47.25</v>
      </c>
      <c r="T695" s="2">
        <v>33.5</v>
      </c>
      <c r="U695" s="2">
        <v>33.5</v>
      </c>
      <c r="W695" s="2">
        <v>13.64</v>
      </c>
      <c r="X695" s="2">
        <v>1</v>
      </c>
      <c r="Y695" s="2">
        <v>8.86</v>
      </c>
      <c r="Z695" s="2">
        <v>36.42</v>
      </c>
      <c r="AA695" s="2">
        <v>36.42</v>
      </c>
      <c r="AB695" s="2">
        <v>6.8010000000000002</v>
      </c>
      <c r="AC695" s="2">
        <v>25.08</v>
      </c>
      <c r="AE695" s="2">
        <v>1</v>
      </c>
      <c r="AF695" s="2" t="s">
        <v>347</v>
      </c>
      <c r="AG695" s="2">
        <v>70</v>
      </c>
      <c r="AK695" s="2" t="s">
        <v>96</v>
      </c>
      <c r="AM695" s="2" t="s">
        <v>95</v>
      </c>
      <c r="AN695" s="2" t="s">
        <v>95</v>
      </c>
      <c r="AO695" s="2" t="s">
        <v>95</v>
      </c>
      <c r="AP695" s="2" t="s">
        <v>97</v>
      </c>
      <c r="AQ695" s="2" t="s">
        <v>98</v>
      </c>
      <c r="AV695" s="2" t="s">
        <v>95</v>
      </c>
      <c r="AX695" s="2" t="s">
        <v>379</v>
      </c>
      <c r="AZ695" s="2" t="s">
        <v>483</v>
      </c>
      <c r="BF695" s="2" t="s">
        <v>3128</v>
      </c>
      <c r="BG695" s="2" t="s">
        <v>95</v>
      </c>
      <c r="BH695" s="2" t="s">
        <v>95</v>
      </c>
      <c r="BI695" s="2" t="s">
        <v>95</v>
      </c>
      <c r="BK695" s="2" t="s">
        <v>100</v>
      </c>
      <c r="CA695" s="2" t="s">
        <v>3129</v>
      </c>
      <c r="CB695" s="2" t="s">
        <v>379</v>
      </c>
      <c r="CG695" s="2">
        <v>3000</v>
      </c>
      <c r="CJ695" s="2">
        <v>2800</v>
      </c>
      <c r="CK695" s="2">
        <v>30000</v>
      </c>
      <c r="CL695" s="2" t="s">
        <v>95</v>
      </c>
      <c r="CM695" s="2" t="s">
        <v>95</v>
      </c>
      <c r="CO695" s="3">
        <v>43090</v>
      </c>
      <c r="CP695" s="3">
        <v>43634</v>
      </c>
    </row>
    <row r="696" spans="1:94" x14ac:dyDescent="0.25">
      <c r="A696" s="2" t="s">
        <v>3130</v>
      </c>
      <c r="B696" s="2" t="str">
        <f xml:space="preserve"> "" &amp; 844349024316</f>
        <v>844349024316</v>
      </c>
      <c r="C696" s="2" t="s">
        <v>467</v>
      </c>
      <c r="D696" s="2" t="s">
        <v>3131</v>
      </c>
      <c r="E696" s="2" t="s">
        <v>3132</v>
      </c>
      <c r="F696" s="2" t="s">
        <v>393</v>
      </c>
      <c r="G696" s="2">
        <v>1</v>
      </c>
      <c r="H696" s="2">
        <v>1</v>
      </c>
      <c r="I696" s="2" t="s">
        <v>94</v>
      </c>
      <c r="J696" s="6">
        <v>169</v>
      </c>
      <c r="K696" s="6">
        <v>507</v>
      </c>
      <c r="L696" s="2">
        <v>0</v>
      </c>
      <c r="N696" s="2">
        <v>0</v>
      </c>
      <c r="O696" s="2" t="s">
        <v>96</v>
      </c>
      <c r="P696" s="6">
        <v>354.99</v>
      </c>
      <c r="Q696" s="6"/>
      <c r="R696" s="7"/>
      <c r="S696" s="2">
        <v>1.25</v>
      </c>
      <c r="T696" s="2">
        <v>31.25</v>
      </c>
      <c r="U696" s="2">
        <v>31.25</v>
      </c>
      <c r="W696" s="2">
        <v>6.7</v>
      </c>
      <c r="X696" s="2">
        <v>1</v>
      </c>
      <c r="Y696" s="2">
        <v>5.25</v>
      </c>
      <c r="Z696" s="2">
        <v>34.25</v>
      </c>
      <c r="AA696" s="2">
        <v>34.25</v>
      </c>
      <c r="AB696" s="2">
        <v>3.5640000000000001</v>
      </c>
      <c r="AC696" s="2">
        <v>12.79</v>
      </c>
      <c r="AE696" s="2">
        <v>1</v>
      </c>
      <c r="AF696" s="2" t="s">
        <v>347</v>
      </c>
      <c r="AG696" s="2">
        <v>27</v>
      </c>
      <c r="AK696" s="2" t="s">
        <v>96</v>
      </c>
      <c r="AM696" s="2" t="s">
        <v>95</v>
      </c>
      <c r="AN696" s="2" t="s">
        <v>96</v>
      </c>
      <c r="AO696" s="2" t="s">
        <v>95</v>
      </c>
      <c r="AP696" s="2" t="s">
        <v>97</v>
      </c>
      <c r="AQ696" s="2" t="s">
        <v>98</v>
      </c>
      <c r="AV696" s="2" t="s">
        <v>95</v>
      </c>
      <c r="AX696" s="2" t="s">
        <v>130</v>
      </c>
      <c r="AZ696" s="2" t="s">
        <v>483</v>
      </c>
      <c r="BB696" s="2" t="s">
        <v>348</v>
      </c>
      <c r="BF696" s="2" t="s">
        <v>3133</v>
      </c>
      <c r="BG696" s="2" t="s">
        <v>95</v>
      </c>
      <c r="BH696" s="2" t="s">
        <v>95</v>
      </c>
      <c r="BI696" s="2" t="s">
        <v>95</v>
      </c>
      <c r="BK696" s="2" t="s">
        <v>100</v>
      </c>
      <c r="BR696" s="2">
        <v>1.75</v>
      </c>
      <c r="BS696" s="2">
        <v>7.25</v>
      </c>
      <c r="BT696" s="2">
        <v>7.25</v>
      </c>
      <c r="CA696" s="2" t="s">
        <v>3134</v>
      </c>
      <c r="CB696" s="2" t="s">
        <v>130</v>
      </c>
      <c r="CG696" s="2">
        <v>3000</v>
      </c>
      <c r="CH696" s="2">
        <v>93</v>
      </c>
      <c r="CI696" s="2">
        <v>2828</v>
      </c>
      <c r="CJ696" s="2">
        <v>1912</v>
      </c>
      <c r="CK696" s="2">
        <v>30000</v>
      </c>
      <c r="CL696" s="2" t="s">
        <v>96</v>
      </c>
      <c r="CM696" s="2" t="s">
        <v>95</v>
      </c>
      <c r="CN696" s="2" t="s">
        <v>3135</v>
      </c>
      <c r="CO696" s="3">
        <v>43096</v>
      </c>
      <c r="CP696" s="3">
        <v>43634</v>
      </c>
    </row>
    <row r="697" spans="1:94" x14ac:dyDescent="0.25">
      <c r="A697" s="2" t="s">
        <v>3136</v>
      </c>
      <c r="B697" s="2" t="str">
        <f xml:space="preserve"> "" &amp; 844349024323</f>
        <v>844349024323</v>
      </c>
      <c r="C697" s="2" t="s">
        <v>467</v>
      </c>
      <c r="D697" s="2" t="s">
        <v>3131</v>
      </c>
      <c r="E697" s="2" t="s">
        <v>3132</v>
      </c>
      <c r="F697" s="2" t="s">
        <v>393</v>
      </c>
      <c r="G697" s="2">
        <v>1</v>
      </c>
      <c r="H697" s="2">
        <v>1</v>
      </c>
      <c r="I697" s="2" t="s">
        <v>94</v>
      </c>
      <c r="J697" s="6">
        <v>182</v>
      </c>
      <c r="K697" s="6">
        <v>546</v>
      </c>
      <c r="L697" s="2">
        <v>0</v>
      </c>
      <c r="N697" s="2">
        <v>0</v>
      </c>
      <c r="O697" s="2" t="s">
        <v>96</v>
      </c>
      <c r="P697" s="6">
        <v>382.95</v>
      </c>
      <c r="Q697" s="6"/>
      <c r="R697" s="7"/>
      <c r="S697" s="2">
        <v>6.25</v>
      </c>
      <c r="T697" s="2">
        <v>23.75</v>
      </c>
      <c r="U697" s="2">
        <v>23.75</v>
      </c>
      <c r="W697" s="2">
        <v>7.78</v>
      </c>
      <c r="X697" s="2">
        <v>1</v>
      </c>
      <c r="Y697" s="2">
        <v>5.25</v>
      </c>
      <c r="Z697" s="2">
        <v>26.63</v>
      </c>
      <c r="AA697" s="2">
        <v>26.63</v>
      </c>
      <c r="AB697" s="2">
        <v>2.1549999999999998</v>
      </c>
      <c r="AC697" s="2">
        <v>11.73</v>
      </c>
      <c r="AE697" s="2">
        <v>1</v>
      </c>
      <c r="AF697" s="2" t="s">
        <v>347</v>
      </c>
      <c r="AG697" s="2">
        <v>22</v>
      </c>
      <c r="AK697" s="2" t="s">
        <v>96</v>
      </c>
      <c r="AM697" s="2" t="s">
        <v>95</v>
      </c>
      <c r="AN697" s="2" t="s">
        <v>96</v>
      </c>
      <c r="AO697" s="2" t="s">
        <v>95</v>
      </c>
      <c r="AP697" s="2" t="s">
        <v>97</v>
      </c>
      <c r="AQ697" s="2" t="s">
        <v>98</v>
      </c>
      <c r="AV697" s="2" t="s">
        <v>95</v>
      </c>
      <c r="AX697" s="2" t="s">
        <v>130</v>
      </c>
      <c r="AZ697" s="2" t="s">
        <v>483</v>
      </c>
      <c r="BB697" s="2" t="s">
        <v>348</v>
      </c>
      <c r="BC697" s="2" t="s">
        <v>1313</v>
      </c>
      <c r="BF697" s="2" t="s">
        <v>3137</v>
      </c>
      <c r="BG697" s="2" t="s">
        <v>95</v>
      </c>
      <c r="BH697" s="2" t="s">
        <v>95</v>
      </c>
      <c r="BI697" s="2" t="s">
        <v>95</v>
      </c>
      <c r="BK697" s="2" t="s">
        <v>100</v>
      </c>
      <c r="BR697" s="2">
        <v>1.75</v>
      </c>
      <c r="BS697" s="2">
        <v>7.25</v>
      </c>
      <c r="BT697" s="2">
        <v>7.25</v>
      </c>
      <c r="CA697" s="2" t="s">
        <v>3138</v>
      </c>
      <c r="CB697" s="2" t="s">
        <v>130</v>
      </c>
      <c r="CG697" s="2">
        <v>3000</v>
      </c>
      <c r="CH697" s="2">
        <v>93</v>
      </c>
      <c r="CI697" s="2">
        <v>2827</v>
      </c>
      <c r="CJ697" s="2">
        <v>2329</v>
      </c>
      <c r="CK697" s="2">
        <v>30000</v>
      </c>
      <c r="CL697" s="2" t="s">
        <v>96</v>
      </c>
      <c r="CM697" s="2" t="s">
        <v>95</v>
      </c>
      <c r="CN697" s="2" t="s">
        <v>3135</v>
      </c>
      <c r="CO697" s="3">
        <v>43096</v>
      </c>
      <c r="CP697" s="3">
        <v>43634</v>
      </c>
    </row>
    <row r="698" spans="1:94" x14ac:dyDescent="0.25">
      <c r="A698" s="2" t="s">
        <v>3139</v>
      </c>
      <c r="B698" s="2" t="str">
        <f xml:space="preserve"> "" &amp; 844349024330</f>
        <v>844349024330</v>
      </c>
      <c r="C698" s="2" t="s">
        <v>467</v>
      </c>
      <c r="D698" s="2" t="s">
        <v>3140</v>
      </c>
      <c r="E698" s="2" t="s">
        <v>3132</v>
      </c>
      <c r="F698" s="2" t="s">
        <v>393</v>
      </c>
      <c r="G698" s="2">
        <v>1</v>
      </c>
      <c r="H698" s="2">
        <v>1</v>
      </c>
      <c r="I698" s="2" t="s">
        <v>94</v>
      </c>
      <c r="J698" s="6">
        <v>285</v>
      </c>
      <c r="K698" s="6">
        <v>855</v>
      </c>
      <c r="L698" s="2">
        <v>0</v>
      </c>
      <c r="N698" s="2">
        <v>0</v>
      </c>
      <c r="O698" s="2" t="s">
        <v>96</v>
      </c>
      <c r="P698" s="6">
        <v>598.95000000000005</v>
      </c>
      <c r="Q698" s="6"/>
      <c r="R698" s="7"/>
      <c r="S698" s="2">
        <v>11.5</v>
      </c>
      <c r="T698" s="2">
        <v>31.25</v>
      </c>
      <c r="U698" s="2">
        <v>31.25</v>
      </c>
      <c r="W698" s="2">
        <v>13.51</v>
      </c>
      <c r="X698" s="2">
        <v>1</v>
      </c>
      <c r="Y698" s="2">
        <v>5.25</v>
      </c>
      <c r="Z698" s="2">
        <v>34.25</v>
      </c>
      <c r="AA698" s="2">
        <v>34.25</v>
      </c>
      <c r="AB698" s="2">
        <v>3.5640000000000001</v>
      </c>
      <c r="AC698" s="2">
        <v>19.2</v>
      </c>
      <c r="AE698" s="2">
        <v>1</v>
      </c>
      <c r="AF698" s="2" t="s">
        <v>347</v>
      </c>
      <c r="AG698" s="2">
        <v>60</v>
      </c>
      <c r="AK698" s="2" t="s">
        <v>96</v>
      </c>
      <c r="AM698" s="2" t="s">
        <v>95</v>
      </c>
      <c r="AN698" s="2" t="s">
        <v>96</v>
      </c>
      <c r="AO698" s="2" t="s">
        <v>95</v>
      </c>
      <c r="AP698" s="2" t="s">
        <v>97</v>
      </c>
      <c r="AQ698" s="2" t="s">
        <v>98</v>
      </c>
      <c r="AV698" s="2" t="s">
        <v>95</v>
      </c>
      <c r="AX698" s="2" t="s">
        <v>130</v>
      </c>
      <c r="AZ698" s="2" t="s">
        <v>483</v>
      </c>
      <c r="BB698" s="2" t="s">
        <v>348</v>
      </c>
      <c r="BC698" s="2" t="s">
        <v>1313</v>
      </c>
      <c r="BF698" s="2" t="s">
        <v>3141</v>
      </c>
      <c r="BG698" s="2" t="s">
        <v>95</v>
      </c>
      <c r="BH698" s="2" t="s">
        <v>95</v>
      </c>
      <c r="BI698" s="2" t="s">
        <v>95</v>
      </c>
      <c r="BK698" s="2" t="s">
        <v>100</v>
      </c>
      <c r="BR698" s="2">
        <v>1.75</v>
      </c>
      <c r="BS698" s="2">
        <v>8</v>
      </c>
      <c r="BT698" s="2">
        <v>8</v>
      </c>
      <c r="CA698" s="2" t="s">
        <v>3142</v>
      </c>
      <c r="CB698" s="2" t="s">
        <v>130</v>
      </c>
      <c r="CG698" s="2">
        <v>3000</v>
      </c>
      <c r="CH698" s="2">
        <v>93</v>
      </c>
      <c r="CI698" s="2">
        <v>5241</v>
      </c>
      <c r="CJ698" s="2">
        <v>4291</v>
      </c>
      <c r="CK698" s="2">
        <v>30000</v>
      </c>
      <c r="CL698" s="2" t="s">
        <v>96</v>
      </c>
      <c r="CM698" s="2" t="s">
        <v>95</v>
      </c>
      <c r="CN698" s="2" t="s">
        <v>3135</v>
      </c>
      <c r="CO698" s="3">
        <v>43096</v>
      </c>
      <c r="CP698" s="3">
        <v>43634</v>
      </c>
    </row>
    <row r="699" spans="1:94" x14ac:dyDescent="0.25">
      <c r="A699" s="2" t="s">
        <v>3143</v>
      </c>
      <c r="B699" s="2" t="str">
        <f xml:space="preserve"> "" &amp; 844349024880</f>
        <v>844349024880</v>
      </c>
      <c r="C699" s="2" t="s">
        <v>467</v>
      </c>
      <c r="D699" s="2" t="s">
        <v>3144</v>
      </c>
      <c r="E699" s="2" t="s">
        <v>3145</v>
      </c>
      <c r="F699" s="2" t="s">
        <v>614</v>
      </c>
      <c r="G699" s="2">
        <v>1</v>
      </c>
      <c r="H699" s="2">
        <v>1</v>
      </c>
      <c r="I699" s="2" t="s">
        <v>94</v>
      </c>
      <c r="J699" s="6">
        <v>449</v>
      </c>
      <c r="K699" s="6">
        <v>1347</v>
      </c>
      <c r="L699" s="2">
        <v>0</v>
      </c>
      <c r="N699" s="2">
        <v>0</v>
      </c>
      <c r="O699" s="2" t="s">
        <v>96</v>
      </c>
      <c r="P699" s="6">
        <v>944.95</v>
      </c>
      <c r="Q699" s="6"/>
      <c r="R699" s="7"/>
      <c r="S699" s="2">
        <v>12.25</v>
      </c>
      <c r="T699" s="2">
        <v>44.5</v>
      </c>
      <c r="U699" s="2">
        <v>2.5</v>
      </c>
      <c r="W699" s="2">
        <v>11.29</v>
      </c>
      <c r="X699" s="2">
        <v>1</v>
      </c>
      <c r="Y699" s="2">
        <v>6.13</v>
      </c>
      <c r="Z699" s="2">
        <v>48.63</v>
      </c>
      <c r="AA699" s="2">
        <v>16.75</v>
      </c>
      <c r="AB699" s="2">
        <v>2.89</v>
      </c>
      <c r="AC699" s="2">
        <v>17.170000000000002</v>
      </c>
      <c r="AE699" s="2">
        <v>1</v>
      </c>
      <c r="AF699" s="2" t="s">
        <v>347</v>
      </c>
      <c r="AG699" s="2">
        <v>28</v>
      </c>
      <c r="AK699" s="2" t="s">
        <v>96</v>
      </c>
      <c r="AM699" s="2" t="s">
        <v>95</v>
      </c>
      <c r="AN699" s="2" t="s">
        <v>96</v>
      </c>
      <c r="AO699" s="2" t="s">
        <v>95</v>
      </c>
      <c r="AP699" s="2" t="s">
        <v>97</v>
      </c>
      <c r="AQ699" s="2" t="s">
        <v>98</v>
      </c>
      <c r="AV699" s="2" t="s">
        <v>95</v>
      </c>
      <c r="AX699" s="2" t="s">
        <v>3146</v>
      </c>
      <c r="AZ699" s="2" t="s">
        <v>483</v>
      </c>
      <c r="BF699" s="2" t="s">
        <v>3147</v>
      </c>
      <c r="BG699" s="2" t="s">
        <v>95</v>
      </c>
      <c r="BH699" s="2" t="s">
        <v>95</v>
      </c>
      <c r="BI699" s="2" t="s">
        <v>95</v>
      </c>
      <c r="BK699" s="2" t="s">
        <v>100</v>
      </c>
      <c r="BR699" s="2">
        <v>2</v>
      </c>
      <c r="BS699" s="2">
        <v>44.5</v>
      </c>
      <c r="BT699" s="2">
        <v>3.13</v>
      </c>
      <c r="CA699" s="2" t="s">
        <v>3148</v>
      </c>
      <c r="CB699" s="2" t="s">
        <v>3146</v>
      </c>
      <c r="CG699" s="2">
        <v>3000</v>
      </c>
      <c r="CH699" s="2">
        <v>92</v>
      </c>
      <c r="CI699" s="2">
        <v>2330</v>
      </c>
      <c r="CJ699" s="2">
        <v>2072</v>
      </c>
      <c r="CK699" s="2">
        <v>30000</v>
      </c>
      <c r="CL699" s="2" t="s">
        <v>96</v>
      </c>
      <c r="CM699" s="2" t="s">
        <v>95</v>
      </c>
      <c r="CN699" s="2" t="s">
        <v>348</v>
      </c>
      <c r="CO699" s="3">
        <v>43088</v>
      </c>
      <c r="CP699" s="3">
        <v>43634</v>
      </c>
    </row>
    <row r="700" spans="1:94" x14ac:dyDescent="0.25">
      <c r="A700" s="2" t="s">
        <v>3149</v>
      </c>
      <c r="B700" s="2" t="str">
        <f xml:space="preserve"> "" &amp; 844349024897</f>
        <v>844349024897</v>
      </c>
      <c r="C700" s="2" t="s">
        <v>467</v>
      </c>
      <c r="D700" s="2" t="s">
        <v>3150</v>
      </c>
      <c r="E700" s="2" t="s">
        <v>3151</v>
      </c>
      <c r="F700" s="2" t="s">
        <v>340</v>
      </c>
      <c r="G700" s="2">
        <v>1</v>
      </c>
      <c r="H700" s="2">
        <v>1</v>
      </c>
      <c r="I700" s="2" t="s">
        <v>94</v>
      </c>
      <c r="J700" s="6">
        <v>349</v>
      </c>
      <c r="K700" s="6">
        <v>1047</v>
      </c>
      <c r="L700" s="2">
        <v>0</v>
      </c>
      <c r="N700" s="2">
        <v>0</v>
      </c>
      <c r="O700" s="2" t="s">
        <v>96</v>
      </c>
      <c r="P700" s="6">
        <v>733.95</v>
      </c>
      <c r="Q700" s="6"/>
      <c r="R700" s="7"/>
      <c r="S700" s="2">
        <v>50</v>
      </c>
      <c r="T700" s="2">
        <v>50</v>
      </c>
      <c r="U700" s="2">
        <v>44.25</v>
      </c>
      <c r="W700" s="2">
        <v>15.19</v>
      </c>
      <c r="X700" s="2">
        <v>1</v>
      </c>
      <c r="Y700" s="2">
        <v>10.5</v>
      </c>
      <c r="Z700" s="2">
        <v>57.13</v>
      </c>
      <c r="AA700" s="2">
        <v>15.25</v>
      </c>
      <c r="AB700" s="2">
        <v>5.2939999999999996</v>
      </c>
      <c r="AC700" s="2">
        <v>24.78</v>
      </c>
      <c r="AE700" s="2">
        <v>3</v>
      </c>
      <c r="AF700" s="2" t="s">
        <v>347</v>
      </c>
      <c r="AG700" s="2">
        <v>22</v>
      </c>
      <c r="AK700" s="2" t="s">
        <v>96</v>
      </c>
      <c r="AM700" s="2" t="s">
        <v>95</v>
      </c>
      <c r="AN700" s="2" t="s">
        <v>96</v>
      </c>
      <c r="AO700" s="2" t="s">
        <v>95</v>
      </c>
      <c r="AP700" s="2" t="s">
        <v>97</v>
      </c>
      <c r="AQ700" s="2" t="s">
        <v>98</v>
      </c>
      <c r="AV700" s="2" t="s">
        <v>95</v>
      </c>
      <c r="AX700" s="2" t="s">
        <v>205</v>
      </c>
      <c r="AZ700" s="2" t="s">
        <v>483</v>
      </c>
      <c r="BF700" s="2" t="s">
        <v>3152</v>
      </c>
      <c r="BG700" s="2" t="s">
        <v>95</v>
      </c>
      <c r="BH700" s="2" t="s">
        <v>95</v>
      </c>
      <c r="BI700" s="2" t="s">
        <v>95</v>
      </c>
      <c r="BK700" s="2" t="s">
        <v>100</v>
      </c>
      <c r="BR700" s="2">
        <v>2</v>
      </c>
      <c r="BS700" s="2">
        <v>7.13</v>
      </c>
      <c r="BT700" s="2">
        <v>7.13</v>
      </c>
      <c r="CA700" s="2" t="s">
        <v>3153</v>
      </c>
      <c r="CB700" s="2" t="s">
        <v>205</v>
      </c>
      <c r="CG700" s="2">
        <v>3000</v>
      </c>
      <c r="CH700" s="2">
        <v>92</v>
      </c>
      <c r="CI700" s="2">
        <v>1430</v>
      </c>
      <c r="CJ700" s="2">
        <v>1105</v>
      </c>
      <c r="CK700" s="2">
        <v>30000</v>
      </c>
      <c r="CL700" s="2" t="s">
        <v>96</v>
      </c>
      <c r="CM700" s="2" t="s">
        <v>95</v>
      </c>
      <c r="CN700" s="2" t="s">
        <v>3154</v>
      </c>
      <c r="CO700" s="3">
        <v>43146</v>
      </c>
      <c r="CP700" s="3">
        <v>43634</v>
      </c>
    </row>
    <row r="701" spans="1:94" x14ac:dyDescent="0.25">
      <c r="A701" s="2" t="s">
        <v>3155</v>
      </c>
      <c r="B701" s="2" t="str">
        <f xml:space="preserve"> "" &amp; 844349024903</f>
        <v>844349024903</v>
      </c>
      <c r="C701" s="2" t="s">
        <v>467</v>
      </c>
      <c r="D701" s="2" t="s">
        <v>3156</v>
      </c>
      <c r="E701" s="2" t="s">
        <v>3157</v>
      </c>
      <c r="F701" s="2" t="s">
        <v>340</v>
      </c>
      <c r="G701" s="2">
        <v>1</v>
      </c>
      <c r="H701" s="2">
        <v>1</v>
      </c>
      <c r="I701" s="2" t="s">
        <v>94</v>
      </c>
      <c r="J701" s="6">
        <v>559</v>
      </c>
      <c r="K701" s="6">
        <v>1677</v>
      </c>
      <c r="L701" s="2">
        <v>0</v>
      </c>
      <c r="N701" s="2">
        <v>0</v>
      </c>
      <c r="O701" s="2" t="s">
        <v>96</v>
      </c>
      <c r="P701" s="6">
        <v>1174.95</v>
      </c>
      <c r="Q701" s="6"/>
      <c r="R701" s="7"/>
      <c r="S701" s="2">
        <v>15</v>
      </c>
      <c r="T701" s="2">
        <v>23.75</v>
      </c>
      <c r="U701" s="2">
        <v>23.75</v>
      </c>
      <c r="W701" s="2">
        <v>15.15</v>
      </c>
      <c r="X701" s="2">
        <v>1</v>
      </c>
      <c r="Y701" s="2">
        <v>6.5</v>
      </c>
      <c r="Z701" s="2">
        <v>33.25</v>
      </c>
      <c r="AA701" s="2">
        <v>27.88</v>
      </c>
      <c r="AB701" s="2">
        <v>3.4870000000000001</v>
      </c>
      <c r="AC701" s="2">
        <v>23.41</v>
      </c>
      <c r="AE701" s="2">
        <v>4</v>
      </c>
      <c r="AF701" s="2" t="s">
        <v>347</v>
      </c>
      <c r="AG701" s="2">
        <v>84</v>
      </c>
      <c r="AK701" s="2" t="s">
        <v>96</v>
      </c>
      <c r="AM701" s="2" t="s">
        <v>95</v>
      </c>
      <c r="AN701" s="2" t="s">
        <v>96</v>
      </c>
      <c r="AO701" s="2" t="s">
        <v>95</v>
      </c>
      <c r="AP701" s="2" t="s">
        <v>97</v>
      </c>
      <c r="AQ701" s="2" t="s">
        <v>98</v>
      </c>
      <c r="AV701" s="2" t="s">
        <v>95</v>
      </c>
      <c r="AX701" s="2" t="s">
        <v>3158</v>
      </c>
      <c r="AZ701" s="2" t="s">
        <v>483</v>
      </c>
      <c r="BF701" s="2" t="s">
        <v>3159</v>
      </c>
      <c r="BG701" s="2" t="s">
        <v>95</v>
      </c>
      <c r="BH701" s="2" t="s">
        <v>95</v>
      </c>
      <c r="BI701" s="2" t="s">
        <v>95</v>
      </c>
      <c r="BK701" s="2" t="s">
        <v>100</v>
      </c>
      <c r="BR701" s="2">
        <v>2.75</v>
      </c>
      <c r="BT701" s="2">
        <v>24.38</v>
      </c>
      <c r="CA701" s="2" t="s">
        <v>3160</v>
      </c>
      <c r="CB701" s="2" t="s">
        <v>3158</v>
      </c>
      <c r="CG701" s="2">
        <v>3000</v>
      </c>
      <c r="CH701" s="2">
        <v>93</v>
      </c>
      <c r="CI701" s="2">
        <v>2425.4</v>
      </c>
      <c r="CJ701" s="2">
        <v>2206.8000000000002</v>
      </c>
      <c r="CK701" s="2">
        <v>50000</v>
      </c>
      <c r="CL701" s="2" t="s">
        <v>96</v>
      </c>
      <c r="CM701" s="2" t="s">
        <v>95</v>
      </c>
      <c r="CN701" s="2" t="s">
        <v>630</v>
      </c>
      <c r="CO701" s="3">
        <v>43088</v>
      </c>
      <c r="CP701" s="3">
        <v>43634</v>
      </c>
    </row>
    <row r="702" spans="1:94" x14ac:dyDescent="0.25">
      <c r="A702" s="2" t="s">
        <v>3161</v>
      </c>
      <c r="B702" s="2" t="str">
        <f xml:space="preserve"> "" &amp; 844349024910</f>
        <v>844349024910</v>
      </c>
      <c r="C702" s="2" t="s">
        <v>467</v>
      </c>
      <c r="D702" s="2" t="s">
        <v>3162</v>
      </c>
      <c r="E702" s="2" t="s">
        <v>3157</v>
      </c>
      <c r="F702" s="2" t="s">
        <v>340</v>
      </c>
      <c r="G702" s="2">
        <v>1</v>
      </c>
      <c r="H702" s="2">
        <v>1</v>
      </c>
      <c r="I702" s="2" t="s">
        <v>94</v>
      </c>
      <c r="J702" s="6">
        <v>679</v>
      </c>
      <c r="K702" s="6">
        <v>2037</v>
      </c>
      <c r="L702" s="2">
        <v>0</v>
      </c>
      <c r="N702" s="2">
        <v>0</v>
      </c>
      <c r="O702" s="2" t="s">
        <v>96</v>
      </c>
      <c r="P702" s="6">
        <v>1425.95</v>
      </c>
      <c r="Q702" s="6"/>
      <c r="R702" s="7"/>
      <c r="S702" s="2">
        <v>15</v>
      </c>
      <c r="T702" s="2">
        <v>31.5</v>
      </c>
      <c r="U702" s="2">
        <v>31.5</v>
      </c>
      <c r="W702" s="2">
        <v>18.079999999999998</v>
      </c>
      <c r="X702" s="2">
        <v>1</v>
      </c>
      <c r="Y702" s="2">
        <v>6.5</v>
      </c>
      <c r="Z702" s="2">
        <v>41.25</v>
      </c>
      <c r="AA702" s="2">
        <v>35.75</v>
      </c>
      <c r="AB702" s="2">
        <v>5.5469999999999997</v>
      </c>
      <c r="AC702" s="2">
        <v>30.86</v>
      </c>
      <c r="AE702" s="2">
        <v>4</v>
      </c>
      <c r="AF702" s="2" t="s">
        <v>347</v>
      </c>
      <c r="AG702" s="2">
        <v>99</v>
      </c>
      <c r="AK702" s="2" t="s">
        <v>96</v>
      </c>
      <c r="AM702" s="2" t="s">
        <v>95</v>
      </c>
      <c r="AN702" s="2" t="s">
        <v>96</v>
      </c>
      <c r="AO702" s="2" t="s">
        <v>95</v>
      </c>
      <c r="AP702" s="2" t="s">
        <v>97</v>
      </c>
      <c r="AQ702" s="2" t="s">
        <v>98</v>
      </c>
      <c r="AV702" s="2" t="s">
        <v>95</v>
      </c>
      <c r="AX702" s="2" t="s">
        <v>3158</v>
      </c>
      <c r="AZ702" s="2" t="s">
        <v>483</v>
      </c>
      <c r="BF702" s="2" t="s">
        <v>3163</v>
      </c>
      <c r="BG702" s="2" t="s">
        <v>95</v>
      </c>
      <c r="BH702" s="2" t="s">
        <v>95</v>
      </c>
      <c r="BI702" s="2" t="s">
        <v>95</v>
      </c>
      <c r="BK702" s="2" t="s">
        <v>100</v>
      </c>
      <c r="BR702" s="2">
        <v>2.75</v>
      </c>
      <c r="BT702" s="2">
        <v>32.380000000000003</v>
      </c>
      <c r="CA702" s="2" t="s">
        <v>3164</v>
      </c>
      <c r="CB702" s="2" t="s">
        <v>3158</v>
      </c>
      <c r="CG702" s="2">
        <v>3000</v>
      </c>
      <c r="CH702" s="2">
        <v>93</v>
      </c>
      <c r="CI702" s="2">
        <v>2729.1</v>
      </c>
      <c r="CJ702" s="2">
        <v>2443.1</v>
      </c>
      <c r="CK702" s="2">
        <v>50000</v>
      </c>
      <c r="CL702" s="2" t="s">
        <v>96</v>
      </c>
      <c r="CM702" s="2" t="s">
        <v>95</v>
      </c>
      <c r="CN702" s="2" t="s">
        <v>630</v>
      </c>
      <c r="CO702" s="3">
        <v>43088</v>
      </c>
      <c r="CP702" s="3">
        <v>43634</v>
      </c>
    </row>
    <row r="703" spans="1:94" x14ac:dyDescent="0.25">
      <c r="A703" s="2" t="s">
        <v>3165</v>
      </c>
      <c r="B703" s="2" t="str">
        <f xml:space="preserve"> "" &amp; 844349024927</f>
        <v>844349024927</v>
      </c>
      <c r="C703" s="2" t="s">
        <v>467</v>
      </c>
      <c r="D703" s="2" t="s">
        <v>3166</v>
      </c>
      <c r="E703" s="2" t="s">
        <v>3167</v>
      </c>
      <c r="F703" s="2" t="s">
        <v>340</v>
      </c>
      <c r="G703" s="2">
        <v>1</v>
      </c>
      <c r="H703" s="2">
        <v>1</v>
      </c>
      <c r="I703" s="2" t="s">
        <v>94</v>
      </c>
      <c r="J703" s="6">
        <v>242</v>
      </c>
      <c r="K703" s="6">
        <v>726</v>
      </c>
      <c r="L703" s="2">
        <v>0</v>
      </c>
      <c r="N703" s="2">
        <v>0</v>
      </c>
      <c r="O703" s="2" t="s">
        <v>96</v>
      </c>
      <c r="P703" s="6">
        <v>509.95</v>
      </c>
      <c r="Q703" s="6"/>
      <c r="R703" s="7"/>
      <c r="S703" s="2">
        <v>6</v>
      </c>
      <c r="T703" s="2">
        <v>24</v>
      </c>
      <c r="U703" s="2">
        <v>24</v>
      </c>
      <c r="W703" s="2">
        <v>4.1399999999999997</v>
      </c>
      <c r="X703" s="2">
        <v>1</v>
      </c>
      <c r="Y703" s="2">
        <v>4.3310000000000004</v>
      </c>
      <c r="Z703" s="2">
        <v>26</v>
      </c>
      <c r="AA703" s="2">
        <v>26</v>
      </c>
      <c r="AB703" s="2">
        <v>1.694</v>
      </c>
      <c r="AC703" s="2">
        <v>9.81</v>
      </c>
      <c r="AE703" s="2">
        <v>2</v>
      </c>
      <c r="AF703" s="2" t="s">
        <v>347</v>
      </c>
      <c r="AG703" s="2">
        <v>35</v>
      </c>
      <c r="AK703" s="2" t="s">
        <v>96</v>
      </c>
      <c r="AM703" s="2" t="s">
        <v>95</v>
      </c>
      <c r="AN703" s="2" t="s">
        <v>96</v>
      </c>
      <c r="AO703" s="2" t="s">
        <v>95</v>
      </c>
      <c r="AP703" s="2" t="s">
        <v>97</v>
      </c>
      <c r="AQ703" s="2" t="s">
        <v>98</v>
      </c>
      <c r="AV703" s="2" t="s">
        <v>95</v>
      </c>
      <c r="AX703" s="2" t="s">
        <v>3158</v>
      </c>
      <c r="AZ703" s="2" t="s">
        <v>483</v>
      </c>
      <c r="BF703" s="2" t="s">
        <v>3168</v>
      </c>
      <c r="BG703" s="2" t="s">
        <v>95</v>
      </c>
      <c r="BH703" s="2" t="s">
        <v>95</v>
      </c>
      <c r="BI703" s="2" t="s">
        <v>95</v>
      </c>
      <c r="BK703" s="2" t="s">
        <v>100</v>
      </c>
      <c r="BR703" s="2">
        <v>1.5</v>
      </c>
      <c r="BS703" s="2">
        <v>7.88</v>
      </c>
      <c r="BT703" s="2">
        <v>7.88</v>
      </c>
      <c r="CA703" s="2" t="s">
        <v>3169</v>
      </c>
      <c r="CB703" s="2" t="s">
        <v>3158</v>
      </c>
      <c r="CG703" s="2">
        <v>3000</v>
      </c>
      <c r="CH703" s="2">
        <v>93</v>
      </c>
      <c r="CI703" s="2">
        <v>1830.8</v>
      </c>
      <c r="CJ703" s="2">
        <v>915</v>
      </c>
      <c r="CK703" s="2">
        <v>50000</v>
      </c>
      <c r="CL703" s="2" t="s">
        <v>96</v>
      </c>
      <c r="CM703" s="2" t="s">
        <v>95</v>
      </c>
      <c r="CN703" s="2" t="s">
        <v>630</v>
      </c>
      <c r="CO703" s="3">
        <v>43088</v>
      </c>
      <c r="CP703" s="3">
        <v>43634</v>
      </c>
    </row>
    <row r="704" spans="1:94" x14ac:dyDescent="0.25">
      <c r="A704" s="2" t="s">
        <v>3170</v>
      </c>
      <c r="B704" s="2" t="str">
        <f xml:space="preserve"> "" &amp; 844349024934</f>
        <v>844349024934</v>
      </c>
      <c r="C704" s="2" t="s">
        <v>467</v>
      </c>
      <c r="D704" s="2" t="s">
        <v>3166</v>
      </c>
      <c r="E704" s="2" t="s">
        <v>3167</v>
      </c>
      <c r="F704" s="2" t="s">
        <v>340</v>
      </c>
      <c r="G704" s="2">
        <v>1</v>
      </c>
      <c r="H704" s="2">
        <v>1</v>
      </c>
      <c r="I704" s="2" t="s">
        <v>94</v>
      </c>
      <c r="J704" s="6">
        <v>449</v>
      </c>
      <c r="K704" s="6">
        <v>1347</v>
      </c>
      <c r="L704" s="2">
        <v>0</v>
      </c>
      <c r="N704" s="2">
        <v>0</v>
      </c>
      <c r="O704" s="2" t="s">
        <v>96</v>
      </c>
      <c r="P704" s="6">
        <v>943</v>
      </c>
      <c r="Q704" s="6"/>
      <c r="R704" s="7"/>
      <c r="S704" s="2">
        <v>11</v>
      </c>
      <c r="T704" s="2">
        <v>31.75</v>
      </c>
      <c r="U704" s="2">
        <v>31.75</v>
      </c>
      <c r="W704" s="2">
        <v>7.01</v>
      </c>
      <c r="X704" s="2">
        <v>1</v>
      </c>
      <c r="Y704" s="2">
        <v>5</v>
      </c>
      <c r="Z704" s="2">
        <v>34.5</v>
      </c>
      <c r="AA704" s="2">
        <v>34.5</v>
      </c>
      <c r="AB704" s="2">
        <v>3.444</v>
      </c>
      <c r="AC704" s="2">
        <v>16.23</v>
      </c>
      <c r="AE704" s="2">
        <v>3</v>
      </c>
      <c r="AF704" s="2" t="s">
        <v>347</v>
      </c>
      <c r="AG704" s="2">
        <v>62</v>
      </c>
      <c r="AK704" s="2" t="s">
        <v>96</v>
      </c>
      <c r="AM704" s="2" t="s">
        <v>95</v>
      </c>
      <c r="AN704" s="2" t="s">
        <v>96</v>
      </c>
      <c r="AO704" s="2" t="s">
        <v>95</v>
      </c>
      <c r="AP704" s="2" t="s">
        <v>97</v>
      </c>
      <c r="AQ704" s="2" t="s">
        <v>98</v>
      </c>
      <c r="AV704" s="2" t="s">
        <v>95</v>
      </c>
      <c r="AX704" s="2" t="s">
        <v>3158</v>
      </c>
      <c r="AZ704" s="2" t="s">
        <v>483</v>
      </c>
      <c r="BF704" s="2" t="s">
        <v>3171</v>
      </c>
      <c r="BG704" s="2" t="s">
        <v>95</v>
      </c>
      <c r="BH704" s="2" t="s">
        <v>95</v>
      </c>
      <c r="BI704" s="2" t="s">
        <v>95</v>
      </c>
      <c r="BK704" s="2" t="s">
        <v>100</v>
      </c>
      <c r="BR704" s="2">
        <v>1.5</v>
      </c>
      <c r="BS704" s="2">
        <v>9.8800000000000008</v>
      </c>
      <c r="BT704" s="2">
        <v>9.8800000000000008</v>
      </c>
      <c r="CA704" s="2" t="s">
        <v>3172</v>
      </c>
      <c r="CB704" s="2" t="s">
        <v>3158</v>
      </c>
      <c r="CG704" s="2">
        <v>3000</v>
      </c>
      <c r="CH704" s="2">
        <v>93</v>
      </c>
      <c r="CI704" s="2">
        <v>2406</v>
      </c>
      <c r="CJ704" s="2">
        <v>1355</v>
      </c>
      <c r="CK704" s="2">
        <v>50000</v>
      </c>
      <c r="CL704" s="2" t="s">
        <v>96</v>
      </c>
      <c r="CM704" s="2" t="s">
        <v>95</v>
      </c>
      <c r="CN704" s="2" t="s">
        <v>630</v>
      </c>
      <c r="CO704" s="3">
        <v>43089</v>
      </c>
      <c r="CP704" s="3">
        <v>43634</v>
      </c>
    </row>
    <row r="705" spans="1:94" x14ac:dyDescent="0.25">
      <c r="A705" s="2" t="s">
        <v>3173</v>
      </c>
      <c r="B705" s="2" t="str">
        <f xml:space="preserve"> "" &amp; 844349024941</f>
        <v>844349024941</v>
      </c>
      <c r="C705" s="2" t="s">
        <v>467</v>
      </c>
      <c r="D705" s="2" t="s">
        <v>3166</v>
      </c>
      <c r="E705" s="2" t="s">
        <v>3167</v>
      </c>
      <c r="F705" s="2" t="s">
        <v>340</v>
      </c>
      <c r="G705" s="2">
        <v>1</v>
      </c>
      <c r="H705" s="2">
        <v>1</v>
      </c>
      <c r="I705" s="2" t="s">
        <v>94</v>
      </c>
      <c r="J705" s="6">
        <v>559</v>
      </c>
      <c r="K705" s="6">
        <v>1677</v>
      </c>
      <c r="L705" s="2">
        <v>0</v>
      </c>
      <c r="N705" s="2">
        <v>0</v>
      </c>
      <c r="O705" s="2" t="s">
        <v>96</v>
      </c>
      <c r="P705" s="6">
        <v>1174.95</v>
      </c>
      <c r="Q705" s="6"/>
      <c r="R705" s="7"/>
      <c r="S705" s="2">
        <v>16</v>
      </c>
      <c r="T705" s="2">
        <v>39.75</v>
      </c>
      <c r="U705" s="2">
        <v>39.75</v>
      </c>
      <c r="W705" s="2">
        <v>8.91</v>
      </c>
      <c r="X705" s="2">
        <v>1</v>
      </c>
      <c r="Y705" s="2">
        <v>4.63</v>
      </c>
      <c r="Z705" s="2">
        <v>42.75</v>
      </c>
      <c r="AA705" s="2">
        <v>42.75</v>
      </c>
      <c r="AB705" s="2">
        <v>4.8970000000000002</v>
      </c>
      <c r="AC705" s="2">
        <v>24.41</v>
      </c>
      <c r="AE705" s="2">
        <v>4</v>
      </c>
      <c r="AF705" s="2" t="s">
        <v>347</v>
      </c>
      <c r="AG705" s="2">
        <v>84</v>
      </c>
      <c r="AK705" s="2" t="s">
        <v>96</v>
      </c>
      <c r="AM705" s="2" t="s">
        <v>95</v>
      </c>
      <c r="AN705" s="2" t="s">
        <v>96</v>
      </c>
      <c r="AO705" s="2" t="s">
        <v>95</v>
      </c>
      <c r="AP705" s="2" t="s">
        <v>428</v>
      </c>
      <c r="AQ705" s="2" t="s">
        <v>98</v>
      </c>
      <c r="AV705" s="2" t="s">
        <v>95</v>
      </c>
      <c r="AX705" s="2" t="s">
        <v>3158</v>
      </c>
      <c r="AZ705" s="2" t="s">
        <v>483</v>
      </c>
      <c r="BF705" s="2" t="s">
        <v>3174</v>
      </c>
      <c r="BG705" s="2" t="s">
        <v>95</v>
      </c>
      <c r="BH705" s="2" t="s">
        <v>95</v>
      </c>
      <c r="BI705" s="2" t="s">
        <v>95</v>
      </c>
      <c r="BK705" s="2" t="s">
        <v>100</v>
      </c>
      <c r="BR705" s="2">
        <v>1.75</v>
      </c>
      <c r="BS705" s="2">
        <v>9.8800000000000008</v>
      </c>
      <c r="BT705" s="2">
        <v>9.8800000000000008</v>
      </c>
      <c r="CA705" s="2" t="s">
        <v>3175</v>
      </c>
      <c r="CB705" s="2" t="s">
        <v>3158</v>
      </c>
      <c r="CG705" s="2">
        <v>3000</v>
      </c>
      <c r="CH705" s="2">
        <v>93</v>
      </c>
      <c r="CI705" s="2">
        <v>3545.1</v>
      </c>
      <c r="CJ705" s="2">
        <v>2996.99</v>
      </c>
      <c r="CK705" s="2">
        <v>50000</v>
      </c>
      <c r="CL705" s="2" t="s">
        <v>96</v>
      </c>
      <c r="CM705" s="2" t="s">
        <v>95</v>
      </c>
      <c r="CN705" s="2" t="s">
        <v>630</v>
      </c>
      <c r="CO705" s="3">
        <v>43089</v>
      </c>
      <c r="CP705" s="3">
        <v>43634</v>
      </c>
    </row>
    <row r="706" spans="1:94" x14ac:dyDescent="0.25">
      <c r="A706" s="2" t="s">
        <v>3176</v>
      </c>
      <c r="B706" s="2" t="str">
        <f xml:space="preserve"> "" &amp; 844349024958</f>
        <v>844349024958</v>
      </c>
      <c r="C706" s="2" t="s">
        <v>467</v>
      </c>
      <c r="D706" s="2" t="s">
        <v>3177</v>
      </c>
      <c r="E706" s="2" t="s">
        <v>3178</v>
      </c>
      <c r="F706" s="2" t="s">
        <v>340</v>
      </c>
      <c r="G706" s="2">
        <v>1</v>
      </c>
      <c r="H706" s="2">
        <v>1</v>
      </c>
      <c r="I706" s="2" t="s">
        <v>94</v>
      </c>
      <c r="J706" s="6">
        <v>445</v>
      </c>
      <c r="K706" s="6">
        <v>1335</v>
      </c>
      <c r="L706" s="2">
        <v>0</v>
      </c>
      <c r="N706" s="2">
        <v>0</v>
      </c>
      <c r="O706" s="2" t="s">
        <v>96</v>
      </c>
      <c r="P706" s="6">
        <v>934.95</v>
      </c>
      <c r="Q706" s="6"/>
      <c r="R706" s="7"/>
      <c r="S706" s="2">
        <v>3</v>
      </c>
      <c r="T706" s="2">
        <v>25.75</v>
      </c>
      <c r="U706" s="2">
        <v>25.75</v>
      </c>
      <c r="W706" s="2">
        <v>14</v>
      </c>
      <c r="X706" s="2">
        <v>1</v>
      </c>
      <c r="Y706" s="2">
        <v>6.75</v>
      </c>
      <c r="Z706" s="2">
        <v>36.25</v>
      </c>
      <c r="AA706" s="2">
        <v>30.25</v>
      </c>
      <c r="AB706" s="2">
        <v>4.2830000000000004</v>
      </c>
      <c r="AC706" s="2">
        <v>23.59</v>
      </c>
      <c r="AE706" s="2">
        <v>1</v>
      </c>
      <c r="AF706" s="2" t="s">
        <v>347</v>
      </c>
      <c r="AG706" s="2">
        <v>57</v>
      </c>
      <c r="AK706" s="2" t="s">
        <v>96</v>
      </c>
      <c r="AM706" s="2" t="s">
        <v>95</v>
      </c>
      <c r="AN706" s="2" t="s">
        <v>96</v>
      </c>
      <c r="AO706" s="2" t="s">
        <v>95</v>
      </c>
      <c r="AP706" s="2" t="s">
        <v>97</v>
      </c>
      <c r="AQ706" s="2" t="s">
        <v>98</v>
      </c>
      <c r="AV706" s="2" t="s">
        <v>95</v>
      </c>
      <c r="AX706" s="2" t="s">
        <v>3158</v>
      </c>
      <c r="AZ706" s="2" t="s">
        <v>483</v>
      </c>
      <c r="BF706" s="2" t="s">
        <v>3179</v>
      </c>
      <c r="BG706" s="2" t="s">
        <v>95</v>
      </c>
      <c r="BH706" s="2" t="s">
        <v>95</v>
      </c>
      <c r="BI706" s="2" t="s">
        <v>95</v>
      </c>
      <c r="BK706" s="2" t="s">
        <v>100</v>
      </c>
      <c r="BR706" s="2">
        <v>2.75</v>
      </c>
      <c r="BT706" s="2">
        <v>24.38</v>
      </c>
      <c r="CA706" s="2" t="s">
        <v>3180</v>
      </c>
      <c r="CB706" s="2" t="s">
        <v>3158</v>
      </c>
      <c r="CG706" s="2">
        <v>3000</v>
      </c>
      <c r="CH706" s="2">
        <v>93</v>
      </c>
      <c r="CI706" s="2">
        <v>2649</v>
      </c>
      <c r="CJ706" s="2">
        <v>1960</v>
      </c>
      <c r="CK706" s="2">
        <v>50000</v>
      </c>
      <c r="CL706" s="2" t="s">
        <v>96</v>
      </c>
      <c r="CM706" s="2" t="s">
        <v>95</v>
      </c>
      <c r="CN706" s="2" t="s">
        <v>3181</v>
      </c>
      <c r="CO706" s="3">
        <v>43089</v>
      </c>
      <c r="CP706" s="3">
        <v>43634</v>
      </c>
    </row>
    <row r="707" spans="1:94" x14ac:dyDescent="0.25">
      <c r="A707" s="2" t="s">
        <v>3182</v>
      </c>
      <c r="B707" s="2" t="str">
        <f xml:space="preserve"> "" &amp; 844349024965</f>
        <v>844349024965</v>
      </c>
      <c r="C707" s="2" t="s">
        <v>467</v>
      </c>
      <c r="D707" s="2" t="s">
        <v>3183</v>
      </c>
      <c r="E707" s="2" t="s">
        <v>3178</v>
      </c>
      <c r="F707" s="2" t="s">
        <v>340</v>
      </c>
      <c r="G707" s="2">
        <v>1</v>
      </c>
      <c r="H707" s="2">
        <v>1</v>
      </c>
      <c r="I707" s="2" t="s">
        <v>94</v>
      </c>
      <c r="J707" s="6">
        <v>669</v>
      </c>
      <c r="K707" s="6">
        <v>2007</v>
      </c>
      <c r="L707" s="2">
        <v>0</v>
      </c>
      <c r="N707" s="2">
        <v>0</v>
      </c>
      <c r="O707" s="2" t="s">
        <v>96</v>
      </c>
      <c r="P707" s="6">
        <v>1405.95</v>
      </c>
      <c r="Q707" s="6"/>
      <c r="R707" s="7"/>
      <c r="S707" s="2">
        <v>3</v>
      </c>
      <c r="T707" s="2">
        <v>33.5</v>
      </c>
      <c r="U707" s="2">
        <v>33.5</v>
      </c>
      <c r="W707" s="2">
        <v>18.41</v>
      </c>
      <c r="X707" s="2">
        <v>1</v>
      </c>
      <c r="Y707" s="2">
        <v>6.5</v>
      </c>
      <c r="Z707" s="2">
        <v>44</v>
      </c>
      <c r="AA707" s="2">
        <v>38</v>
      </c>
      <c r="AB707" s="2">
        <v>6.2889999999999997</v>
      </c>
      <c r="AC707" s="2">
        <v>32.89</v>
      </c>
      <c r="AE707" s="2">
        <v>1</v>
      </c>
      <c r="AF707" s="2" t="s">
        <v>347</v>
      </c>
      <c r="AG707" s="2">
        <v>71</v>
      </c>
      <c r="AK707" s="2" t="s">
        <v>96</v>
      </c>
      <c r="AM707" s="2" t="s">
        <v>95</v>
      </c>
      <c r="AN707" s="2" t="s">
        <v>95</v>
      </c>
      <c r="AO707" s="2" t="s">
        <v>95</v>
      </c>
      <c r="AP707" s="2" t="s">
        <v>97</v>
      </c>
      <c r="AQ707" s="2" t="s">
        <v>98</v>
      </c>
      <c r="AV707" s="2" t="s">
        <v>95</v>
      </c>
      <c r="AX707" s="2" t="s">
        <v>3158</v>
      </c>
      <c r="AZ707" s="2" t="s">
        <v>483</v>
      </c>
      <c r="BF707" s="2" t="s">
        <v>3184</v>
      </c>
      <c r="BG707" s="2" t="s">
        <v>95</v>
      </c>
      <c r="BH707" s="2" t="s">
        <v>95</v>
      </c>
      <c r="BI707" s="2" t="s">
        <v>95</v>
      </c>
      <c r="BK707" s="2" t="s">
        <v>100</v>
      </c>
      <c r="BR707" s="2">
        <v>2.75</v>
      </c>
      <c r="BT707" s="2">
        <v>32.5</v>
      </c>
      <c r="CA707" s="2" t="s">
        <v>3185</v>
      </c>
      <c r="CB707" s="2" t="s">
        <v>3158</v>
      </c>
      <c r="CG707" s="2">
        <v>3000</v>
      </c>
      <c r="CH707" s="2">
        <v>93</v>
      </c>
      <c r="CI707" s="2">
        <v>3518</v>
      </c>
      <c r="CJ707" s="2">
        <v>2784</v>
      </c>
      <c r="CK707" s="2">
        <v>50000</v>
      </c>
      <c r="CL707" s="2" t="s">
        <v>96</v>
      </c>
      <c r="CM707" s="2" t="s">
        <v>95</v>
      </c>
      <c r="CN707" s="2" t="s">
        <v>3186</v>
      </c>
      <c r="CO707" s="3">
        <v>43089</v>
      </c>
      <c r="CP707" s="3">
        <v>43634</v>
      </c>
    </row>
    <row r="708" spans="1:94" x14ac:dyDescent="0.25">
      <c r="A708" s="2" t="s">
        <v>3187</v>
      </c>
      <c r="B708" s="2" t="str">
        <f xml:space="preserve"> "" &amp; 844349024972</f>
        <v>844349024972</v>
      </c>
      <c r="C708" s="2" t="s">
        <v>467</v>
      </c>
      <c r="D708" s="2" t="s">
        <v>3188</v>
      </c>
      <c r="E708" s="2" t="s">
        <v>3178</v>
      </c>
      <c r="F708" s="2" t="s">
        <v>340</v>
      </c>
      <c r="G708" s="2">
        <v>1</v>
      </c>
      <c r="H708" s="2">
        <v>1</v>
      </c>
      <c r="I708" s="2" t="s">
        <v>94</v>
      </c>
      <c r="J708" s="6">
        <v>780</v>
      </c>
      <c r="K708" s="6">
        <v>2340</v>
      </c>
      <c r="L708" s="2">
        <v>0</v>
      </c>
      <c r="N708" s="2">
        <v>0</v>
      </c>
      <c r="O708" s="2" t="s">
        <v>96</v>
      </c>
      <c r="P708" s="6">
        <v>1639.95</v>
      </c>
      <c r="Q708" s="6"/>
      <c r="R708" s="7"/>
      <c r="S708" s="2">
        <v>3</v>
      </c>
      <c r="T708" s="2">
        <v>41.25</v>
      </c>
      <c r="U708" s="2">
        <v>41.25</v>
      </c>
      <c r="W708" s="2">
        <v>23.37</v>
      </c>
      <c r="X708" s="2">
        <v>1</v>
      </c>
      <c r="Y708" s="2">
        <v>6.75</v>
      </c>
      <c r="Z708" s="2">
        <v>52</v>
      </c>
      <c r="AA708" s="2">
        <v>46.13</v>
      </c>
      <c r="AB708" s="2">
        <v>9.3699999999999992</v>
      </c>
      <c r="AC708" s="2">
        <v>44.31</v>
      </c>
      <c r="AE708" s="2">
        <v>1</v>
      </c>
      <c r="AF708" s="2" t="s">
        <v>347</v>
      </c>
      <c r="AG708" s="2">
        <v>97</v>
      </c>
      <c r="AK708" s="2" t="s">
        <v>96</v>
      </c>
      <c r="AM708" s="2" t="s">
        <v>95</v>
      </c>
      <c r="AN708" s="2" t="s">
        <v>96</v>
      </c>
      <c r="AO708" s="2" t="s">
        <v>95</v>
      </c>
      <c r="AP708" s="2" t="s">
        <v>97</v>
      </c>
      <c r="AQ708" s="2" t="s">
        <v>98</v>
      </c>
      <c r="AV708" s="2" t="s">
        <v>95</v>
      </c>
      <c r="AX708" s="2" t="s">
        <v>3158</v>
      </c>
      <c r="AZ708" s="2" t="s">
        <v>483</v>
      </c>
      <c r="BB708" s="2" t="s">
        <v>348</v>
      </c>
      <c r="BF708" s="2" t="s">
        <v>3189</v>
      </c>
      <c r="BG708" s="2" t="s">
        <v>95</v>
      </c>
      <c r="BH708" s="2" t="s">
        <v>95</v>
      </c>
      <c r="BI708" s="2" t="s">
        <v>95</v>
      </c>
      <c r="BK708" s="2" t="s">
        <v>100</v>
      </c>
      <c r="BR708" s="2">
        <v>2.75</v>
      </c>
      <c r="BT708" s="2">
        <v>40.130000000000003</v>
      </c>
      <c r="CA708" s="2" t="s">
        <v>3190</v>
      </c>
      <c r="CB708" s="2" t="s">
        <v>3158</v>
      </c>
      <c r="CG708" s="2">
        <v>3000</v>
      </c>
      <c r="CH708" s="2">
        <v>93</v>
      </c>
      <c r="CI708" s="2">
        <v>4316</v>
      </c>
      <c r="CJ708" s="2">
        <v>3419</v>
      </c>
      <c r="CK708" s="2">
        <v>50000</v>
      </c>
      <c r="CL708" s="2" t="s">
        <v>96</v>
      </c>
      <c r="CM708" s="2" t="s">
        <v>95</v>
      </c>
      <c r="CN708" s="2" t="s">
        <v>3186</v>
      </c>
      <c r="CO708" s="3">
        <v>43089</v>
      </c>
      <c r="CP708" s="3">
        <v>43634</v>
      </c>
    </row>
    <row r="709" spans="1:94" x14ac:dyDescent="0.25">
      <c r="A709" s="2" t="s">
        <v>3191</v>
      </c>
      <c r="B709" s="2" t="str">
        <f xml:space="preserve"> "" &amp; 844349025009</f>
        <v>844349025009</v>
      </c>
      <c r="C709" s="2" t="s">
        <v>467</v>
      </c>
      <c r="D709" s="2" t="s">
        <v>3192</v>
      </c>
      <c r="E709" s="2" t="s">
        <v>3193</v>
      </c>
      <c r="F709" s="2" t="s">
        <v>340</v>
      </c>
      <c r="G709" s="2">
        <v>1</v>
      </c>
      <c r="H709" s="2">
        <v>1</v>
      </c>
      <c r="I709" s="2" t="s">
        <v>94</v>
      </c>
      <c r="J709" s="6">
        <v>339</v>
      </c>
      <c r="K709" s="6">
        <v>1017</v>
      </c>
      <c r="L709" s="2">
        <v>0</v>
      </c>
      <c r="N709" s="2">
        <v>0</v>
      </c>
      <c r="O709" s="2" t="s">
        <v>96</v>
      </c>
      <c r="P709" s="6">
        <v>711.95</v>
      </c>
      <c r="Q709" s="6"/>
      <c r="R709" s="7"/>
      <c r="S709" s="2">
        <v>13.75</v>
      </c>
      <c r="T709" s="2">
        <v>20.5</v>
      </c>
      <c r="U709" s="2">
        <v>20.5</v>
      </c>
      <c r="W709" s="2">
        <v>6.99</v>
      </c>
      <c r="X709" s="2">
        <v>1</v>
      </c>
      <c r="Y709" s="2">
        <v>16.63</v>
      </c>
      <c r="Z709" s="2">
        <v>22.5</v>
      </c>
      <c r="AA709" s="2">
        <v>22.5</v>
      </c>
      <c r="AB709" s="2">
        <v>4.8719999999999999</v>
      </c>
      <c r="AC709" s="2">
        <v>14.09</v>
      </c>
      <c r="AE709" s="2">
        <v>14</v>
      </c>
      <c r="AF709" s="2" t="s">
        <v>347</v>
      </c>
      <c r="AG709" s="2">
        <v>68</v>
      </c>
      <c r="AK709" s="2" t="s">
        <v>96</v>
      </c>
      <c r="AM709" s="2" t="s">
        <v>95</v>
      </c>
      <c r="AN709" s="2" t="s">
        <v>96</v>
      </c>
      <c r="AO709" s="2" t="s">
        <v>95</v>
      </c>
      <c r="AP709" s="2" t="s">
        <v>97</v>
      </c>
      <c r="AQ709" s="2" t="s">
        <v>98</v>
      </c>
      <c r="AV709" s="2" t="s">
        <v>95</v>
      </c>
      <c r="AX709" s="2" t="s">
        <v>642</v>
      </c>
      <c r="AZ709" s="2" t="s">
        <v>483</v>
      </c>
      <c r="BF709" s="2" t="s">
        <v>3194</v>
      </c>
      <c r="BG709" s="2" t="s">
        <v>95</v>
      </c>
      <c r="BH709" s="2" t="s">
        <v>95</v>
      </c>
      <c r="BI709" s="2" t="s">
        <v>95</v>
      </c>
      <c r="BK709" s="2" t="s">
        <v>100</v>
      </c>
      <c r="BR709" s="2">
        <v>1.75</v>
      </c>
      <c r="BS709" s="2">
        <v>7.13</v>
      </c>
      <c r="BT709" s="2">
        <v>7.13</v>
      </c>
      <c r="CA709" s="2" t="s">
        <v>3195</v>
      </c>
      <c r="CB709" s="2" t="s">
        <v>642</v>
      </c>
      <c r="CG709" s="2">
        <v>3000</v>
      </c>
      <c r="CH709" s="2">
        <v>92</v>
      </c>
      <c r="CI709" s="2">
        <v>6477</v>
      </c>
      <c r="CJ709" s="2">
        <v>5005</v>
      </c>
      <c r="CK709" s="2">
        <v>50000</v>
      </c>
      <c r="CL709" s="2" t="s">
        <v>96</v>
      </c>
      <c r="CM709" s="2" t="s">
        <v>95</v>
      </c>
      <c r="CN709" s="2" t="s">
        <v>630</v>
      </c>
      <c r="CO709" s="3">
        <v>43089</v>
      </c>
      <c r="CP709" s="3">
        <v>43634</v>
      </c>
    </row>
    <row r="710" spans="1:94" x14ac:dyDescent="0.25">
      <c r="A710" s="2" t="s">
        <v>3196</v>
      </c>
      <c r="B710" s="2" t="str">
        <f xml:space="preserve"> "" &amp; 844349025016</f>
        <v>844349025016</v>
      </c>
      <c r="C710" s="2" t="s">
        <v>467</v>
      </c>
      <c r="D710" s="2" t="s">
        <v>3197</v>
      </c>
      <c r="E710" s="2" t="s">
        <v>3193</v>
      </c>
      <c r="F710" s="2" t="s">
        <v>340</v>
      </c>
      <c r="G710" s="2">
        <v>1</v>
      </c>
      <c r="H710" s="2">
        <v>1</v>
      </c>
      <c r="I710" s="2" t="s">
        <v>94</v>
      </c>
      <c r="J710" s="6">
        <v>475</v>
      </c>
      <c r="K710" s="6">
        <v>1425</v>
      </c>
      <c r="L710" s="2">
        <v>0</v>
      </c>
      <c r="N710" s="2">
        <v>0</v>
      </c>
      <c r="O710" s="2" t="s">
        <v>96</v>
      </c>
      <c r="P710" s="6">
        <v>999.95</v>
      </c>
      <c r="Q710" s="6"/>
      <c r="R710" s="7"/>
      <c r="S710" s="2">
        <v>17.75</v>
      </c>
      <c r="T710" s="2">
        <v>25.75</v>
      </c>
      <c r="U710" s="2">
        <v>25.75</v>
      </c>
      <c r="W710" s="2">
        <v>9.77</v>
      </c>
      <c r="X710" s="2">
        <v>1</v>
      </c>
      <c r="Y710" s="2">
        <v>20.47</v>
      </c>
      <c r="Z710" s="2">
        <v>27.76</v>
      </c>
      <c r="AA710" s="2">
        <v>27.76</v>
      </c>
      <c r="AB710" s="2">
        <v>9.1289999999999996</v>
      </c>
      <c r="AC710" s="2">
        <v>20.75</v>
      </c>
      <c r="AE710" s="2">
        <v>1</v>
      </c>
      <c r="AF710" s="2" t="s">
        <v>347</v>
      </c>
      <c r="AG710" s="2">
        <v>97</v>
      </c>
      <c r="AK710" s="2" t="s">
        <v>96</v>
      </c>
      <c r="AM710" s="2" t="s">
        <v>95</v>
      </c>
      <c r="AN710" s="2" t="s">
        <v>96</v>
      </c>
      <c r="AO710" s="2" t="s">
        <v>95</v>
      </c>
      <c r="AP710" s="2" t="s">
        <v>97</v>
      </c>
      <c r="AQ710" s="2" t="s">
        <v>98</v>
      </c>
      <c r="AV710" s="2" t="s">
        <v>95</v>
      </c>
      <c r="AX710" s="2" t="s">
        <v>642</v>
      </c>
      <c r="AZ710" s="2" t="s">
        <v>483</v>
      </c>
      <c r="BF710" s="2" t="s">
        <v>3198</v>
      </c>
      <c r="BG710" s="2" t="s">
        <v>95</v>
      </c>
      <c r="BH710" s="2" t="s">
        <v>95</v>
      </c>
      <c r="BI710" s="2" t="s">
        <v>95</v>
      </c>
      <c r="BK710" s="2" t="s">
        <v>100</v>
      </c>
      <c r="BQ710" s="2">
        <v>8.75</v>
      </c>
      <c r="BR710" s="2">
        <v>1.75</v>
      </c>
      <c r="BS710" s="2">
        <v>8.75</v>
      </c>
      <c r="BT710" s="2">
        <v>8.75</v>
      </c>
      <c r="CA710" s="2" t="s">
        <v>3199</v>
      </c>
      <c r="CB710" s="2" t="s">
        <v>642</v>
      </c>
      <c r="CG710" s="2">
        <v>3000</v>
      </c>
      <c r="CH710" s="2">
        <v>92</v>
      </c>
      <c r="CI710" s="2">
        <v>9261.5</v>
      </c>
      <c r="CJ710" s="2">
        <v>7276.4</v>
      </c>
      <c r="CK710" s="2">
        <v>50000</v>
      </c>
      <c r="CL710" s="2" t="s">
        <v>96</v>
      </c>
      <c r="CM710" s="2" t="s">
        <v>95</v>
      </c>
      <c r="CN710" s="2" t="s">
        <v>630</v>
      </c>
      <c r="CO710" s="3">
        <v>43089</v>
      </c>
      <c r="CP710" s="3">
        <v>43634</v>
      </c>
    </row>
    <row r="711" spans="1:94" x14ac:dyDescent="0.25">
      <c r="A711" s="2" t="s">
        <v>3200</v>
      </c>
      <c r="B711" s="2" t="str">
        <f xml:space="preserve"> "" &amp; 844349025023</f>
        <v>844349025023</v>
      </c>
      <c r="C711" s="2" t="s">
        <v>467</v>
      </c>
      <c r="D711" s="2" t="s">
        <v>3201</v>
      </c>
      <c r="E711" s="2" t="s">
        <v>3193</v>
      </c>
      <c r="F711" s="2" t="s">
        <v>340</v>
      </c>
      <c r="G711" s="2">
        <v>1</v>
      </c>
      <c r="H711" s="2">
        <v>1</v>
      </c>
      <c r="I711" s="2" t="s">
        <v>94</v>
      </c>
      <c r="J711" s="6">
        <v>675</v>
      </c>
      <c r="K711" s="6">
        <v>2025</v>
      </c>
      <c r="L711" s="2">
        <v>0</v>
      </c>
      <c r="N711" s="2">
        <v>0</v>
      </c>
      <c r="O711" s="2" t="s">
        <v>96</v>
      </c>
      <c r="P711" s="6">
        <v>1419.95</v>
      </c>
      <c r="Q711" s="6"/>
      <c r="R711" s="7"/>
      <c r="S711" s="2">
        <v>23</v>
      </c>
      <c r="T711" s="2">
        <v>33.5</v>
      </c>
      <c r="U711" s="2">
        <v>33.5</v>
      </c>
      <c r="W711" s="2">
        <v>15.43</v>
      </c>
      <c r="X711" s="2">
        <v>1</v>
      </c>
      <c r="Y711" s="2">
        <v>25.59</v>
      </c>
      <c r="Z711" s="2">
        <v>35.24</v>
      </c>
      <c r="AA711" s="2">
        <v>35.24</v>
      </c>
      <c r="AB711" s="2">
        <v>18.390999999999998</v>
      </c>
      <c r="AC711" s="2">
        <v>34.61</v>
      </c>
      <c r="AE711" s="2">
        <v>18</v>
      </c>
      <c r="AF711" s="2" t="s">
        <v>347</v>
      </c>
      <c r="AG711" s="2">
        <v>8</v>
      </c>
      <c r="AK711" s="2" t="s">
        <v>96</v>
      </c>
      <c r="AM711" s="2" t="s">
        <v>95</v>
      </c>
      <c r="AN711" s="2" t="s">
        <v>96</v>
      </c>
      <c r="AO711" s="2" t="s">
        <v>95</v>
      </c>
      <c r="AP711" s="2" t="s">
        <v>97</v>
      </c>
      <c r="AQ711" s="2" t="s">
        <v>98</v>
      </c>
      <c r="AV711" s="2" t="s">
        <v>95</v>
      </c>
      <c r="AX711" s="2" t="s">
        <v>642</v>
      </c>
      <c r="AZ711" s="2" t="s">
        <v>483</v>
      </c>
      <c r="BF711" s="2" t="s">
        <v>3202</v>
      </c>
      <c r="BG711" s="2" t="s">
        <v>95</v>
      </c>
      <c r="BH711" s="2" t="s">
        <v>95</v>
      </c>
      <c r="BI711" s="2" t="s">
        <v>95</v>
      </c>
      <c r="BK711" s="2" t="s">
        <v>100</v>
      </c>
      <c r="BR711" s="2">
        <v>1.75</v>
      </c>
      <c r="BS711" s="2">
        <v>10.25</v>
      </c>
      <c r="BT711" s="2">
        <v>10.25</v>
      </c>
      <c r="CA711" s="2" t="s">
        <v>3203</v>
      </c>
      <c r="CB711" s="2" t="s">
        <v>642</v>
      </c>
      <c r="CG711" s="2">
        <v>3000</v>
      </c>
      <c r="CH711" s="2">
        <v>92</v>
      </c>
      <c r="CI711" s="2">
        <v>12900</v>
      </c>
      <c r="CJ711" s="2">
        <v>10170</v>
      </c>
      <c r="CK711" s="2">
        <v>50000</v>
      </c>
      <c r="CL711" s="2" t="s">
        <v>96</v>
      </c>
      <c r="CM711" s="2" t="s">
        <v>95</v>
      </c>
      <c r="CN711" s="2" t="s">
        <v>3204</v>
      </c>
      <c r="CO711" s="3">
        <v>43089</v>
      </c>
      <c r="CP711" s="3">
        <v>43634</v>
      </c>
    </row>
    <row r="712" spans="1:94" x14ac:dyDescent="0.25">
      <c r="A712" s="2" t="s">
        <v>3205</v>
      </c>
      <c r="B712" s="2" t="str">
        <f xml:space="preserve"> "" &amp; 844349025030</f>
        <v>844349025030</v>
      </c>
      <c r="C712" s="2" t="s">
        <v>467</v>
      </c>
      <c r="D712" s="2" t="s">
        <v>3206</v>
      </c>
      <c r="E712" s="2" t="s">
        <v>3207</v>
      </c>
      <c r="F712" s="2" t="s">
        <v>340</v>
      </c>
      <c r="G712" s="2">
        <v>1</v>
      </c>
      <c r="H712" s="2">
        <v>1</v>
      </c>
      <c r="I712" s="2" t="s">
        <v>94</v>
      </c>
      <c r="J712" s="6">
        <v>395</v>
      </c>
      <c r="K712" s="6">
        <v>1185</v>
      </c>
      <c r="L712" s="2">
        <v>0</v>
      </c>
      <c r="N712" s="2">
        <v>0</v>
      </c>
      <c r="O712" s="2" t="s">
        <v>96</v>
      </c>
      <c r="P712" s="6">
        <v>829.95</v>
      </c>
      <c r="Q712" s="6"/>
      <c r="R712" s="7"/>
      <c r="S712" s="2">
        <v>3.25</v>
      </c>
      <c r="T712" s="2">
        <v>19.75</v>
      </c>
      <c r="U712" s="2">
        <v>19.75</v>
      </c>
      <c r="W712" s="2">
        <v>9.99</v>
      </c>
      <c r="X712" s="2">
        <v>1</v>
      </c>
      <c r="Y712" s="2">
        <v>6.88</v>
      </c>
      <c r="Z712" s="2">
        <v>30</v>
      </c>
      <c r="AA712" s="2">
        <v>22</v>
      </c>
      <c r="AB712" s="2">
        <v>2.6280000000000001</v>
      </c>
      <c r="AC712" s="2">
        <v>14.66</v>
      </c>
      <c r="AE712" s="2">
        <v>6</v>
      </c>
      <c r="AF712" s="2" t="s">
        <v>347</v>
      </c>
      <c r="AG712" s="2">
        <v>38</v>
      </c>
      <c r="AK712" s="2" t="s">
        <v>96</v>
      </c>
      <c r="AM712" s="2" t="s">
        <v>95</v>
      </c>
      <c r="AN712" s="2" t="s">
        <v>96</v>
      </c>
      <c r="AO712" s="2" t="s">
        <v>95</v>
      </c>
      <c r="AP712" s="2" t="s">
        <v>97</v>
      </c>
      <c r="AQ712" s="2" t="s">
        <v>98</v>
      </c>
      <c r="AV712" s="2" t="s">
        <v>95</v>
      </c>
      <c r="AX712" s="2" t="s">
        <v>642</v>
      </c>
      <c r="AZ712" s="2" t="s">
        <v>483</v>
      </c>
      <c r="BB712" s="2" t="s">
        <v>348</v>
      </c>
      <c r="BC712" s="2" t="s">
        <v>379</v>
      </c>
      <c r="BF712" s="2" t="s">
        <v>3208</v>
      </c>
      <c r="BG712" s="2" t="s">
        <v>95</v>
      </c>
      <c r="BH712" s="2" t="s">
        <v>95</v>
      </c>
      <c r="BI712" s="2" t="s">
        <v>95</v>
      </c>
      <c r="BK712" s="2" t="s">
        <v>100</v>
      </c>
      <c r="BR712" s="2">
        <v>1.75</v>
      </c>
      <c r="BT712" s="2">
        <v>7.13</v>
      </c>
      <c r="CA712" s="2" t="s">
        <v>3209</v>
      </c>
      <c r="CB712" s="2" t="s">
        <v>642</v>
      </c>
      <c r="CG712" s="2">
        <v>3000</v>
      </c>
      <c r="CH712" s="2">
        <v>94</v>
      </c>
      <c r="CI712" s="2">
        <v>2865</v>
      </c>
      <c r="CJ712" s="2">
        <v>1945</v>
      </c>
      <c r="CK712" s="2">
        <v>50000</v>
      </c>
      <c r="CL712" s="2" t="s">
        <v>96</v>
      </c>
      <c r="CM712" s="2" t="s">
        <v>95</v>
      </c>
      <c r="CN712" s="2" t="s">
        <v>3210</v>
      </c>
      <c r="CO712" s="3">
        <v>43089</v>
      </c>
      <c r="CP712" s="3">
        <v>43634</v>
      </c>
    </row>
    <row r="713" spans="1:94" x14ac:dyDescent="0.25">
      <c r="A713" s="2" t="s">
        <v>3211</v>
      </c>
      <c r="B713" s="2" t="str">
        <f xml:space="preserve"> "" &amp; 844349025047</f>
        <v>844349025047</v>
      </c>
      <c r="C713" s="2" t="s">
        <v>467</v>
      </c>
      <c r="D713" s="2" t="s">
        <v>3206</v>
      </c>
      <c r="E713" s="2" t="s">
        <v>3207</v>
      </c>
      <c r="F713" s="2" t="s">
        <v>340</v>
      </c>
      <c r="G713" s="2">
        <v>1</v>
      </c>
      <c r="H713" s="2">
        <v>1</v>
      </c>
      <c r="I713" s="2" t="s">
        <v>94</v>
      </c>
      <c r="J713" s="6">
        <v>479</v>
      </c>
      <c r="K713" s="6">
        <v>1437</v>
      </c>
      <c r="L713" s="2">
        <v>0</v>
      </c>
      <c r="N713" s="2">
        <v>0</v>
      </c>
      <c r="O713" s="2" t="s">
        <v>96</v>
      </c>
      <c r="P713" s="6">
        <v>999.95</v>
      </c>
      <c r="Q713" s="6"/>
      <c r="R713" s="7"/>
      <c r="S713" s="2">
        <v>3.25</v>
      </c>
      <c r="T713" s="2">
        <v>32.5</v>
      </c>
      <c r="U713" s="2">
        <v>18.75</v>
      </c>
      <c r="W713" s="2">
        <v>19.29</v>
      </c>
      <c r="X713" s="2">
        <v>1</v>
      </c>
      <c r="Y713" s="2">
        <v>6.75</v>
      </c>
      <c r="Z713" s="2">
        <v>36</v>
      </c>
      <c r="AA713" s="2">
        <v>29</v>
      </c>
      <c r="AB713" s="2">
        <v>4.0780000000000003</v>
      </c>
      <c r="AC713" s="2">
        <v>27.93</v>
      </c>
      <c r="AE713" s="2">
        <v>9</v>
      </c>
      <c r="AF713" s="2" t="s">
        <v>347</v>
      </c>
      <c r="AG713" s="2">
        <v>53</v>
      </c>
      <c r="AK713" s="2" t="s">
        <v>96</v>
      </c>
      <c r="AM713" s="2" t="s">
        <v>95</v>
      </c>
      <c r="AN713" s="2" t="s">
        <v>96</v>
      </c>
      <c r="AO713" s="2" t="s">
        <v>95</v>
      </c>
      <c r="AP713" s="2" t="s">
        <v>97</v>
      </c>
      <c r="AQ713" s="2" t="s">
        <v>98</v>
      </c>
      <c r="AV713" s="2" t="s">
        <v>95</v>
      </c>
      <c r="AX713" s="2" t="s">
        <v>642</v>
      </c>
      <c r="AZ713" s="2" t="s">
        <v>483</v>
      </c>
      <c r="BB713" s="2" t="s">
        <v>348</v>
      </c>
      <c r="BC713" s="2" t="s">
        <v>379</v>
      </c>
      <c r="BF713" s="2" t="s">
        <v>3212</v>
      </c>
      <c r="BG713" s="2" t="s">
        <v>95</v>
      </c>
      <c r="BH713" s="2" t="s">
        <v>95</v>
      </c>
      <c r="BI713" s="2" t="s">
        <v>95</v>
      </c>
      <c r="BK713" s="2" t="s">
        <v>100</v>
      </c>
      <c r="BR713" s="2">
        <v>2.13</v>
      </c>
      <c r="BT713" s="2">
        <v>15.38</v>
      </c>
      <c r="CA713" s="2" t="s">
        <v>3213</v>
      </c>
      <c r="CB713" s="2" t="s">
        <v>642</v>
      </c>
      <c r="CG713" s="2">
        <v>3000</v>
      </c>
      <c r="CH713" s="2">
        <v>93</v>
      </c>
      <c r="CI713" s="2">
        <v>3467</v>
      </c>
      <c r="CJ713" s="2">
        <v>2402</v>
      </c>
      <c r="CK713" s="2">
        <v>50000</v>
      </c>
      <c r="CL713" s="2" t="s">
        <v>96</v>
      </c>
      <c r="CM713" s="2" t="s">
        <v>95</v>
      </c>
      <c r="CN713" s="2" t="s">
        <v>3214</v>
      </c>
      <c r="CO713" s="3">
        <v>43089</v>
      </c>
      <c r="CP713" s="3">
        <v>43634</v>
      </c>
    </row>
    <row r="714" spans="1:94" x14ac:dyDescent="0.25">
      <c r="A714" s="2" t="s">
        <v>3215</v>
      </c>
      <c r="B714" s="2" t="str">
        <f xml:space="preserve"> "" &amp; 844349025054</f>
        <v>844349025054</v>
      </c>
      <c r="C714" s="2" t="s">
        <v>467</v>
      </c>
      <c r="D714" s="2" t="s">
        <v>3206</v>
      </c>
      <c r="E714" s="2" t="s">
        <v>3207</v>
      </c>
      <c r="F714" s="2" t="s">
        <v>340</v>
      </c>
      <c r="G714" s="2">
        <v>1</v>
      </c>
      <c r="H714" s="2">
        <v>1</v>
      </c>
      <c r="I714" s="2" t="s">
        <v>94</v>
      </c>
      <c r="J714" s="6">
        <v>619</v>
      </c>
      <c r="K714" s="6">
        <v>1857</v>
      </c>
      <c r="L714" s="2">
        <v>0</v>
      </c>
      <c r="N714" s="2">
        <v>0</v>
      </c>
      <c r="O714" s="2" t="s">
        <v>96</v>
      </c>
      <c r="P714" s="6">
        <v>1299</v>
      </c>
      <c r="Q714" s="6"/>
      <c r="R714" s="7"/>
      <c r="S714" s="2">
        <v>3.25</v>
      </c>
      <c r="T714" s="2">
        <v>32.25</v>
      </c>
      <c r="U714" s="2">
        <v>18.75</v>
      </c>
      <c r="W714" s="2">
        <v>18.78</v>
      </c>
      <c r="X714" s="2">
        <v>1</v>
      </c>
      <c r="Y714" s="2">
        <v>6.75</v>
      </c>
      <c r="Z714" s="2">
        <v>36</v>
      </c>
      <c r="AA714" s="2">
        <v>28.88</v>
      </c>
      <c r="AB714" s="2">
        <v>4.0609999999999999</v>
      </c>
      <c r="AC714" s="2">
        <v>27.05</v>
      </c>
      <c r="AE714" s="2">
        <v>11</v>
      </c>
      <c r="AF714" s="2" t="s">
        <v>347</v>
      </c>
      <c r="AG714" s="2">
        <v>72</v>
      </c>
      <c r="AK714" s="2" t="s">
        <v>96</v>
      </c>
      <c r="AM714" s="2" t="s">
        <v>95</v>
      </c>
      <c r="AN714" s="2" t="s">
        <v>96</v>
      </c>
      <c r="AO714" s="2" t="s">
        <v>95</v>
      </c>
      <c r="AP714" s="2" t="s">
        <v>97</v>
      </c>
      <c r="AQ714" s="2" t="s">
        <v>98</v>
      </c>
      <c r="AV714" s="2" t="s">
        <v>95</v>
      </c>
      <c r="AX714" s="2" t="s">
        <v>642</v>
      </c>
      <c r="AZ714" s="2" t="s">
        <v>483</v>
      </c>
      <c r="BB714" s="2" t="s">
        <v>348</v>
      </c>
      <c r="BC714" s="2" t="s">
        <v>379</v>
      </c>
      <c r="BF714" s="2" t="s">
        <v>3216</v>
      </c>
      <c r="BG714" s="2" t="s">
        <v>95</v>
      </c>
      <c r="BH714" s="2" t="s">
        <v>95</v>
      </c>
      <c r="BI714" s="2" t="s">
        <v>95</v>
      </c>
      <c r="BK714" s="2" t="s">
        <v>100</v>
      </c>
      <c r="BR714" s="2">
        <v>2.13</v>
      </c>
      <c r="BT714" s="2">
        <v>15.38</v>
      </c>
      <c r="CA714" s="2" t="s">
        <v>3217</v>
      </c>
      <c r="CB714" s="2" t="s">
        <v>642</v>
      </c>
      <c r="CG714" s="2">
        <v>3000</v>
      </c>
      <c r="CH714" s="2">
        <v>93</v>
      </c>
      <c r="CI714" s="2">
        <v>4591</v>
      </c>
      <c r="CJ714" s="2">
        <v>3111</v>
      </c>
      <c r="CK714" s="2">
        <v>50000</v>
      </c>
      <c r="CL714" s="2" t="s">
        <v>96</v>
      </c>
      <c r="CM714" s="2" t="s">
        <v>95</v>
      </c>
      <c r="CN714" s="2" t="s">
        <v>3218</v>
      </c>
      <c r="CO714" s="3">
        <v>43089</v>
      </c>
      <c r="CP714" s="3">
        <v>43634</v>
      </c>
    </row>
    <row r="715" spans="1:94" x14ac:dyDescent="0.25">
      <c r="A715" s="2" t="s">
        <v>3219</v>
      </c>
      <c r="B715" s="2" t="str">
        <f xml:space="preserve"> "" &amp; 844349025078</f>
        <v>844349025078</v>
      </c>
      <c r="C715" s="2" t="s">
        <v>467</v>
      </c>
      <c r="D715" s="2" t="s">
        <v>3144</v>
      </c>
      <c r="E715" s="2" t="s">
        <v>3145</v>
      </c>
      <c r="F715" s="2" t="s">
        <v>340</v>
      </c>
      <c r="G715" s="2">
        <v>1</v>
      </c>
      <c r="H715" s="2">
        <v>1</v>
      </c>
      <c r="I715" s="2" t="s">
        <v>94</v>
      </c>
      <c r="J715" s="6">
        <v>395</v>
      </c>
      <c r="K715" s="6">
        <v>1185</v>
      </c>
      <c r="L715" s="2">
        <v>0</v>
      </c>
      <c r="N715" s="2">
        <v>0</v>
      </c>
      <c r="O715" s="2" t="s">
        <v>96</v>
      </c>
      <c r="P715" s="6">
        <v>829.95</v>
      </c>
      <c r="Q715" s="6"/>
      <c r="R715" s="7"/>
      <c r="S715" s="2">
        <v>12.25</v>
      </c>
      <c r="T715" s="2">
        <v>15.75</v>
      </c>
      <c r="U715" s="2">
        <v>15.75</v>
      </c>
      <c r="W715" s="2">
        <v>8.7100000000000009</v>
      </c>
      <c r="X715" s="2">
        <v>1</v>
      </c>
      <c r="Y715" s="2">
        <v>9.1300000000000008</v>
      </c>
      <c r="Z715" s="2">
        <v>19</v>
      </c>
      <c r="AA715" s="2">
        <v>19</v>
      </c>
      <c r="AB715" s="2">
        <v>1.907</v>
      </c>
      <c r="AC715" s="2">
        <v>12.76</v>
      </c>
      <c r="AE715" s="2">
        <v>6</v>
      </c>
      <c r="AF715" s="2" t="s">
        <v>347</v>
      </c>
      <c r="AG715" s="2">
        <v>27</v>
      </c>
      <c r="AK715" s="2" t="s">
        <v>96</v>
      </c>
      <c r="AM715" s="2" t="s">
        <v>95</v>
      </c>
      <c r="AN715" s="2" t="s">
        <v>96</v>
      </c>
      <c r="AO715" s="2" t="s">
        <v>95</v>
      </c>
      <c r="AP715" s="2" t="s">
        <v>97</v>
      </c>
      <c r="AQ715" s="2" t="s">
        <v>98</v>
      </c>
      <c r="AV715" s="2" t="s">
        <v>95</v>
      </c>
      <c r="AX715" s="2" t="s">
        <v>3146</v>
      </c>
      <c r="AZ715" s="2" t="s">
        <v>483</v>
      </c>
      <c r="BB715" s="2" t="s">
        <v>348</v>
      </c>
      <c r="BC715" s="2" t="s">
        <v>3220</v>
      </c>
      <c r="BF715" s="2" t="s">
        <v>3221</v>
      </c>
      <c r="BG715" s="2" t="s">
        <v>95</v>
      </c>
      <c r="BH715" s="2" t="s">
        <v>95</v>
      </c>
      <c r="BI715" s="2" t="s">
        <v>95</v>
      </c>
      <c r="BK715" s="2" t="s">
        <v>100</v>
      </c>
      <c r="BQ715" s="2">
        <v>13.75</v>
      </c>
      <c r="BR715" s="2">
        <v>1.75</v>
      </c>
      <c r="BS715" s="2">
        <v>13.75</v>
      </c>
      <c r="BT715" s="2">
        <v>13.75</v>
      </c>
      <c r="CA715" s="2" t="s">
        <v>3222</v>
      </c>
      <c r="CB715" s="2" t="s">
        <v>3146</v>
      </c>
      <c r="CG715" s="2">
        <v>3000</v>
      </c>
      <c r="CH715" s="2">
        <v>92</v>
      </c>
      <c r="CI715" s="2">
        <v>1831.4</v>
      </c>
      <c r="CJ715" s="2">
        <v>1585</v>
      </c>
      <c r="CK715" s="2">
        <v>50000</v>
      </c>
      <c r="CL715" s="2" t="s">
        <v>96</v>
      </c>
      <c r="CM715" s="2" t="s">
        <v>95</v>
      </c>
      <c r="CN715" s="2" t="s">
        <v>630</v>
      </c>
      <c r="CO715" s="3">
        <v>43088</v>
      </c>
      <c r="CP715" s="3">
        <v>43634</v>
      </c>
    </row>
    <row r="716" spans="1:94" x14ac:dyDescent="0.25">
      <c r="A716" s="2" t="s">
        <v>3223</v>
      </c>
      <c r="B716" s="2" t="str">
        <f xml:space="preserve"> "" &amp; 844349025085</f>
        <v>844349025085</v>
      </c>
      <c r="C716" s="2" t="s">
        <v>467</v>
      </c>
      <c r="D716" s="2" t="s">
        <v>3144</v>
      </c>
      <c r="E716" s="2" t="s">
        <v>3145</v>
      </c>
      <c r="F716" s="2" t="s">
        <v>340</v>
      </c>
      <c r="G716" s="2">
        <v>1</v>
      </c>
      <c r="H716" s="2">
        <v>1</v>
      </c>
      <c r="I716" s="2" t="s">
        <v>94</v>
      </c>
      <c r="J716" s="6">
        <v>539</v>
      </c>
      <c r="K716" s="6">
        <v>1617</v>
      </c>
      <c r="L716" s="2">
        <v>0</v>
      </c>
      <c r="N716" s="2">
        <v>0</v>
      </c>
      <c r="O716" s="2" t="s">
        <v>96</v>
      </c>
      <c r="P716" s="6">
        <v>1134.95</v>
      </c>
      <c r="Q716" s="6"/>
      <c r="R716" s="7"/>
      <c r="S716" s="2">
        <v>12.25</v>
      </c>
      <c r="T716" s="2">
        <v>22</v>
      </c>
      <c r="U716" s="2">
        <v>22</v>
      </c>
      <c r="W716" s="2">
        <v>19.329999999999998</v>
      </c>
      <c r="X716" s="2">
        <v>1</v>
      </c>
      <c r="Y716" s="2">
        <v>9.6300000000000008</v>
      </c>
      <c r="Z716" s="2">
        <v>25.5</v>
      </c>
      <c r="AA716" s="2">
        <v>25.5</v>
      </c>
      <c r="AB716" s="2">
        <v>3.6240000000000001</v>
      </c>
      <c r="AC716" s="2">
        <v>26.06</v>
      </c>
      <c r="AE716" s="2">
        <v>1</v>
      </c>
      <c r="AF716" s="2" t="s">
        <v>347</v>
      </c>
      <c r="AG716" s="2">
        <v>34</v>
      </c>
      <c r="AK716" s="2" t="s">
        <v>96</v>
      </c>
      <c r="AM716" s="2" t="s">
        <v>95</v>
      </c>
      <c r="AN716" s="2" t="s">
        <v>96</v>
      </c>
      <c r="AO716" s="2" t="s">
        <v>95</v>
      </c>
      <c r="AP716" s="2" t="s">
        <v>97</v>
      </c>
      <c r="AQ716" s="2" t="s">
        <v>98</v>
      </c>
      <c r="AV716" s="2" t="s">
        <v>95</v>
      </c>
      <c r="AX716" s="2" t="s">
        <v>3146</v>
      </c>
      <c r="AZ716" s="2" t="s">
        <v>483</v>
      </c>
      <c r="BB716" s="2" t="s">
        <v>348</v>
      </c>
      <c r="BC716" s="2" t="s">
        <v>3220</v>
      </c>
      <c r="BF716" s="2" t="s">
        <v>3224</v>
      </c>
      <c r="BG716" s="2" t="s">
        <v>95</v>
      </c>
      <c r="BH716" s="2" t="s">
        <v>95</v>
      </c>
      <c r="BI716" s="2" t="s">
        <v>95</v>
      </c>
      <c r="BK716" s="2" t="s">
        <v>100</v>
      </c>
      <c r="BR716" s="2">
        <v>1.75</v>
      </c>
      <c r="BS716" s="2">
        <v>19.75</v>
      </c>
      <c r="BT716" s="2">
        <v>19.75</v>
      </c>
      <c r="CA716" s="2" t="s">
        <v>3225</v>
      </c>
      <c r="CB716" s="2" t="s">
        <v>3146</v>
      </c>
      <c r="CG716" s="2">
        <v>3000</v>
      </c>
      <c r="CH716" s="2">
        <v>90</v>
      </c>
      <c r="CI716" s="2">
        <v>2342</v>
      </c>
      <c r="CJ716" s="2">
        <v>2035</v>
      </c>
      <c r="CK716" s="2">
        <v>50000</v>
      </c>
      <c r="CL716" s="2" t="s">
        <v>96</v>
      </c>
      <c r="CM716" s="2" t="s">
        <v>95</v>
      </c>
      <c r="CN716" s="2" t="s">
        <v>630</v>
      </c>
      <c r="CO716" s="3">
        <v>43088</v>
      </c>
      <c r="CP716" s="3">
        <v>43634</v>
      </c>
    </row>
    <row r="717" spans="1:94" x14ac:dyDescent="0.25">
      <c r="A717" s="2" t="s">
        <v>3226</v>
      </c>
      <c r="B717" s="2" t="str">
        <f xml:space="preserve"> "" &amp; 844349025825</f>
        <v>844349025825</v>
      </c>
      <c r="C717" s="2" t="s">
        <v>3227</v>
      </c>
      <c r="D717" s="2" t="s">
        <v>3228</v>
      </c>
      <c r="E717" s="2" t="s">
        <v>3229</v>
      </c>
      <c r="F717" s="2" t="s">
        <v>340</v>
      </c>
      <c r="G717" s="2">
        <v>1</v>
      </c>
      <c r="H717" s="2">
        <v>1</v>
      </c>
      <c r="I717" s="2" t="s">
        <v>94</v>
      </c>
      <c r="J717" s="6">
        <v>345</v>
      </c>
      <c r="K717" s="6">
        <v>1035</v>
      </c>
      <c r="L717" s="2">
        <v>0</v>
      </c>
      <c r="N717" s="2">
        <v>0</v>
      </c>
      <c r="O717" s="2" t="s">
        <v>96</v>
      </c>
      <c r="P717" s="6">
        <v>724.95</v>
      </c>
      <c r="Q717" s="6"/>
      <c r="R717" s="7"/>
      <c r="S717" s="2">
        <v>18.25</v>
      </c>
      <c r="T717" s="2">
        <v>19.75</v>
      </c>
      <c r="U717" s="2">
        <v>19.75</v>
      </c>
      <c r="W717" s="2">
        <v>7.05</v>
      </c>
      <c r="X717" s="2">
        <v>1</v>
      </c>
      <c r="Y717" s="2">
        <v>10.835000000000001</v>
      </c>
      <c r="Z717" s="2">
        <v>20.25</v>
      </c>
      <c r="AA717" s="2">
        <v>18.5</v>
      </c>
      <c r="AB717" s="2">
        <v>2.3490000000000002</v>
      </c>
      <c r="AC717" s="2">
        <v>11.02</v>
      </c>
      <c r="AE717" s="2">
        <v>1</v>
      </c>
      <c r="AF717" s="2" t="s">
        <v>347</v>
      </c>
      <c r="AG717" s="2">
        <v>30</v>
      </c>
      <c r="AK717" s="2" t="s">
        <v>96</v>
      </c>
      <c r="AM717" s="2" t="s">
        <v>95</v>
      </c>
      <c r="AN717" s="2" t="s">
        <v>96</v>
      </c>
      <c r="AO717" s="2" t="s">
        <v>95</v>
      </c>
      <c r="AP717" s="2" t="s">
        <v>97</v>
      </c>
      <c r="AQ717" s="2" t="s">
        <v>98</v>
      </c>
      <c r="AV717" s="2" t="s">
        <v>95</v>
      </c>
      <c r="AX717" s="2" t="s">
        <v>3230</v>
      </c>
      <c r="AZ717" s="2" t="s">
        <v>483</v>
      </c>
      <c r="BB717" s="2" t="s">
        <v>329</v>
      </c>
      <c r="BC717" s="2" t="s">
        <v>593</v>
      </c>
      <c r="BF717" s="2" t="s">
        <v>3231</v>
      </c>
      <c r="BG717" s="2" t="s">
        <v>95</v>
      </c>
      <c r="BH717" s="2" t="s">
        <v>95</v>
      </c>
      <c r="BI717" s="2" t="s">
        <v>95</v>
      </c>
      <c r="BK717" s="2" t="s">
        <v>100</v>
      </c>
      <c r="BR717" s="2">
        <v>1.75</v>
      </c>
      <c r="BS717" s="2">
        <v>7</v>
      </c>
      <c r="BT717" s="2">
        <v>7</v>
      </c>
      <c r="CA717" s="2" t="s">
        <v>3232</v>
      </c>
      <c r="CB717" s="2" t="s">
        <v>3230</v>
      </c>
      <c r="CG717" s="2">
        <v>3000</v>
      </c>
      <c r="CH717" s="2">
        <v>90</v>
      </c>
      <c r="CI717" s="2">
        <v>1910</v>
      </c>
      <c r="CJ717" s="2">
        <v>1488</v>
      </c>
      <c r="CK717" s="2">
        <v>30000</v>
      </c>
      <c r="CL717" s="2" t="s">
        <v>96</v>
      </c>
      <c r="CM717" s="2" t="s">
        <v>95</v>
      </c>
      <c r="CN717" s="2" t="s">
        <v>3233</v>
      </c>
      <c r="CO717" s="3">
        <v>43096</v>
      </c>
      <c r="CP717" s="3">
        <v>43634</v>
      </c>
    </row>
    <row r="718" spans="1:94" x14ac:dyDescent="0.25">
      <c r="A718" s="2" t="s">
        <v>3234</v>
      </c>
      <c r="B718" s="2" t="str">
        <f xml:space="preserve"> "" &amp; 844349025832</f>
        <v>844349025832</v>
      </c>
      <c r="C718" s="2" t="s">
        <v>3235</v>
      </c>
      <c r="D718" s="2" t="s">
        <v>3228</v>
      </c>
      <c r="E718" s="2" t="s">
        <v>3229</v>
      </c>
      <c r="F718" s="2" t="s">
        <v>340</v>
      </c>
      <c r="G718" s="2">
        <v>1</v>
      </c>
      <c r="H718" s="2">
        <v>1</v>
      </c>
      <c r="I718" s="2" t="s">
        <v>94</v>
      </c>
      <c r="J718" s="6">
        <v>445</v>
      </c>
      <c r="K718" s="6">
        <v>1335</v>
      </c>
      <c r="L718" s="2">
        <v>0</v>
      </c>
      <c r="N718" s="2">
        <v>0</v>
      </c>
      <c r="O718" s="2" t="s">
        <v>96</v>
      </c>
      <c r="P718" s="6">
        <v>934.95</v>
      </c>
      <c r="Q718" s="6"/>
      <c r="R718" s="7"/>
      <c r="S718" s="2">
        <v>18.25</v>
      </c>
      <c r="T718" s="2">
        <v>25.5</v>
      </c>
      <c r="U718" s="2">
        <v>25.5</v>
      </c>
      <c r="W718" s="2">
        <v>8.82</v>
      </c>
      <c r="X718" s="2">
        <v>1</v>
      </c>
      <c r="Y718" s="2">
        <v>9.8800000000000008</v>
      </c>
      <c r="Z718" s="2">
        <v>24.88</v>
      </c>
      <c r="AA718" s="2">
        <v>24.88</v>
      </c>
      <c r="AB718" s="2">
        <v>3.5390000000000001</v>
      </c>
      <c r="AC718" s="2">
        <v>15.65</v>
      </c>
      <c r="AE718" s="2">
        <v>1</v>
      </c>
      <c r="AF718" s="2" t="s">
        <v>347</v>
      </c>
      <c r="AG718" s="2">
        <v>40</v>
      </c>
      <c r="AK718" s="2" t="s">
        <v>96</v>
      </c>
      <c r="AM718" s="2" t="s">
        <v>95</v>
      </c>
      <c r="AN718" s="2" t="s">
        <v>96</v>
      </c>
      <c r="AO718" s="2" t="s">
        <v>95</v>
      </c>
      <c r="AP718" s="2" t="s">
        <v>97</v>
      </c>
      <c r="AQ718" s="2" t="s">
        <v>98</v>
      </c>
      <c r="AV718" s="2" t="s">
        <v>95</v>
      </c>
      <c r="AX718" s="2" t="s">
        <v>3230</v>
      </c>
      <c r="AZ718" s="2" t="s">
        <v>483</v>
      </c>
      <c r="BB718" s="2" t="s">
        <v>329</v>
      </c>
      <c r="BC718" s="2" t="s">
        <v>330</v>
      </c>
      <c r="BF718" s="2" t="s">
        <v>3236</v>
      </c>
      <c r="BG718" s="2" t="s">
        <v>95</v>
      </c>
      <c r="BH718" s="2" t="s">
        <v>95</v>
      </c>
      <c r="BI718" s="2" t="s">
        <v>95</v>
      </c>
      <c r="BK718" s="2" t="s">
        <v>100</v>
      </c>
      <c r="BR718" s="2">
        <v>1.75</v>
      </c>
      <c r="BS718" s="2">
        <v>7</v>
      </c>
      <c r="BT718" s="2">
        <v>7</v>
      </c>
      <c r="CA718" s="2" t="s">
        <v>3237</v>
      </c>
      <c r="CB718" s="2" t="s">
        <v>3230</v>
      </c>
      <c r="CG718" s="2">
        <v>3000</v>
      </c>
      <c r="CH718" s="2">
        <v>90</v>
      </c>
      <c r="CI718" s="2">
        <v>2505</v>
      </c>
      <c r="CJ718" s="2">
        <v>2103</v>
      </c>
      <c r="CK718" s="2">
        <v>50000</v>
      </c>
      <c r="CL718" s="2" t="s">
        <v>96</v>
      </c>
      <c r="CM718" s="2" t="s">
        <v>96</v>
      </c>
      <c r="CN718" s="2" t="s">
        <v>3233</v>
      </c>
      <c r="CO718" s="3">
        <v>43096</v>
      </c>
      <c r="CP718" s="3">
        <v>43634</v>
      </c>
    </row>
    <row r="719" spans="1:94" x14ac:dyDescent="0.25">
      <c r="A719" s="2" t="s">
        <v>3238</v>
      </c>
      <c r="B719" s="2" t="str">
        <f xml:space="preserve"> "" &amp; 844349025849</f>
        <v>844349025849</v>
      </c>
      <c r="C719" s="2" t="s">
        <v>3235</v>
      </c>
      <c r="D719" s="2" t="s">
        <v>3239</v>
      </c>
      <c r="E719" s="2" t="s">
        <v>3229</v>
      </c>
      <c r="F719" s="2" t="s">
        <v>340</v>
      </c>
      <c r="G719" s="2">
        <v>1</v>
      </c>
      <c r="H719" s="2">
        <v>1</v>
      </c>
      <c r="I719" s="2" t="s">
        <v>94</v>
      </c>
      <c r="J719" s="6">
        <v>589</v>
      </c>
      <c r="K719" s="6">
        <v>1767</v>
      </c>
      <c r="L719" s="2">
        <v>0</v>
      </c>
      <c r="N719" s="2">
        <v>0</v>
      </c>
      <c r="O719" s="2" t="s">
        <v>96</v>
      </c>
      <c r="P719" s="6">
        <v>1239.95</v>
      </c>
      <c r="Q719" s="6"/>
      <c r="R719" s="7"/>
      <c r="S719" s="2">
        <v>22</v>
      </c>
      <c r="T719" s="2">
        <v>33.5</v>
      </c>
      <c r="U719" s="2">
        <v>33.5</v>
      </c>
      <c r="W719" s="2">
        <v>12.13</v>
      </c>
      <c r="X719" s="2">
        <v>1</v>
      </c>
      <c r="Y719" s="2">
        <v>9.5</v>
      </c>
      <c r="Z719" s="2">
        <v>32.25</v>
      </c>
      <c r="AA719" s="2">
        <v>32.25</v>
      </c>
      <c r="AB719" s="2">
        <v>5.718</v>
      </c>
      <c r="AC719" s="2">
        <v>22.05</v>
      </c>
      <c r="AE719" s="2">
        <v>1</v>
      </c>
      <c r="AF719" s="2" t="s">
        <v>347</v>
      </c>
      <c r="AG719" s="2">
        <v>56</v>
      </c>
      <c r="AK719" s="2" t="s">
        <v>96</v>
      </c>
      <c r="AM719" s="2" t="s">
        <v>95</v>
      </c>
      <c r="AN719" s="2" t="s">
        <v>96</v>
      </c>
      <c r="AO719" s="2" t="s">
        <v>95</v>
      </c>
      <c r="AP719" s="2" t="s">
        <v>97</v>
      </c>
      <c r="AQ719" s="2" t="s">
        <v>98</v>
      </c>
      <c r="AV719" s="2" t="s">
        <v>95</v>
      </c>
      <c r="AX719" s="2" t="s">
        <v>3230</v>
      </c>
      <c r="AZ719" s="2" t="s">
        <v>483</v>
      </c>
      <c r="BB719" s="2" t="s">
        <v>329</v>
      </c>
      <c r="BC719" s="2" t="s">
        <v>593</v>
      </c>
      <c r="BF719" s="2" t="s">
        <v>3240</v>
      </c>
      <c r="BG719" s="2" t="s">
        <v>95</v>
      </c>
      <c r="BH719" s="2" t="s">
        <v>95</v>
      </c>
      <c r="BI719" s="2" t="s">
        <v>95</v>
      </c>
      <c r="BK719" s="2" t="s">
        <v>100</v>
      </c>
      <c r="BR719" s="2">
        <v>1.75</v>
      </c>
      <c r="BS719" s="2">
        <v>7</v>
      </c>
      <c r="BT719" s="2">
        <v>7</v>
      </c>
      <c r="CA719" s="2" t="s">
        <v>3241</v>
      </c>
      <c r="CB719" s="2" t="s">
        <v>3230</v>
      </c>
      <c r="CG719" s="2">
        <v>3000</v>
      </c>
      <c r="CH719" s="2">
        <v>90</v>
      </c>
      <c r="CI719" s="2">
        <v>3130</v>
      </c>
      <c r="CJ719" s="2">
        <v>2786</v>
      </c>
      <c r="CK719" s="2">
        <v>50000</v>
      </c>
      <c r="CL719" s="2" t="s">
        <v>96</v>
      </c>
      <c r="CM719" s="2" t="s">
        <v>96</v>
      </c>
      <c r="CN719" s="2" t="s">
        <v>3233</v>
      </c>
      <c r="CO719" s="3">
        <v>43096</v>
      </c>
      <c r="CP719" s="3">
        <v>43634</v>
      </c>
    </row>
    <row r="720" spans="1:94" x14ac:dyDescent="0.25">
      <c r="A720" s="2" t="s">
        <v>3242</v>
      </c>
      <c r="B720" s="2" t="str">
        <f xml:space="preserve"> "" &amp; 844349021186</f>
        <v>844349021186</v>
      </c>
      <c r="C720" s="2" t="s">
        <v>1674</v>
      </c>
      <c r="D720" s="2" t="s">
        <v>535</v>
      </c>
      <c r="F720" s="2" t="s">
        <v>102</v>
      </c>
      <c r="G720" s="2">
        <v>1</v>
      </c>
      <c r="H720" s="2">
        <v>1</v>
      </c>
      <c r="I720" s="2" t="s">
        <v>94</v>
      </c>
      <c r="J720" s="6">
        <v>29</v>
      </c>
      <c r="K720" s="6">
        <v>87</v>
      </c>
      <c r="L720" s="2">
        <v>0</v>
      </c>
      <c r="N720" s="2">
        <v>0</v>
      </c>
      <c r="O720" s="2" t="s">
        <v>96</v>
      </c>
      <c r="P720" s="6">
        <v>60.95</v>
      </c>
      <c r="Q720" s="6"/>
      <c r="R720" s="7"/>
      <c r="S720" s="2">
        <v>2.25</v>
      </c>
      <c r="T720" s="2">
        <v>6</v>
      </c>
      <c r="U720" s="2">
        <v>6</v>
      </c>
      <c r="W720" s="2">
        <v>1.63</v>
      </c>
      <c r="X720" s="2">
        <v>1</v>
      </c>
      <c r="Y720" s="2">
        <v>5.38</v>
      </c>
      <c r="Z720" s="2">
        <v>8.1300000000000008</v>
      </c>
      <c r="AA720" s="2">
        <v>8.1300000000000008</v>
      </c>
      <c r="AB720" s="2">
        <v>0.20599999999999999</v>
      </c>
      <c r="AC720" s="2">
        <v>2.16</v>
      </c>
      <c r="AE720" s="2">
        <v>1</v>
      </c>
      <c r="AF720" s="2" t="s">
        <v>347</v>
      </c>
      <c r="AG720" s="2">
        <v>12</v>
      </c>
      <c r="AK720" s="2" t="s">
        <v>96</v>
      </c>
      <c r="AM720" s="2" t="s">
        <v>95</v>
      </c>
      <c r="AN720" s="2" t="s">
        <v>96</v>
      </c>
      <c r="AO720" s="2" t="s">
        <v>95</v>
      </c>
      <c r="AP720" s="2" t="s">
        <v>97</v>
      </c>
      <c r="AQ720" s="2" t="s">
        <v>98</v>
      </c>
      <c r="AV720" s="2" t="s">
        <v>95</v>
      </c>
      <c r="AX720" s="2" t="s">
        <v>379</v>
      </c>
      <c r="AZ720" s="2" t="s">
        <v>483</v>
      </c>
      <c r="BB720" s="2" t="s">
        <v>329</v>
      </c>
      <c r="BC720" s="2" t="s">
        <v>696</v>
      </c>
      <c r="BF720" s="2" t="s">
        <v>3243</v>
      </c>
      <c r="BG720" s="2" t="s">
        <v>95</v>
      </c>
      <c r="BH720" s="2" t="s">
        <v>95</v>
      </c>
      <c r="BI720" s="2" t="s">
        <v>95</v>
      </c>
      <c r="BJ720" s="2" t="s">
        <v>96</v>
      </c>
      <c r="BK720" s="2" t="s">
        <v>567</v>
      </c>
      <c r="BR720" s="2">
        <v>1</v>
      </c>
      <c r="BT720" s="2">
        <v>5.13</v>
      </c>
      <c r="CA720" s="2" t="s">
        <v>3244</v>
      </c>
      <c r="CB720" s="2" t="s">
        <v>379</v>
      </c>
      <c r="CG720" s="2">
        <v>3000</v>
      </c>
      <c r="CH720" s="2">
        <v>95</v>
      </c>
      <c r="CI720" s="2">
        <v>848</v>
      </c>
      <c r="CJ720" s="2">
        <v>514</v>
      </c>
      <c r="CK720" s="2">
        <v>30000</v>
      </c>
      <c r="CL720" s="2" t="s">
        <v>96</v>
      </c>
      <c r="CM720" s="2" t="s">
        <v>95</v>
      </c>
      <c r="CN720" s="2" t="s">
        <v>3245</v>
      </c>
      <c r="CO720" s="3">
        <v>42457</v>
      </c>
      <c r="CP720" s="3">
        <v>43634</v>
      </c>
    </row>
    <row r="721" spans="1:94" x14ac:dyDescent="0.25">
      <c r="A721" s="2" t="s">
        <v>3246</v>
      </c>
      <c r="B721" s="2" t="str">
        <f xml:space="preserve"> "" &amp; 844349021179</f>
        <v>844349021179</v>
      </c>
      <c r="C721" s="2" t="s">
        <v>535</v>
      </c>
      <c r="D721" s="2" t="s">
        <v>535</v>
      </c>
      <c r="F721" s="2" t="s">
        <v>102</v>
      </c>
      <c r="G721" s="2">
        <v>1</v>
      </c>
      <c r="H721" s="2">
        <v>1</v>
      </c>
      <c r="I721" s="2" t="s">
        <v>94</v>
      </c>
      <c r="J721" s="6">
        <v>29</v>
      </c>
      <c r="K721" s="6">
        <v>87</v>
      </c>
      <c r="L721" s="2">
        <v>0</v>
      </c>
      <c r="N721" s="2">
        <v>0</v>
      </c>
      <c r="O721" s="2" t="s">
        <v>96</v>
      </c>
      <c r="P721" s="6">
        <v>60.95</v>
      </c>
      <c r="Q721" s="6"/>
      <c r="R721" s="7"/>
      <c r="S721" s="2">
        <v>2.25</v>
      </c>
      <c r="T721" s="2">
        <v>6</v>
      </c>
      <c r="U721" s="2">
        <v>6</v>
      </c>
      <c r="W721" s="2">
        <v>1.63</v>
      </c>
      <c r="X721" s="2">
        <v>1</v>
      </c>
      <c r="Y721" s="2">
        <v>5.38</v>
      </c>
      <c r="Z721" s="2">
        <v>8.1300000000000008</v>
      </c>
      <c r="AA721" s="2">
        <v>8.1300000000000008</v>
      </c>
      <c r="AB721" s="2">
        <v>0.20599999999999999</v>
      </c>
      <c r="AC721" s="2">
        <v>2.16</v>
      </c>
      <c r="AE721" s="2">
        <v>1</v>
      </c>
      <c r="AF721" s="2" t="s">
        <v>2031</v>
      </c>
      <c r="AG721" s="2">
        <v>12</v>
      </c>
      <c r="AK721" s="2" t="s">
        <v>96</v>
      </c>
      <c r="AM721" s="2" t="s">
        <v>95</v>
      </c>
      <c r="AN721" s="2" t="s">
        <v>96</v>
      </c>
      <c r="AO721" s="2" t="s">
        <v>95</v>
      </c>
      <c r="AP721" s="2" t="s">
        <v>97</v>
      </c>
      <c r="AQ721" s="2" t="s">
        <v>98</v>
      </c>
      <c r="AV721" s="2" t="s">
        <v>95</v>
      </c>
      <c r="AX721" s="2" t="s">
        <v>130</v>
      </c>
      <c r="AZ721" s="2" t="s">
        <v>483</v>
      </c>
      <c r="BB721" s="2" t="s">
        <v>329</v>
      </c>
      <c r="BC721" s="2" t="s">
        <v>696</v>
      </c>
      <c r="BF721" s="2" t="s">
        <v>3247</v>
      </c>
      <c r="BG721" s="2" t="s">
        <v>95</v>
      </c>
      <c r="BH721" s="2" t="s">
        <v>95</v>
      </c>
      <c r="BI721" s="2" t="s">
        <v>95</v>
      </c>
      <c r="BJ721" s="2" t="s">
        <v>96</v>
      </c>
      <c r="BK721" s="2" t="s">
        <v>567</v>
      </c>
      <c r="BM721" s="2">
        <v>5.13</v>
      </c>
      <c r="BN721" s="2">
        <v>1</v>
      </c>
      <c r="BO721" s="2">
        <v>5.13</v>
      </c>
      <c r="BP721" s="2">
        <v>5.13</v>
      </c>
      <c r="CA721" s="2" t="s">
        <v>3244</v>
      </c>
      <c r="CB721" s="2" t="s">
        <v>130</v>
      </c>
      <c r="CG721" s="2">
        <v>3000</v>
      </c>
      <c r="CH721" s="2">
        <v>95</v>
      </c>
      <c r="CI721" s="2">
        <v>848</v>
      </c>
      <c r="CJ721" s="2">
        <v>514</v>
      </c>
      <c r="CK721" s="2">
        <v>30000</v>
      </c>
      <c r="CL721" s="2" t="s">
        <v>96</v>
      </c>
      <c r="CM721" s="2" t="s">
        <v>95</v>
      </c>
      <c r="CN721" s="2" t="s">
        <v>3248</v>
      </c>
      <c r="CO721" s="3">
        <v>42457</v>
      </c>
      <c r="CP721" s="3">
        <v>43634</v>
      </c>
    </row>
    <row r="722" spans="1:94" x14ac:dyDescent="0.25">
      <c r="A722" s="2" t="s">
        <v>3249</v>
      </c>
      <c r="B722" s="2" t="str">
        <f xml:space="preserve"> "" &amp; 844349021193</f>
        <v>844349021193</v>
      </c>
      <c r="C722" s="2" t="s">
        <v>1674</v>
      </c>
      <c r="D722" s="2" t="s">
        <v>535</v>
      </c>
      <c r="F722" s="2" t="s">
        <v>102</v>
      </c>
      <c r="G722" s="2">
        <v>1</v>
      </c>
      <c r="H722" s="2">
        <v>1</v>
      </c>
      <c r="I722" s="2" t="s">
        <v>94</v>
      </c>
      <c r="J722" s="6">
        <v>29</v>
      </c>
      <c r="K722" s="6">
        <v>87</v>
      </c>
      <c r="L722" s="2">
        <v>0</v>
      </c>
      <c r="N722" s="2">
        <v>0</v>
      </c>
      <c r="O722" s="2" t="s">
        <v>96</v>
      </c>
      <c r="P722" s="6">
        <v>60.95</v>
      </c>
      <c r="Q722" s="6"/>
      <c r="R722" s="7"/>
      <c r="S722" s="2">
        <v>2.25</v>
      </c>
      <c r="T722" s="2">
        <v>6</v>
      </c>
      <c r="U722" s="2">
        <v>6</v>
      </c>
      <c r="W722" s="2">
        <v>1.63</v>
      </c>
      <c r="X722" s="2">
        <v>1</v>
      </c>
      <c r="Y722" s="2">
        <v>5.38</v>
      </c>
      <c r="Z722" s="2">
        <v>8.1300000000000008</v>
      </c>
      <c r="AA722" s="2">
        <v>8.1300000000000008</v>
      </c>
      <c r="AB722" s="2">
        <v>0.20599999999999999</v>
      </c>
      <c r="AC722" s="2">
        <v>2.16</v>
      </c>
      <c r="AE722" s="2">
        <v>1</v>
      </c>
      <c r="AF722" s="2" t="s">
        <v>2031</v>
      </c>
      <c r="AG722" s="2">
        <v>12</v>
      </c>
      <c r="AK722" s="2" t="s">
        <v>96</v>
      </c>
      <c r="AM722" s="2" t="s">
        <v>95</v>
      </c>
      <c r="AN722" s="2" t="s">
        <v>96</v>
      </c>
      <c r="AO722" s="2" t="s">
        <v>95</v>
      </c>
      <c r="AP722" s="2" t="s">
        <v>97</v>
      </c>
      <c r="AQ722" s="2" t="s">
        <v>98</v>
      </c>
      <c r="AV722" s="2" t="s">
        <v>95</v>
      </c>
      <c r="AX722" s="2" t="s">
        <v>2507</v>
      </c>
      <c r="AZ722" s="2" t="s">
        <v>483</v>
      </c>
      <c r="BB722" s="2" t="s">
        <v>329</v>
      </c>
      <c r="BC722" s="2" t="s">
        <v>696</v>
      </c>
      <c r="BF722" s="2" t="s">
        <v>3250</v>
      </c>
      <c r="BG722" s="2" t="s">
        <v>95</v>
      </c>
      <c r="BH722" s="2" t="s">
        <v>95</v>
      </c>
      <c r="BI722" s="2" t="s">
        <v>95</v>
      </c>
      <c r="BJ722" s="2" t="s">
        <v>96</v>
      </c>
      <c r="BK722" s="2" t="s">
        <v>567</v>
      </c>
      <c r="BQ722" s="2">
        <v>5.13</v>
      </c>
      <c r="BR722" s="2">
        <v>1</v>
      </c>
      <c r="BS722" s="2">
        <v>5.13</v>
      </c>
      <c r="BT722" s="2">
        <v>5.13</v>
      </c>
      <c r="CA722" s="2" t="s">
        <v>3244</v>
      </c>
      <c r="CB722" s="2" t="s">
        <v>2507</v>
      </c>
      <c r="CG722" s="2">
        <v>3000</v>
      </c>
      <c r="CH722" s="2">
        <v>95</v>
      </c>
      <c r="CI722" s="2">
        <v>848</v>
      </c>
      <c r="CJ722" s="2">
        <v>514</v>
      </c>
      <c r="CK722" s="2">
        <v>30000</v>
      </c>
      <c r="CL722" s="2" t="s">
        <v>96</v>
      </c>
      <c r="CM722" s="2" t="s">
        <v>95</v>
      </c>
      <c r="CN722" s="2" t="s">
        <v>454</v>
      </c>
      <c r="CO722" s="3">
        <v>42457</v>
      </c>
      <c r="CP722" s="3">
        <v>43634</v>
      </c>
    </row>
    <row r="723" spans="1:94" x14ac:dyDescent="0.25">
      <c r="A723" s="2" t="s">
        <v>3251</v>
      </c>
      <c r="B723" s="2" t="str">
        <f xml:space="preserve"> "" &amp; 844349021216</f>
        <v>844349021216</v>
      </c>
      <c r="C723" s="2" t="s">
        <v>1674</v>
      </c>
      <c r="D723" s="2" t="s">
        <v>535</v>
      </c>
      <c r="F723" s="2" t="s">
        <v>102</v>
      </c>
      <c r="G723" s="2">
        <v>1</v>
      </c>
      <c r="H723" s="2">
        <v>1</v>
      </c>
      <c r="I723" s="2" t="s">
        <v>94</v>
      </c>
      <c r="J723" s="6">
        <v>37</v>
      </c>
      <c r="K723" s="6">
        <v>111</v>
      </c>
      <c r="L723" s="2">
        <v>0</v>
      </c>
      <c r="N723" s="2">
        <v>0</v>
      </c>
      <c r="O723" s="2" t="s">
        <v>96</v>
      </c>
      <c r="P723" s="6">
        <v>77.95</v>
      </c>
      <c r="Q723" s="6"/>
      <c r="R723" s="7"/>
      <c r="S723" s="2">
        <v>2.25</v>
      </c>
      <c r="T723" s="2">
        <v>8</v>
      </c>
      <c r="U723" s="2">
        <v>8</v>
      </c>
      <c r="W723" s="2">
        <v>2.12</v>
      </c>
      <c r="X723" s="2">
        <v>1</v>
      </c>
      <c r="Y723" s="2">
        <v>5.5</v>
      </c>
      <c r="Z723" s="2">
        <v>10</v>
      </c>
      <c r="AA723" s="2">
        <v>10</v>
      </c>
      <c r="AB723" s="2">
        <v>0.318</v>
      </c>
      <c r="AC723" s="2">
        <v>2.73</v>
      </c>
      <c r="AE723" s="2">
        <v>1</v>
      </c>
      <c r="AF723" s="2" t="s">
        <v>3252</v>
      </c>
      <c r="AG723" s="2">
        <v>17</v>
      </c>
      <c r="AK723" s="2" t="s">
        <v>96</v>
      </c>
      <c r="AM723" s="2" t="s">
        <v>95</v>
      </c>
      <c r="AN723" s="2" t="s">
        <v>96</v>
      </c>
      <c r="AO723" s="2" t="s">
        <v>95</v>
      </c>
      <c r="AP723" s="2" t="s">
        <v>97</v>
      </c>
      <c r="AQ723" s="2" t="s">
        <v>98</v>
      </c>
      <c r="AV723" s="2" t="s">
        <v>95</v>
      </c>
      <c r="AX723" s="2" t="s">
        <v>379</v>
      </c>
      <c r="AZ723" s="2" t="s">
        <v>483</v>
      </c>
      <c r="BB723" s="2" t="s">
        <v>329</v>
      </c>
      <c r="BC723" s="2" t="s">
        <v>696</v>
      </c>
      <c r="BF723" s="2" t="s">
        <v>3253</v>
      </c>
      <c r="BG723" s="2" t="s">
        <v>95</v>
      </c>
      <c r="BH723" s="2" t="s">
        <v>95</v>
      </c>
      <c r="BI723" s="2" t="s">
        <v>95</v>
      </c>
      <c r="BJ723" s="2" t="s">
        <v>96</v>
      </c>
      <c r="BK723" s="2" t="s">
        <v>567</v>
      </c>
      <c r="BQ723" s="2">
        <v>8.8800000000000008</v>
      </c>
      <c r="BR723" s="2">
        <v>1.1299999999999999</v>
      </c>
      <c r="BS723" s="2">
        <v>8.8800000000000008</v>
      </c>
      <c r="BT723" s="2">
        <v>8.8800000000000008</v>
      </c>
      <c r="CA723" s="2" t="s">
        <v>3254</v>
      </c>
      <c r="CB723" s="2" t="s">
        <v>379</v>
      </c>
      <c r="CG723" s="2">
        <v>3000</v>
      </c>
      <c r="CH723" s="2">
        <v>95</v>
      </c>
      <c r="CI723" s="2">
        <v>1236</v>
      </c>
      <c r="CJ723" s="2">
        <v>787</v>
      </c>
      <c r="CK723" s="2">
        <v>30000</v>
      </c>
      <c r="CL723" s="2" t="s">
        <v>96</v>
      </c>
      <c r="CM723" s="2" t="s">
        <v>95</v>
      </c>
      <c r="CN723" s="2" t="s">
        <v>454</v>
      </c>
      <c r="CO723" s="3">
        <v>42457</v>
      </c>
      <c r="CP723" s="3">
        <v>43634</v>
      </c>
    </row>
    <row r="724" spans="1:94" x14ac:dyDescent="0.25">
      <c r="A724" s="2" t="s">
        <v>3255</v>
      </c>
      <c r="B724" s="2" t="str">
        <f xml:space="preserve"> "" &amp; 844349021209</f>
        <v>844349021209</v>
      </c>
      <c r="C724" s="2" t="s">
        <v>1674</v>
      </c>
      <c r="D724" s="2" t="s">
        <v>535</v>
      </c>
      <c r="F724" s="2" t="s">
        <v>102</v>
      </c>
      <c r="G724" s="2">
        <v>1</v>
      </c>
      <c r="H724" s="2">
        <v>1</v>
      </c>
      <c r="I724" s="2" t="s">
        <v>94</v>
      </c>
      <c r="J724" s="6">
        <v>37</v>
      </c>
      <c r="K724" s="6">
        <v>111</v>
      </c>
      <c r="L724" s="2">
        <v>0</v>
      </c>
      <c r="N724" s="2">
        <v>0</v>
      </c>
      <c r="O724" s="2" t="s">
        <v>96</v>
      </c>
      <c r="P724" s="6">
        <v>77.95</v>
      </c>
      <c r="Q724" s="6"/>
      <c r="R724" s="7"/>
      <c r="S724" s="2">
        <v>1</v>
      </c>
      <c r="T724" s="2">
        <v>8</v>
      </c>
      <c r="U724" s="2">
        <v>8</v>
      </c>
      <c r="W724" s="2">
        <v>2.12</v>
      </c>
      <c r="X724" s="2">
        <v>1</v>
      </c>
      <c r="Y724" s="2">
        <v>5.5</v>
      </c>
      <c r="Z724" s="2">
        <v>10</v>
      </c>
      <c r="AA724" s="2">
        <v>10</v>
      </c>
      <c r="AB724" s="2">
        <v>0.318</v>
      </c>
      <c r="AC724" s="2">
        <v>2.73</v>
      </c>
      <c r="AE724" s="2">
        <v>1</v>
      </c>
      <c r="AF724" s="2" t="s">
        <v>3252</v>
      </c>
      <c r="AG724" s="2">
        <v>17</v>
      </c>
      <c r="AK724" s="2" t="s">
        <v>96</v>
      </c>
      <c r="AM724" s="2" t="s">
        <v>95</v>
      </c>
      <c r="AN724" s="2" t="s">
        <v>96</v>
      </c>
      <c r="AO724" s="2" t="s">
        <v>95</v>
      </c>
      <c r="AP724" s="2" t="s">
        <v>97</v>
      </c>
      <c r="AQ724" s="2" t="s">
        <v>98</v>
      </c>
      <c r="AV724" s="2" t="s">
        <v>95</v>
      </c>
      <c r="AX724" s="2" t="s">
        <v>130</v>
      </c>
      <c r="AZ724" s="2" t="s">
        <v>483</v>
      </c>
      <c r="BB724" s="2" t="s">
        <v>329</v>
      </c>
      <c r="BC724" s="2" t="s">
        <v>696</v>
      </c>
      <c r="BF724" s="2" t="s">
        <v>3256</v>
      </c>
      <c r="BG724" s="2" t="s">
        <v>95</v>
      </c>
      <c r="BH724" s="2" t="s">
        <v>95</v>
      </c>
      <c r="BI724" s="2" t="s">
        <v>95</v>
      </c>
      <c r="BJ724" s="2" t="s">
        <v>96</v>
      </c>
      <c r="BK724" s="2" t="s">
        <v>567</v>
      </c>
      <c r="BQ724" s="2">
        <v>8.8800000000000008</v>
      </c>
      <c r="BR724" s="2">
        <v>1.1299999999999999</v>
      </c>
      <c r="BS724" s="2">
        <v>8.8800000000000008</v>
      </c>
      <c r="BT724" s="2">
        <v>8.8800000000000008</v>
      </c>
      <c r="CA724" s="2" t="s">
        <v>3254</v>
      </c>
      <c r="CB724" s="2" t="s">
        <v>130</v>
      </c>
      <c r="CG724" s="2">
        <v>3000</v>
      </c>
      <c r="CH724" s="2">
        <v>95</v>
      </c>
      <c r="CI724" s="2">
        <v>1236</v>
      </c>
      <c r="CJ724" s="2">
        <v>787</v>
      </c>
      <c r="CK724" s="2">
        <v>30000</v>
      </c>
      <c r="CL724" s="2" t="s">
        <v>96</v>
      </c>
      <c r="CM724" s="2" t="s">
        <v>95</v>
      </c>
      <c r="CN724" s="2" t="s">
        <v>3257</v>
      </c>
      <c r="CO724" s="3">
        <v>42457</v>
      </c>
      <c r="CP724" s="3">
        <v>43634</v>
      </c>
    </row>
    <row r="725" spans="1:94" x14ac:dyDescent="0.25">
      <c r="A725" s="2" t="s">
        <v>3258</v>
      </c>
      <c r="B725" s="2" t="str">
        <f xml:space="preserve"> "" &amp; 844349021223</f>
        <v>844349021223</v>
      </c>
      <c r="C725" s="2" t="s">
        <v>1674</v>
      </c>
      <c r="D725" s="2" t="s">
        <v>535</v>
      </c>
      <c r="F725" s="2" t="s">
        <v>102</v>
      </c>
      <c r="G725" s="2">
        <v>1</v>
      </c>
      <c r="H725" s="2">
        <v>1</v>
      </c>
      <c r="I725" s="2" t="s">
        <v>94</v>
      </c>
      <c r="J725" s="6">
        <v>37</v>
      </c>
      <c r="K725" s="6">
        <v>111</v>
      </c>
      <c r="L725" s="2">
        <v>0</v>
      </c>
      <c r="N725" s="2">
        <v>0</v>
      </c>
      <c r="O725" s="2" t="s">
        <v>96</v>
      </c>
      <c r="P725" s="6">
        <v>77.95</v>
      </c>
      <c r="Q725" s="6"/>
      <c r="R725" s="7"/>
      <c r="S725" s="2">
        <v>2.25</v>
      </c>
      <c r="T725" s="2">
        <v>8</v>
      </c>
      <c r="U725" s="2">
        <v>8</v>
      </c>
      <c r="W725" s="2">
        <v>2.12</v>
      </c>
      <c r="X725" s="2">
        <v>1</v>
      </c>
      <c r="Y725" s="2">
        <v>5.5</v>
      </c>
      <c r="Z725" s="2">
        <v>10</v>
      </c>
      <c r="AA725" s="2">
        <v>10</v>
      </c>
      <c r="AB725" s="2">
        <v>0.318</v>
      </c>
      <c r="AC725" s="2">
        <v>2.73</v>
      </c>
      <c r="AE725" s="2">
        <v>1</v>
      </c>
      <c r="AF725" s="2" t="s">
        <v>3252</v>
      </c>
      <c r="AG725" s="2">
        <v>17</v>
      </c>
      <c r="AK725" s="2" t="s">
        <v>96</v>
      </c>
      <c r="AM725" s="2" t="s">
        <v>95</v>
      </c>
      <c r="AN725" s="2" t="s">
        <v>96</v>
      </c>
      <c r="AO725" s="2" t="s">
        <v>95</v>
      </c>
      <c r="AP725" s="2" t="s">
        <v>97</v>
      </c>
      <c r="AQ725" s="2" t="s">
        <v>98</v>
      </c>
      <c r="AV725" s="2" t="s">
        <v>95</v>
      </c>
      <c r="AX725" s="2" t="s">
        <v>2507</v>
      </c>
      <c r="AZ725" s="2" t="s">
        <v>483</v>
      </c>
      <c r="BB725" s="2" t="s">
        <v>329</v>
      </c>
      <c r="BC725" s="2" t="s">
        <v>696</v>
      </c>
      <c r="BF725" s="2" t="s">
        <v>3259</v>
      </c>
      <c r="BG725" s="2" t="s">
        <v>95</v>
      </c>
      <c r="BH725" s="2" t="s">
        <v>95</v>
      </c>
      <c r="BI725" s="2" t="s">
        <v>95</v>
      </c>
      <c r="BJ725" s="2" t="s">
        <v>96</v>
      </c>
      <c r="BK725" s="2" t="s">
        <v>567</v>
      </c>
      <c r="BQ725" s="2">
        <v>8.8800000000000008</v>
      </c>
      <c r="BR725" s="2">
        <v>1.1299999999999999</v>
      </c>
      <c r="BS725" s="2">
        <v>8.8800000000000008</v>
      </c>
      <c r="BT725" s="2">
        <v>8.8800000000000008</v>
      </c>
      <c r="CA725" s="2" t="s">
        <v>3254</v>
      </c>
      <c r="CB725" s="2" t="s">
        <v>2507</v>
      </c>
      <c r="CG725" s="2">
        <v>3000</v>
      </c>
      <c r="CH725" s="2">
        <v>95</v>
      </c>
      <c r="CI725" s="2">
        <v>1236</v>
      </c>
      <c r="CJ725" s="2">
        <v>787</v>
      </c>
      <c r="CK725" s="2">
        <v>30000</v>
      </c>
      <c r="CL725" s="2" t="s">
        <v>96</v>
      </c>
      <c r="CM725" s="2" t="s">
        <v>95</v>
      </c>
      <c r="CN725" s="2" t="s">
        <v>3257</v>
      </c>
      <c r="CO725" s="3">
        <v>42405</v>
      </c>
      <c r="CP725" s="3">
        <v>43634</v>
      </c>
    </row>
    <row r="726" spans="1:94" x14ac:dyDescent="0.25">
      <c r="A726" s="2" t="s">
        <v>3260</v>
      </c>
      <c r="B726" s="2" t="str">
        <f xml:space="preserve"> "" &amp; 844349021247</f>
        <v>844349021247</v>
      </c>
      <c r="C726" s="2" t="s">
        <v>3261</v>
      </c>
      <c r="D726" s="2" t="s">
        <v>535</v>
      </c>
      <c r="F726" s="2" t="s">
        <v>102</v>
      </c>
      <c r="G726" s="2">
        <v>1</v>
      </c>
      <c r="H726" s="2">
        <v>1</v>
      </c>
      <c r="I726" s="2" t="s">
        <v>94</v>
      </c>
      <c r="J726" s="6">
        <v>52</v>
      </c>
      <c r="K726" s="6">
        <v>156</v>
      </c>
      <c r="L726" s="2">
        <v>0</v>
      </c>
      <c r="N726" s="2">
        <v>0</v>
      </c>
      <c r="O726" s="2" t="s">
        <v>96</v>
      </c>
      <c r="P726" s="6">
        <v>109.95</v>
      </c>
      <c r="Q726" s="6"/>
      <c r="R726" s="7"/>
      <c r="S726" s="2">
        <v>2.25</v>
      </c>
      <c r="T726" s="2">
        <v>10</v>
      </c>
      <c r="U726" s="2">
        <v>10</v>
      </c>
      <c r="W726" s="2">
        <v>3.15</v>
      </c>
      <c r="X726" s="2">
        <v>1</v>
      </c>
      <c r="Y726" s="2">
        <v>5.75</v>
      </c>
      <c r="Z726" s="2">
        <v>12.25</v>
      </c>
      <c r="AA726" s="2">
        <v>12.25</v>
      </c>
      <c r="AB726" s="2">
        <v>0.499</v>
      </c>
      <c r="AC726" s="2">
        <v>4.21</v>
      </c>
      <c r="AE726" s="2">
        <v>1</v>
      </c>
      <c r="AF726" s="2" t="s">
        <v>1496</v>
      </c>
      <c r="AG726" s="2">
        <v>25</v>
      </c>
      <c r="AK726" s="2" t="s">
        <v>96</v>
      </c>
      <c r="AM726" s="2" t="s">
        <v>95</v>
      </c>
      <c r="AN726" s="2" t="s">
        <v>96</v>
      </c>
      <c r="AO726" s="2" t="s">
        <v>95</v>
      </c>
      <c r="AP726" s="2" t="s">
        <v>97</v>
      </c>
      <c r="AQ726" s="2" t="s">
        <v>98</v>
      </c>
      <c r="AV726" s="2" t="s">
        <v>95</v>
      </c>
      <c r="AX726" s="2" t="s">
        <v>379</v>
      </c>
      <c r="AZ726" s="2" t="s">
        <v>449</v>
      </c>
      <c r="BB726" s="2" t="s">
        <v>329</v>
      </c>
      <c r="BC726" s="2" t="s">
        <v>696</v>
      </c>
      <c r="BF726" s="2" t="s">
        <v>3262</v>
      </c>
      <c r="BG726" s="2" t="s">
        <v>95</v>
      </c>
      <c r="BH726" s="2" t="s">
        <v>95</v>
      </c>
      <c r="BI726" s="2" t="s">
        <v>95</v>
      </c>
      <c r="BJ726" s="2" t="s">
        <v>96</v>
      </c>
      <c r="BK726" s="2" t="s">
        <v>567</v>
      </c>
      <c r="BQ726" s="2">
        <v>9.8800000000000008</v>
      </c>
      <c r="BR726" s="2">
        <v>1.1299999999999999</v>
      </c>
      <c r="BS726" s="2">
        <v>9.8800000000000008</v>
      </c>
      <c r="BT726" s="2">
        <v>9.8800000000000008</v>
      </c>
      <c r="CA726" s="2" t="s">
        <v>3263</v>
      </c>
      <c r="CB726" s="2" t="s">
        <v>379</v>
      </c>
      <c r="CG726" s="2">
        <v>3000</v>
      </c>
      <c r="CH726" s="2">
        <v>95</v>
      </c>
      <c r="CI726" s="2">
        <v>1848</v>
      </c>
      <c r="CJ726" s="2">
        <v>1292</v>
      </c>
      <c r="CK726" s="2">
        <v>30000</v>
      </c>
      <c r="CL726" s="2" t="s">
        <v>96</v>
      </c>
      <c r="CM726" s="2" t="s">
        <v>95</v>
      </c>
      <c r="CN726" s="2" t="s">
        <v>3264</v>
      </c>
      <c r="CO726" s="3">
        <v>42457</v>
      </c>
      <c r="CP726" s="3">
        <v>43634</v>
      </c>
    </row>
    <row r="727" spans="1:94" x14ac:dyDescent="0.25">
      <c r="A727" s="2" t="s">
        <v>3265</v>
      </c>
      <c r="B727" s="2" t="str">
        <f xml:space="preserve"> "" &amp; 844349021230</f>
        <v>844349021230</v>
      </c>
      <c r="C727" s="2" t="s">
        <v>3261</v>
      </c>
      <c r="D727" s="2" t="s">
        <v>535</v>
      </c>
      <c r="F727" s="2" t="s">
        <v>102</v>
      </c>
      <c r="G727" s="2">
        <v>1</v>
      </c>
      <c r="H727" s="2">
        <v>1</v>
      </c>
      <c r="I727" s="2" t="s">
        <v>94</v>
      </c>
      <c r="J727" s="6">
        <v>52</v>
      </c>
      <c r="K727" s="6">
        <v>156</v>
      </c>
      <c r="L727" s="2">
        <v>0</v>
      </c>
      <c r="N727" s="2">
        <v>0</v>
      </c>
      <c r="O727" s="2" t="s">
        <v>96</v>
      </c>
      <c r="P727" s="6">
        <v>109.95</v>
      </c>
      <c r="Q727" s="6"/>
      <c r="R727" s="7"/>
      <c r="S727" s="2">
        <v>2.25</v>
      </c>
      <c r="T727" s="2">
        <v>10</v>
      </c>
      <c r="U727" s="2">
        <v>10</v>
      </c>
      <c r="W727" s="2">
        <v>3.15</v>
      </c>
      <c r="X727" s="2">
        <v>1</v>
      </c>
      <c r="Y727" s="2">
        <v>5.75</v>
      </c>
      <c r="Z727" s="2">
        <v>12.25</v>
      </c>
      <c r="AA727" s="2">
        <v>12.25</v>
      </c>
      <c r="AB727" s="2">
        <v>0.499</v>
      </c>
      <c r="AC727" s="2">
        <v>4.21</v>
      </c>
      <c r="AE727" s="2">
        <v>1</v>
      </c>
      <c r="AF727" s="2" t="s">
        <v>1496</v>
      </c>
      <c r="AG727" s="2">
        <v>25</v>
      </c>
      <c r="AK727" s="2" t="s">
        <v>96</v>
      </c>
      <c r="AM727" s="2" t="s">
        <v>95</v>
      </c>
      <c r="AN727" s="2" t="s">
        <v>96</v>
      </c>
      <c r="AO727" s="2" t="s">
        <v>95</v>
      </c>
      <c r="AP727" s="2" t="s">
        <v>97</v>
      </c>
      <c r="AQ727" s="2" t="s">
        <v>98</v>
      </c>
      <c r="AV727" s="2" t="s">
        <v>95</v>
      </c>
      <c r="AX727" s="2" t="s">
        <v>130</v>
      </c>
      <c r="AZ727" s="2" t="s">
        <v>483</v>
      </c>
      <c r="BB727" s="2" t="s">
        <v>329</v>
      </c>
      <c r="BC727" s="2" t="s">
        <v>696</v>
      </c>
      <c r="BF727" s="2" t="s">
        <v>3266</v>
      </c>
      <c r="BG727" s="2" t="s">
        <v>95</v>
      </c>
      <c r="BH727" s="2" t="s">
        <v>95</v>
      </c>
      <c r="BI727" s="2" t="s">
        <v>95</v>
      </c>
      <c r="BJ727" s="2" t="s">
        <v>96</v>
      </c>
      <c r="BK727" s="2" t="s">
        <v>567</v>
      </c>
      <c r="BQ727" s="2">
        <v>9.8800000000000008</v>
      </c>
      <c r="BR727" s="2">
        <v>1.1299999999999999</v>
      </c>
      <c r="BS727" s="2">
        <v>9.8800000000000008</v>
      </c>
      <c r="BT727" s="2">
        <v>9.8800000000000008</v>
      </c>
      <c r="CA727" s="2" t="s">
        <v>3263</v>
      </c>
      <c r="CB727" s="2" t="s">
        <v>130</v>
      </c>
      <c r="CG727" s="2">
        <v>3000</v>
      </c>
      <c r="CH727" s="2">
        <v>95</v>
      </c>
      <c r="CI727" s="2">
        <v>2326.6999999999998</v>
      </c>
      <c r="CJ727" s="2">
        <v>1428.2</v>
      </c>
      <c r="CK727" s="2">
        <v>30000</v>
      </c>
      <c r="CL727" s="2" t="s">
        <v>96</v>
      </c>
      <c r="CM727" s="2" t="s">
        <v>95</v>
      </c>
      <c r="CN727" s="2" t="s">
        <v>577</v>
      </c>
      <c r="CO727" s="3">
        <v>42457</v>
      </c>
      <c r="CP727" s="3">
        <v>43634</v>
      </c>
    </row>
    <row r="728" spans="1:94" x14ac:dyDescent="0.25">
      <c r="A728" s="2" t="s">
        <v>3267</v>
      </c>
      <c r="B728" s="2" t="str">
        <f xml:space="preserve"> "" &amp; 844349021254</f>
        <v>844349021254</v>
      </c>
      <c r="C728" s="2" t="s">
        <v>3261</v>
      </c>
      <c r="D728" s="2" t="s">
        <v>535</v>
      </c>
      <c r="F728" s="2" t="s">
        <v>102</v>
      </c>
      <c r="G728" s="2">
        <v>1</v>
      </c>
      <c r="H728" s="2">
        <v>1</v>
      </c>
      <c r="I728" s="2" t="s">
        <v>94</v>
      </c>
      <c r="J728" s="6">
        <v>52</v>
      </c>
      <c r="K728" s="6">
        <v>156</v>
      </c>
      <c r="L728" s="2">
        <v>0</v>
      </c>
      <c r="N728" s="2">
        <v>0</v>
      </c>
      <c r="O728" s="2" t="s">
        <v>96</v>
      </c>
      <c r="P728" s="6">
        <v>109.95</v>
      </c>
      <c r="Q728" s="6"/>
      <c r="R728" s="7"/>
      <c r="S728" s="2">
        <v>2.25</v>
      </c>
      <c r="T728" s="2">
        <v>10</v>
      </c>
      <c r="U728" s="2">
        <v>10</v>
      </c>
      <c r="W728" s="2">
        <v>3.15</v>
      </c>
      <c r="X728" s="2">
        <v>1</v>
      </c>
      <c r="Y728" s="2">
        <v>5.75</v>
      </c>
      <c r="Z728" s="2">
        <v>12.25</v>
      </c>
      <c r="AA728" s="2">
        <v>12.25</v>
      </c>
      <c r="AB728" s="2">
        <v>0.499</v>
      </c>
      <c r="AC728" s="2">
        <v>4.21</v>
      </c>
      <c r="AE728" s="2">
        <v>1</v>
      </c>
      <c r="AF728" s="2" t="s">
        <v>1496</v>
      </c>
      <c r="AG728" s="2">
        <v>25</v>
      </c>
      <c r="AK728" s="2" t="s">
        <v>96</v>
      </c>
      <c r="AM728" s="2" t="s">
        <v>95</v>
      </c>
      <c r="AN728" s="2" t="s">
        <v>96</v>
      </c>
      <c r="AO728" s="2" t="s">
        <v>95</v>
      </c>
      <c r="AP728" s="2" t="s">
        <v>97</v>
      </c>
      <c r="AQ728" s="2" t="s">
        <v>98</v>
      </c>
      <c r="AV728" s="2" t="s">
        <v>95</v>
      </c>
      <c r="AX728" s="2" t="s">
        <v>2507</v>
      </c>
      <c r="AZ728" s="2" t="s">
        <v>449</v>
      </c>
      <c r="BB728" s="2" t="s">
        <v>329</v>
      </c>
      <c r="BC728" s="2" t="s">
        <v>696</v>
      </c>
      <c r="BF728" s="2" t="s">
        <v>3268</v>
      </c>
      <c r="BG728" s="2" t="s">
        <v>95</v>
      </c>
      <c r="BH728" s="2" t="s">
        <v>95</v>
      </c>
      <c r="BI728" s="2" t="s">
        <v>95</v>
      </c>
      <c r="BJ728" s="2" t="s">
        <v>96</v>
      </c>
      <c r="BK728" s="2" t="s">
        <v>567</v>
      </c>
      <c r="BQ728" s="2">
        <v>9.8800000000000008</v>
      </c>
      <c r="BR728" s="2">
        <v>1.1299999999999999</v>
      </c>
      <c r="BS728" s="2">
        <v>9.8800000000000008</v>
      </c>
      <c r="BT728" s="2">
        <v>9.8800000000000008</v>
      </c>
      <c r="CA728" s="2" t="s">
        <v>3263</v>
      </c>
      <c r="CB728" s="2" t="s">
        <v>2507</v>
      </c>
      <c r="CG728" s="2">
        <v>3000</v>
      </c>
      <c r="CH728" s="2">
        <v>95</v>
      </c>
      <c r="CI728" s="2">
        <v>2326.6999999999998</v>
      </c>
      <c r="CJ728" s="2">
        <v>1428.2</v>
      </c>
      <c r="CK728" s="2">
        <v>30000</v>
      </c>
      <c r="CL728" s="2" t="s">
        <v>96</v>
      </c>
      <c r="CM728" s="2" t="s">
        <v>95</v>
      </c>
      <c r="CN728" s="2" t="s">
        <v>577</v>
      </c>
      <c r="CO728" s="3">
        <v>42086</v>
      </c>
      <c r="CP728" s="3">
        <v>43634</v>
      </c>
    </row>
    <row r="729" spans="1:94" x14ac:dyDescent="0.25">
      <c r="A729" s="2" t="s">
        <v>3269</v>
      </c>
      <c r="B729" s="2" t="str">
        <f xml:space="preserve"> "" &amp; 844349028314</f>
        <v>844349028314</v>
      </c>
      <c r="C729" s="2" t="s">
        <v>535</v>
      </c>
      <c r="D729" s="2" t="s">
        <v>3270</v>
      </c>
      <c r="E729" s="2" t="s">
        <v>3271</v>
      </c>
      <c r="F729" s="2" t="s">
        <v>340</v>
      </c>
      <c r="G729" s="2">
        <v>1</v>
      </c>
      <c r="H729" s="2">
        <v>1</v>
      </c>
      <c r="I729" s="2" t="s">
        <v>94</v>
      </c>
      <c r="J729" s="6">
        <v>140</v>
      </c>
      <c r="K729" s="6">
        <v>420</v>
      </c>
      <c r="L729" s="2">
        <v>0</v>
      </c>
      <c r="N729" s="2">
        <v>0</v>
      </c>
      <c r="O729" s="2" t="s">
        <v>96</v>
      </c>
      <c r="P729" s="6">
        <v>294.95</v>
      </c>
      <c r="Q729" s="6"/>
      <c r="R729" s="7"/>
      <c r="S729" s="2">
        <v>2.5</v>
      </c>
      <c r="T729" s="2">
        <v>15.75</v>
      </c>
      <c r="U729" s="2">
        <v>15.75</v>
      </c>
      <c r="W729" s="2">
        <v>8.11</v>
      </c>
      <c r="X729" s="2">
        <v>1</v>
      </c>
      <c r="Y729" s="2">
        <v>6</v>
      </c>
      <c r="Z729" s="2">
        <v>18.5</v>
      </c>
      <c r="AA729" s="2">
        <v>18.5</v>
      </c>
      <c r="AB729" s="2">
        <v>1.1879999999999999</v>
      </c>
      <c r="AC729" s="2">
        <v>10.54</v>
      </c>
      <c r="AE729" s="2">
        <v>1</v>
      </c>
      <c r="AF729" s="2" t="s">
        <v>347</v>
      </c>
      <c r="AG729" s="2">
        <v>22</v>
      </c>
      <c r="AK729" s="2" t="s">
        <v>96</v>
      </c>
      <c r="AM729" s="2" t="s">
        <v>95</v>
      </c>
      <c r="AN729" s="2" t="s">
        <v>96</v>
      </c>
      <c r="AO729" s="2" t="s">
        <v>95</v>
      </c>
      <c r="AP729" s="2" t="s">
        <v>97</v>
      </c>
      <c r="AQ729" s="2" t="s">
        <v>98</v>
      </c>
      <c r="AV729" s="2" t="s">
        <v>95</v>
      </c>
      <c r="AX729" s="2" t="s">
        <v>395</v>
      </c>
      <c r="AZ729" s="2" t="s">
        <v>483</v>
      </c>
      <c r="BC729" s="2" t="s">
        <v>3272</v>
      </c>
      <c r="BF729" s="2" t="s">
        <v>3273</v>
      </c>
      <c r="BG729" s="2" t="s">
        <v>95</v>
      </c>
      <c r="BH729" s="2" t="s">
        <v>95</v>
      </c>
      <c r="BI729" s="2" t="s">
        <v>95</v>
      </c>
      <c r="BK729" s="2" t="s">
        <v>414</v>
      </c>
      <c r="BM729" s="2">
        <v>12.75</v>
      </c>
      <c r="BN729" s="2">
        <v>2.25</v>
      </c>
      <c r="CA729" s="2" t="s">
        <v>3274</v>
      </c>
      <c r="CB729" s="2" t="s">
        <v>395</v>
      </c>
      <c r="CG729" s="2">
        <v>3000</v>
      </c>
      <c r="CH729" s="2">
        <v>92</v>
      </c>
      <c r="CI729" s="2">
        <v>1909</v>
      </c>
      <c r="CJ729" s="2">
        <v>1365</v>
      </c>
      <c r="CK729" s="2">
        <v>25000</v>
      </c>
      <c r="CL729" s="2" t="s">
        <v>96</v>
      </c>
      <c r="CM729" s="2" t="s">
        <v>95</v>
      </c>
      <c r="CN729" s="2" t="s">
        <v>3275</v>
      </c>
      <c r="CO729" s="3">
        <v>43537</v>
      </c>
      <c r="CP729" s="3">
        <v>43634</v>
      </c>
    </row>
    <row r="730" spans="1:94" x14ac:dyDescent="0.25">
      <c r="A730" s="2" t="s">
        <v>3276</v>
      </c>
      <c r="B730" s="2" t="str">
        <f xml:space="preserve"> "" &amp; 844349013624</f>
        <v>844349013624</v>
      </c>
      <c r="C730" s="2" t="s">
        <v>1824</v>
      </c>
      <c r="D730" s="2" t="s">
        <v>1824</v>
      </c>
      <c r="F730" s="2" t="s">
        <v>102</v>
      </c>
      <c r="G730" s="2">
        <v>1</v>
      </c>
      <c r="H730" s="2">
        <v>1</v>
      </c>
      <c r="I730" s="2" t="s">
        <v>94</v>
      </c>
      <c r="J730" s="6">
        <v>77</v>
      </c>
      <c r="K730" s="6">
        <v>231</v>
      </c>
      <c r="L730" s="2">
        <v>0</v>
      </c>
      <c r="N730" s="2">
        <v>0</v>
      </c>
      <c r="O730" s="2" t="s">
        <v>96</v>
      </c>
      <c r="P730" s="6">
        <v>161.94999999999999</v>
      </c>
      <c r="Q730" s="6"/>
      <c r="R730" s="7"/>
      <c r="S730" s="2">
        <v>7</v>
      </c>
      <c r="U730" s="2">
        <v>13</v>
      </c>
      <c r="W730" s="2">
        <v>5.78</v>
      </c>
      <c r="X730" s="2">
        <v>1</v>
      </c>
      <c r="Y730" s="2">
        <v>9.5</v>
      </c>
      <c r="Z730" s="2">
        <v>15.5</v>
      </c>
      <c r="AA730" s="2">
        <v>15.5</v>
      </c>
      <c r="AB730" s="2">
        <v>1.321</v>
      </c>
      <c r="AC730" s="2">
        <v>9.15</v>
      </c>
      <c r="AE730" s="2">
        <v>1</v>
      </c>
      <c r="AF730" s="2" t="s">
        <v>519</v>
      </c>
      <c r="AG730" s="2">
        <v>100</v>
      </c>
      <c r="AK730" s="2" t="s">
        <v>95</v>
      </c>
      <c r="AM730" s="2" t="s">
        <v>95</v>
      </c>
      <c r="AN730" s="2" t="s">
        <v>96</v>
      </c>
      <c r="AO730" s="2" t="s">
        <v>95</v>
      </c>
      <c r="AP730" s="2" t="s">
        <v>97</v>
      </c>
      <c r="AQ730" s="2" t="s">
        <v>98</v>
      </c>
      <c r="AV730" s="2" t="s">
        <v>95</v>
      </c>
      <c r="AX730" s="2" t="s">
        <v>116</v>
      </c>
      <c r="AZ730" s="2" t="s">
        <v>342</v>
      </c>
      <c r="BB730" s="2" t="s">
        <v>329</v>
      </c>
      <c r="BF730" s="2" t="s">
        <v>3277</v>
      </c>
      <c r="BG730" s="2" t="s">
        <v>95</v>
      </c>
      <c r="BH730" s="2" t="s">
        <v>95</v>
      </c>
      <c r="BI730" s="2" t="s">
        <v>95</v>
      </c>
      <c r="BK730" s="2" t="s">
        <v>414</v>
      </c>
      <c r="BQ730" s="2">
        <v>5</v>
      </c>
      <c r="BR730" s="2">
        <v>1.25</v>
      </c>
      <c r="CA730" s="2" t="s">
        <v>3278</v>
      </c>
      <c r="CB730" s="2" t="s">
        <v>116</v>
      </c>
      <c r="CL730" s="2" t="s">
        <v>96</v>
      </c>
      <c r="CM730" s="2" t="s">
        <v>95</v>
      </c>
      <c r="CN730" s="2" t="s">
        <v>547</v>
      </c>
      <c r="CO730" s="3">
        <v>41246</v>
      </c>
      <c r="CP730" s="3">
        <v>43634</v>
      </c>
    </row>
    <row r="731" spans="1:94" x14ac:dyDescent="0.25">
      <c r="A731" s="2" t="s">
        <v>3279</v>
      </c>
      <c r="B731" s="2" t="str">
        <f xml:space="preserve"> "" &amp; 874944004796</f>
        <v>874944004796</v>
      </c>
      <c r="C731" s="2" t="s">
        <v>1812</v>
      </c>
      <c r="D731" s="2" t="s">
        <v>1812</v>
      </c>
      <c r="F731" s="2" t="s">
        <v>393</v>
      </c>
      <c r="G731" s="2">
        <v>1</v>
      </c>
      <c r="H731" s="2">
        <v>1</v>
      </c>
      <c r="I731" s="2" t="s">
        <v>94</v>
      </c>
      <c r="J731" s="6">
        <v>69</v>
      </c>
      <c r="K731" s="6">
        <v>207</v>
      </c>
      <c r="L731" s="2">
        <v>0</v>
      </c>
      <c r="N731" s="2">
        <v>0</v>
      </c>
      <c r="O731" s="2" t="s">
        <v>96</v>
      </c>
      <c r="P731" s="6">
        <v>144.94999999999999</v>
      </c>
      <c r="Q731" s="6"/>
      <c r="R731" s="7"/>
      <c r="S731" s="2">
        <v>10.25</v>
      </c>
      <c r="U731" s="2">
        <v>13</v>
      </c>
      <c r="W731" s="2">
        <v>3.75</v>
      </c>
      <c r="X731" s="2">
        <v>1</v>
      </c>
      <c r="Y731" s="2">
        <v>8.5</v>
      </c>
      <c r="Z731" s="2">
        <v>14.5</v>
      </c>
      <c r="AA731" s="2">
        <v>14.5</v>
      </c>
      <c r="AB731" s="2">
        <v>1.034</v>
      </c>
      <c r="AC731" s="2">
        <v>5.29</v>
      </c>
      <c r="AE731" s="2">
        <v>1</v>
      </c>
      <c r="AF731" s="2" t="s">
        <v>2992</v>
      </c>
      <c r="AG731" s="2">
        <v>150</v>
      </c>
      <c r="AH731" s="2">
        <v>0</v>
      </c>
      <c r="AJ731" s="2">
        <v>0</v>
      </c>
      <c r="AK731" s="2" t="s">
        <v>95</v>
      </c>
      <c r="AM731" s="2" t="s">
        <v>95</v>
      </c>
      <c r="AN731" s="2" t="s">
        <v>95</v>
      </c>
      <c r="AO731" s="2" t="s">
        <v>96</v>
      </c>
      <c r="AP731" s="2" t="s">
        <v>97</v>
      </c>
      <c r="AQ731" s="2" t="s">
        <v>98</v>
      </c>
      <c r="AV731" s="2" t="s">
        <v>95</v>
      </c>
      <c r="AX731" s="2" t="s">
        <v>116</v>
      </c>
      <c r="AZ731" s="2" t="s">
        <v>342</v>
      </c>
      <c r="BF731" s="2" t="s">
        <v>3280</v>
      </c>
      <c r="BG731" s="2" t="s">
        <v>95</v>
      </c>
      <c r="BH731" s="2" t="s">
        <v>95</v>
      </c>
      <c r="BI731" s="2" t="s">
        <v>95</v>
      </c>
      <c r="BK731" s="2" t="s">
        <v>100</v>
      </c>
      <c r="BQ731" s="2">
        <v>5</v>
      </c>
      <c r="CA731" s="2" t="s">
        <v>3281</v>
      </c>
      <c r="CB731" s="2" t="s">
        <v>116</v>
      </c>
      <c r="CL731" s="2" t="s">
        <v>96</v>
      </c>
      <c r="CM731" s="2" t="s">
        <v>96</v>
      </c>
      <c r="CN731" s="2" t="s">
        <v>230</v>
      </c>
      <c r="CO731" s="3">
        <v>38856</v>
      </c>
      <c r="CP731" s="3">
        <v>43634</v>
      </c>
    </row>
    <row r="732" spans="1:94" x14ac:dyDescent="0.25">
      <c r="A732" s="2" t="s">
        <v>3282</v>
      </c>
      <c r="B732" s="2" t="str">
        <f xml:space="preserve"> "" &amp; 844349018209</f>
        <v>844349018209</v>
      </c>
      <c r="C732" s="2" t="s">
        <v>3283</v>
      </c>
      <c r="D732" s="2" t="s">
        <v>3284</v>
      </c>
      <c r="E732" s="2" t="s">
        <v>3285</v>
      </c>
      <c r="F732" s="2" t="s">
        <v>393</v>
      </c>
      <c r="G732" s="2">
        <v>1</v>
      </c>
      <c r="H732" s="2">
        <v>1</v>
      </c>
      <c r="I732" s="2" t="s">
        <v>94</v>
      </c>
      <c r="J732" s="6">
        <v>64</v>
      </c>
      <c r="K732" s="6">
        <v>192</v>
      </c>
      <c r="L732" s="2">
        <v>0</v>
      </c>
      <c r="N732" s="2">
        <v>0</v>
      </c>
      <c r="O732" s="2" t="s">
        <v>96</v>
      </c>
      <c r="P732" s="6">
        <v>134.94999999999999</v>
      </c>
      <c r="Q732" s="6"/>
      <c r="R732" s="7"/>
      <c r="S732" s="2">
        <v>8.25</v>
      </c>
      <c r="T732" s="2">
        <v>6.25</v>
      </c>
      <c r="U732" s="2">
        <v>6.25</v>
      </c>
      <c r="V732" s="2">
        <v>6.25</v>
      </c>
      <c r="W732" s="2">
        <v>2.8</v>
      </c>
      <c r="X732" s="2">
        <v>1</v>
      </c>
      <c r="Y732" s="2">
        <v>16.75</v>
      </c>
      <c r="Z732" s="2">
        <v>24.75</v>
      </c>
      <c r="AA732" s="2">
        <v>14</v>
      </c>
      <c r="AB732" s="2">
        <v>3.359</v>
      </c>
      <c r="AC732" s="2">
        <v>3.75</v>
      </c>
      <c r="AE732" s="2">
        <v>1</v>
      </c>
      <c r="AF732" s="2" t="s">
        <v>1297</v>
      </c>
      <c r="AG732" s="2">
        <v>60</v>
      </c>
      <c r="AK732" s="2" t="s">
        <v>95</v>
      </c>
      <c r="AM732" s="2" t="s">
        <v>95</v>
      </c>
      <c r="AN732" s="2" t="s">
        <v>96</v>
      </c>
      <c r="AO732" s="2" t="s">
        <v>95</v>
      </c>
      <c r="AP732" s="2" t="s">
        <v>97</v>
      </c>
      <c r="AQ732" s="2" t="s">
        <v>98</v>
      </c>
      <c r="AV732" s="2" t="s">
        <v>95</v>
      </c>
      <c r="AX732" s="2" t="s">
        <v>116</v>
      </c>
      <c r="AZ732" s="2" t="s">
        <v>342</v>
      </c>
      <c r="BB732" s="2" t="s">
        <v>329</v>
      </c>
      <c r="BC732" s="2" t="s">
        <v>451</v>
      </c>
      <c r="BF732" s="2" t="s">
        <v>3286</v>
      </c>
      <c r="BG732" s="2" t="s">
        <v>95</v>
      </c>
      <c r="BH732" s="2" t="s">
        <v>95</v>
      </c>
      <c r="BI732" s="2" t="s">
        <v>95</v>
      </c>
      <c r="BK732" s="2" t="s">
        <v>100</v>
      </c>
      <c r="BR732" s="2">
        <v>0.75</v>
      </c>
      <c r="BT732" s="2">
        <v>4.5</v>
      </c>
      <c r="CA732" s="2" t="s">
        <v>3287</v>
      </c>
      <c r="CB732" s="2" t="s">
        <v>116</v>
      </c>
      <c r="CL732" s="2" t="s">
        <v>95</v>
      </c>
      <c r="CM732" s="2" t="s">
        <v>95</v>
      </c>
      <c r="CN732" s="2" t="s">
        <v>460</v>
      </c>
      <c r="CO732" s="3">
        <v>42073</v>
      </c>
      <c r="CP732" s="3">
        <v>43634</v>
      </c>
    </row>
    <row r="733" spans="1:94" x14ac:dyDescent="0.25">
      <c r="A733" s="2" t="s">
        <v>3288</v>
      </c>
      <c r="B733" s="2" t="str">
        <f xml:space="preserve"> "" &amp; 844349011095</f>
        <v>844349011095</v>
      </c>
      <c r="C733" s="2" t="s">
        <v>3283</v>
      </c>
      <c r="D733" s="2" t="s">
        <v>3289</v>
      </c>
      <c r="E733" s="2" t="s">
        <v>3285</v>
      </c>
      <c r="F733" s="2" t="s">
        <v>393</v>
      </c>
      <c r="G733" s="2">
        <v>1</v>
      </c>
      <c r="H733" s="2">
        <v>1</v>
      </c>
      <c r="I733" s="2" t="s">
        <v>94</v>
      </c>
      <c r="J733" s="6">
        <v>64</v>
      </c>
      <c r="K733" s="6">
        <v>192</v>
      </c>
      <c r="L733" s="2">
        <v>0</v>
      </c>
      <c r="N733" s="2">
        <v>0</v>
      </c>
      <c r="O733" s="2" t="s">
        <v>96</v>
      </c>
      <c r="P733" s="6">
        <v>134.94999999999999</v>
      </c>
      <c r="Q733" s="6"/>
      <c r="R733" s="7"/>
      <c r="S733" s="2">
        <v>8.25</v>
      </c>
      <c r="T733" s="2">
        <v>8</v>
      </c>
      <c r="U733" s="2">
        <v>6.25</v>
      </c>
      <c r="W733" s="2">
        <v>2.8</v>
      </c>
      <c r="X733" s="2">
        <v>1</v>
      </c>
      <c r="Y733" s="2">
        <v>13.5</v>
      </c>
      <c r="Z733" s="2">
        <v>8</v>
      </c>
      <c r="AA733" s="2">
        <v>8</v>
      </c>
      <c r="AB733" s="2">
        <v>0.5</v>
      </c>
      <c r="AC733" s="2">
        <v>3.75</v>
      </c>
      <c r="AE733" s="2">
        <v>1</v>
      </c>
      <c r="AF733" s="2" t="s">
        <v>3290</v>
      </c>
      <c r="AG733" s="2">
        <v>60</v>
      </c>
      <c r="AK733" s="2" t="s">
        <v>95</v>
      </c>
      <c r="AM733" s="2" t="s">
        <v>95</v>
      </c>
      <c r="AN733" s="2" t="s">
        <v>96</v>
      </c>
      <c r="AO733" s="2" t="s">
        <v>95</v>
      </c>
      <c r="AP733" s="2" t="s">
        <v>97</v>
      </c>
      <c r="AQ733" s="2" t="s">
        <v>98</v>
      </c>
      <c r="AV733" s="2" t="s">
        <v>95</v>
      </c>
      <c r="AX733" s="2" t="s">
        <v>1483</v>
      </c>
      <c r="AZ733" s="2" t="s">
        <v>342</v>
      </c>
      <c r="BB733" s="2" t="s">
        <v>54</v>
      </c>
      <c r="BC733" s="2" t="s">
        <v>3291</v>
      </c>
      <c r="BF733" s="2" t="s">
        <v>3292</v>
      </c>
      <c r="BG733" s="2" t="s">
        <v>95</v>
      </c>
      <c r="BH733" s="2" t="s">
        <v>95</v>
      </c>
      <c r="BI733" s="2" t="s">
        <v>95</v>
      </c>
      <c r="BK733" s="2" t="s">
        <v>100</v>
      </c>
      <c r="BQ733" s="2">
        <v>4.5</v>
      </c>
      <c r="BR733" s="2">
        <v>0.75</v>
      </c>
      <c r="CA733" s="2" t="s">
        <v>3287</v>
      </c>
      <c r="CB733" s="2" t="s">
        <v>1483</v>
      </c>
      <c r="CL733" s="2" t="s">
        <v>96</v>
      </c>
      <c r="CM733" s="2" t="s">
        <v>96</v>
      </c>
      <c r="CN733" s="2" t="s">
        <v>3293</v>
      </c>
      <c r="CO733" s="3">
        <v>40717</v>
      </c>
      <c r="CP733" s="3">
        <v>43634</v>
      </c>
    </row>
    <row r="734" spans="1:94" x14ac:dyDescent="0.25">
      <c r="A734" s="2" t="s">
        <v>3294</v>
      </c>
      <c r="B734" s="2" t="str">
        <f xml:space="preserve"> "" &amp; 844349011118</f>
        <v>844349011118</v>
      </c>
      <c r="C734" s="2" t="s">
        <v>391</v>
      </c>
      <c r="D734" s="2" t="s">
        <v>3295</v>
      </c>
      <c r="E734" s="2" t="s">
        <v>517</v>
      </c>
      <c r="F734" s="2" t="s">
        <v>393</v>
      </c>
      <c r="G734" s="2">
        <v>1</v>
      </c>
      <c r="H734" s="2">
        <v>1</v>
      </c>
      <c r="I734" s="2" t="s">
        <v>94</v>
      </c>
      <c r="J734" s="6">
        <v>97</v>
      </c>
      <c r="K734" s="6">
        <v>291</v>
      </c>
      <c r="L734" s="2">
        <v>0</v>
      </c>
      <c r="N734" s="2">
        <v>0</v>
      </c>
      <c r="O734" s="2" t="s">
        <v>96</v>
      </c>
      <c r="P734" s="6">
        <v>203.95</v>
      </c>
      <c r="Q734" s="6"/>
      <c r="R734" s="7"/>
      <c r="S734" s="2">
        <v>8</v>
      </c>
      <c r="T734" s="2">
        <v>8</v>
      </c>
      <c r="U734" s="2">
        <v>8</v>
      </c>
      <c r="W734" s="2">
        <v>3.9</v>
      </c>
      <c r="X734" s="2">
        <v>1</v>
      </c>
      <c r="Y734" s="2">
        <v>10</v>
      </c>
      <c r="Z734" s="2">
        <v>14.5</v>
      </c>
      <c r="AA734" s="2">
        <v>10</v>
      </c>
      <c r="AB734" s="2">
        <v>0.83899999999999997</v>
      </c>
      <c r="AC734" s="2">
        <v>5.16</v>
      </c>
      <c r="AE734" s="2">
        <v>1</v>
      </c>
      <c r="AF734" s="2" t="s">
        <v>3296</v>
      </c>
      <c r="AG734" s="2">
        <v>35</v>
      </c>
      <c r="AK734" s="2" t="s">
        <v>95</v>
      </c>
      <c r="AM734" s="2" t="s">
        <v>95</v>
      </c>
      <c r="AN734" s="2" t="s">
        <v>96</v>
      </c>
      <c r="AO734" s="2" t="s">
        <v>95</v>
      </c>
      <c r="AP734" s="2" t="s">
        <v>97</v>
      </c>
      <c r="AQ734" s="2" t="s">
        <v>98</v>
      </c>
      <c r="AV734" s="2" t="s">
        <v>95</v>
      </c>
      <c r="AX734" s="2" t="s">
        <v>395</v>
      </c>
      <c r="AZ734" s="2" t="s">
        <v>342</v>
      </c>
      <c r="BB734" s="2" t="s">
        <v>329</v>
      </c>
      <c r="BC734" s="2" t="s">
        <v>451</v>
      </c>
      <c r="BF734" s="2" t="s">
        <v>3297</v>
      </c>
      <c r="BG734" s="2" t="s">
        <v>95</v>
      </c>
      <c r="BH734" s="2" t="s">
        <v>95</v>
      </c>
      <c r="BI734" s="2" t="s">
        <v>95</v>
      </c>
      <c r="BK734" s="2" t="s">
        <v>100</v>
      </c>
      <c r="BQ734" s="2">
        <v>5</v>
      </c>
      <c r="BR734" s="2">
        <v>1</v>
      </c>
      <c r="BS734" s="2">
        <v>5</v>
      </c>
      <c r="BT734" s="2">
        <v>5</v>
      </c>
      <c r="CA734" s="2" t="s">
        <v>3298</v>
      </c>
      <c r="CB734" s="2" t="s">
        <v>395</v>
      </c>
      <c r="CL734" s="2" t="s">
        <v>96</v>
      </c>
      <c r="CM734" s="2" t="s">
        <v>96</v>
      </c>
      <c r="CN734" s="2" t="s">
        <v>1404</v>
      </c>
      <c r="CO734" s="3">
        <v>40750</v>
      </c>
      <c r="CP734" s="3">
        <v>43634</v>
      </c>
    </row>
    <row r="735" spans="1:94" x14ac:dyDescent="0.25">
      <c r="A735" s="2" t="s">
        <v>3299</v>
      </c>
      <c r="B735" s="2" t="str">
        <f xml:space="preserve"> "" &amp; 844349009863</f>
        <v>844349009863</v>
      </c>
      <c r="C735" s="2" t="s">
        <v>391</v>
      </c>
      <c r="D735" s="2" t="s">
        <v>3698</v>
      </c>
      <c r="E735" s="2" t="s">
        <v>3300</v>
      </c>
      <c r="F735" s="2" t="s">
        <v>393</v>
      </c>
      <c r="G735" s="2">
        <v>1</v>
      </c>
      <c r="H735" s="2">
        <v>1</v>
      </c>
      <c r="I735" s="2" t="s">
        <v>94</v>
      </c>
      <c r="J735" s="6">
        <v>47</v>
      </c>
      <c r="K735" s="6">
        <v>141</v>
      </c>
      <c r="L735" s="2">
        <v>0</v>
      </c>
      <c r="N735" s="2">
        <v>0</v>
      </c>
      <c r="O735" s="2" t="s">
        <v>96</v>
      </c>
      <c r="P735" s="6">
        <v>98.95</v>
      </c>
      <c r="Q735" s="6"/>
      <c r="R735" s="7"/>
      <c r="S735" s="2">
        <v>9</v>
      </c>
      <c r="T735" s="2">
        <v>3.5</v>
      </c>
      <c r="U735" s="2">
        <v>3.5</v>
      </c>
      <c r="W735" s="2">
        <v>1.68</v>
      </c>
      <c r="X735" s="2">
        <v>1</v>
      </c>
      <c r="Y735" s="2">
        <v>11</v>
      </c>
      <c r="Z735" s="2">
        <v>6.5</v>
      </c>
      <c r="AA735" s="2">
        <v>6.5</v>
      </c>
      <c r="AB735" s="2">
        <v>0.26900000000000002</v>
      </c>
      <c r="AC735" s="2">
        <v>2.31</v>
      </c>
      <c r="AE735" s="2">
        <v>1</v>
      </c>
      <c r="AF735" s="2" t="s">
        <v>3301</v>
      </c>
      <c r="AG735" s="2">
        <v>50</v>
      </c>
      <c r="AK735" s="2" t="s">
        <v>95</v>
      </c>
      <c r="AM735" s="2" t="s">
        <v>95</v>
      </c>
      <c r="AN735" s="2" t="s">
        <v>96</v>
      </c>
      <c r="AO735" s="2" t="s">
        <v>95</v>
      </c>
      <c r="AP735" s="2" t="s">
        <v>97</v>
      </c>
      <c r="AQ735" s="2" t="s">
        <v>98</v>
      </c>
      <c r="AV735" s="2" t="s">
        <v>95</v>
      </c>
      <c r="AX735" s="2" t="s">
        <v>395</v>
      </c>
      <c r="AZ735" s="2" t="s">
        <v>342</v>
      </c>
      <c r="BB735" s="2" t="s">
        <v>3302</v>
      </c>
      <c r="BC735" s="2" t="s">
        <v>397</v>
      </c>
      <c r="BF735" s="2" t="s">
        <v>3303</v>
      </c>
      <c r="BG735" s="2" t="s">
        <v>95</v>
      </c>
      <c r="BH735" s="2" t="s">
        <v>95</v>
      </c>
      <c r="BI735" s="2" t="s">
        <v>95</v>
      </c>
      <c r="BK735" s="2" t="s">
        <v>100</v>
      </c>
      <c r="BQ735" s="2">
        <v>5.13</v>
      </c>
      <c r="BR735" s="2">
        <v>1</v>
      </c>
      <c r="BS735" s="2">
        <v>5.13</v>
      </c>
      <c r="BT735" s="2">
        <v>5.13</v>
      </c>
      <c r="CA735" s="2" t="s">
        <v>3304</v>
      </c>
      <c r="CB735" s="2" t="s">
        <v>395</v>
      </c>
      <c r="CL735" s="2" t="s">
        <v>96</v>
      </c>
      <c r="CM735" s="2" t="s">
        <v>96</v>
      </c>
      <c r="CN735" s="2" t="s">
        <v>577</v>
      </c>
      <c r="CO735" s="3">
        <v>40619</v>
      </c>
      <c r="CP735" s="3">
        <v>43634</v>
      </c>
    </row>
    <row r="736" spans="1:94" x14ac:dyDescent="0.25">
      <c r="A736" s="2" t="s">
        <v>3305</v>
      </c>
      <c r="B736" s="2" t="str">
        <f xml:space="preserve"> "" &amp; 870540003423</f>
        <v>870540003423</v>
      </c>
      <c r="C736" s="2" t="s">
        <v>391</v>
      </c>
      <c r="D736" s="2" t="s">
        <v>3698</v>
      </c>
      <c r="E736" s="2" t="s">
        <v>3300</v>
      </c>
      <c r="F736" s="2" t="s">
        <v>393</v>
      </c>
      <c r="G736" s="2">
        <v>1</v>
      </c>
      <c r="H736" s="2">
        <v>1</v>
      </c>
      <c r="I736" s="2" t="s">
        <v>94</v>
      </c>
      <c r="J736" s="6">
        <v>47</v>
      </c>
      <c r="K736" s="6">
        <v>141</v>
      </c>
      <c r="L736" s="2">
        <v>0</v>
      </c>
      <c r="N736" s="2">
        <v>0</v>
      </c>
      <c r="O736" s="2" t="s">
        <v>96</v>
      </c>
      <c r="P736" s="6">
        <v>98.95</v>
      </c>
      <c r="Q736" s="6"/>
      <c r="R736" s="7"/>
      <c r="S736" s="2">
        <v>9</v>
      </c>
      <c r="T736" s="2">
        <v>6.5</v>
      </c>
      <c r="U736" s="2">
        <v>3.5</v>
      </c>
      <c r="W736" s="2">
        <v>1.68</v>
      </c>
      <c r="X736" s="2">
        <v>1</v>
      </c>
      <c r="Y736" s="2">
        <v>11</v>
      </c>
      <c r="Z736" s="2">
        <v>6.5</v>
      </c>
      <c r="AA736" s="2">
        <v>6.5</v>
      </c>
      <c r="AB736" s="2">
        <v>0.26900000000000002</v>
      </c>
      <c r="AC736" s="2">
        <v>2.31</v>
      </c>
      <c r="AE736" s="2">
        <v>1</v>
      </c>
      <c r="AF736" s="2" t="s">
        <v>3306</v>
      </c>
      <c r="AG736" s="2">
        <v>50</v>
      </c>
      <c r="AH736" s="2">
        <v>0</v>
      </c>
      <c r="AJ736" s="2">
        <v>0</v>
      </c>
      <c r="AK736" s="2" t="s">
        <v>95</v>
      </c>
      <c r="AM736" s="2" t="s">
        <v>95</v>
      </c>
      <c r="AN736" s="2" t="s">
        <v>96</v>
      </c>
      <c r="AO736" s="2" t="s">
        <v>95</v>
      </c>
      <c r="AP736" s="2" t="s">
        <v>97</v>
      </c>
      <c r="AQ736" s="2" t="s">
        <v>98</v>
      </c>
      <c r="AV736" s="2" t="s">
        <v>95</v>
      </c>
      <c r="AX736" s="2" t="s">
        <v>3307</v>
      </c>
      <c r="AZ736" s="2" t="s">
        <v>342</v>
      </c>
      <c r="BB736" s="2" t="s">
        <v>3302</v>
      </c>
      <c r="BC736" s="2" t="s">
        <v>3308</v>
      </c>
      <c r="BF736" s="2" t="s">
        <v>3309</v>
      </c>
      <c r="BG736" s="2" t="s">
        <v>95</v>
      </c>
      <c r="BH736" s="2" t="s">
        <v>95</v>
      </c>
      <c r="BI736" s="2" t="s">
        <v>95</v>
      </c>
      <c r="BK736" s="2" t="s">
        <v>100</v>
      </c>
      <c r="BQ736" s="2">
        <v>5.13</v>
      </c>
      <c r="BR736" s="2">
        <v>1</v>
      </c>
      <c r="BS736" s="2">
        <v>5.13</v>
      </c>
      <c r="BT736" s="2">
        <v>5.13</v>
      </c>
      <c r="CA736" s="2" t="s">
        <v>3304</v>
      </c>
      <c r="CB736" s="2" t="s">
        <v>3307</v>
      </c>
      <c r="CL736" s="2" t="s">
        <v>96</v>
      </c>
      <c r="CM736" s="2" t="s">
        <v>96</v>
      </c>
      <c r="CN736" s="2" t="s">
        <v>212</v>
      </c>
      <c r="CO736" s="3">
        <v>39337</v>
      </c>
      <c r="CP736" s="3">
        <v>43634</v>
      </c>
    </row>
    <row r="737" spans="1:94" x14ac:dyDescent="0.25">
      <c r="A737" s="2" t="s">
        <v>3310</v>
      </c>
      <c r="B737" s="2" t="str">
        <f xml:space="preserve"> "" &amp; 844349013686</f>
        <v>844349013686</v>
      </c>
      <c r="C737" s="2" t="s">
        <v>3311</v>
      </c>
      <c r="D737" s="2" t="s">
        <v>3312</v>
      </c>
      <c r="E737" s="2" t="s">
        <v>3313</v>
      </c>
      <c r="F737" s="2" t="s">
        <v>102</v>
      </c>
      <c r="G737" s="2">
        <v>1</v>
      </c>
      <c r="H737" s="2">
        <v>1</v>
      </c>
      <c r="I737" s="2" t="s">
        <v>94</v>
      </c>
      <c r="J737" s="6">
        <v>159</v>
      </c>
      <c r="K737" s="6">
        <v>477</v>
      </c>
      <c r="L737" s="2">
        <v>0</v>
      </c>
      <c r="N737" s="2">
        <v>0</v>
      </c>
      <c r="O737" s="2" t="s">
        <v>96</v>
      </c>
      <c r="P737" s="6">
        <v>333.95</v>
      </c>
      <c r="Q737" s="6"/>
      <c r="R737" s="7"/>
      <c r="S737" s="2">
        <v>3.5</v>
      </c>
      <c r="T737" s="2">
        <v>15</v>
      </c>
      <c r="U737" s="2">
        <v>15</v>
      </c>
      <c r="W737" s="2">
        <v>5.07</v>
      </c>
      <c r="X737" s="2">
        <v>1</v>
      </c>
      <c r="Y737" s="2">
        <v>5.5</v>
      </c>
      <c r="Z737" s="2">
        <v>17.5</v>
      </c>
      <c r="AA737" s="2">
        <v>17.5</v>
      </c>
      <c r="AB737" s="2">
        <v>0.97499999999999998</v>
      </c>
      <c r="AC737" s="2">
        <v>7.45</v>
      </c>
      <c r="AE737" s="2">
        <v>1</v>
      </c>
      <c r="AF737" s="2" t="s">
        <v>3314</v>
      </c>
      <c r="AG737" s="2">
        <v>40</v>
      </c>
      <c r="AK737" s="2" t="s">
        <v>96</v>
      </c>
      <c r="AM737" s="2" t="s">
        <v>95</v>
      </c>
      <c r="AN737" s="2" t="s">
        <v>96</v>
      </c>
      <c r="AO737" s="2" t="s">
        <v>95</v>
      </c>
      <c r="AP737" s="2" t="s">
        <v>97</v>
      </c>
      <c r="AQ737" s="2" t="s">
        <v>98</v>
      </c>
      <c r="AV737" s="2" t="s">
        <v>95</v>
      </c>
      <c r="AX737" s="2" t="s">
        <v>116</v>
      </c>
      <c r="AZ737" s="2" t="s">
        <v>342</v>
      </c>
      <c r="BB737" s="2" t="s">
        <v>2173</v>
      </c>
      <c r="BC737" s="2" t="s">
        <v>99</v>
      </c>
      <c r="BF737" s="2" t="s">
        <v>3315</v>
      </c>
      <c r="BG737" s="2" t="s">
        <v>95</v>
      </c>
      <c r="BH737" s="2" t="s">
        <v>96</v>
      </c>
      <c r="BI737" s="2" t="s">
        <v>95</v>
      </c>
      <c r="BK737" s="2" t="s">
        <v>414</v>
      </c>
      <c r="BQ737" s="2">
        <v>6.25</v>
      </c>
      <c r="BR737" s="2">
        <v>1.75</v>
      </c>
      <c r="BS737" s="2">
        <v>6.25</v>
      </c>
      <c r="BT737" s="2">
        <v>6.25</v>
      </c>
      <c r="CA737" s="2" t="s">
        <v>3316</v>
      </c>
      <c r="CB737" s="2" t="s">
        <v>116</v>
      </c>
      <c r="CG737" s="2">
        <v>3000</v>
      </c>
      <c r="CH737" s="2">
        <v>95</v>
      </c>
      <c r="CI737" s="2">
        <v>3114.6</v>
      </c>
      <c r="CJ737" s="2">
        <v>2330.6</v>
      </c>
      <c r="CK737" s="2">
        <v>30000</v>
      </c>
      <c r="CL737" s="2" t="s">
        <v>96</v>
      </c>
      <c r="CM737" s="2" t="s">
        <v>95</v>
      </c>
      <c r="CN737" s="2" t="s">
        <v>3317</v>
      </c>
      <c r="CO737" s="3">
        <v>41287</v>
      </c>
      <c r="CP737" s="3">
        <v>43637</v>
      </c>
    </row>
    <row r="738" spans="1:94" x14ac:dyDescent="0.25">
      <c r="A738" s="2" t="s">
        <v>3318</v>
      </c>
      <c r="B738" s="2" t="str">
        <f xml:space="preserve"> "" &amp; 844349013693</f>
        <v>844349013693</v>
      </c>
      <c r="C738" s="2" t="s">
        <v>467</v>
      </c>
      <c r="D738" s="2" t="s">
        <v>3319</v>
      </c>
      <c r="E738" s="2" t="s">
        <v>3313</v>
      </c>
      <c r="F738" s="2" t="s">
        <v>393</v>
      </c>
      <c r="G738" s="2">
        <v>1</v>
      </c>
      <c r="H738" s="2">
        <v>1</v>
      </c>
      <c r="I738" s="2" t="s">
        <v>94</v>
      </c>
      <c r="J738" s="6">
        <v>179</v>
      </c>
      <c r="K738" s="6">
        <v>537</v>
      </c>
      <c r="L738" s="2">
        <v>0</v>
      </c>
      <c r="N738" s="2">
        <v>0</v>
      </c>
      <c r="O738" s="2" t="s">
        <v>96</v>
      </c>
      <c r="P738" s="6">
        <v>375.95</v>
      </c>
      <c r="Q738" s="6"/>
      <c r="R738" s="7"/>
      <c r="S738" s="2">
        <v>3.25</v>
      </c>
      <c r="T738" s="2">
        <v>15</v>
      </c>
      <c r="U738" s="2">
        <v>15</v>
      </c>
      <c r="W738" s="2">
        <v>6.04</v>
      </c>
      <c r="X738" s="2">
        <v>1</v>
      </c>
      <c r="Y738" s="2">
        <v>5.5</v>
      </c>
      <c r="Z738" s="2">
        <v>17.5</v>
      </c>
      <c r="AA738" s="2">
        <v>17.5</v>
      </c>
      <c r="AB738" s="2">
        <v>0.97499999999999998</v>
      </c>
      <c r="AC738" s="2">
        <v>8.16</v>
      </c>
      <c r="AE738" s="2">
        <v>1</v>
      </c>
      <c r="AF738" s="2" t="s">
        <v>347</v>
      </c>
      <c r="AG738" s="2">
        <v>40</v>
      </c>
      <c r="AK738" s="2" t="s">
        <v>96</v>
      </c>
      <c r="AM738" s="2" t="s">
        <v>95</v>
      </c>
      <c r="AN738" s="2" t="s">
        <v>96</v>
      </c>
      <c r="AO738" s="2" t="s">
        <v>95</v>
      </c>
      <c r="AP738" s="2" t="s">
        <v>97</v>
      </c>
      <c r="AQ738" s="2" t="s">
        <v>98</v>
      </c>
      <c r="AV738" s="2" t="s">
        <v>95</v>
      </c>
      <c r="AX738" s="2" t="s">
        <v>116</v>
      </c>
      <c r="AZ738" s="2" t="s">
        <v>342</v>
      </c>
      <c r="BB738" s="2" t="s">
        <v>2173</v>
      </c>
      <c r="BC738" s="2" t="s">
        <v>99</v>
      </c>
      <c r="BF738" s="2" t="s">
        <v>3320</v>
      </c>
      <c r="BG738" s="2" t="s">
        <v>95</v>
      </c>
      <c r="BH738" s="2" t="s">
        <v>95</v>
      </c>
      <c r="BI738" s="2" t="s">
        <v>95</v>
      </c>
      <c r="BK738" s="2" t="s">
        <v>100</v>
      </c>
      <c r="BQ738" s="2">
        <v>6.25</v>
      </c>
      <c r="BR738" s="2">
        <v>1.75</v>
      </c>
      <c r="BS738" s="2">
        <v>6.25</v>
      </c>
      <c r="BT738" s="2">
        <v>6.25</v>
      </c>
      <c r="CA738" s="2" t="s">
        <v>3321</v>
      </c>
      <c r="CB738" s="2" t="s">
        <v>116</v>
      </c>
      <c r="CG738" s="2">
        <v>3000</v>
      </c>
      <c r="CH738" s="2">
        <v>98</v>
      </c>
      <c r="CI738" s="2">
        <v>3045.53</v>
      </c>
      <c r="CJ738" s="2">
        <v>2223.02</v>
      </c>
      <c r="CK738" s="2">
        <v>30000</v>
      </c>
      <c r="CL738" s="2" t="s">
        <v>96</v>
      </c>
      <c r="CM738" s="2" t="s">
        <v>95</v>
      </c>
      <c r="CN738" s="2" t="s">
        <v>3317</v>
      </c>
      <c r="CO738" s="3">
        <v>41287</v>
      </c>
      <c r="CP738" s="3">
        <v>43634</v>
      </c>
    </row>
    <row r="739" spans="1:94" x14ac:dyDescent="0.25">
      <c r="A739" s="2" t="s">
        <v>3322</v>
      </c>
      <c r="B739" s="2" t="str">
        <f xml:space="preserve"> "" &amp; 844349020479</f>
        <v>844349020479</v>
      </c>
      <c r="C739" s="2" t="s">
        <v>3323</v>
      </c>
      <c r="D739" s="2" t="s">
        <v>3324</v>
      </c>
      <c r="E739" s="2" t="s">
        <v>3313</v>
      </c>
      <c r="F739" s="2" t="s">
        <v>426</v>
      </c>
      <c r="G739" s="2">
        <v>1</v>
      </c>
      <c r="H739" s="2">
        <v>1</v>
      </c>
      <c r="I739" s="2" t="s">
        <v>94</v>
      </c>
      <c r="J739" s="6">
        <v>189</v>
      </c>
      <c r="K739" s="6">
        <v>567</v>
      </c>
      <c r="L739" s="2">
        <v>0</v>
      </c>
      <c r="N739" s="2">
        <v>0</v>
      </c>
      <c r="O739" s="2" t="s">
        <v>96</v>
      </c>
      <c r="P739" s="6">
        <v>396.95</v>
      </c>
      <c r="Q739" s="6"/>
      <c r="R739" s="7"/>
      <c r="S739" s="2">
        <v>70</v>
      </c>
      <c r="T739" s="2">
        <v>15</v>
      </c>
      <c r="U739" s="2">
        <v>15</v>
      </c>
      <c r="W739" s="2">
        <v>25.71</v>
      </c>
      <c r="X739" s="2">
        <v>1</v>
      </c>
      <c r="Y739" s="2">
        <v>18.75</v>
      </c>
      <c r="Z739" s="2">
        <v>25.63</v>
      </c>
      <c r="AA739" s="2">
        <v>8.8800000000000008</v>
      </c>
      <c r="AB739" s="2">
        <v>2.4700000000000002</v>
      </c>
      <c r="AC739" s="2">
        <v>28.77</v>
      </c>
      <c r="AE739" s="2">
        <v>1</v>
      </c>
      <c r="AF739" s="2" t="s">
        <v>347</v>
      </c>
      <c r="AG739" s="2">
        <v>46</v>
      </c>
      <c r="AK739" s="2" t="s">
        <v>96</v>
      </c>
      <c r="AM739" s="2" t="s">
        <v>95</v>
      </c>
      <c r="AN739" s="2" t="s">
        <v>96</v>
      </c>
      <c r="AO739" s="2" t="s">
        <v>95</v>
      </c>
      <c r="AP739" s="2" t="s">
        <v>97</v>
      </c>
      <c r="AQ739" s="2" t="s">
        <v>98</v>
      </c>
      <c r="AV739" s="2" t="s">
        <v>95</v>
      </c>
      <c r="AX739" s="2" t="s">
        <v>116</v>
      </c>
      <c r="AZ739" s="2" t="s">
        <v>483</v>
      </c>
      <c r="BB739" s="2" t="s">
        <v>348</v>
      </c>
      <c r="BC739" s="2" t="s">
        <v>379</v>
      </c>
      <c r="BF739" s="2" t="s">
        <v>3325</v>
      </c>
      <c r="BG739" s="2" t="s">
        <v>95</v>
      </c>
      <c r="BH739" s="2" t="s">
        <v>95</v>
      </c>
      <c r="BI739" s="2" t="s">
        <v>95</v>
      </c>
      <c r="BK739" s="2" t="s">
        <v>100</v>
      </c>
      <c r="CA739" s="2" t="s">
        <v>3326</v>
      </c>
      <c r="CB739" s="2" t="s">
        <v>116</v>
      </c>
      <c r="CG739" s="2">
        <v>3000</v>
      </c>
      <c r="CH739" s="2">
        <v>98</v>
      </c>
      <c r="CI739" s="2">
        <v>2696</v>
      </c>
      <c r="CJ739" s="2">
        <v>1792</v>
      </c>
      <c r="CK739" s="2">
        <v>30000</v>
      </c>
      <c r="CL739" s="2" t="s">
        <v>96</v>
      </c>
      <c r="CM739" s="2" t="s">
        <v>95</v>
      </c>
      <c r="CN739" s="2" t="s">
        <v>1469</v>
      </c>
      <c r="CO739" s="3">
        <v>42390</v>
      </c>
      <c r="CP739" s="3">
        <v>43634</v>
      </c>
    </row>
    <row r="740" spans="1:94" x14ac:dyDescent="0.25">
      <c r="A740" s="2" t="s">
        <v>3327</v>
      </c>
      <c r="B740" s="2" t="str">
        <f xml:space="preserve"> "" &amp; 844349009153</f>
        <v>844349009153</v>
      </c>
      <c r="C740" s="2" t="s">
        <v>391</v>
      </c>
      <c r="D740" s="2" t="s">
        <v>3689</v>
      </c>
      <c r="E740" s="2" t="s">
        <v>2819</v>
      </c>
      <c r="F740" s="2" t="s">
        <v>393</v>
      </c>
      <c r="G740" s="2">
        <v>1</v>
      </c>
      <c r="H740" s="2">
        <v>1</v>
      </c>
      <c r="I740" s="2" t="s">
        <v>94</v>
      </c>
      <c r="J740" s="6">
        <v>63</v>
      </c>
      <c r="K740" s="6">
        <v>189</v>
      </c>
      <c r="L740" s="2">
        <v>0</v>
      </c>
      <c r="N740" s="2">
        <v>0</v>
      </c>
      <c r="O740" s="2" t="s">
        <v>96</v>
      </c>
      <c r="P740" s="6">
        <v>132.94999999999999</v>
      </c>
      <c r="Q740" s="6"/>
      <c r="R740" s="7"/>
      <c r="S740" s="2">
        <v>6</v>
      </c>
      <c r="T740" s="2">
        <v>6.88</v>
      </c>
      <c r="U740" s="2">
        <v>4.75</v>
      </c>
      <c r="W740" s="2">
        <v>12.43</v>
      </c>
      <c r="X740" s="2">
        <v>1</v>
      </c>
      <c r="Y740" s="2">
        <v>14</v>
      </c>
      <c r="Z740" s="2">
        <v>6.88</v>
      </c>
      <c r="AA740" s="2">
        <v>6.88</v>
      </c>
      <c r="AB740" s="2">
        <v>0.38300000000000001</v>
      </c>
      <c r="AC740" s="2">
        <v>17.329999999999998</v>
      </c>
      <c r="AE740" s="2">
        <v>1</v>
      </c>
      <c r="AF740" s="2" t="s">
        <v>440</v>
      </c>
      <c r="AG740" s="2">
        <v>100</v>
      </c>
      <c r="AK740" s="2" t="s">
        <v>95</v>
      </c>
      <c r="AM740" s="2" t="s">
        <v>95</v>
      </c>
      <c r="AN740" s="2" t="s">
        <v>96</v>
      </c>
      <c r="AO740" s="2" t="s">
        <v>95</v>
      </c>
      <c r="AP740" s="2" t="s">
        <v>97</v>
      </c>
      <c r="AQ740" s="2" t="s">
        <v>98</v>
      </c>
      <c r="AV740" s="2" t="s">
        <v>95</v>
      </c>
      <c r="AX740" s="2" t="s">
        <v>395</v>
      </c>
      <c r="AZ740" s="2" t="s">
        <v>342</v>
      </c>
      <c r="BB740" s="2" t="s">
        <v>54</v>
      </c>
      <c r="BC740" s="2" t="s">
        <v>419</v>
      </c>
      <c r="BF740" s="2" t="s">
        <v>3328</v>
      </c>
      <c r="BG740" s="2" t="s">
        <v>95</v>
      </c>
      <c r="BH740" s="2" t="s">
        <v>95</v>
      </c>
      <c r="BI740" s="2" t="s">
        <v>95</v>
      </c>
      <c r="BK740" s="2" t="s">
        <v>100</v>
      </c>
      <c r="BQ740" s="2">
        <v>5</v>
      </c>
      <c r="BR740" s="2">
        <v>1</v>
      </c>
      <c r="CA740" s="2" t="s">
        <v>3329</v>
      </c>
      <c r="CB740" s="2" t="s">
        <v>395</v>
      </c>
      <c r="CL740" s="2" t="s">
        <v>96</v>
      </c>
      <c r="CM740" s="2" t="s">
        <v>96</v>
      </c>
      <c r="CN740" s="2" t="s">
        <v>460</v>
      </c>
      <c r="CO740" s="3">
        <v>40530</v>
      </c>
      <c r="CP740" s="3">
        <v>43634</v>
      </c>
    </row>
    <row r="741" spans="1:94" x14ac:dyDescent="0.25">
      <c r="A741" s="2" t="s">
        <v>3330</v>
      </c>
      <c r="B741" s="2" t="str">
        <f xml:space="preserve"> "" &amp; 844349009160</f>
        <v>844349009160</v>
      </c>
      <c r="C741" s="2" t="s">
        <v>391</v>
      </c>
      <c r="D741" s="2" t="s">
        <v>3689</v>
      </c>
      <c r="E741" s="2" t="s">
        <v>2819</v>
      </c>
      <c r="F741" s="2" t="s">
        <v>393</v>
      </c>
      <c r="G741" s="2">
        <v>1</v>
      </c>
      <c r="H741" s="2">
        <v>1</v>
      </c>
      <c r="I741" s="2" t="s">
        <v>94</v>
      </c>
      <c r="J741" s="6">
        <v>79</v>
      </c>
      <c r="K741" s="6">
        <v>237</v>
      </c>
      <c r="L741" s="2">
        <v>0</v>
      </c>
      <c r="N741" s="2">
        <v>0</v>
      </c>
      <c r="O741" s="2" t="s">
        <v>96</v>
      </c>
      <c r="P741" s="6">
        <v>165.95</v>
      </c>
      <c r="Q741" s="6"/>
      <c r="R741" s="7"/>
      <c r="S741" s="2">
        <v>12</v>
      </c>
      <c r="T741" s="2">
        <v>5.75</v>
      </c>
      <c r="U741" s="2">
        <v>5.75</v>
      </c>
      <c r="W741" s="2">
        <v>4.0599999999999996</v>
      </c>
      <c r="X741" s="2">
        <v>1</v>
      </c>
      <c r="Y741" s="2">
        <v>16.75</v>
      </c>
      <c r="Z741" s="2">
        <v>6.88</v>
      </c>
      <c r="AA741" s="2">
        <v>6.88</v>
      </c>
      <c r="AB741" s="2">
        <v>0.45900000000000002</v>
      </c>
      <c r="AC741" s="2">
        <v>4.72</v>
      </c>
      <c r="AE741" s="2">
        <v>1</v>
      </c>
      <c r="AF741" s="2" t="s">
        <v>1307</v>
      </c>
      <c r="AG741" s="2">
        <v>60</v>
      </c>
      <c r="AK741" s="2" t="s">
        <v>95</v>
      </c>
      <c r="AM741" s="2" t="s">
        <v>95</v>
      </c>
      <c r="AN741" s="2" t="s">
        <v>96</v>
      </c>
      <c r="AO741" s="2" t="s">
        <v>95</v>
      </c>
      <c r="AP741" s="2" t="s">
        <v>97</v>
      </c>
      <c r="AQ741" s="2" t="s">
        <v>98</v>
      </c>
      <c r="AV741" s="2" t="s">
        <v>95</v>
      </c>
      <c r="AX741" s="2" t="s">
        <v>395</v>
      </c>
      <c r="AZ741" s="2" t="s">
        <v>342</v>
      </c>
      <c r="BB741" s="2" t="s">
        <v>329</v>
      </c>
      <c r="BC741" s="2" t="s">
        <v>696</v>
      </c>
      <c r="BF741" s="2" t="s">
        <v>3331</v>
      </c>
      <c r="BG741" s="2" t="s">
        <v>95</v>
      </c>
      <c r="BH741" s="2" t="s">
        <v>95</v>
      </c>
      <c r="BI741" s="2" t="s">
        <v>95</v>
      </c>
      <c r="BK741" s="2" t="s">
        <v>100</v>
      </c>
      <c r="BQ741" s="2">
        <v>5</v>
      </c>
      <c r="BR741" s="2">
        <v>1</v>
      </c>
      <c r="CA741" s="2" t="s">
        <v>3332</v>
      </c>
      <c r="CB741" s="2" t="s">
        <v>395</v>
      </c>
      <c r="CL741" s="2" t="s">
        <v>96</v>
      </c>
      <c r="CM741" s="2" t="s">
        <v>96</v>
      </c>
      <c r="CN741" s="2" t="s">
        <v>937</v>
      </c>
      <c r="CO741" s="3">
        <v>40530</v>
      </c>
      <c r="CP741" s="3">
        <v>43634</v>
      </c>
    </row>
    <row r="742" spans="1:94" x14ac:dyDescent="0.25">
      <c r="A742" s="2" t="s">
        <v>3333</v>
      </c>
      <c r="B742" s="2" t="str">
        <f xml:space="preserve"> "" &amp; 844349009177</f>
        <v>844349009177</v>
      </c>
      <c r="C742" s="2" t="s">
        <v>417</v>
      </c>
      <c r="D742" s="2" t="s">
        <v>3690</v>
      </c>
      <c r="E742" s="2" t="s">
        <v>2819</v>
      </c>
      <c r="F742" s="2" t="s">
        <v>418</v>
      </c>
      <c r="G742" s="2">
        <v>1</v>
      </c>
      <c r="H742" s="2">
        <v>1</v>
      </c>
      <c r="I742" s="2" t="s">
        <v>94</v>
      </c>
      <c r="J742" s="6">
        <v>57</v>
      </c>
      <c r="K742" s="6">
        <v>171</v>
      </c>
      <c r="L742" s="2">
        <v>0</v>
      </c>
      <c r="N742" s="2">
        <v>0</v>
      </c>
      <c r="O742" s="2" t="s">
        <v>96</v>
      </c>
      <c r="P742" s="6">
        <v>119.95</v>
      </c>
      <c r="Q742" s="6"/>
      <c r="R742" s="7"/>
      <c r="S742" s="2">
        <v>9.75</v>
      </c>
      <c r="T742" s="2">
        <v>8.5</v>
      </c>
      <c r="U742" s="2">
        <v>5</v>
      </c>
      <c r="V742" s="2">
        <v>7.5</v>
      </c>
      <c r="W742" s="2">
        <v>7.85</v>
      </c>
      <c r="X742" s="2">
        <v>1</v>
      </c>
      <c r="Y742" s="2">
        <v>12</v>
      </c>
      <c r="Z742" s="2">
        <v>8.5</v>
      </c>
      <c r="AA742" s="2">
        <v>6.88</v>
      </c>
      <c r="AB742" s="2">
        <v>0.40600000000000003</v>
      </c>
      <c r="AC742" s="2">
        <v>12.21</v>
      </c>
      <c r="AE742" s="2">
        <v>1</v>
      </c>
      <c r="AF742" s="2" t="s">
        <v>440</v>
      </c>
      <c r="AG742" s="2">
        <v>100</v>
      </c>
      <c r="AK742" s="2" t="s">
        <v>95</v>
      </c>
      <c r="AL742" s="2">
        <v>1</v>
      </c>
      <c r="AM742" s="2" t="s">
        <v>95</v>
      </c>
      <c r="AN742" s="2" t="s">
        <v>96</v>
      </c>
      <c r="AO742" s="2" t="s">
        <v>95</v>
      </c>
      <c r="AP742" s="2" t="s">
        <v>97</v>
      </c>
      <c r="AQ742" s="2" t="s">
        <v>98</v>
      </c>
      <c r="AV742" s="2" t="s">
        <v>95</v>
      </c>
      <c r="AX742" s="2" t="s">
        <v>395</v>
      </c>
      <c r="AZ742" s="2" t="s">
        <v>342</v>
      </c>
      <c r="BB742" s="2" t="s">
        <v>329</v>
      </c>
      <c r="BC742" s="2" t="s">
        <v>451</v>
      </c>
      <c r="BF742" s="2" t="s">
        <v>3334</v>
      </c>
      <c r="BG742" s="2" t="s">
        <v>95</v>
      </c>
      <c r="BH742" s="2" t="s">
        <v>95</v>
      </c>
      <c r="BI742" s="2" t="s">
        <v>95</v>
      </c>
      <c r="BK742" s="2" t="s">
        <v>100</v>
      </c>
      <c r="BL742" s="2" t="s">
        <v>993</v>
      </c>
      <c r="BQ742" s="2">
        <v>4.63</v>
      </c>
      <c r="BR742" s="2">
        <v>0.63</v>
      </c>
      <c r="CA742" s="2" t="s">
        <v>3335</v>
      </c>
      <c r="CB742" s="2" t="s">
        <v>395</v>
      </c>
      <c r="CL742" s="2" t="s">
        <v>96</v>
      </c>
      <c r="CM742" s="2" t="s">
        <v>95</v>
      </c>
      <c r="CN742" s="2" t="s">
        <v>460</v>
      </c>
      <c r="CO742" s="3">
        <v>40530</v>
      </c>
      <c r="CP742" s="3">
        <v>43634</v>
      </c>
    </row>
    <row r="743" spans="1:94" x14ac:dyDescent="0.25">
      <c r="A743" s="2" t="s">
        <v>3336</v>
      </c>
      <c r="B743" s="2" t="str">
        <f xml:space="preserve"> "" &amp; 844349009191</f>
        <v>844349009191</v>
      </c>
      <c r="C743" s="2" t="s">
        <v>402</v>
      </c>
      <c r="D743" s="2" t="s">
        <v>3691</v>
      </c>
      <c r="E743" s="2" t="s">
        <v>2819</v>
      </c>
      <c r="F743" s="2" t="s">
        <v>393</v>
      </c>
      <c r="G743" s="2">
        <v>1</v>
      </c>
      <c r="H743" s="2">
        <v>1</v>
      </c>
      <c r="I743" s="2" t="s">
        <v>94</v>
      </c>
      <c r="J743" s="6">
        <v>142</v>
      </c>
      <c r="K743" s="6">
        <v>426</v>
      </c>
      <c r="L743" s="2">
        <v>0</v>
      </c>
      <c r="N743" s="2">
        <v>0</v>
      </c>
      <c r="O743" s="2" t="s">
        <v>96</v>
      </c>
      <c r="P743" s="6">
        <v>289.95</v>
      </c>
      <c r="Q743" s="6"/>
      <c r="R743" s="7"/>
      <c r="S743" s="2">
        <v>6</v>
      </c>
      <c r="T743" s="2">
        <v>13.38</v>
      </c>
      <c r="U743" s="2">
        <v>14</v>
      </c>
      <c r="W743" s="2">
        <v>16.760000000000002</v>
      </c>
      <c r="X743" s="2">
        <v>1</v>
      </c>
      <c r="Y743" s="2">
        <v>13.63</v>
      </c>
      <c r="Z743" s="2">
        <v>13.38</v>
      </c>
      <c r="AA743" s="2">
        <v>10.5</v>
      </c>
      <c r="AB743" s="2">
        <v>1.1080000000000001</v>
      </c>
      <c r="AC743" s="2">
        <v>21.61</v>
      </c>
      <c r="AE743" s="2">
        <v>3</v>
      </c>
      <c r="AF743" s="2" t="s">
        <v>440</v>
      </c>
      <c r="AG743" s="2">
        <v>60</v>
      </c>
      <c r="AK743" s="2" t="s">
        <v>95</v>
      </c>
      <c r="AM743" s="2" t="s">
        <v>95</v>
      </c>
      <c r="AN743" s="2" t="s">
        <v>96</v>
      </c>
      <c r="AO743" s="2" t="s">
        <v>95</v>
      </c>
      <c r="AP743" s="2" t="s">
        <v>97</v>
      </c>
      <c r="AQ743" s="2" t="s">
        <v>98</v>
      </c>
      <c r="AV743" s="2" t="s">
        <v>95</v>
      </c>
      <c r="AX743" s="2" t="s">
        <v>395</v>
      </c>
      <c r="AZ743" s="2" t="s">
        <v>342</v>
      </c>
      <c r="BB743" s="2" t="s">
        <v>329</v>
      </c>
      <c r="BC743" s="2" t="s">
        <v>3337</v>
      </c>
      <c r="BF743" s="2" t="s">
        <v>3338</v>
      </c>
      <c r="BG743" s="2" t="s">
        <v>95</v>
      </c>
      <c r="BH743" s="2" t="s">
        <v>95</v>
      </c>
      <c r="BI743" s="2" t="s">
        <v>95</v>
      </c>
      <c r="BK743" s="2" t="s">
        <v>100</v>
      </c>
      <c r="BQ743" s="2">
        <v>12</v>
      </c>
      <c r="BR743" s="2">
        <v>1</v>
      </c>
      <c r="CA743" s="2" t="s">
        <v>3339</v>
      </c>
      <c r="CB743" s="2" t="s">
        <v>395</v>
      </c>
      <c r="CL743" s="2" t="s">
        <v>96</v>
      </c>
      <c r="CM743" s="2" t="s">
        <v>96</v>
      </c>
      <c r="CN743" s="2" t="s">
        <v>460</v>
      </c>
      <c r="CO743" s="3">
        <v>40530</v>
      </c>
      <c r="CP743" s="3">
        <v>43634</v>
      </c>
    </row>
    <row r="744" spans="1:94" x14ac:dyDescent="0.25">
      <c r="A744" s="2" t="s">
        <v>3340</v>
      </c>
      <c r="B744" s="2" t="str">
        <f xml:space="preserve"> "" &amp; 844349009184</f>
        <v>844349009184</v>
      </c>
      <c r="C744" s="2" t="s">
        <v>1795</v>
      </c>
      <c r="D744" s="2" t="s">
        <v>3692</v>
      </c>
      <c r="E744" s="2" t="s">
        <v>2819</v>
      </c>
      <c r="F744" s="2" t="s">
        <v>1126</v>
      </c>
      <c r="G744" s="2">
        <v>1</v>
      </c>
      <c r="H744" s="2">
        <v>1</v>
      </c>
      <c r="I744" s="2" t="s">
        <v>94</v>
      </c>
      <c r="J744" s="6">
        <v>175</v>
      </c>
      <c r="K744" s="6">
        <v>525</v>
      </c>
      <c r="L744" s="2">
        <v>0</v>
      </c>
      <c r="N744" s="2">
        <v>0</v>
      </c>
      <c r="O744" s="2" t="s">
        <v>96</v>
      </c>
      <c r="P744" s="6">
        <v>367.95</v>
      </c>
      <c r="Q744" s="6"/>
      <c r="R744" s="7"/>
      <c r="S744" s="2">
        <v>8.75</v>
      </c>
      <c r="U744" s="2">
        <v>23.75</v>
      </c>
      <c r="W744" s="2">
        <v>10.36</v>
      </c>
      <c r="X744" s="2">
        <v>1</v>
      </c>
      <c r="Y744" s="2">
        <v>21.88</v>
      </c>
      <c r="Z744" s="2">
        <v>21.13</v>
      </c>
      <c r="AA744" s="2">
        <v>8.3800000000000008</v>
      </c>
      <c r="AB744" s="2">
        <v>2.242</v>
      </c>
      <c r="AC744" s="2">
        <v>13.76</v>
      </c>
      <c r="AE744" s="2">
        <v>5</v>
      </c>
      <c r="AF744" s="2" t="s">
        <v>440</v>
      </c>
      <c r="AG744" s="2">
        <v>100</v>
      </c>
      <c r="AK744" s="2" t="s">
        <v>95</v>
      </c>
      <c r="AL744" s="2">
        <v>4</v>
      </c>
      <c r="AM744" s="2" t="s">
        <v>95</v>
      </c>
      <c r="AN744" s="2" t="s">
        <v>96</v>
      </c>
      <c r="AO744" s="2" t="s">
        <v>95</v>
      </c>
      <c r="AP744" s="2" t="s">
        <v>97</v>
      </c>
      <c r="AQ744" s="2" t="s">
        <v>98</v>
      </c>
      <c r="AV744" s="2" t="s">
        <v>95</v>
      </c>
      <c r="AX744" s="2" t="s">
        <v>395</v>
      </c>
      <c r="AZ744" s="2" t="s">
        <v>342</v>
      </c>
      <c r="BB744" s="2" t="s">
        <v>329</v>
      </c>
      <c r="BC744" s="2" t="s">
        <v>419</v>
      </c>
      <c r="BF744" s="2" t="s">
        <v>3341</v>
      </c>
      <c r="BG744" s="2" t="s">
        <v>95</v>
      </c>
      <c r="BH744" s="2" t="s">
        <v>95</v>
      </c>
      <c r="BI744" s="2" t="s">
        <v>95</v>
      </c>
      <c r="BK744" s="2" t="s">
        <v>100</v>
      </c>
      <c r="BQ744" s="2">
        <v>5</v>
      </c>
      <c r="BR744" s="2">
        <v>1</v>
      </c>
      <c r="CA744" s="2" t="s">
        <v>3342</v>
      </c>
      <c r="CB744" s="2" t="s">
        <v>395</v>
      </c>
      <c r="CL744" s="2" t="s">
        <v>96</v>
      </c>
      <c r="CM744" s="2" t="s">
        <v>96</v>
      </c>
      <c r="CN744" s="2" t="s">
        <v>460</v>
      </c>
      <c r="CO744" s="3">
        <v>40530</v>
      </c>
      <c r="CP744" s="3">
        <v>43634</v>
      </c>
    </row>
    <row r="745" spans="1:94" x14ac:dyDescent="0.25">
      <c r="A745" s="2" t="s">
        <v>3343</v>
      </c>
      <c r="B745" s="2" t="str">
        <f xml:space="preserve"> "" &amp; 844349009443</f>
        <v>844349009443</v>
      </c>
      <c r="C745" s="2" t="s">
        <v>417</v>
      </c>
      <c r="D745" s="2" t="s">
        <v>3344</v>
      </c>
      <c r="E745" s="2" t="s">
        <v>3345</v>
      </c>
      <c r="F745" s="2" t="s">
        <v>418</v>
      </c>
      <c r="G745" s="2">
        <v>1</v>
      </c>
      <c r="H745" s="2">
        <v>1</v>
      </c>
      <c r="I745" s="2" t="s">
        <v>94</v>
      </c>
      <c r="J745" s="6">
        <v>61.5</v>
      </c>
      <c r="K745" s="6">
        <v>184.5</v>
      </c>
      <c r="L745" s="2">
        <v>0</v>
      </c>
      <c r="N745" s="2">
        <v>0</v>
      </c>
      <c r="O745" s="2" t="s">
        <v>96</v>
      </c>
      <c r="P745" s="6">
        <v>129.94999999999999</v>
      </c>
      <c r="Q745" s="6"/>
      <c r="R745" s="7"/>
      <c r="S745" s="2">
        <v>13.25</v>
      </c>
      <c r="T745" s="2">
        <v>4.5</v>
      </c>
      <c r="U745" s="2">
        <v>4.5</v>
      </c>
      <c r="V745" s="2">
        <v>4</v>
      </c>
      <c r="W745" s="2">
        <v>2.14</v>
      </c>
      <c r="X745" s="2">
        <v>1</v>
      </c>
      <c r="Y745" s="2">
        <v>9.25</v>
      </c>
      <c r="Z745" s="2">
        <v>11.5</v>
      </c>
      <c r="AA745" s="2">
        <v>6</v>
      </c>
      <c r="AB745" s="2">
        <v>0.36899999999999999</v>
      </c>
      <c r="AC745" s="2">
        <v>3.2</v>
      </c>
      <c r="AE745" s="2">
        <v>1</v>
      </c>
      <c r="AF745" s="2" t="s">
        <v>324</v>
      </c>
      <c r="AG745" s="2">
        <v>35</v>
      </c>
      <c r="AK745" s="2" t="s">
        <v>95</v>
      </c>
      <c r="AL745" s="2">
        <v>1</v>
      </c>
      <c r="AM745" s="2" t="s">
        <v>95</v>
      </c>
      <c r="AN745" s="2" t="s">
        <v>96</v>
      </c>
      <c r="AO745" s="2" t="s">
        <v>95</v>
      </c>
      <c r="AP745" s="2" t="s">
        <v>97</v>
      </c>
      <c r="AQ745" s="2" t="s">
        <v>98</v>
      </c>
      <c r="AV745" s="2" t="s">
        <v>95</v>
      </c>
      <c r="AX745" s="2" t="s">
        <v>1483</v>
      </c>
      <c r="AZ745" s="2" t="s">
        <v>342</v>
      </c>
      <c r="BB745" s="2" t="s">
        <v>329</v>
      </c>
      <c r="BC745" s="2" t="s">
        <v>3346</v>
      </c>
      <c r="BF745" s="2" t="s">
        <v>3347</v>
      </c>
      <c r="BG745" s="2" t="s">
        <v>95</v>
      </c>
      <c r="BH745" s="2" t="s">
        <v>95</v>
      </c>
      <c r="BI745" s="2" t="s">
        <v>95</v>
      </c>
      <c r="BK745" s="2" t="s">
        <v>414</v>
      </c>
      <c r="BL745" s="2" t="s">
        <v>993</v>
      </c>
      <c r="BM745" s="2">
        <v>4.5</v>
      </c>
      <c r="BN745" s="2">
        <v>8</v>
      </c>
      <c r="CA745" s="2" t="s">
        <v>3348</v>
      </c>
      <c r="CB745" s="2" t="s">
        <v>1483</v>
      </c>
      <c r="CL745" s="2" t="s">
        <v>96</v>
      </c>
      <c r="CM745" s="2" t="s">
        <v>95</v>
      </c>
      <c r="CN745" s="2" t="s">
        <v>937</v>
      </c>
      <c r="CO745" s="3">
        <v>40533</v>
      </c>
      <c r="CP745" s="3">
        <v>43634</v>
      </c>
    </row>
    <row r="746" spans="1:94" x14ac:dyDescent="0.25">
      <c r="A746" s="2" t="s">
        <v>3349</v>
      </c>
      <c r="B746" s="2" t="str">
        <f xml:space="preserve"> "" &amp; 844349009450</f>
        <v>844349009450</v>
      </c>
      <c r="C746" s="2" t="s">
        <v>391</v>
      </c>
      <c r="D746" s="2" t="s">
        <v>3350</v>
      </c>
      <c r="E746" s="2" t="s">
        <v>3345</v>
      </c>
      <c r="F746" s="2" t="s">
        <v>393</v>
      </c>
      <c r="G746" s="2">
        <v>1</v>
      </c>
      <c r="H746" s="2">
        <v>1</v>
      </c>
      <c r="I746" s="2" t="s">
        <v>94</v>
      </c>
      <c r="J746" s="6">
        <v>64.5</v>
      </c>
      <c r="K746" s="6">
        <v>193.5</v>
      </c>
      <c r="L746" s="2">
        <v>0</v>
      </c>
      <c r="N746" s="2">
        <v>0</v>
      </c>
      <c r="O746" s="2" t="s">
        <v>96</v>
      </c>
      <c r="P746" s="6">
        <v>135.94999999999999</v>
      </c>
      <c r="Q746" s="6"/>
      <c r="R746" s="7"/>
      <c r="S746" s="2">
        <v>13.25</v>
      </c>
      <c r="T746" s="2">
        <v>5</v>
      </c>
      <c r="U746" s="2">
        <v>5</v>
      </c>
      <c r="W746" s="2">
        <v>2.69</v>
      </c>
      <c r="X746" s="2">
        <v>1</v>
      </c>
      <c r="Y746" s="2">
        <v>6.25</v>
      </c>
      <c r="Z746" s="2">
        <v>14</v>
      </c>
      <c r="AA746" s="2">
        <v>5</v>
      </c>
      <c r="AB746" s="2">
        <v>0.253</v>
      </c>
      <c r="AC746" s="2">
        <v>4.1900000000000004</v>
      </c>
      <c r="AE746" s="2">
        <v>1</v>
      </c>
      <c r="AF746" s="2" t="s">
        <v>324</v>
      </c>
      <c r="AG746" s="2">
        <v>35</v>
      </c>
      <c r="AK746" s="2" t="s">
        <v>95</v>
      </c>
      <c r="AL746" s="2">
        <v>1</v>
      </c>
      <c r="AM746" s="2" t="s">
        <v>95</v>
      </c>
      <c r="AN746" s="2" t="s">
        <v>96</v>
      </c>
      <c r="AO746" s="2" t="s">
        <v>95</v>
      </c>
      <c r="AP746" s="2" t="s">
        <v>97</v>
      </c>
      <c r="AQ746" s="2" t="s">
        <v>98</v>
      </c>
      <c r="AV746" s="2" t="s">
        <v>95</v>
      </c>
      <c r="AX746" s="2" t="s">
        <v>1483</v>
      </c>
      <c r="AZ746" s="2" t="s">
        <v>342</v>
      </c>
      <c r="BB746" s="2" t="s">
        <v>329</v>
      </c>
      <c r="BC746" s="2" t="s">
        <v>3346</v>
      </c>
      <c r="BF746" s="2" t="s">
        <v>3351</v>
      </c>
      <c r="BG746" s="2" t="s">
        <v>95</v>
      </c>
      <c r="BH746" s="2" t="s">
        <v>95</v>
      </c>
      <c r="BI746" s="2" t="s">
        <v>95</v>
      </c>
      <c r="BK746" s="2" t="s">
        <v>100</v>
      </c>
      <c r="BL746" s="2" t="s">
        <v>617</v>
      </c>
      <c r="BQ746" s="2">
        <v>0.88</v>
      </c>
      <c r="BS746" s="2">
        <v>4.88</v>
      </c>
      <c r="BT746" s="2">
        <v>4.88</v>
      </c>
      <c r="CA746" s="2" t="s">
        <v>3352</v>
      </c>
      <c r="CB746" s="2" t="s">
        <v>1483</v>
      </c>
      <c r="CL746" s="2" t="s">
        <v>96</v>
      </c>
      <c r="CM746" s="2" t="s">
        <v>96</v>
      </c>
      <c r="CN746" s="2" t="s">
        <v>937</v>
      </c>
      <c r="CO746" s="3">
        <v>40829</v>
      </c>
      <c r="CP746" s="3">
        <v>43634</v>
      </c>
    </row>
    <row r="747" spans="1:94" x14ac:dyDescent="0.25">
      <c r="A747" s="2" t="s">
        <v>3353</v>
      </c>
      <c r="B747" s="2" t="str">
        <f xml:space="preserve"> "" &amp; 844349009436</f>
        <v>844349009436</v>
      </c>
      <c r="C747" s="2" t="s">
        <v>1707</v>
      </c>
      <c r="D747" s="2" t="s">
        <v>3354</v>
      </c>
      <c r="E747" s="2" t="s">
        <v>3345</v>
      </c>
      <c r="F747" s="2" t="s">
        <v>1126</v>
      </c>
      <c r="G747" s="2">
        <v>1</v>
      </c>
      <c r="H747" s="2">
        <v>1</v>
      </c>
      <c r="I747" s="2" t="s">
        <v>94</v>
      </c>
      <c r="J747" s="6">
        <v>205</v>
      </c>
      <c r="K747" s="6">
        <v>615</v>
      </c>
      <c r="L747" s="2">
        <v>0</v>
      </c>
      <c r="N747" s="2">
        <v>0</v>
      </c>
      <c r="O747" s="2" t="s">
        <v>96</v>
      </c>
      <c r="P747" s="6">
        <v>429.95</v>
      </c>
      <c r="Q747" s="6"/>
      <c r="R747" s="7"/>
      <c r="S747" s="2">
        <v>13.5</v>
      </c>
      <c r="T747" s="2">
        <v>24</v>
      </c>
      <c r="U747" s="2">
        <v>24</v>
      </c>
      <c r="W747" s="2">
        <v>13.12</v>
      </c>
      <c r="X747" s="2">
        <v>1</v>
      </c>
      <c r="Y747" s="2">
        <v>7.25</v>
      </c>
      <c r="Z747" s="2">
        <v>26</v>
      </c>
      <c r="AA747" s="2">
        <v>24</v>
      </c>
      <c r="AB747" s="2">
        <v>2.6179999999999999</v>
      </c>
      <c r="AC747" s="2">
        <v>19.38</v>
      </c>
      <c r="AE747" s="2">
        <v>6</v>
      </c>
      <c r="AF747" s="2" t="s">
        <v>324</v>
      </c>
      <c r="AG747" s="2">
        <v>35</v>
      </c>
      <c r="AK747" s="2" t="s">
        <v>95</v>
      </c>
      <c r="AL747" s="2">
        <v>6</v>
      </c>
      <c r="AM747" s="2" t="s">
        <v>95</v>
      </c>
      <c r="AN747" s="2" t="s">
        <v>96</v>
      </c>
      <c r="AO747" s="2" t="s">
        <v>95</v>
      </c>
      <c r="AP747" s="2" t="s">
        <v>97</v>
      </c>
      <c r="AQ747" s="2" t="s">
        <v>98</v>
      </c>
      <c r="AV747" s="2" t="s">
        <v>95</v>
      </c>
      <c r="AX747" s="2" t="s">
        <v>1483</v>
      </c>
      <c r="AZ747" s="2" t="s">
        <v>342</v>
      </c>
      <c r="BB747" s="2" t="s">
        <v>54</v>
      </c>
      <c r="BC747" s="2" t="s">
        <v>3346</v>
      </c>
      <c r="BF747" s="2" t="s">
        <v>3355</v>
      </c>
      <c r="BG747" s="2" t="s">
        <v>95</v>
      </c>
      <c r="BH747" s="2" t="s">
        <v>95</v>
      </c>
      <c r="BI747" s="2" t="s">
        <v>95</v>
      </c>
      <c r="BK747" s="2" t="s">
        <v>100</v>
      </c>
      <c r="BL747" s="2" t="s">
        <v>617</v>
      </c>
      <c r="BQ747" s="2">
        <v>4.88</v>
      </c>
      <c r="BR747" s="2">
        <v>0.88</v>
      </c>
      <c r="BS747" s="2">
        <v>4.88</v>
      </c>
      <c r="BT747" s="2">
        <v>4.88</v>
      </c>
      <c r="CA747" s="2" t="s">
        <v>3356</v>
      </c>
      <c r="CB747" s="2" t="s">
        <v>1483</v>
      </c>
      <c r="CL747" s="2" t="s">
        <v>96</v>
      </c>
      <c r="CM747" s="2" t="s">
        <v>96</v>
      </c>
      <c r="CN747" s="2" t="s">
        <v>937</v>
      </c>
      <c r="CO747" s="3">
        <v>40553</v>
      </c>
      <c r="CP747" s="3">
        <v>43634</v>
      </c>
    </row>
    <row r="748" spans="1:94" x14ac:dyDescent="0.25">
      <c r="A748" s="2" t="s">
        <v>3357</v>
      </c>
      <c r="B748" s="2" t="str">
        <f xml:space="preserve"> "" &amp; 844349013921</f>
        <v>844349013921</v>
      </c>
      <c r="C748" s="2" t="s">
        <v>535</v>
      </c>
      <c r="D748" s="2" t="s">
        <v>3358</v>
      </c>
      <c r="E748" s="2" t="s">
        <v>2964</v>
      </c>
      <c r="F748" s="2" t="s">
        <v>102</v>
      </c>
      <c r="G748" s="2">
        <v>1</v>
      </c>
      <c r="H748" s="2">
        <v>1</v>
      </c>
      <c r="I748" s="2" t="s">
        <v>94</v>
      </c>
      <c r="J748" s="6">
        <v>225</v>
      </c>
      <c r="K748" s="6">
        <v>675</v>
      </c>
      <c r="L748" s="2">
        <v>0</v>
      </c>
      <c r="N748" s="2">
        <v>0</v>
      </c>
      <c r="O748" s="2" t="s">
        <v>96</v>
      </c>
      <c r="P748" s="6">
        <v>469.95</v>
      </c>
      <c r="Q748" s="6"/>
      <c r="R748" s="7"/>
      <c r="S748" s="2">
        <v>7</v>
      </c>
      <c r="U748" s="2">
        <v>15</v>
      </c>
      <c r="W748" s="2">
        <v>7.94</v>
      </c>
      <c r="X748" s="2">
        <v>1</v>
      </c>
      <c r="Y748" s="2">
        <v>10.25</v>
      </c>
      <c r="Z748" s="2">
        <v>18</v>
      </c>
      <c r="AA748" s="2">
        <v>18</v>
      </c>
      <c r="AB748" s="2">
        <v>1.9219999999999999</v>
      </c>
      <c r="AC748" s="2">
        <v>10.47</v>
      </c>
      <c r="AE748" s="2">
        <v>1</v>
      </c>
      <c r="AF748" s="2" t="s">
        <v>3359</v>
      </c>
      <c r="AG748" s="2">
        <v>30</v>
      </c>
      <c r="AK748" s="2" t="s">
        <v>96</v>
      </c>
      <c r="AM748" s="2" t="s">
        <v>95</v>
      </c>
      <c r="AN748" s="2" t="s">
        <v>96</v>
      </c>
      <c r="AO748" s="2" t="s">
        <v>95</v>
      </c>
      <c r="AP748" s="2" t="s">
        <v>97</v>
      </c>
      <c r="AQ748" s="2" t="s">
        <v>98</v>
      </c>
      <c r="AV748" s="2" t="s">
        <v>95</v>
      </c>
      <c r="AX748" s="2" t="s">
        <v>395</v>
      </c>
      <c r="AZ748" s="2" t="s">
        <v>342</v>
      </c>
      <c r="BB748" s="2" t="s">
        <v>329</v>
      </c>
      <c r="BF748" s="2" t="s">
        <v>3360</v>
      </c>
      <c r="BG748" s="2" t="s">
        <v>95</v>
      </c>
      <c r="BH748" s="2" t="s">
        <v>95</v>
      </c>
      <c r="BI748" s="2" t="s">
        <v>95</v>
      </c>
      <c r="BK748" s="2" t="s">
        <v>100</v>
      </c>
      <c r="BQ748" s="2">
        <v>10.130000000000001</v>
      </c>
      <c r="BR748" s="2">
        <v>1.5</v>
      </c>
      <c r="CA748" s="2" t="s">
        <v>3361</v>
      </c>
      <c r="CB748" s="2" t="s">
        <v>395</v>
      </c>
      <c r="CG748" s="2">
        <v>3000</v>
      </c>
      <c r="CH748" s="2">
        <v>90</v>
      </c>
      <c r="CI748" s="2">
        <v>2150.63</v>
      </c>
      <c r="CJ748" s="2">
        <v>1103.48</v>
      </c>
      <c r="CK748" s="2">
        <v>30000</v>
      </c>
      <c r="CL748" s="2" t="s">
        <v>96</v>
      </c>
      <c r="CM748" s="2" t="s">
        <v>95</v>
      </c>
      <c r="CN748" s="2" t="s">
        <v>1434</v>
      </c>
      <c r="CO748" s="3">
        <v>41400</v>
      </c>
      <c r="CP748" s="3">
        <v>43634</v>
      </c>
    </row>
    <row r="749" spans="1:94" x14ac:dyDescent="0.25">
      <c r="A749" s="2" t="s">
        <v>3362</v>
      </c>
      <c r="B749" s="2" t="str">
        <f xml:space="preserve"> "" &amp; 844349013976</f>
        <v>844349013976</v>
      </c>
      <c r="C749" s="2" t="s">
        <v>3363</v>
      </c>
      <c r="D749" s="2" t="s">
        <v>3364</v>
      </c>
      <c r="E749" s="2" t="s">
        <v>2964</v>
      </c>
      <c r="F749" s="2" t="s">
        <v>412</v>
      </c>
      <c r="G749" s="2">
        <v>1</v>
      </c>
      <c r="H749" s="2">
        <v>1</v>
      </c>
      <c r="I749" s="2" t="s">
        <v>94</v>
      </c>
      <c r="J749" s="6">
        <v>330</v>
      </c>
      <c r="K749" s="6">
        <v>990</v>
      </c>
      <c r="L749" s="2">
        <v>0</v>
      </c>
      <c r="N749" s="2">
        <v>0</v>
      </c>
      <c r="O749" s="2" t="s">
        <v>96</v>
      </c>
      <c r="P749" s="6">
        <v>693.95</v>
      </c>
      <c r="Q749" s="6"/>
      <c r="R749" s="7"/>
      <c r="S749" s="2">
        <v>11.5</v>
      </c>
      <c r="U749" s="2">
        <v>18.25</v>
      </c>
      <c r="W749" s="2">
        <v>9.15</v>
      </c>
      <c r="X749" s="2">
        <v>1</v>
      </c>
      <c r="Y749" s="2">
        <v>9.75</v>
      </c>
      <c r="Z749" s="2">
        <v>22</v>
      </c>
      <c r="AA749" s="2">
        <v>22</v>
      </c>
      <c r="AB749" s="2">
        <v>2.7309999999999999</v>
      </c>
      <c r="AC749" s="2">
        <v>12.79</v>
      </c>
      <c r="AE749" s="2">
        <v>1</v>
      </c>
      <c r="AF749" s="2" t="s">
        <v>347</v>
      </c>
      <c r="AG749" s="2">
        <v>40</v>
      </c>
      <c r="AK749" s="2" t="s">
        <v>96</v>
      </c>
      <c r="AM749" s="2" t="s">
        <v>95</v>
      </c>
      <c r="AN749" s="2" t="s">
        <v>96</v>
      </c>
      <c r="AO749" s="2" t="s">
        <v>95</v>
      </c>
      <c r="AP749" s="2" t="s">
        <v>97</v>
      </c>
      <c r="AQ749" s="2" t="s">
        <v>98</v>
      </c>
      <c r="AV749" s="2" t="s">
        <v>95</v>
      </c>
      <c r="AX749" s="2" t="s">
        <v>395</v>
      </c>
      <c r="AZ749" s="2" t="s">
        <v>342</v>
      </c>
      <c r="BB749" s="2" t="s">
        <v>329</v>
      </c>
      <c r="BF749" s="2" t="s">
        <v>3365</v>
      </c>
      <c r="BG749" s="2" t="s">
        <v>95</v>
      </c>
      <c r="BH749" s="2" t="s">
        <v>95</v>
      </c>
      <c r="BI749" s="2" t="s">
        <v>95</v>
      </c>
      <c r="BK749" s="2" t="s">
        <v>100</v>
      </c>
      <c r="BQ749" s="2">
        <v>5.5</v>
      </c>
      <c r="BR749" s="2">
        <v>2.38</v>
      </c>
      <c r="CA749" s="2" t="s">
        <v>3366</v>
      </c>
      <c r="CB749" s="2" t="s">
        <v>395</v>
      </c>
      <c r="CG749" s="2">
        <v>3000</v>
      </c>
      <c r="CH749" s="2">
        <v>90</v>
      </c>
      <c r="CI749" s="2">
        <v>1853.21</v>
      </c>
      <c r="CJ749" s="2">
        <v>3588.2</v>
      </c>
      <c r="CK749" s="2">
        <v>30000</v>
      </c>
      <c r="CL749" s="2" t="s">
        <v>96</v>
      </c>
      <c r="CM749" s="2" t="s">
        <v>95</v>
      </c>
      <c r="CN749" s="2" t="s">
        <v>2967</v>
      </c>
      <c r="CO749" s="3">
        <v>41402</v>
      </c>
      <c r="CP749" s="3">
        <v>43634</v>
      </c>
    </row>
    <row r="750" spans="1:94" x14ac:dyDescent="0.25">
      <c r="A750" s="2" t="s">
        <v>3367</v>
      </c>
      <c r="B750" s="2" t="str">
        <f xml:space="preserve"> "" &amp; 844349015666</f>
        <v>844349015666</v>
      </c>
      <c r="C750" s="2" t="s">
        <v>488</v>
      </c>
      <c r="D750" s="2" t="s">
        <v>3368</v>
      </c>
      <c r="E750" s="2" t="s">
        <v>2964</v>
      </c>
      <c r="F750" s="2" t="s">
        <v>393</v>
      </c>
      <c r="G750" s="2">
        <v>1</v>
      </c>
      <c r="H750" s="2">
        <v>1</v>
      </c>
      <c r="I750" s="2" t="s">
        <v>94</v>
      </c>
      <c r="J750" s="6">
        <v>140</v>
      </c>
      <c r="K750" s="6">
        <v>420</v>
      </c>
      <c r="L750" s="2">
        <v>0</v>
      </c>
      <c r="N750" s="2">
        <v>0</v>
      </c>
      <c r="O750" s="2" t="s">
        <v>96</v>
      </c>
      <c r="P750" s="6">
        <v>294.95</v>
      </c>
      <c r="Q750" s="6"/>
      <c r="R750" s="7"/>
      <c r="S750" s="2">
        <v>5.75</v>
      </c>
      <c r="T750" s="2">
        <v>7</v>
      </c>
      <c r="U750" s="2">
        <v>7</v>
      </c>
      <c r="V750" s="2">
        <v>7</v>
      </c>
      <c r="W750" s="2">
        <v>3.75</v>
      </c>
      <c r="X750" s="2">
        <v>1</v>
      </c>
      <c r="Y750" s="2">
        <v>8.125</v>
      </c>
      <c r="Z750" s="2">
        <v>13.75</v>
      </c>
      <c r="AA750" s="2">
        <v>8.625</v>
      </c>
      <c r="AB750" s="2">
        <v>0.55800000000000005</v>
      </c>
      <c r="AC750" s="2">
        <v>4.41</v>
      </c>
      <c r="AE750" s="2">
        <v>1</v>
      </c>
      <c r="AF750" s="2" t="s">
        <v>2764</v>
      </c>
      <c r="AG750" s="2">
        <v>12</v>
      </c>
      <c r="AK750" s="2" t="s">
        <v>96</v>
      </c>
      <c r="AM750" s="2" t="s">
        <v>95</v>
      </c>
      <c r="AN750" s="2" t="s">
        <v>96</v>
      </c>
      <c r="AO750" s="2" t="s">
        <v>95</v>
      </c>
      <c r="AP750" s="2" t="s">
        <v>97</v>
      </c>
      <c r="AQ750" s="2" t="s">
        <v>98</v>
      </c>
      <c r="AV750" s="2" t="s">
        <v>95</v>
      </c>
      <c r="AX750" s="2" t="s">
        <v>395</v>
      </c>
      <c r="AZ750" s="2" t="s">
        <v>342</v>
      </c>
      <c r="BB750" s="2" t="s">
        <v>219</v>
      </c>
      <c r="BF750" s="2" t="s">
        <v>3369</v>
      </c>
      <c r="BG750" s="2" t="s">
        <v>95</v>
      </c>
      <c r="BH750" s="2" t="s">
        <v>95</v>
      </c>
      <c r="BI750" s="2" t="s">
        <v>95</v>
      </c>
      <c r="BK750" s="2" t="s">
        <v>100</v>
      </c>
      <c r="BR750" s="2">
        <v>0.75</v>
      </c>
      <c r="BT750" s="2">
        <v>5</v>
      </c>
      <c r="CA750" s="2" t="s">
        <v>3370</v>
      </c>
      <c r="CB750" s="2" t="s">
        <v>395</v>
      </c>
      <c r="CG750" s="2">
        <v>3000</v>
      </c>
      <c r="CH750" s="2">
        <v>90</v>
      </c>
      <c r="CJ750" s="2">
        <v>334.81</v>
      </c>
      <c r="CK750" s="2">
        <v>30000</v>
      </c>
      <c r="CL750" s="2" t="s">
        <v>96</v>
      </c>
      <c r="CM750" s="2" t="s">
        <v>96</v>
      </c>
      <c r="CN750" s="2" t="s">
        <v>3371</v>
      </c>
      <c r="CO750" s="3">
        <v>41598</v>
      </c>
      <c r="CP750" s="3">
        <v>43634</v>
      </c>
    </row>
    <row r="751" spans="1:94" x14ac:dyDescent="0.25">
      <c r="A751" s="2" t="s">
        <v>3372</v>
      </c>
      <c r="B751" s="2" t="str">
        <f xml:space="preserve"> "" &amp; 844349015727</f>
        <v>844349015727</v>
      </c>
      <c r="C751" s="2" t="s">
        <v>391</v>
      </c>
      <c r="D751" s="2" t="s">
        <v>3373</v>
      </c>
      <c r="E751" s="2" t="s">
        <v>3374</v>
      </c>
      <c r="F751" s="2" t="s">
        <v>518</v>
      </c>
      <c r="G751" s="2">
        <v>1</v>
      </c>
      <c r="H751" s="2">
        <v>1</v>
      </c>
      <c r="I751" s="2" t="s">
        <v>94</v>
      </c>
      <c r="J751" s="6">
        <v>40</v>
      </c>
      <c r="K751" s="6">
        <v>120</v>
      </c>
      <c r="L751" s="2">
        <v>0</v>
      </c>
      <c r="N751" s="2">
        <v>0</v>
      </c>
      <c r="Q751" s="6"/>
      <c r="R751" s="7"/>
      <c r="S751" s="2">
        <v>6.5</v>
      </c>
      <c r="T751" s="2">
        <v>12.25</v>
      </c>
      <c r="U751" s="2">
        <v>4.75</v>
      </c>
      <c r="V751" s="2">
        <v>6</v>
      </c>
      <c r="W751" s="2">
        <v>4.63</v>
      </c>
      <c r="X751" s="2">
        <v>1</v>
      </c>
      <c r="Y751" s="2">
        <v>8</v>
      </c>
      <c r="Z751" s="2">
        <v>12.25</v>
      </c>
      <c r="AA751" s="2">
        <v>8.25</v>
      </c>
      <c r="AB751" s="2">
        <v>0.46800000000000003</v>
      </c>
      <c r="AC751" s="2">
        <v>5.47</v>
      </c>
      <c r="AE751" s="2">
        <v>1</v>
      </c>
      <c r="AF751" s="2" t="s">
        <v>1701</v>
      </c>
      <c r="AG751" s="2">
        <v>40</v>
      </c>
      <c r="AK751" s="2" t="s">
        <v>96</v>
      </c>
      <c r="AM751" s="2" t="s">
        <v>95</v>
      </c>
      <c r="AN751" s="2" t="s">
        <v>96</v>
      </c>
      <c r="AO751" s="2" t="s">
        <v>95</v>
      </c>
      <c r="AP751" s="2" t="s">
        <v>97</v>
      </c>
      <c r="AQ751" s="2" t="s">
        <v>98</v>
      </c>
      <c r="AV751" s="2" t="s">
        <v>95</v>
      </c>
      <c r="AX751" s="2" t="s">
        <v>116</v>
      </c>
      <c r="AZ751" s="2" t="s">
        <v>342</v>
      </c>
      <c r="BB751" s="2" t="s">
        <v>54</v>
      </c>
      <c r="BC751" s="2" t="s">
        <v>3375</v>
      </c>
      <c r="BF751" s="2" t="s">
        <v>3376</v>
      </c>
      <c r="BG751" s="2" t="s">
        <v>95</v>
      </c>
      <c r="BH751" s="2" t="s">
        <v>95</v>
      </c>
      <c r="BI751" s="2" t="s">
        <v>95</v>
      </c>
      <c r="BK751" s="2" t="s">
        <v>100</v>
      </c>
      <c r="BR751" s="2">
        <v>1.1299999999999999</v>
      </c>
      <c r="BT751" s="2">
        <v>5.5</v>
      </c>
      <c r="CA751" s="2" t="s">
        <v>3377</v>
      </c>
      <c r="CB751" s="2" t="s">
        <v>116</v>
      </c>
      <c r="CL751" s="2" t="s">
        <v>96</v>
      </c>
      <c r="CM751" s="2" t="s">
        <v>96</v>
      </c>
      <c r="CN751" s="2" t="s">
        <v>1705</v>
      </c>
      <c r="CO751" s="3">
        <v>41576</v>
      </c>
      <c r="CP751" s="3">
        <v>43634</v>
      </c>
    </row>
    <row r="752" spans="1:94" x14ac:dyDescent="0.25">
      <c r="A752" s="2" t="s">
        <v>3378</v>
      </c>
      <c r="B752" s="2" t="str">
        <f xml:space="preserve"> "" &amp; 870540003881</f>
        <v>870540003881</v>
      </c>
      <c r="C752" s="2" t="s">
        <v>3379</v>
      </c>
      <c r="D752" s="2" t="s">
        <v>3380</v>
      </c>
      <c r="F752" s="2" t="s">
        <v>106</v>
      </c>
      <c r="G752" s="2">
        <v>1</v>
      </c>
      <c r="H752" s="2">
        <v>1</v>
      </c>
      <c r="I752" s="2" t="s">
        <v>94</v>
      </c>
      <c r="J752" s="6">
        <v>20</v>
      </c>
      <c r="K752" s="6">
        <v>60</v>
      </c>
      <c r="L752" s="2">
        <v>0</v>
      </c>
      <c r="N752" s="2">
        <v>0</v>
      </c>
      <c r="Q752" s="6"/>
      <c r="R752" s="7"/>
      <c r="S752" s="2">
        <v>10.75</v>
      </c>
      <c r="U752" s="2">
        <v>5.25</v>
      </c>
      <c r="W752" s="2">
        <v>0.28000000000000003</v>
      </c>
      <c r="X752" s="2">
        <v>1</v>
      </c>
      <c r="Y752" s="2">
        <v>13.75</v>
      </c>
      <c r="Z752" s="2">
        <v>21.5</v>
      </c>
      <c r="AA752" s="2">
        <v>14.75</v>
      </c>
      <c r="AB752" s="2">
        <v>2.5230000000000001</v>
      </c>
      <c r="AC752" s="2">
        <v>2.38</v>
      </c>
      <c r="AK752" s="2" t="s">
        <v>95</v>
      </c>
      <c r="AM752" s="2" t="s">
        <v>95</v>
      </c>
      <c r="AN752" s="2" t="s">
        <v>95</v>
      </c>
      <c r="AO752" s="2" t="s">
        <v>95</v>
      </c>
      <c r="AP752" s="2" t="s">
        <v>97</v>
      </c>
      <c r="AQ752" s="2" t="s">
        <v>98</v>
      </c>
      <c r="AV752" s="2" t="s">
        <v>95</v>
      </c>
      <c r="AX752" s="2" t="s">
        <v>593</v>
      </c>
      <c r="BB752" s="2" t="s">
        <v>329</v>
      </c>
      <c r="BF752" s="2" t="s">
        <v>3381</v>
      </c>
      <c r="BG752" s="2" t="s">
        <v>95</v>
      </c>
      <c r="BH752" s="2" t="s">
        <v>95</v>
      </c>
      <c r="BI752" s="2" t="s">
        <v>95</v>
      </c>
      <c r="CA752" s="2" t="s">
        <v>3378</v>
      </c>
      <c r="CB752" s="2" t="s">
        <v>593</v>
      </c>
      <c r="CL752" s="2" t="s">
        <v>95</v>
      </c>
      <c r="CM752" s="2" t="s">
        <v>95</v>
      </c>
      <c r="CN752" s="2" t="s">
        <v>329</v>
      </c>
      <c r="CO752" s="3">
        <v>40654</v>
      </c>
      <c r="CP752" s="3">
        <v>43634</v>
      </c>
    </row>
    <row r="753" spans="1:94" x14ac:dyDescent="0.25">
      <c r="A753" s="2" t="s">
        <v>3382</v>
      </c>
      <c r="B753" s="2" t="str">
        <f xml:space="preserve"> "" &amp; 870540008343</f>
        <v>870540008343</v>
      </c>
      <c r="C753" s="2" t="s">
        <v>104</v>
      </c>
      <c r="D753" s="2" t="s">
        <v>3383</v>
      </c>
      <c r="F753" s="2" t="s">
        <v>106</v>
      </c>
      <c r="G753" s="2">
        <v>1</v>
      </c>
      <c r="H753" s="2">
        <v>1</v>
      </c>
      <c r="I753" s="2" t="s">
        <v>94</v>
      </c>
      <c r="J753" s="6">
        <v>18.5</v>
      </c>
      <c r="K753" s="6">
        <v>55.5</v>
      </c>
      <c r="L753" s="2">
        <v>0</v>
      </c>
      <c r="N753" s="2">
        <v>0</v>
      </c>
      <c r="Q753" s="6"/>
      <c r="R753" s="7"/>
      <c r="S753" s="2">
        <v>1</v>
      </c>
      <c r="T753" s="2">
        <v>1</v>
      </c>
      <c r="U753" s="2">
        <v>1</v>
      </c>
      <c r="W753" s="2">
        <v>1.1000000000000001</v>
      </c>
      <c r="X753" s="2">
        <v>1</v>
      </c>
      <c r="AB753" s="2">
        <v>0.33760000000000001</v>
      </c>
      <c r="AC753" s="2">
        <v>1.76</v>
      </c>
      <c r="AK753" s="2" t="s">
        <v>95</v>
      </c>
      <c r="AM753" s="2" t="s">
        <v>95</v>
      </c>
      <c r="AN753" s="2" t="s">
        <v>95</v>
      </c>
      <c r="AO753" s="2" t="s">
        <v>95</v>
      </c>
      <c r="AP753" s="2" t="s">
        <v>97</v>
      </c>
      <c r="AQ753" s="2" t="s">
        <v>98</v>
      </c>
      <c r="AV753" s="2" t="s">
        <v>95</v>
      </c>
      <c r="BF753" s="2" t="s">
        <v>3384</v>
      </c>
      <c r="BG753" s="2" t="s">
        <v>95</v>
      </c>
      <c r="BH753" s="2" t="s">
        <v>95</v>
      </c>
      <c r="BI753" s="2" t="s">
        <v>95</v>
      </c>
      <c r="CA753" s="2" t="s">
        <v>3382</v>
      </c>
      <c r="CL753" s="2" t="s">
        <v>95</v>
      </c>
      <c r="CM753" s="2" t="s">
        <v>95</v>
      </c>
      <c r="CO753" s="3">
        <v>40654</v>
      </c>
      <c r="CP753" s="3">
        <v>43634</v>
      </c>
    </row>
    <row r="754" spans="1:94" x14ac:dyDescent="0.25">
      <c r="A754" s="2" t="s">
        <v>3385</v>
      </c>
      <c r="B754" s="2" t="str">
        <f xml:space="preserve"> "" &amp; 874944004963</f>
        <v>874944004963</v>
      </c>
      <c r="C754" s="2" t="s">
        <v>3386</v>
      </c>
      <c r="D754" s="2" t="s">
        <v>3387</v>
      </c>
      <c r="F754" s="2" t="s">
        <v>106</v>
      </c>
      <c r="G754" s="2">
        <v>1</v>
      </c>
      <c r="H754" s="2">
        <v>1</v>
      </c>
      <c r="I754" s="2" t="s">
        <v>94</v>
      </c>
      <c r="J754" s="6">
        <v>15</v>
      </c>
      <c r="K754" s="6">
        <v>45</v>
      </c>
      <c r="L754" s="2">
        <v>0</v>
      </c>
      <c r="N754" s="2">
        <v>0</v>
      </c>
      <c r="Q754" s="6"/>
      <c r="R754" s="7"/>
      <c r="S754" s="2">
        <v>0.25</v>
      </c>
      <c r="U754" s="2">
        <v>0.5</v>
      </c>
      <c r="W754" s="2">
        <v>3.72</v>
      </c>
      <c r="X754" s="2">
        <v>1</v>
      </c>
      <c r="Y754" s="2">
        <v>24</v>
      </c>
      <c r="Z754" s="2">
        <v>24</v>
      </c>
      <c r="AA754" s="2">
        <v>12.5</v>
      </c>
      <c r="AB754" s="2">
        <v>4.1669999999999998</v>
      </c>
      <c r="AC754" s="2">
        <v>4.07</v>
      </c>
      <c r="AK754" s="2" t="s">
        <v>95</v>
      </c>
      <c r="AM754" s="2" t="s">
        <v>95</v>
      </c>
      <c r="AN754" s="2" t="s">
        <v>95</v>
      </c>
      <c r="AO754" s="2" t="s">
        <v>95</v>
      </c>
      <c r="AP754" s="2" t="s">
        <v>97</v>
      </c>
      <c r="AQ754" s="2" t="s">
        <v>98</v>
      </c>
      <c r="AV754" s="2" t="s">
        <v>95</v>
      </c>
      <c r="BF754" s="2" t="s">
        <v>3388</v>
      </c>
      <c r="BG754" s="2" t="s">
        <v>95</v>
      </c>
      <c r="BH754" s="2" t="s">
        <v>95</v>
      </c>
      <c r="BI754" s="2" t="s">
        <v>95</v>
      </c>
      <c r="CA754" s="2" t="s">
        <v>3385</v>
      </c>
      <c r="CL754" s="2" t="s">
        <v>95</v>
      </c>
      <c r="CM754" s="2" t="s">
        <v>95</v>
      </c>
      <c r="CO754" s="3">
        <v>40654</v>
      </c>
      <c r="CP754" s="3">
        <v>43634</v>
      </c>
    </row>
    <row r="755" spans="1:94" x14ac:dyDescent="0.25">
      <c r="A755" s="2" t="s">
        <v>3389</v>
      </c>
      <c r="B755" s="2" t="str">
        <f xml:space="preserve"> "" &amp; 874944004956</f>
        <v>874944004956</v>
      </c>
      <c r="C755" s="2" t="s">
        <v>3390</v>
      </c>
      <c r="D755" s="2" t="s">
        <v>3391</v>
      </c>
      <c r="F755" s="2" t="s">
        <v>106</v>
      </c>
      <c r="G755" s="2">
        <v>1</v>
      </c>
      <c r="H755" s="2">
        <v>1</v>
      </c>
      <c r="I755" s="2" t="s">
        <v>94</v>
      </c>
      <c r="J755" s="6">
        <v>7.5</v>
      </c>
      <c r="K755" s="6">
        <v>22.5</v>
      </c>
      <c r="L755" s="2">
        <v>0</v>
      </c>
      <c r="N755" s="2">
        <v>0</v>
      </c>
      <c r="Q755" s="6"/>
      <c r="R755" s="7"/>
      <c r="S755" s="2">
        <v>1</v>
      </c>
      <c r="T755" s="2">
        <v>1</v>
      </c>
      <c r="U755" s="2">
        <v>1</v>
      </c>
      <c r="W755" s="2">
        <v>1.49</v>
      </c>
      <c r="X755" s="2">
        <v>1</v>
      </c>
      <c r="Y755" s="2">
        <v>10</v>
      </c>
      <c r="Z755" s="2">
        <v>17.5</v>
      </c>
      <c r="AA755" s="2">
        <v>14</v>
      </c>
      <c r="AB755" s="2">
        <v>1.4179999999999999</v>
      </c>
      <c r="AC755" s="2">
        <v>1.71</v>
      </c>
      <c r="AK755" s="2" t="s">
        <v>95</v>
      </c>
      <c r="AM755" s="2" t="s">
        <v>95</v>
      </c>
      <c r="AN755" s="2" t="s">
        <v>95</v>
      </c>
      <c r="AO755" s="2" t="s">
        <v>95</v>
      </c>
      <c r="AP755" s="2" t="s">
        <v>97</v>
      </c>
      <c r="AQ755" s="2" t="s">
        <v>98</v>
      </c>
      <c r="AV755" s="2" t="s">
        <v>95</v>
      </c>
      <c r="BF755" s="2" t="s">
        <v>3392</v>
      </c>
      <c r="BG755" s="2" t="s">
        <v>95</v>
      </c>
      <c r="BH755" s="2" t="s">
        <v>95</v>
      </c>
      <c r="BI755" s="2" t="s">
        <v>95</v>
      </c>
      <c r="CA755" s="2" t="s">
        <v>3389</v>
      </c>
      <c r="CL755" s="2" t="s">
        <v>95</v>
      </c>
      <c r="CM755" s="2" t="s">
        <v>95</v>
      </c>
      <c r="CO755" s="3">
        <v>40654</v>
      </c>
      <c r="CP755" s="3">
        <v>43634</v>
      </c>
    </row>
    <row r="756" spans="1:94" x14ac:dyDescent="0.25">
      <c r="A756" s="2" t="s">
        <v>3393</v>
      </c>
      <c r="B756" s="2" t="str">
        <f xml:space="preserve"> "" &amp; 874944005939</f>
        <v>874944005939</v>
      </c>
      <c r="C756" s="2" t="s">
        <v>3394</v>
      </c>
      <c r="D756" s="2" t="s">
        <v>3395</v>
      </c>
      <c r="F756" s="2" t="s">
        <v>106</v>
      </c>
      <c r="G756" s="2">
        <v>1</v>
      </c>
      <c r="H756" s="2">
        <v>1</v>
      </c>
      <c r="I756" s="2" t="s">
        <v>94</v>
      </c>
      <c r="J756" s="6">
        <v>12.5</v>
      </c>
      <c r="K756" s="6">
        <v>37.5</v>
      </c>
      <c r="L756" s="2">
        <v>0</v>
      </c>
      <c r="N756" s="2">
        <v>0</v>
      </c>
      <c r="Q756" s="6"/>
      <c r="R756" s="7"/>
      <c r="S756" s="2">
        <v>11.63</v>
      </c>
      <c r="U756" s="2">
        <v>3.75</v>
      </c>
      <c r="W756" s="2">
        <v>1.1200000000000001</v>
      </c>
      <c r="X756" s="2">
        <v>1</v>
      </c>
      <c r="Y756" s="2">
        <v>15</v>
      </c>
      <c r="Z756" s="2">
        <v>20.25</v>
      </c>
      <c r="AA756" s="2">
        <v>15.75</v>
      </c>
      <c r="AB756" s="2">
        <v>2.7690000000000001</v>
      </c>
      <c r="AC756" s="2">
        <v>1.82</v>
      </c>
      <c r="AK756" s="2" t="s">
        <v>95</v>
      </c>
      <c r="AM756" s="2" t="s">
        <v>95</v>
      </c>
      <c r="AN756" s="2" t="s">
        <v>95</v>
      </c>
      <c r="AO756" s="2" t="s">
        <v>95</v>
      </c>
      <c r="AP756" s="2" t="s">
        <v>97</v>
      </c>
      <c r="AQ756" s="2" t="s">
        <v>98</v>
      </c>
      <c r="AV756" s="2" t="s">
        <v>95</v>
      </c>
      <c r="BF756" s="2" t="s">
        <v>3396</v>
      </c>
      <c r="BG756" s="2" t="s">
        <v>95</v>
      </c>
      <c r="BH756" s="2" t="s">
        <v>95</v>
      </c>
      <c r="BI756" s="2" t="s">
        <v>95</v>
      </c>
      <c r="CA756" s="2" t="s">
        <v>3393</v>
      </c>
      <c r="CL756" s="2" t="s">
        <v>95</v>
      </c>
      <c r="CM756" s="2" t="s">
        <v>95</v>
      </c>
      <c r="CO756" s="3">
        <v>40682</v>
      </c>
      <c r="CP756" s="3">
        <v>43634</v>
      </c>
    </row>
    <row r="757" spans="1:94" x14ac:dyDescent="0.25">
      <c r="A757" s="2" t="s">
        <v>3397</v>
      </c>
      <c r="B757" s="2" t="str">
        <f xml:space="preserve"> "" &amp; 844349020745</f>
        <v>844349020745</v>
      </c>
      <c r="C757" s="2" t="s">
        <v>3398</v>
      </c>
      <c r="D757" s="2" t="s">
        <v>3399</v>
      </c>
      <c r="F757" s="2" t="s">
        <v>106</v>
      </c>
      <c r="G757" s="2">
        <v>1</v>
      </c>
      <c r="H757" s="2">
        <v>1</v>
      </c>
      <c r="I757" s="2" t="s">
        <v>94</v>
      </c>
      <c r="J757" s="6">
        <v>31</v>
      </c>
      <c r="K757" s="6">
        <v>93</v>
      </c>
      <c r="L757" s="2">
        <v>0</v>
      </c>
      <c r="N757" s="2">
        <v>0</v>
      </c>
      <c r="Q757" s="6"/>
      <c r="R757" s="7"/>
      <c r="S757" s="2">
        <v>9</v>
      </c>
      <c r="T757" s="2">
        <v>9</v>
      </c>
      <c r="U757" s="2">
        <v>9</v>
      </c>
      <c r="W757" s="2">
        <v>1.78</v>
      </c>
      <c r="X757" s="2">
        <v>1</v>
      </c>
      <c r="Y757" s="2">
        <v>12.5</v>
      </c>
      <c r="Z757" s="2">
        <v>11.9</v>
      </c>
      <c r="AA757" s="2">
        <v>11.9</v>
      </c>
      <c r="AB757" s="2">
        <v>1.024</v>
      </c>
      <c r="AC757" s="2">
        <v>3.26</v>
      </c>
      <c r="AK757" s="2" t="s">
        <v>95</v>
      </c>
      <c r="AM757" s="2" t="s">
        <v>95</v>
      </c>
      <c r="AN757" s="2" t="s">
        <v>95</v>
      </c>
      <c r="AO757" s="2" t="s">
        <v>95</v>
      </c>
      <c r="AP757" s="2" t="s">
        <v>97</v>
      </c>
      <c r="AQ757" s="2" t="s">
        <v>98</v>
      </c>
      <c r="AV757" s="2" t="s">
        <v>95</v>
      </c>
      <c r="AX757" s="2" t="s">
        <v>593</v>
      </c>
      <c r="AZ757" s="2" t="s">
        <v>177</v>
      </c>
      <c r="BF757" s="2" t="s">
        <v>3400</v>
      </c>
      <c r="BG757" s="2" t="s">
        <v>95</v>
      </c>
      <c r="BH757" s="2" t="s">
        <v>95</v>
      </c>
      <c r="BI757" s="2" t="s">
        <v>95</v>
      </c>
      <c r="BK757" s="2" t="s">
        <v>100</v>
      </c>
      <c r="CA757" s="2" t="s">
        <v>3397</v>
      </c>
      <c r="CB757" s="2" t="s">
        <v>593</v>
      </c>
      <c r="CL757" s="2" t="s">
        <v>95</v>
      </c>
      <c r="CM757" s="2" t="s">
        <v>95</v>
      </c>
      <c r="CN757" s="2" t="s">
        <v>329</v>
      </c>
      <c r="CO757" s="3">
        <v>42801</v>
      </c>
      <c r="CP757" s="3">
        <v>43634</v>
      </c>
    </row>
    <row r="758" spans="1:94" x14ac:dyDescent="0.25">
      <c r="A758" s="2" t="s">
        <v>3401</v>
      </c>
      <c r="B758" s="2" t="str">
        <f xml:space="preserve"> "" &amp; 844349020752</f>
        <v>844349020752</v>
      </c>
      <c r="C758" s="2" t="s">
        <v>329</v>
      </c>
      <c r="D758" s="2" t="s">
        <v>3402</v>
      </c>
      <c r="F758" s="2" t="s">
        <v>106</v>
      </c>
      <c r="G758" s="2">
        <v>1</v>
      </c>
      <c r="H758" s="2">
        <v>1</v>
      </c>
      <c r="I758" s="2" t="s">
        <v>94</v>
      </c>
      <c r="J758" s="6">
        <v>62.5</v>
      </c>
      <c r="K758" s="6">
        <v>187.5</v>
      </c>
      <c r="L758" s="2">
        <v>0</v>
      </c>
      <c r="N758" s="2">
        <v>0</v>
      </c>
      <c r="Q758" s="6"/>
      <c r="R758" s="7"/>
      <c r="S758" s="2">
        <v>16</v>
      </c>
      <c r="T758" s="2">
        <v>16</v>
      </c>
      <c r="U758" s="2">
        <v>16</v>
      </c>
      <c r="W758" s="2">
        <v>4.18</v>
      </c>
      <c r="X758" s="2">
        <v>1</v>
      </c>
      <c r="Y758" s="2">
        <v>21</v>
      </c>
      <c r="Z758" s="2">
        <v>20</v>
      </c>
      <c r="AA758" s="2">
        <v>19.5</v>
      </c>
      <c r="AB758" s="2">
        <v>4.74</v>
      </c>
      <c r="AC758" s="2">
        <v>8.1</v>
      </c>
      <c r="AK758" s="2" t="s">
        <v>95</v>
      </c>
      <c r="AM758" s="2" t="s">
        <v>95</v>
      </c>
      <c r="AN758" s="2" t="s">
        <v>95</v>
      </c>
      <c r="AO758" s="2" t="s">
        <v>95</v>
      </c>
      <c r="AP758" s="2" t="s">
        <v>97</v>
      </c>
      <c r="AQ758" s="2" t="s">
        <v>98</v>
      </c>
      <c r="AV758" s="2" t="s">
        <v>95</v>
      </c>
      <c r="AX758" s="2" t="s">
        <v>593</v>
      </c>
      <c r="BF758" s="2" t="s">
        <v>3403</v>
      </c>
      <c r="BG758" s="2" t="s">
        <v>95</v>
      </c>
      <c r="BH758" s="2" t="s">
        <v>95</v>
      </c>
      <c r="BI758" s="2" t="s">
        <v>95</v>
      </c>
      <c r="BK758" s="2" t="s">
        <v>100</v>
      </c>
      <c r="CA758" s="2" t="s">
        <v>3401</v>
      </c>
      <c r="CB758" s="2" t="s">
        <v>593</v>
      </c>
      <c r="CL758" s="2" t="s">
        <v>95</v>
      </c>
      <c r="CM758" s="2" t="s">
        <v>95</v>
      </c>
      <c r="CN758" s="2" t="s">
        <v>329</v>
      </c>
      <c r="CO758" s="3">
        <v>42774</v>
      </c>
      <c r="CP758" s="3">
        <v>43634</v>
      </c>
    </row>
    <row r="759" spans="1:94" x14ac:dyDescent="0.25">
      <c r="A759" s="2" t="s">
        <v>3404</v>
      </c>
      <c r="B759" s="2" t="str">
        <f xml:space="preserve"> "" &amp; 844349009924</f>
        <v>844349009924</v>
      </c>
      <c r="C759" s="2" t="s">
        <v>3405</v>
      </c>
      <c r="D759" s="2" t="s">
        <v>3406</v>
      </c>
      <c r="F759" s="2" t="s">
        <v>106</v>
      </c>
      <c r="G759" s="2">
        <v>1</v>
      </c>
      <c r="H759" s="2">
        <v>1</v>
      </c>
      <c r="I759" s="2" t="s">
        <v>94</v>
      </c>
      <c r="J759" s="6">
        <v>29</v>
      </c>
      <c r="K759" s="6">
        <v>87</v>
      </c>
      <c r="L759" s="2">
        <v>0</v>
      </c>
      <c r="N759" s="2">
        <v>0</v>
      </c>
      <c r="Q759" s="6"/>
      <c r="R759" s="7"/>
      <c r="S759" s="2">
        <v>10.38</v>
      </c>
      <c r="U759" s="2">
        <v>6.25</v>
      </c>
      <c r="V759" s="2">
        <v>3</v>
      </c>
      <c r="W759" s="2">
        <v>1.27</v>
      </c>
      <c r="X759" s="2">
        <v>1</v>
      </c>
      <c r="Y759" s="2">
        <v>13.25</v>
      </c>
      <c r="Z759" s="2">
        <v>13</v>
      </c>
      <c r="AA759" s="2">
        <v>9.5</v>
      </c>
      <c r="AB759" s="2">
        <v>0.94699999999999995</v>
      </c>
      <c r="AC759" s="2">
        <v>1.65</v>
      </c>
      <c r="AK759" s="2" t="s">
        <v>95</v>
      </c>
      <c r="AM759" s="2" t="s">
        <v>95</v>
      </c>
      <c r="AN759" s="2" t="s">
        <v>95</v>
      </c>
      <c r="AO759" s="2" t="s">
        <v>95</v>
      </c>
      <c r="AP759" s="2" t="s">
        <v>97</v>
      </c>
      <c r="AQ759" s="2" t="s">
        <v>98</v>
      </c>
      <c r="AV759" s="2" t="s">
        <v>95</v>
      </c>
      <c r="BF759" s="2" t="s">
        <v>3407</v>
      </c>
      <c r="BG759" s="2" t="s">
        <v>95</v>
      </c>
      <c r="BH759" s="2" t="s">
        <v>95</v>
      </c>
      <c r="BI759" s="2" t="s">
        <v>95</v>
      </c>
      <c r="CA759" s="2" t="s">
        <v>3404</v>
      </c>
      <c r="CL759" s="2" t="s">
        <v>95</v>
      </c>
      <c r="CM759" s="2" t="s">
        <v>95</v>
      </c>
      <c r="CO759" s="3">
        <v>40688</v>
      </c>
      <c r="CP759" s="3">
        <v>43634</v>
      </c>
    </row>
    <row r="760" spans="1:94" x14ac:dyDescent="0.25">
      <c r="A760" s="2" t="s">
        <v>3408</v>
      </c>
      <c r="B760" s="2" t="str">
        <f xml:space="preserve"> "" &amp; 844349009931</f>
        <v>844349009931</v>
      </c>
      <c r="C760" s="2" t="s">
        <v>976</v>
      </c>
      <c r="D760" s="2" t="s">
        <v>3409</v>
      </c>
      <c r="F760" s="2" t="s">
        <v>106</v>
      </c>
      <c r="G760" s="2">
        <v>1</v>
      </c>
      <c r="H760" s="2">
        <v>1</v>
      </c>
      <c r="I760" s="2" t="s">
        <v>94</v>
      </c>
      <c r="J760" s="6">
        <v>20</v>
      </c>
      <c r="K760" s="6">
        <v>60</v>
      </c>
      <c r="L760" s="2">
        <v>0</v>
      </c>
      <c r="N760" s="2">
        <v>0</v>
      </c>
      <c r="Q760" s="6"/>
      <c r="R760" s="7"/>
      <c r="S760" s="2">
        <v>7.13</v>
      </c>
      <c r="U760" s="2">
        <v>3.38</v>
      </c>
      <c r="W760" s="2">
        <v>0.83</v>
      </c>
      <c r="X760" s="2">
        <v>1</v>
      </c>
      <c r="Y760" s="2">
        <v>6</v>
      </c>
      <c r="Z760" s="2">
        <v>19.5</v>
      </c>
      <c r="AA760" s="2">
        <v>9.75</v>
      </c>
      <c r="AB760" s="2">
        <v>0.66</v>
      </c>
      <c r="AC760" s="2">
        <v>0.94</v>
      </c>
      <c r="AK760" s="2" t="s">
        <v>95</v>
      </c>
      <c r="AM760" s="2" t="s">
        <v>95</v>
      </c>
      <c r="AN760" s="2" t="s">
        <v>95</v>
      </c>
      <c r="AO760" s="2" t="s">
        <v>95</v>
      </c>
      <c r="AP760" s="2" t="s">
        <v>97</v>
      </c>
      <c r="AQ760" s="2" t="s">
        <v>98</v>
      </c>
      <c r="AV760" s="2" t="s">
        <v>95</v>
      </c>
      <c r="BF760" s="2" t="s">
        <v>3410</v>
      </c>
      <c r="BG760" s="2" t="s">
        <v>95</v>
      </c>
      <c r="BH760" s="2" t="s">
        <v>95</v>
      </c>
      <c r="BI760" s="2" t="s">
        <v>95</v>
      </c>
      <c r="CA760" s="2" t="s">
        <v>3408</v>
      </c>
      <c r="CL760" s="2" t="s">
        <v>95</v>
      </c>
      <c r="CM760" s="2" t="s">
        <v>95</v>
      </c>
      <c r="CO760" s="3">
        <v>40688</v>
      </c>
      <c r="CP760" s="3">
        <v>43634</v>
      </c>
    </row>
    <row r="761" spans="1:94" x14ac:dyDescent="0.25">
      <c r="A761" s="2" t="s">
        <v>3411</v>
      </c>
      <c r="B761" s="2" t="str">
        <f xml:space="preserve"> "" &amp; 870540004000</f>
        <v>870540004000</v>
      </c>
      <c r="C761" s="2" t="s">
        <v>209</v>
      </c>
      <c r="D761" s="2" t="s">
        <v>3412</v>
      </c>
      <c r="F761" s="2" t="s">
        <v>106</v>
      </c>
      <c r="G761" s="2">
        <v>1</v>
      </c>
      <c r="H761" s="2">
        <v>1</v>
      </c>
      <c r="I761" s="2" t="s">
        <v>94</v>
      </c>
      <c r="J761" s="6">
        <v>15</v>
      </c>
      <c r="K761" s="6">
        <v>45</v>
      </c>
      <c r="L761" s="2">
        <v>0</v>
      </c>
      <c r="N761" s="2">
        <v>0</v>
      </c>
      <c r="Q761" s="6"/>
      <c r="R761" s="7"/>
      <c r="S761" s="2">
        <v>3.5</v>
      </c>
      <c r="U761" s="2">
        <v>2.88</v>
      </c>
      <c r="W761" s="2">
        <v>0.4</v>
      </c>
      <c r="X761" s="2">
        <v>1</v>
      </c>
      <c r="Y761" s="2">
        <v>6.25</v>
      </c>
      <c r="Z761" s="2">
        <v>24.5</v>
      </c>
      <c r="AA761" s="2">
        <v>10.63</v>
      </c>
      <c r="AB761" s="2">
        <v>0.94199999999999995</v>
      </c>
      <c r="AC761" s="2">
        <v>0.5</v>
      </c>
      <c r="AK761" s="2" t="s">
        <v>95</v>
      </c>
      <c r="AM761" s="2" t="s">
        <v>95</v>
      </c>
      <c r="AN761" s="2" t="s">
        <v>95</v>
      </c>
      <c r="AO761" s="2" t="s">
        <v>95</v>
      </c>
      <c r="AP761" s="2" t="s">
        <v>97</v>
      </c>
      <c r="AQ761" s="2" t="s">
        <v>98</v>
      </c>
      <c r="AV761" s="2" t="s">
        <v>95</v>
      </c>
      <c r="AX761" s="2" t="s">
        <v>135</v>
      </c>
      <c r="BB761" s="2" t="s">
        <v>212</v>
      </c>
      <c r="BF761" s="2" t="s">
        <v>3413</v>
      </c>
      <c r="BG761" s="2" t="s">
        <v>95</v>
      </c>
      <c r="BH761" s="2" t="s">
        <v>95</v>
      </c>
      <c r="BI761" s="2" t="s">
        <v>95</v>
      </c>
      <c r="CA761" s="2" t="s">
        <v>3411</v>
      </c>
      <c r="CB761" s="2" t="s">
        <v>135</v>
      </c>
      <c r="CL761" s="2" t="s">
        <v>95</v>
      </c>
      <c r="CM761" s="2" t="s">
        <v>95</v>
      </c>
      <c r="CN761" s="2" t="s">
        <v>212</v>
      </c>
      <c r="CO761" s="3">
        <v>40688</v>
      </c>
      <c r="CP761" s="3">
        <v>43634</v>
      </c>
    </row>
    <row r="762" spans="1:94" x14ac:dyDescent="0.25">
      <c r="A762" s="2" t="s">
        <v>3414</v>
      </c>
      <c r="B762" s="2" t="str">
        <f xml:space="preserve"> "" &amp; 870540004024</f>
        <v>870540004024</v>
      </c>
      <c r="C762" s="2" t="s">
        <v>211</v>
      </c>
      <c r="D762" s="2" t="s">
        <v>3415</v>
      </c>
      <c r="F762" s="2" t="s">
        <v>106</v>
      </c>
      <c r="G762" s="2">
        <v>1</v>
      </c>
      <c r="H762" s="2">
        <v>1</v>
      </c>
      <c r="I762" s="2" t="s">
        <v>94</v>
      </c>
      <c r="J762" s="6">
        <v>6</v>
      </c>
      <c r="K762" s="6">
        <v>18</v>
      </c>
      <c r="L762" s="2">
        <v>0</v>
      </c>
      <c r="N762" s="2">
        <v>0</v>
      </c>
      <c r="Q762" s="6"/>
      <c r="R762" s="7"/>
      <c r="S762" s="2">
        <v>3.13</v>
      </c>
      <c r="U762" s="2">
        <v>3.13</v>
      </c>
      <c r="W762" s="2">
        <v>0.19</v>
      </c>
      <c r="X762" s="2">
        <v>1</v>
      </c>
      <c r="Y762" s="2">
        <v>11.25</v>
      </c>
      <c r="Z762" s="2">
        <v>14.5</v>
      </c>
      <c r="AA762" s="2">
        <v>11.63</v>
      </c>
      <c r="AB762" s="2">
        <v>1.0980000000000001</v>
      </c>
      <c r="AC762" s="2">
        <v>0.24</v>
      </c>
      <c r="AK762" s="2" t="s">
        <v>95</v>
      </c>
      <c r="AM762" s="2" t="s">
        <v>95</v>
      </c>
      <c r="AN762" s="2" t="s">
        <v>95</v>
      </c>
      <c r="AO762" s="2" t="s">
        <v>95</v>
      </c>
      <c r="AP762" s="2" t="s">
        <v>97</v>
      </c>
      <c r="AQ762" s="2" t="s">
        <v>98</v>
      </c>
      <c r="AV762" s="2" t="s">
        <v>95</v>
      </c>
      <c r="AX762" s="2" t="s">
        <v>1984</v>
      </c>
      <c r="BB762" s="2" t="s">
        <v>329</v>
      </c>
      <c r="BC762" s="2" t="s">
        <v>1984</v>
      </c>
      <c r="BF762" s="2" t="s">
        <v>3416</v>
      </c>
      <c r="BG762" s="2" t="s">
        <v>95</v>
      </c>
      <c r="BH762" s="2" t="s">
        <v>95</v>
      </c>
      <c r="BI762" s="2" t="s">
        <v>95</v>
      </c>
      <c r="CA762" s="2" t="s">
        <v>3414</v>
      </c>
      <c r="CB762" s="2" t="s">
        <v>1984</v>
      </c>
      <c r="CL762" s="2" t="s">
        <v>95</v>
      </c>
      <c r="CM762" s="2" t="s">
        <v>95</v>
      </c>
      <c r="CN762" s="2" t="s">
        <v>329</v>
      </c>
      <c r="CO762" s="3">
        <v>40688</v>
      </c>
      <c r="CP762" s="3">
        <v>43634</v>
      </c>
    </row>
    <row r="763" spans="1:94" x14ac:dyDescent="0.25">
      <c r="A763" s="2" t="s">
        <v>3417</v>
      </c>
      <c r="B763" s="2" t="str">
        <f xml:space="preserve"> "" &amp; 870540005571</f>
        <v>870540005571</v>
      </c>
      <c r="C763" s="2" t="s">
        <v>3379</v>
      </c>
      <c r="D763" s="2" t="s">
        <v>3418</v>
      </c>
      <c r="F763" s="2" t="s">
        <v>106</v>
      </c>
      <c r="G763" s="2">
        <v>1</v>
      </c>
      <c r="H763" s="2">
        <v>1</v>
      </c>
      <c r="I763" s="2" t="s">
        <v>94</v>
      </c>
      <c r="J763" s="6">
        <v>14.5</v>
      </c>
      <c r="K763" s="6">
        <v>43.5</v>
      </c>
      <c r="L763" s="2">
        <v>0</v>
      </c>
      <c r="N763" s="2">
        <v>0</v>
      </c>
      <c r="Q763" s="6"/>
      <c r="R763" s="7"/>
      <c r="S763" s="2">
        <v>1</v>
      </c>
      <c r="T763" s="2">
        <v>1</v>
      </c>
      <c r="U763" s="2">
        <v>1</v>
      </c>
      <c r="W763" s="2">
        <v>1.59</v>
      </c>
      <c r="X763" s="2">
        <v>1</v>
      </c>
      <c r="Y763" s="2">
        <v>17.75</v>
      </c>
      <c r="Z763" s="2">
        <v>16.5</v>
      </c>
      <c r="AA763" s="2">
        <v>16.5</v>
      </c>
      <c r="AB763" s="2">
        <v>2.7970000000000002</v>
      </c>
      <c r="AC763" s="2">
        <v>2.92</v>
      </c>
      <c r="AK763" s="2" t="s">
        <v>95</v>
      </c>
      <c r="AM763" s="2" t="s">
        <v>95</v>
      </c>
      <c r="AN763" s="2" t="s">
        <v>95</v>
      </c>
      <c r="AO763" s="2" t="s">
        <v>95</v>
      </c>
      <c r="AP763" s="2" t="s">
        <v>97</v>
      </c>
      <c r="AQ763" s="2" t="s">
        <v>98</v>
      </c>
      <c r="AV763" s="2" t="s">
        <v>95</v>
      </c>
      <c r="AX763" s="2" t="s">
        <v>593</v>
      </c>
      <c r="BB763" s="2" t="s">
        <v>329</v>
      </c>
      <c r="BC763" s="2" t="s">
        <v>593</v>
      </c>
      <c r="BF763" s="2" t="s">
        <v>3419</v>
      </c>
      <c r="BG763" s="2" t="s">
        <v>95</v>
      </c>
      <c r="BH763" s="2" t="s">
        <v>95</v>
      </c>
      <c r="BI763" s="2" t="s">
        <v>95</v>
      </c>
      <c r="CA763" s="2" t="s">
        <v>3417</v>
      </c>
      <c r="CB763" s="2" t="s">
        <v>593</v>
      </c>
      <c r="CL763" s="2" t="s">
        <v>95</v>
      </c>
      <c r="CM763" s="2" t="s">
        <v>95</v>
      </c>
      <c r="CN763" s="2" t="s">
        <v>329</v>
      </c>
      <c r="CO763" s="3">
        <v>40700</v>
      </c>
      <c r="CP763" s="3">
        <v>43634</v>
      </c>
    </row>
    <row r="764" spans="1:94" x14ac:dyDescent="0.25">
      <c r="A764" s="2" t="s">
        <v>3420</v>
      </c>
      <c r="B764" s="2" t="str">
        <f xml:space="preserve"> "" &amp; 844349004301</f>
        <v>844349004301</v>
      </c>
      <c r="C764" s="2" t="s">
        <v>3421</v>
      </c>
      <c r="D764" s="2" t="s">
        <v>3422</v>
      </c>
      <c r="F764" s="2" t="s">
        <v>106</v>
      </c>
      <c r="G764" s="2">
        <v>1</v>
      </c>
      <c r="H764" s="2">
        <v>1</v>
      </c>
      <c r="I764" s="2" t="s">
        <v>94</v>
      </c>
      <c r="J764" s="6">
        <v>12</v>
      </c>
      <c r="K764" s="6">
        <v>36</v>
      </c>
      <c r="L764" s="2">
        <v>0</v>
      </c>
      <c r="N764" s="2">
        <v>0</v>
      </c>
      <c r="Q764" s="6"/>
      <c r="R764" s="7"/>
      <c r="S764" s="2">
        <v>1</v>
      </c>
      <c r="T764" s="2">
        <v>1</v>
      </c>
      <c r="U764" s="2">
        <v>1</v>
      </c>
      <c r="W764" s="2">
        <v>0.95</v>
      </c>
      <c r="X764" s="2">
        <v>1</v>
      </c>
      <c r="AB764" s="2">
        <v>3.3000000000000002E-2</v>
      </c>
      <c r="AC764" s="2">
        <v>0.95</v>
      </c>
      <c r="AK764" s="2" t="s">
        <v>95</v>
      </c>
      <c r="AM764" s="2" t="s">
        <v>95</v>
      </c>
      <c r="AN764" s="2" t="s">
        <v>95</v>
      </c>
      <c r="AO764" s="2" t="s">
        <v>95</v>
      </c>
      <c r="AP764" s="2" t="s">
        <v>97</v>
      </c>
      <c r="AQ764" s="2" t="s">
        <v>98</v>
      </c>
      <c r="AV764" s="2" t="s">
        <v>95</v>
      </c>
      <c r="BF764" s="2" t="s">
        <v>3423</v>
      </c>
      <c r="BG764" s="2" t="s">
        <v>95</v>
      </c>
      <c r="BH764" s="2" t="s">
        <v>95</v>
      </c>
      <c r="BI764" s="2" t="s">
        <v>95</v>
      </c>
      <c r="CA764" s="2" t="s">
        <v>3420</v>
      </c>
      <c r="CL764" s="2" t="s">
        <v>95</v>
      </c>
      <c r="CM764" s="2" t="s">
        <v>95</v>
      </c>
      <c r="CO764" s="3">
        <v>40723</v>
      </c>
      <c r="CP764" s="3">
        <v>43634</v>
      </c>
    </row>
    <row r="765" spans="1:94" x14ac:dyDescent="0.25">
      <c r="A765" s="2" t="s">
        <v>3424</v>
      </c>
      <c r="B765" s="2" t="str">
        <f xml:space="preserve"> "" &amp; 844349004318</f>
        <v>844349004318</v>
      </c>
      <c r="C765" s="2" t="s">
        <v>3425</v>
      </c>
      <c r="D765" s="2" t="s">
        <v>3426</v>
      </c>
      <c r="F765" s="2" t="s">
        <v>106</v>
      </c>
      <c r="G765" s="2">
        <v>1</v>
      </c>
      <c r="H765" s="2">
        <v>1</v>
      </c>
      <c r="I765" s="2" t="s">
        <v>94</v>
      </c>
      <c r="J765" s="6">
        <v>12</v>
      </c>
      <c r="K765" s="6">
        <v>36</v>
      </c>
      <c r="L765" s="2">
        <v>0</v>
      </c>
      <c r="N765" s="2">
        <v>0</v>
      </c>
      <c r="Q765" s="6"/>
      <c r="R765" s="7"/>
      <c r="S765" s="2">
        <v>1</v>
      </c>
      <c r="T765" s="2">
        <v>1</v>
      </c>
      <c r="U765" s="2">
        <v>1</v>
      </c>
      <c r="W765" s="2">
        <v>0.95</v>
      </c>
      <c r="X765" s="2">
        <v>1</v>
      </c>
      <c r="AB765" s="2">
        <v>3.3000000000000002E-2</v>
      </c>
      <c r="AC765" s="2">
        <v>0.95</v>
      </c>
      <c r="AK765" s="2" t="s">
        <v>95</v>
      </c>
      <c r="AM765" s="2" t="s">
        <v>95</v>
      </c>
      <c r="AN765" s="2" t="s">
        <v>95</v>
      </c>
      <c r="AO765" s="2" t="s">
        <v>95</v>
      </c>
      <c r="AP765" s="2" t="s">
        <v>97</v>
      </c>
      <c r="AQ765" s="2" t="s">
        <v>98</v>
      </c>
      <c r="AV765" s="2" t="s">
        <v>95</v>
      </c>
      <c r="BF765" s="2" t="s">
        <v>3427</v>
      </c>
      <c r="BG765" s="2" t="s">
        <v>95</v>
      </c>
      <c r="BH765" s="2" t="s">
        <v>95</v>
      </c>
      <c r="BI765" s="2" t="s">
        <v>95</v>
      </c>
      <c r="CA765" s="2" t="s">
        <v>3424</v>
      </c>
      <c r="CL765" s="2" t="s">
        <v>95</v>
      </c>
      <c r="CM765" s="2" t="s">
        <v>95</v>
      </c>
      <c r="CO765" s="3">
        <v>40723</v>
      </c>
      <c r="CP765" s="3">
        <v>43634</v>
      </c>
    </row>
    <row r="766" spans="1:94" x14ac:dyDescent="0.25">
      <c r="A766" s="2" t="s">
        <v>3428</v>
      </c>
      <c r="B766" s="2" t="str">
        <f xml:space="preserve"> "" &amp; 874944001375</f>
        <v>874944001375</v>
      </c>
      <c r="C766" s="2" t="s">
        <v>3429</v>
      </c>
      <c r="D766" s="2" t="s">
        <v>3430</v>
      </c>
      <c r="F766" s="2" t="s">
        <v>106</v>
      </c>
      <c r="G766" s="2">
        <v>1</v>
      </c>
      <c r="H766" s="2">
        <v>1</v>
      </c>
      <c r="I766" s="2" t="s">
        <v>94</v>
      </c>
      <c r="J766" s="6">
        <v>6.95</v>
      </c>
      <c r="K766" s="6">
        <v>20.85</v>
      </c>
      <c r="L766" s="2">
        <v>0</v>
      </c>
      <c r="N766" s="2">
        <v>0</v>
      </c>
      <c r="Q766" s="6"/>
      <c r="R766" s="7"/>
      <c r="S766" s="2">
        <v>1</v>
      </c>
      <c r="T766" s="2">
        <v>1</v>
      </c>
      <c r="U766" s="2">
        <v>1</v>
      </c>
      <c r="W766" s="2">
        <v>1.08</v>
      </c>
      <c r="X766" s="2">
        <v>1</v>
      </c>
      <c r="Y766" s="2">
        <v>11.5</v>
      </c>
      <c r="Z766" s="2">
        <v>19</v>
      </c>
      <c r="AA766" s="2">
        <v>14.5</v>
      </c>
      <c r="AB766" s="2">
        <v>1.833</v>
      </c>
      <c r="AC766" s="2">
        <v>1.47</v>
      </c>
      <c r="AK766" s="2" t="s">
        <v>95</v>
      </c>
      <c r="AM766" s="2" t="s">
        <v>95</v>
      </c>
      <c r="AN766" s="2" t="s">
        <v>95</v>
      </c>
      <c r="AO766" s="2" t="s">
        <v>95</v>
      </c>
      <c r="AP766" s="2" t="s">
        <v>97</v>
      </c>
      <c r="AQ766" s="2" t="s">
        <v>98</v>
      </c>
      <c r="AV766" s="2" t="s">
        <v>95</v>
      </c>
      <c r="BF766" s="2" t="s">
        <v>3431</v>
      </c>
      <c r="BG766" s="2" t="s">
        <v>95</v>
      </c>
      <c r="BH766" s="2" t="s">
        <v>95</v>
      </c>
      <c r="BI766" s="2" t="s">
        <v>95</v>
      </c>
      <c r="CA766" s="2" t="s">
        <v>3428</v>
      </c>
      <c r="CL766" s="2" t="s">
        <v>95</v>
      </c>
      <c r="CM766" s="2" t="s">
        <v>95</v>
      </c>
      <c r="CO766" s="3">
        <v>40723</v>
      </c>
      <c r="CP766" s="3">
        <v>43634</v>
      </c>
    </row>
    <row r="767" spans="1:94" x14ac:dyDescent="0.25">
      <c r="A767" s="2" t="s">
        <v>3432</v>
      </c>
      <c r="B767" s="2" t="str">
        <f xml:space="preserve"> "" &amp; 870540007629</f>
        <v>870540007629</v>
      </c>
      <c r="C767" s="2" t="s">
        <v>3433</v>
      </c>
      <c r="D767" s="2" t="s">
        <v>3434</v>
      </c>
      <c r="F767" s="2" t="s">
        <v>106</v>
      </c>
      <c r="G767" s="2">
        <v>1</v>
      </c>
      <c r="H767" s="2">
        <v>1</v>
      </c>
      <c r="I767" s="2" t="s">
        <v>94</v>
      </c>
      <c r="J767" s="6">
        <v>25</v>
      </c>
      <c r="K767" s="6">
        <v>75</v>
      </c>
      <c r="L767" s="2">
        <v>0</v>
      </c>
      <c r="N767" s="2">
        <v>0</v>
      </c>
      <c r="Q767" s="6"/>
      <c r="R767" s="7"/>
      <c r="S767" s="2">
        <v>6.63</v>
      </c>
      <c r="T767" s="2">
        <v>5</v>
      </c>
      <c r="U767" s="2">
        <v>5</v>
      </c>
      <c r="W767" s="2">
        <v>1.02</v>
      </c>
      <c r="X767" s="2">
        <v>1</v>
      </c>
      <c r="Y767" s="2">
        <v>6.63</v>
      </c>
      <c r="Z767" s="2">
        <v>5</v>
      </c>
      <c r="AA767" s="2">
        <v>5</v>
      </c>
      <c r="AB767" s="2">
        <v>9.6000000000000002E-2</v>
      </c>
      <c r="AC767" s="2">
        <v>1.29</v>
      </c>
      <c r="AK767" s="2" t="s">
        <v>95</v>
      </c>
      <c r="AM767" s="2" t="s">
        <v>95</v>
      </c>
      <c r="AN767" s="2" t="s">
        <v>95</v>
      </c>
      <c r="AO767" s="2" t="s">
        <v>95</v>
      </c>
      <c r="AP767" s="2" t="s">
        <v>97</v>
      </c>
      <c r="AQ767" s="2" t="s">
        <v>98</v>
      </c>
      <c r="AV767" s="2" t="s">
        <v>95</v>
      </c>
      <c r="AX767" s="2" t="s">
        <v>379</v>
      </c>
      <c r="BB767" s="2" t="s">
        <v>329</v>
      </c>
      <c r="BC767" s="2" t="s">
        <v>379</v>
      </c>
      <c r="BF767" s="2" t="s">
        <v>3435</v>
      </c>
      <c r="BG767" s="2" t="s">
        <v>95</v>
      </c>
      <c r="BH767" s="2" t="s">
        <v>95</v>
      </c>
      <c r="BI767" s="2" t="s">
        <v>95</v>
      </c>
      <c r="CA767" s="2" t="s">
        <v>3432</v>
      </c>
      <c r="CB767" s="2" t="s">
        <v>379</v>
      </c>
      <c r="CL767" s="2" t="s">
        <v>95</v>
      </c>
      <c r="CM767" s="2" t="s">
        <v>95</v>
      </c>
      <c r="CN767" s="2" t="s">
        <v>329</v>
      </c>
      <c r="CO767" s="3">
        <v>40732</v>
      </c>
      <c r="CP767" s="3">
        <v>43634</v>
      </c>
    </row>
    <row r="768" spans="1:94" x14ac:dyDescent="0.25">
      <c r="A768" s="2" t="s">
        <v>3436</v>
      </c>
      <c r="B768" s="2" t="str">
        <f xml:space="preserve"> "" &amp; 870540007636</f>
        <v>870540007636</v>
      </c>
      <c r="C768" s="2" t="s">
        <v>3437</v>
      </c>
      <c r="D768" s="2" t="s">
        <v>3438</v>
      </c>
      <c r="F768" s="2" t="s">
        <v>106</v>
      </c>
      <c r="G768" s="2">
        <v>1</v>
      </c>
      <c r="H768" s="2">
        <v>1</v>
      </c>
      <c r="I768" s="2" t="s">
        <v>94</v>
      </c>
      <c r="J768" s="6">
        <v>25</v>
      </c>
      <c r="K768" s="6">
        <v>75</v>
      </c>
      <c r="L768" s="2">
        <v>0</v>
      </c>
      <c r="N768" s="2">
        <v>0</v>
      </c>
      <c r="Q768" s="6"/>
      <c r="R768" s="7"/>
      <c r="S768" s="2">
        <v>1</v>
      </c>
      <c r="T768" s="2">
        <v>1</v>
      </c>
      <c r="U768" s="2">
        <v>1</v>
      </c>
      <c r="W768" s="2">
        <v>1.36</v>
      </c>
      <c r="X768" s="2">
        <v>1</v>
      </c>
      <c r="Y768" s="2">
        <v>16.13</v>
      </c>
      <c r="Z768" s="2">
        <v>12.5</v>
      </c>
      <c r="AA768" s="2">
        <v>7.5</v>
      </c>
      <c r="AB768" s="2">
        <v>0.875</v>
      </c>
      <c r="AC768" s="2">
        <v>1.36</v>
      </c>
      <c r="AK768" s="2" t="s">
        <v>95</v>
      </c>
      <c r="AM768" s="2" t="s">
        <v>95</v>
      </c>
      <c r="AN768" s="2" t="s">
        <v>95</v>
      </c>
      <c r="AO768" s="2" t="s">
        <v>95</v>
      </c>
      <c r="AP768" s="2" t="s">
        <v>97</v>
      </c>
      <c r="AQ768" s="2" t="s">
        <v>98</v>
      </c>
      <c r="AV768" s="2" t="s">
        <v>95</v>
      </c>
      <c r="AX768" s="2" t="s">
        <v>3439</v>
      </c>
      <c r="BB768" s="2" t="s">
        <v>329</v>
      </c>
      <c r="BC768" s="2" t="s">
        <v>3439</v>
      </c>
      <c r="BF768" s="2" t="s">
        <v>3440</v>
      </c>
      <c r="BG768" s="2" t="s">
        <v>95</v>
      </c>
      <c r="BH768" s="2" t="s">
        <v>95</v>
      </c>
      <c r="BI768" s="2" t="s">
        <v>95</v>
      </c>
      <c r="CA768" s="2" t="s">
        <v>3436</v>
      </c>
      <c r="CB768" s="2" t="s">
        <v>3439</v>
      </c>
      <c r="CL768" s="2" t="s">
        <v>95</v>
      </c>
      <c r="CM768" s="2" t="s">
        <v>95</v>
      </c>
      <c r="CN768" s="2" t="s">
        <v>329</v>
      </c>
      <c r="CO768" s="3">
        <v>40742</v>
      </c>
      <c r="CP768" s="3">
        <v>43634</v>
      </c>
    </row>
    <row r="769" spans="1:94" x14ac:dyDescent="0.25">
      <c r="A769" s="2" t="s">
        <v>3441</v>
      </c>
      <c r="B769" s="2" t="str">
        <f xml:space="preserve"> "" &amp; 870540007643</f>
        <v>870540007643</v>
      </c>
      <c r="C769" s="2" t="s">
        <v>3442</v>
      </c>
      <c r="D769" s="2" t="s">
        <v>3443</v>
      </c>
      <c r="F769" s="2" t="s">
        <v>106</v>
      </c>
      <c r="G769" s="2">
        <v>1</v>
      </c>
      <c r="H769" s="2">
        <v>1</v>
      </c>
      <c r="I769" s="2" t="s">
        <v>94</v>
      </c>
      <c r="J769" s="6">
        <v>25</v>
      </c>
      <c r="K769" s="6">
        <v>75</v>
      </c>
      <c r="L769" s="2">
        <v>0</v>
      </c>
      <c r="N769" s="2">
        <v>0</v>
      </c>
      <c r="Q769" s="6"/>
      <c r="R769" s="7"/>
      <c r="S769" s="2">
        <v>6.63</v>
      </c>
      <c r="T769" s="2">
        <v>5</v>
      </c>
      <c r="U769" s="2">
        <v>5</v>
      </c>
      <c r="W769" s="2">
        <v>1.21</v>
      </c>
      <c r="X769" s="2">
        <v>1</v>
      </c>
      <c r="Y769" s="2">
        <v>6.63</v>
      </c>
      <c r="Z769" s="2">
        <v>5</v>
      </c>
      <c r="AA769" s="2">
        <v>5</v>
      </c>
      <c r="AB769" s="2">
        <v>9.6000000000000002E-2</v>
      </c>
      <c r="AC769" s="2">
        <v>1.75</v>
      </c>
      <c r="AK769" s="2" t="s">
        <v>95</v>
      </c>
      <c r="AM769" s="2" t="s">
        <v>95</v>
      </c>
      <c r="AN769" s="2" t="s">
        <v>95</v>
      </c>
      <c r="AO769" s="2" t="s">
        <v>95</v>
      </c>
      <c r="AP769" s="2" t="s">
        <v>97</v>
      </c>
      <c r="AQ769" s="2" t="s">
        <v>98</v>
      </c>
      <c r="AV769" s="2" t="s">
        <v>95</v>
      </c>
      <c r="AX769" s="2" t="s">
        <v>3444</v>
      </c>
      <c r="BB769" s="2" t="s">
        <v>329</v>
      </c>
      <c r="BC769" s="2" t="s">
        <v>3444</v>
      </c>
      <c r="BF769" s="2" t="s">
        <v>3445</v>
      </c>
      <c r="BG769" s="2" t="s">
        <v>95</v>
      </c>
      <c r="BH769" s="2" t="s">
        <v>95</v>
      </c>
      <c r="BI769" s="2" t="s">
        <v>95</v>
      </c>
      <c r="CA769" s="2" t="s">
        <v>3441</v>
      </c>
      <c r="CB769" s="2" t="s">
        <v>3444</v>
      </c>
      <c r="CL769" s="2" t="s">
        <v>95</v>
      </c>
      <c r="CM769" s="2" t="s">
        <v>95</v>
      </c>
      <c r="CN769" s="2" t="s">
        <v>329</v>
      </c>
      <c r="CO769" s="3">
        <v>40732</v>
      </c>
      <c r="CP769" s="3">
        <v>43634</v>
      </c>
    </row>
    <row r="770" spans="1:94" x14ac:dyDescent="0.25">
      <c r="A770" s="2" t="s">
        <v>3446</v>
      </c>
      <c r="B770" s="2" t="str">
        <f xml:space="preserve"> "" &amp; 870540007650</f>
        <v>870540007650</v>
      </c>
      <c r="C770" s="2" t="s">
        <v>3447</v>
      </c>
      <c r="D770" s="2" t="s">
        <v>3448</v>
      </c>
      <c r="F770" s="2" t="s">
        <v>106</v>
      </c>
      <c r="G770" s="2">
        <v>1</v>
      </c>
      <c r="H770" s="2">
        <v>1</v>
      </c>
      <c r="I770" s="2" t="s">
        <v>94</v>
      </c>
      <c r="J770" s="6">
        <v>25</v>
      </c>
      <c r="K770" s="6">
        <v>75</v>
      </c>
      <c r="L770" s="2">
        <v>0</v>
      </c>
      <c r="N770" s="2">
        <v>0</v>
      </c>
      <c r="Q770" s="6"/>
      <c r="R770" s="7"/>
      <c r="S770" s="2">
        <v>6.63</v>
      </c>
      <c r="T770" s="2">
        <v>5</v>
      </c>
      <c r="U770" s="2">
        <v>5</v>
      </c>
      <c r="W770" s="2">
        <v>1.1599999999999999</v>
      </c>
      <c r="X770" s="2">
        <v>1</v>
      </c>
      <c r="Y770" s="2">
        <v>6.63</v>
      </c>
      <c r="Z770" s="2">
        <v>5</v>
      </c>
      <c r="AA770" s="2">
        <v>5</v>
      </c>
      <c r="AB770" s="2">
        <v>9.6000000000000002E-2</v>
      </c>
      <c r="AC770" s="2">
        <v>1.78</v>
      </c>
      <c r="AK770" s="2" t="s">
        <v>95</v>
      </c>
      <c r="AM770" s="2" t="s">
        <v>95</v>
      </c>
      <c r="AN770" s="2" t="s">
        <v>95</v>
      </c>
      <c r="AO770" s="2" t="s">
        <v>95</v>
      </c>
      <c r="AP770" s="2" t="s">
        <v>97</v>
      </c>
      <c r="AQ770" s="2" t="s">
        <v>98</v>
      </c>
      <c r="AV770" s="2" t="s">
        <v>95</v>
      </c>
      <c r="AX770" s="2" t="s">
        <v>3449</v>
      </c>
      <c r="BB770" s="2" t="s">
        <v>329</v>
      </c>
      <c r="BC770" s="2" t="s">
        <v>3449</v>
      </c>
      <c r="BF770" s="2" t="s">
        <v>3450</v>
      </c>
      <c r="BG770" s="2" t="s">
        <v>95</v>
      </c>
      <c r="BH770" s="2" t="s">
        <v>95</v>
      </c>
      <c r="BI770" s="2" t="s">
        <v>95</v>
      </c>
      <c r="CA770" s="2" t="s">
        <v>3446</v>
      </c>
      <c r="CB770" s="2" t="s">
        <v>3449</v>
      </c>
      <c r="CL770" s="2" t="s">
        <v>95</v>
      </c>
      <c r="CM770" s="2" t="s">
        <v>95</v>
      </c>
      <c r="CN770" s="2" t="s">
        <v>329</v>
      </c>
      <c r="CO770" s="3">
        <v>40735</v>
      </c>
      <c r="CP770" s="3">
        <v>43634</v>
      </c>
    </row>
    <row r="771" spans="1:94" x14ac:dyDescent="0.25">
      <c r="A771" s="2" t="s">
        <v>3451</v>
      </c>
      <c r="B771" s="2" t="str">
        <f xml:space="preserve"> "" &amp; 844349008392</f>
        <v>844349008392</v>
      </c>
      <c r="C771" s="2" t="s">
        <v>3452</v>
      </c>
      <c r="D771" s="2" t="s">
        <v>3453</v>
      </c>
      <c r="F771" s="2" t="s">
        <v>106</v>
      </c>
      <c r="G771" s="2">
        <v>1</v>
      </c>
      <c r="H771" s="2">
        <v>1</v>
      </c>
      <c r="I771" s="2" t="s">
        <v>94</v>
      </c>
      <c r="J771" s="6">
        <v>27</v>
      </c>
      <c r="K771" s="6">
        <v>81</v>
      </c>
      <c r="L771" s="2">
        <v>0</v>
      </c>
      <c r="N771" s="2">
        <v>0</v>
      </c>
      <c r="Q771" s="6"/>
      <c r="R771" s="7"/>
      <c r="S771" s="2">
        <v>1</v>
      </c>
      <c r="T771" s="2">
        <v>13</v>
      </c>
      <c r="U771" s="2">
        <v>5.5</v>
      </c>
      <c r="V771" s="2">
        <v>2.5</v>
      </c>
      <c r="W771" s="2">
        <v>1.58</v>
      </c>
      <c r="X771" s="2">
        <v>1</v>
      </c>
      <c r="Y771" s="2">
        <v>8.75</v>
      </c>
      <c r="Z771" s="2">
        <v>16</v>
      </c>
      <c r="AA771" s="2">
        <v>6</v>
      </c>
      <c r="AB771" s="2">
        <v>0.48599999999999999</v>
      </c>
      <c r="AC771" s="2">
        <v>3.04</v>
      </c>
      <c r="AK771" s="2" t="s">
        <v>95</v>
      </c>
      <c r="AM771" s="2" t="s">
        <v>95</v>
      </c>
      <c r="AN771" s="2" t="s">
        <v>95</v>
      </c>
      <c r="AO771" s="2" t="s">
        <v>95</v>
      </c>
      <c r="AP771" s="2" t="s">
        <v>97</v>
      </c>
      <c r="AQ771" s="2" t="s">
        <v>98</v>
      </c>
      <c r="AV771" s="2" t="s">
        <v>95</v>
      </c>
      <c r="BF771" s="2" t="s">
        <v>3454</v>
      </c>
      <c r="BG771" s="2" t="s">
        <v>95</v>
      </c>
      <c r="BH771" s="2" t="s">
        <v>95</v>
      </c>
      <c r="BI771" s="2" t="s">
        <v>95</v>
      </c>
      <c r="CA771" s="2" t="s">
        <v>3451</v>
      </c>
      <c r="CL771" s="2" t="s">
        <v>95</v>
      </c>
      <c r="CM771" s="2" t="s">
        <v>95</v>
      </c>
      <c r="CO771" s="3">
        <v>40737</v>
      </c>
      <c r="CP771" s="3">
        <v>43634</v>
      </c>
    </row>
    <row r="772" spans="1:94" x14ac:dyDescent="0.25">
      <c r="A772" s="2" t="s">
        <v>3455</v>
      </c>
      <c r="B772" s="2" t="str">
        <f xml:space="preserve"> "" &amp; 844349003892</f>
        <v>844349003892</v>
      </c>
      <c r="C772" s="2" t="s">
        <v>3456</v>
      </c>
      <c r="D772" s="2" t="s">
        <v>3457</v>
      </c>
      <c r="F772" s="2" t="s">
        <v>106</v>
      </c>
      <c r="G772" s="2">
        <v>1</v>
      </c>
      <c r="H772" s="2">
        <v>1</v>
      </c>
      <c r="I772" s="2" t="s">
        <v>94</v>
      </c>
      <c r="J772" s="6">
        <v>14</v>
      </c>
      <c r="K772" s="6">
        <v>42</v>
      </c>
      <c r="L772" s="2">
        <v>0</v>
      </c>
      <c r="N772" s="2">
        <v>0</v>
      </c>
      <c r="Q772" s="6"/>
      <c r="R772" s="7"/>
      <c r="S772" s="2">
        <v>1</v>
      </c>
      <c r="T772" s="2">
        <v>1</v>
      </c>
      <c r="U772" s="2">
        <v>1</v>
      </c>
      <c r="W772" s="2">
        <v>1.19</v>
      </c>
      <c r="X772" s="2">
        <v>1</v>
      </c>
      <c r="Y772" s="2">
        <v>13.9</v>
      </c>
      <c r="Z772" s="2">
        <v>23.8</v>
      </c>
      <c r="AA772" s="2">
        <v>15.9</v>
      </c>
      <c r="AB772" s="2">
        <v>3.044</v>
      </c>
      <c r="AC772" s="2">
        <v>1.63</v>
      </c>
      <c r="AK772" s="2" t="s">
        <v>95</v>
      </c>
      <c r="AM772" s="2" t="s">
        <v>95</v>
      </c>
      <c r="AN772" s="2" t="s">
        <v>95</v>
      </c>
      <c r="AO772" s="2" t="s">
        <v>95</v>
      </c>
      <c r="AP772" s="2" t="s">
        <v>97</v>
      </c>
      <c r="AQ772" s="2" t="s">
        <v>98</v>
      </c>
      <c r="AV772" s="2" t="s">
        <v>95</v>
      </c>
      <c r="BB772" s="2" t="s">
        <v>329</v>
      </c>
      <c r="BF772" s="2" t="s">
        <v>3458</v>
      </c>
      <c r="BG772" s="2" t="s">
        <v>95</v>
      </c>
      <c r="BH772" s="2" t="s">
        <v>95</v>
      </c>
      <c r="BI772" s="2" t="s">
        <v>95</v>
      </c>
      <c r="CA772" s="2" t="s">
        <v>3455</v>
      </c>
      <c r="CL772" s="2" t="s">
        <v>95</v>
      </c>
      <c r="CM772" s="2" t="s">
        <v>95</v>
      </c>
      <c r="CN772" s="2" t="s">
        <v>329</v>
      </c>
      <c r="CO772" s="3">
        <v>40737</v>
      </c>
      <c r="CP772" s="3">
        <v>43634</v>
      </c>
    </row>
    <row r="773" spans="1:94" x14ac:dyDescent="0.25">
      <c r="A773" s="2" t="s">
        <v>3459</v>
      </c>
      <c r="B773" s="2" t="str">
        <f xml:space="preserve"> "" &amp; 844349008576</f>
        <v>844349008576</v>
      </c>
      <c r="C773" s="2" t="s">
        <v>976</v>
      </c>
      <c r="D773" s="2" t="s">
        <v>3460</v>
      </c>
      <c r="F773" s="2" t="s">
        <v>106</v>
      </c>
      <c r="G773" s="2">
        <v>1</v>
      </c>
      <c r="H773" s="2">
        <v>1</v>
      </c>
      <c r="I773" s="2" t="s">
        <v>94</v>
      </c>
      <c r="J773" s="6">
        <v>44.5</v>
      </c>
      <c r="K773" s="6">
        <v>133.5</v>
      </c>
      <c r="L773" s="2">
        <v>0</v>
      </c>
      <c r="N773" s="2">
        <v>0</v>
      </c>
      <c r="Q773" s="6"/>
      <c r="R773" s="7"/>
      <c r="S773" s="2">
        <v>16</v>
      </c>
      <c r="U773" s="2">
        <v>4.25</v>
      </c>
      <c r="V773" s="2">
        <v>2</v>
      </c>
      <c r="W773" s="2">
        <v>4.13</v>
      </c>
      <c r="X773" s="2">
        <v>1</v>
      </c>
      <c r="Y773" s="2">
        <v>18.510000000000002</v>
      </c>
      <c r="Z773" s="2">
        <v>12.598000000000001</v>
      </c>
      <c r="AA773" s="2">
        <v>11.811</v>
      </c>
      <c r="AB773" s="2">
        <v>1.5940000000000001</v>
      </c>
      <c r="AC773" s="2">
        <v>4.96</v>
      </c>
      <c r="AK773" s="2" t="s">
        <v>95</v>
      </c>
      <c r="AM773" s="2" t="s">
        <v>95</v>
      </c>
      <c r="AN773" s="2" t="s">
        <v>95</v>
      </c>
      <c r="AO773" s="2" t="s">
        <v>95</v>
      </c>
      <c r="AP773" s="2" t="s">
        <v>97</v>
      </c>
      <c r="AQ773" s="2" t="s">
        <v>98</v>
      </c>
      <c r="AV773" s="2" t="s">
        <v>95</v>
      </c>
      <c r="BF773" s="2" t="s">
        <v>3461</v>
      </c>
      <c r="BG773" s="2" t="s">
        <v>95</v>
      </c>
      <c r="BH773" s="2" t="s">
        <v>95</v>
      </c>
      <c r="BI773" s="2" t="s">
        <v>95</v>
      </c>
      <c r="CA773" s="2" t="s">
        <v>3459</v>
      </c>
      <c r="CL773" s="2" t="s">
        <v>95</v>
      </c>
      <c r="CM773" s="2" t="s">
        <v>95</v>
      </c>
      <c r="CO773" s="3">
        <v>40738</v>
      </c>
      <c r="CP773" s="3">
        <v>43634</v>
      </c>
    </row>
    <row r="774" spans="1:94" x14ac:dyDescent="0.25">
      <c r="A774" s="2" t="s">
        <v>3462</v>
      </c>
      <c r="B774" s="2" t="str">
        <f xml:space="preserve"> "" &amp; 844349008583</f>
        <v>844349008583</v>
      </c>
      <c r="C774" s="2" t="s">
        <v>976</v>
      </c>
      <c r="D774" s="2" t="s">
        <v>3463</v>
      </c>
      <c r="F774" s="2" t="s">
        <v>106</v>
      </c>
      <c r="G774" s="2">
        <v>1</v>
      </c>
      <c r="H774" s="2">
        <v>1</v>
      </c>
      <c r="I774" s="2" t="s">
        <v>94</v>
      </c>
      <c r="J774" s="6">
        <v>32.5</v>
      </c>
      <c r="K774" s="6">
        <v>97.5</v>
      </c>
      <c r="L774" s="2">
        <v>0</v>
      </c>
      <c r="N774" s="2">
        <v>0</v>
      </c>
      <c r="Q774" s="6"/>
      <c r="R774" s="7"/>
      <c r="S774" s="2">
        <v>22.25</v>
      </c>
      <c r="U774" s="2">
        <v>5</v>
      </c>
      <c r="V774" s="2">
        <v>2.5</v>
      </c>
      <c r="W774" s="2">
        <v>1.65</v>
      </c>
      <c r="X774" s="2">
        <v>1</v>
      </c>
      <c r="Y774" s="2">
        <v>24.8</v>
      </c>
      <c r="Z774" s="2">
        <v>13.39</v>
      </c>
      <c r="AA774" s="2">
        <v>9.4499999999999993</v>
      </c>
      <c r="AB774" s="2">
        <v>1.8160000000000001</v>
      </c>
      <c r="AC774" s="2">
        <v>2.2000000000000002</v>
      </c>
      <c r="AK774" s="2" t="s">
        <v>95</v>
      </c>
      <c r="AM774" s="2" t="s">
        <v>95</v>
      </c>
      <c r="AN774" s="2" t="s">
        <v>95</v>
      </c>
      <c r="AO774" s="2" t="s">
        <v>95</v>
      </c>
      <c r="AP774" s="2" t="s">
        <v>97</v>
      </c>
      <c r="AQ774" s="2" t="s">
        <v>98</v>
      </c>
      <c r="AV774" s="2" t="s">
        <v>95</v>
      </c>
      <c r="BF774" s="2" t="s">
        <v>3464</v>
      </c>
      <c r="BG774" s="2" t="s">
        <v>95</v>
      </c>
      <c r="BH774" s="2" t="s">
        <v>95</v>
      </c>
      <c r="BI774" s="2" t="s">
        <v>95</v>
      </c>
      <c r="CA774" s="2" t="s">
        <v>3462</v>
      </c>
      <c r="CL774" s="2" t="s">
        <v>95</v>
      </c>
      <c r="CM774" s="2" t="s">
        <v>95</v>
      </c>
      <c r="CO774" s="3">
        <v>40738</v>
      </c>
      <c r="CP774" s="3">
        <v>43634</v>
      </c>
    </row>
    <row r="775" spans="1:94" x14ac:dyDescent="0.25">
      <c r="A775" s="2" t="s">
        <v>3465</v>
      </c>
      <c r="B775" s="2" t="str">
        <f xml:space="preserve"> "" &amp; 844349008590</f>
        <v>844349008590</v>
      </c>
      <c r="C775" s="2" t="s">
        <v>976</v>
      </c>
      <c r="D775" s="2" t="s">
        <v>3466</v>
      </c>
      <c r="F775" s="2" t="s">
        <v>106</v>
      </c>
      <c r="G775" s="2">
        <v>1</v>
      </c>
      <c r="H775" s="2">
        <v>1</v>
      </c>
      <c r="I775" s="2" t="s">
        <v>94</v>
      </c>
      <c r="J775" s="6">
        <v>32.5</v>
      </c>
      <c r="K775" s="6">
        <v>97.5</v>
      </c>
      <c r="L775" s="2">
        <v>0</v>
      </c>
      <c r="N775" s="2">
        <v>0</v>
      </c>
      <c r="Q775" s="6"/>
      <c r="R775" s="7"/>
      <c r="S775" s="2">
        <v>16</v>
      </c>
      <c r="U775" s="2">
        <v>4.13</v>
      </c>
      <c r="V775" s="2">
        <v>2.63</v>
      </c>
      <c r="W775" s="2">
        <v>1.93</v>
      </c>
      <c r="X775" s="2">
        <v>1</v>
      </c>
      <c r="Y775" s="2">
        <v>18.5</v>
      </c>
      <c r="Z775" s="2">
        <v>12.6</v>
      </c>
      <c r="AA775" s="2">
        <v>11.81</v>
      </c>
      <c r="AB775" s="2">
        <v>1.593</v>
      </c>
      <c r="AC775" s="2">
        <v>2.75</v>
      </c>
      <c r="AK775" s="2" t="s">
        <v>95</v>
      </c>
      <c r="AM775" s="2" t="s">
        <v>95</v>
      </c>
      <c r="AN775" s="2" t="s">
        <v>95</v>
      </c>
      <c r="AO775" s="2" t="s">
        <v>95</v>
      </c>
      <c r="AP775" s="2" t="s">
        <v>97</v>
      </c>
      <c r="AQ775" s="2" t="s">
        <v>98</v>
      </c>
      <c r="AV775" s="2" t="s">
        <v>95</v>
      </c>
      <c r="BF775" s="2" t="s">
        <v>3467</v>
      </c>
      <c r="BG775" s="2" t="s">
        <v>95</v>
      </c>
      <c r="BH775" s="2" t="s">
        <v>95</v>
      </c>
      <c r="BI775" s="2" t="s">
        <v>95</v>
      </c>
      <c r="CA775" s="2" t="s">
        <v>3465</v>
      </c>
      <c r="CL775" s="2" t="s">
        <v>95</v>
      </c>
      <c r="CM775" s="2" t="s">
        <v>95</v>
      </c>
      <c r="CO775" s="3">
        <v>40738</v>
      </c>
      <c r="CP775" s="3">
        <v>43634</v>
      </c>
    </row>
    <row r="776" spans="1:94" x14ac:dyDescent="0.25">
      <c r="A776" s="2" t="s">
        <v>3468</v>
      </c>
      <c r="B776" s="2" t="str">
        <f xml:space="preserve"> "" &amp; 844349020776</f>
        <v>844349020776</v>
      </c>
      <c r="C776" s="2" t="s">
        <v>3398</v>
      </c>
      <c r="D776" s="2" t="s">
        <v>3469</v>
      </c>
      <c r="F776" s="2" t="s">
        <v>106</v>
      </c>
      <c r="G776" s="2">
        <v>1</v>
      </c>
      <c r="H776" s="2">
        <v>1</v>
      </c>
      <c r="I776" s="2" t="s">
        <v>94</v>
      </c>
      <c r="J776" s="6">
        <v>27</v>
      </c>
      <c r="K776" s="6">
        <v>81</v>
      </c>
      <c r="L776" s="2">
        <v>0</v>
      </c>
      <c r="N776" s="2">
        <v>0</v>
      </c>
      <c r="Q776" s="6"/>
      <c r="R776" s="7"/>
      <c r="S776" s="2">
        <v>5.13</v>
      </c>
      <c r="U776" s="2">
        <v>3.5</v>
      </c>
      <c r="W776" s="2">
        <v>0.06</v>
      </c>
      <c r="X776" s="2">
        <v>1</v>
      </c>
      <c r="Y776" s="2">
        <v>13</v>
      </c>
      <c r="Z776" s="2">
        <v>14</v>
      </c>
      <c r="AA776" s="2">
        <v>10</v>
      </c>
      <c r="AB776" s="2">
        <v>1.0529999999999999</v>
      </c>
      <c r="AC776" s="2">
        <v>0.52</v>
      </c>
      <c r="AK776" s="2" t="s">
        <v>95</v>
      </c>
      <c r="AM776" s="2" t="s">
        <v>95</v>
      </c>
      <c r="AN776" s="2" t="s">
        <v>95</v>
      </c>
      <c r="AO776" s="2" t="s">
        <v>95</v>
      </c>
      <c r="AP776" s="2" t="s">
        <v>97</v>
      </c>
      <c r="AQ776" s="2" t="s">
        <v>98</v>
      </c>
      <c r="AV776" s="2" t="s">
        <v>95</v>
      </c>
      <c r="AX776" s="2" t="s">
        <v>379</v>
      </c>
      <c r="AZ776" s="2" t="s">
        <v>177</v>
      </c>
      <c r="BF776" s="2" t="s">
        <v>3470</v>
      </c>
      <c r="BG776" s="2" t="s">
        <v>95</v>
      </c>
      <c r="BH776" s="2" t="s">
        <v>95</v>
      </c>
      <c r="BI776" s="2" t="s">
        <v>95</v>
      </c>
      <c r="BK776" s="2" t="s">
        <v>100</v>
      </c>
      <c r="CA776" s="2" t="s">
        <v>3468</v>
      </c>
      <c r="CB776" s="2" t="s">
        <v>379</v>
      </c>
      <c r="CL776" s="2" t="s">
        <v>95</v>
      </c>
      <c r="CM776" s="2" t="s">
        <v>95</v>
      </c>
      <c r="CN776" s="2" t="s">
        <v>329</v>
      </c>
      <c r="CO776" s="3">
        <v>42801</v>
      </c>
      <c r="CP776" s="3">
        <v>43634</v>
      </c>
    </row>
    <row r="777" spans="1:94" x14ac:dyDescent="0.25">
      <c r="A777" s="2" t="s">
        <v>3471</v>
      </c>
      <c r="B777" s="2" t="str">
        <f xml:space="preserve"> "" &amp; 844349021261</f>
        <v>844349021261</v>
      </c>
      <c r="C777" s="2" t="s">
        <v>3398</v>
      </c>
      <c r="D777" s="2" t="s">
        <v>3472</v>
      </c>
      <c r="F777" s="2" t="s">
        <v>106</v>
      </c>
      <c r="G777" s="2">
        <v>1</v>
      </c>
      <c r="H777" s="2">
        <v>1</v>
      </c>
      <c r="I777" s="2" t="s">
        <v>94</v>
      </c>
      <c r="J777" s="6">
        <v>42.5</v>
      </c>
      <c r="K777" s="6">
        <v>127.5</v>
      </c>
      <c r="L777" s="2">
        <v>0</v>
      </c>
      <c r="N777" s="2">
        <v>0</v>
      </c>
      <c r="Q777" s="6"/>
      <c r="R777" s="7"/>
      <c r="S777" s="2">
        <v>5.38</v>
      </c>
      <c r="T777" s="2">
        <v>16.25</v>
      </c>
      <c r="U777" s="2">
        <v>4.88</v>
      </c>
      <c r="W777" s="2">
        <v>1.52</v>
      </c>
      <c r="X777" s="2">
        <v>1</v>
      </c>
      <c r="Y777" s="2">
        <v>8</v>
      </c>
      <c r="Z777" s="2">
        <v>22</v>
      </c>
      <c r="AA777" s="2">
        <v>19.3</v>
      </c>
      <c r="AB777" s="2">
        <v>1.966</v>
      </c>
      <c r="AC777" s="2">
        <v>1.98</v>
      </c>
      <c r="AK777" s="2" t="s">
        <v>95</v>
      </c>
      <c r="AM777" s="2" t="s">
        <v>95</v>
      </c>
      <c r="AN777" s="2" t="s">
        <v>95</v>
      </c>
      <c r="AO777" s="2" t="s">
        <v>95</v>
      </c>
      <c r="AP777" s="2" t="s">
        <v>97</v>
      </c>
      <c r="AQ777" s="2" t="s">
        <v>98</v>
      </c>
      <c r="AV777" s="2" t="s">
        <v>95</v>
      </c>
      <c r="AX777" s="2" t="s">
        <v>379</v>
      </c>
      <c r="AZ777" s="2" t="s">
        <v>177</v>
      </c>
      <c r="BF777" s="2" t="s">
        <v>3473</v>
      </c>
      <c r="BG777" s="2" t="s">
        <v>95</v>
      </c>
      <c r="BH777" s="2" t="s">
        <v>95</v>
      </c>
      <c r="BI777" s="2" t="s">
        <v>95</v>
      </c>
      <c r="BK777" s="2" t="s">
        <v>100</v>
      </c>
      <c r="CA777" s="2" t="s">
        <v>3471</v>
      </c>
      <c r="CB777" s="2" t="s">
        <v>379</v>
      </c>
      <c r="CL777" s="2" t="s">
        <v>95</v>
      </c>
      <c r="CM777" s="2" t="s">
        <v>95</v>
      </c>
      <c r="CN777" s="2" t="s">
        <v>329</v>
      </c>
      <c r="CO777" s="3">
        <v>42801</v>
      </c>
      <c r="CP777" s="3">
        <v>43634</v>
      </c>
    </row>
    <row r="778" spans="1:94" x14ac:dyDescent="0.25">
      <c r="A778" s="2" t="s">
        <v>3474</v>
      </c>
      <c r="B778" s="2" t="str">
        <f xml:space="preserve"> "" &amp; 844349021278</f>
        <v>844349021278</v>
      </c>
      <c r="C778" s="2" t="s">
        <v>3398</v>
      </c>
      <c r="D778" s="2" t="s">
        <v>3475</v>
      </c>
      <c r="F778" s="2" t="s">
        <v>106</v>
      </c>
      <c r="G778" s="2">
        <v>1</v>
      </c>
      <c r="H778" s="2">
        <v>1</v>
      </c>
      <c r="I778" s="2" t="s">
        <v>94</v>
      </c>
      <c r="J778" s="6">
        <v>55</v>
      </c>
      <c r="K778" s="6">
        <v>165</v>
      </c>
      <c r="L778" s="2">
        <v>0</v>
      </c>
      <c r="N778" s="2">
        <v>0</v>
      </c>
      <c r="Q778" s="6"/>
      <c r="R778" s="7"/>
      <c r="S778" s="2">
        <v>5.38</v>
      </c>
      <c r="T778" s="2">
        <v>24.63</v>
      </c>
      <c r="U778" s="2">
        <v>4.88</v>
      </c>
      <c r="W778" s="2">
        <v>2.09</v>
      </c>
      <c r="X778" s="2">
        <v>1</v>
      </c>
      <c r="Y778" s="2">
        <v>8</v>
      </c>
      <c r="Z778" s="2">
        <v>27.5</v>
      </c>
      <c r="AA778" s="2">
        <v>22</v>
      </c>
      <c r="AB778" s="2">
        <v>2.8010000000000002</v>
      </c>
      <c r="AC778" s="2">
        <v>2.81</v>
      </c>
      <c r="AK778" s="2" t="s">
        <v>95</v>
      </c>
      <c r="AM778" s="2" t="s">
        <v>95</v>
      </c>
      <c r="AN778" s="2" t="s">
        <v>95</v>
      </c>
      <c r="AO778" s="2" t="s">
        <v>95</v>
      </c>
      <c r="AP778" s="2" t="s">
        <v>97</v>
      </c>
      <c r="AQ778" s="2" t="s">
        <v>98</v>
      </c>
      <c r="AV778" s="2" t="s">
        <v>95</v>
      </c>
      <c r="AX778" s="2" t="s">
        <v>379</v>
      </c>
      <c r="AZ778" s="2" t="s">
        <v>177</v>
      </c>
      <c r="BF778" s="2" t="s">
        <v>3476</v>
      </c>
      <c r="BG778" s="2" t="s">
        <v>95</v>
      </c>
      <c r="BH778" s="2" t="s">
        <v>95</v>
      </c>
      <c r="BI778" s="2" t="s">
        <v>95</v>
      </c>
      <c r="BK778" s="2" t="s">
        <v>100</v>
      </c>
      <c r="CA778" s="2" t="s">
        <v>3474</v>
      </c>
      <c r="CB778" s="2" t="s">
        <v>379</v>
      </c>
      <c r="CL778" s="2" t="s">
        <v>95</v>
      </c>
      <c r="CM778" s="2" t="s">
        <v>95</v>
      </c>
      <c r="CN778" s="2" t="s">
        <v>329</v>
      </c>
      <c r="CO778" s="3">
        <v>42801</v>
      </c>
      <c r="CP778" s="3">
        <v>43634</v>
      </c>
    </row>
    <row r="779" spans="1:94" x14ac:dyDescent="0.25">
      <c r="A779" s="2" t="s">
        <v>3477</v>
      </c>
      <c r="B779" s="2" t="str">
        <f xml:space="preserve"> "" &amp; 844349021285</f>
        <v>844349021285</v>
      </c>
      <c r="C779" s="2" t="s">
        <v>3398</v>
      </c>
      <c r="D779" s="2" t="s">
        <v>3478</v>
      </c>
      <c r="F779" s="2" t="s">
        <v>106</v>
      </c>
      <c r="G779" s="2">
        <v>1</v>
      </c>
      <c r="H779" s="2">
        <v>1</v>
      </c>
      <c r="I779" s="2" t="s">
        <v>94</v>
      </c>
      <c r="J779" s="6">
        <v>65</v>
      </c>
      <c r="K779" s="6">
        <v>195</v>
      </c>
      <c r="L779" s="2">
        <v>0</v>
      </c>
      <c r="N779" s="2">
        <v>0</v>
      </c>
      <c r="Q779" s="6"/>
      <c r="R779" s="7"/>
      <c r="S779" s="2">
        <v>5.38</v>
      </c>
      <c r="T779" s="2">
        <v>31.5</v>
      </c>
      <c r="U779" s="2">
        <v>4.88</v>
      </c>
      <c r="W779" s="2">
        <v>2.64</v>
      </c>
      <c r="X779" s="2">
        <v>1</v>
      </c>
      <c r="Y779" s="2">
        <v>8.5</v>
      </c>
      <c r="Z779" s="2">
        <v>34.5</v>
      </c>
      <c r="AA779" s="2">
        <v>21.5</v>
      </c>
      <c r="AB779" s="2">
        <v>3.649</v>
      </c>
      <c r="AC779" s="2">
        <v>3.52</v>
      </c>
      <c r="AK779" s="2" t="s">
        <v>95</v>
      </c>
      <c r="AM779" s="2" t="s">
        <v>95</v>
      </c>
      <c r="AN779" s="2" t="s">
        <v>95</v>
      </c>
      <c r="AO779" s="2" t="s">
        <v>95</v>
      </c>
      <c r="AP779" s="2" t="s">
        <v>97</v>
      </c>
      <c r="AQ779" s="2" t="s">
        <v>98</v>
      </c>
      <c r="AV779" s="2" t="s">
        <v>95</v>
      </c>
      <c r="AX779" s="2" t="s">
        <v>379</v>
      </c>
      <c r="AZ779" s="2" t="s">
        <v>177</v>
      </c>
      <c r="BF779" s="2" t="s">
        <v>3479</v>
      </c>
      <c r="BG779" s="2" t="s">
        <v>95</v>
      </c>
      <c r="BH779" s="2" t="s">
        <v>95</v>
      </c>
      <c r="BI779" s="2" t="s">
        <v>95</v>
      </c>
      <c r="BK779" s="2" t="s">
        <v>100</v>
      </c>
      <c r="CA779" s="2" t="s">
        <v>3477</v>
      </c>
      <c r="CB779" s="2" t="s">
        <v>379</v>
      </c>
      <c r="CL779" s="2" t="s">
        <v>95</v>
      </c>
      <c r="CM779" s="2" t="s">
        <v>95</v>
      </c>
      <c r="CN779" s="2" t="s">
        <v>329</v>
      </c>
      <c r="CO779" s="3">
        <v>42801</v>
      </c>
      <c r="CP779" s="3">
        <v>43634</v>
      </c>
    </row>
    <row r="780" spans="1:94" x14ac:dyDescent="0.25">
      <c r="A780" s="2" t="s">
        <v>3480</v>
      </c>
      <c r="B780" s="2" t="str">
        <f xml:space="preserve"> "" &amp; 874944006080</f>
        <v>874944006080</v>
      </c>
      <c r="C780" s="2" t="s">
        <v>3394</v>
      </c>
      <c r="D780" s="2" t="s">
        <v>3481</v>
      </c>
      <c r="F780" s="2" t="s">
        <v>106</v>
      </c>
      <c r="G780" s="2">
        <v>1</v>
      </c>
      <c r="H780" s="2">
        <v>1</v>
      </c>
      <c r="I780" s="2" t="s">
        <v>94</v>
      </c>
      <c r="J780" s="6">
        <v>175</v>
      </c>
      <c r="K780" s="6">
        <v>525</v>
      </c>
      <c r="L780" s="2">
        <v>0</v>
      </c>
      <c r="N780" s="2">
        <v>0</v>
      </c>
      <c r="Q780" s="6"/>
      <c r="R780" s="7"/>
      <c r="S780" s="2">
        <v>8.75</v>
      </c>
      <c r="U780" s="2">
        <v>19.5</v>
      </c>
      <c r="W780" s="2">
        <v>5.0599999999999996</v>
      </c>
      <c r="X780" s="2">
        <v>1</v>
      </c>
      <c r="AB780" s="2">
        <v>3.37</v>
      </c>
      <c r="AC780" s="2">
        <v>11.66</v>
      </c>
      <c r="AK780" s="2" t="s">
        <v>95</v>
      </c>
      <c r="AM780" s="2" t="s">
        <v>95</v>
      </c>
      <c r="AN780" s="2" t="s">
        <v>95</v>
      </c>
      <c r="AO780" s="2" t="s">
        <v>95</v>
      </c>
      <c r="AP780" s="2" t="s">
        <v>97</v>
      </c>
      <c r="AQ780" s="2" t="s">
        <v>98</v>
      </c>
      <c r="AV780" s="2" t="s">
        <v>95</v>
      </c>
      <c r="BF780" s="2" t="s">
        <v>3482</v>
      </c>
      <c r="BG780" s="2" t="s">
        <v>95</v>
      </c>
      <c r="BH780" s="2" t="s">
        <v>95</v>
      </c>
      <c r="BI780" s="2" t="s">
        <v>95</v>
      </c>
      <c r="CA780" s="2" t="s">
        <v>3480</v>
      </c>
      <c r="CL780" s="2" t="s">
        <v>95</v>
      </c>
      <c r="CM780" s="2" t="s">
        <v>95</v>
      </c>
      <c r="CO780" s="3">
        <v>40738</v>
      </c>
      <c r="CP780" s="3">
        <v>40738</v>
      </c>
    </row>
    <row r="781" spans="1:94" x14ac:dyDescent="0.25">
      <c r="A781" s="2" t="s">
        <v>3483</v>
      </c>
      <c r="B781" s="2" t="str">
        <f xml:space="preserve"> "" &amp; 874944006097</f>
        <v>874944006097</v>
      </c>
      <c r="C781" s="2" t="s">
        <v>3394</v>
      </c>
      <c r="D781" s="2" t="s">
        <v>3484</v>
      </c>
      <c r="F781" s="2" t="s">
        <v>106</v>
      </c>
      <c r="G781" s="2">
        <v>1</v>
      </c>
      <c r="H781" s="2">
        <v>1</v>
      </c>
      <c r="I781" s="2" t="s">
        <v>94</v>
      </c>
      <c r="J781" s="6">
        <v>55</v>
      </c>
      <c r="K781" s="6">
        <v>165</v>
      </c>
      <c r="L781" s="2">
        <v>0</v>
      </c>
      <c r="N781" s="2">
        <v>0</v>
      </c>
      <c r="Q781" s="6"/>
      <c r="R781" s="7"/>
      <c r="S781" s="2">
        <v>4</v>
      </c>
      <c r="U781" s="2">
        <v>15.75</v>
      </c>
      <c r="W781" s="2">
        <v>3.96</v>
      </c>
      <c r="X781" s="2">
        <v>1</v>
      </c>
      <c r="Y781" s="2">
        <v>7.25</v>
      </c>
      <c r="Z781" s="2">
        <v>18.25</v>
      </c>
      <c r="AA781" s="2">
        <v>18.25</v>
      </c>
      <c r="AB781" s="2">
        <v>1.397</v>
      </c>
      <c r="AC781" s="2">
        <v>6.82</v>
      </c>
      <c r="AK781" s="2" t="s">
        <v>95</v>
      </c>
      <c r="AM781" s="2" t="s">
        <v>95</v>
      </c>
      <c r="AN781" s="2" t="s">
        <v>95</v>
      </c>
      <c r="AO781" s="2" t="s">
        <v>95</v>
      </c>
      <c r="AP781" s="2" t="s">
        <v>97</v>
      </c>
      <c r="AQ781" s="2" t="s">
        <v>98</v>
      </c>
      <c r="AV781" s="2" t="s">
        <v>95</v>
      </c>
      <c r="BF781" s="2" t="s">
        <v>3485</v>
      </c>
      <c r="BG781" s="2" t="s">
        <v>95</v>
      </c>
      <c r="BH781" s="2" t="s">
        <v>95</v>
      </c>
      <c r="BI781" s="2" t="s">
        <v>95</v>
      </c>
      <c r="CA781" s="2" t="s">
        <v>3483</v>
      </c>
      <c r="CL781" s="2" t="s">
        <v>95</v>
      </c>
      <c r="CM781" s="2" t="s">
        <v>95</v>
      </c>
      <c r="CO781" s="3">
        <v>40738</v>
      </c>
      <c r="CP781" s="3">
        <v>43634</v>
      </c>
    </row>
    <row r="782" spans="1:94" x14ac:dyDescent="0.25">
      <c r="A782" s="2" t="s">
        <v>3486</v>
      </c>
      <c r="B782" s="2" t="str">
        <f xml:space="preserve"> "" &amp; 874944006103</f>
        <v>874944006103</v>
      </c>
      <c r="C782" s="2" t="s">
        <v>3487</v>
      </c>
      <c r="D782" s="2" t="s">
        <v>3488</v>
      </c>
      <c r="F782" s="2" t="s">
        <v>106</v>
      </c>
      <c r="G782" s="2">
        <v>1</v>
      </c>
      <c r="H782" s="2">
        <v>1</v>
      </c>
      <c r="I782" s="2" t="s">
        <v>94</v>
      </c>
      <c r="J782" s="6">
        <v>62</v>
      </c>
      <c r="K782" s="6">
        <v>186</v>
      </c>
      <c r="L782" s="2">
        <v>0</v>
      </c>
      <c r="N782" s="2">
        <v>0</v>
      </c>
      <c r="Q782" s="6"/>
      <c r="R782" s="7"/>
      <c r="S782" s="2">
        <v>6</v>
      </c>
      <c r="U782" s="2">
        <v>19.75</v>
      </c>
      <c r="W782" s="2">
        <v>6.82</v>
      </c>
      <c r="X782" s="2">
        <v>1</v>
      </c>
      <c r="Y782" s="2">
        <v>8.5</v>
      </c>
      <c r="Z782" s="2">
        <v>23</v>
      </c>
      <c r="AA782" s="2">
        <v>23</v>
      </c>
      <c r="AB782" s="2">
        <v>2.6019999999999999</v>
      </c>
      <c r="AC782" s="2">
        <v>11</v>
      </c>
      <c r="AK782" s="2" t="s">
        <v>95</v>
      </c>
      <c r="AM782" s="2" t="s">
        <v>95</v>
      </c>
      <c r="AN782" s="2" t="s">
        <v>95</v>
      </c>
      <c r="AO782" s="2" t="s">
        <v>95</v>
      </c>
      <c r="AP782" s="2" t="s">
        <v>97</v>
      </c>
      <c r="AQ782" s="2" t="s">
        <v>98</v>
      </c>
      <c r="AV782" s="2" t="s">
        <v>95</v>
      </c>
      <c r="BF782" s="2" t="s">
        <v>3489</v>
      </c>
      <c r="BG782" s="2" t="s">
        <v>95</v>
      </c>
      <c r="BH782" s="2" t="s">
        <v>95</v>
      </c>
      <c r="BI782" s="2" t="s">
        <v>95</v>
      </c>
      <c r="CA782" s="2" t="s">
        <v>3486</v>
      </c>
      <c r="CL782" s="2" t="s">
        <v>95</v>
      </c>
      <c r="CM782" s="2" t="s">
        <v>95</v>
      </c>
      <c r="CO782" s="3">
        <v>40738</v>
      </c>
      <c r="CP782" s="3">
        <v>43634</v>
      </c>
    </row>
    <row r="783" spans="1:94" x14ac:dyDescent="0.25">
      <c r="A783" s="2" t="s">
        <v>3490</v>
      </c>
      <c r="B783" s="2" t="str">
        <f xml:space="preserve"> "" &amp; 844349003908</f>
        <v>844349003908</v>
      </c>
      <c r="C783" s="2" t="s">
        <v>3394</v>
      </c>
      <c r="D783" s="2" t="s">
        <v>3491</v>
      </c>
      <c r="F783" s="2" t="s">
        <v>106</v>
      </c>
      <c r="G783" s="2">
        <v>1</v>
      </c>
      <c r="H783" s="2">
        <v>1</v>
      </c>
      <c r="I783" s="2" t="s">
        <v>94</v>
      </c>
      <c r="J783" s="6">
        <v>15</v>
      </c>
      <c r="K783" s="6">
        <v>45</v>
      </c>
      <c r="L783" s="2">
        <v>0</v>
      </c>
      <c r="N783" s="2">
        <v>0</v>
      </c>
      <c r="Q783" s="6"/>
      <c r="R783" s="7"/>
      <c r="S783" s="2">
        <v>1</v>
      </c>
      <c r="T783" s="2">
        <v>1</v>
      </c>
      <c r="U783" s="2">
        <v>1</v>
      </c>
      <c r="W783" s="2">
        <v>1.98</v>
      </c>
      <c r="X783" s="2">
        <v>0</v>
      </c>
      <c r="Y783" s="2">
        <v>5</v>
      </c>
      <c r="Z783" s="2">
        <v>18.5</v>
      </c>
      <c r="AA783" s="2">
        <v>18.5</v>
      </c>
      <c r="AB783" s="2">
        <v>0.99</v>
      </c>
      <c r="AC783" s="2">
        <v>2.5099999999999998</v>
      </c>
      <c r="AK783" s="2" t="s">
        <v>95</v>
      </c>
      <c r="AM783" s="2" t="s">
        <v>95</v>
      </c>
      <c r="AN783" s="2" t="s">
        <v>95</v>
      </c>
      <c r="AO783" s="2" t="s">
        <v>95</v>
      </c>
      <c r="AP783" s="2" t="s">
        <v>97</v>
      </c>
      <c r="AQ783" s="2" t="s">
        <v>98</v>
      </c>
      <c r="AV783" s="2" t="s">
        <v>95</v>
      </c>
      <c r="BF783" s="2" t="s">
        <v>3492</v>
      </c>
      <c r="BG783" s="2" t="s">
        <v>95</v>
      </c>
      <c r="BH783" s="2" t="s">
        <v>95</v>
      </c>
      <c r="BI783" s="2" t="s">
        <v>95</v>
      </c>
      <c r="CA783" s="2" t="s">
        <v>3490</v>
      </c>
      <c r="CL783" s="2" t="s">
        <v>95</v>
      </c>
      <c r="CM783" s="2" t="s">
        <v>95</v>
      </c>
      <c r="CO783" s="3">
        <v>40738</v>
      </c>
      <c r="CP783" s="3">
        <v>43634</v>
      </c>
    </row>
    <row r="784" spans="1:94" x14ac:dyDescent="0.25">
      <c r="A784" s="2" t="s">
        <v>3493</v>
      </c>
      <c r="B784" s="2" t="str">
        <f xml:space="preserve"> "" &amp; 874944006110</f>
        <v>874944006110</v>
      </c>
      <c r="C784" s="2" t="s">
        <v>3394</v>
      </c>
      <c r="D784" s="2" t="s">
        <v>3494</v>
      </c>
      <c r="F784" s="2" t="s">
        <v>106</v>
      </c>
      <c r="G784" s="2">
        <v>1</v>
      </c>
      <c r="H784" s="2">
        <v>1</v>
      </c>
      <c r="I784" s="2" t="s">
        <v>94</v>
      </c>
      <c r="J784" s="6">
        <v>130</v>
      </c>
      <c r="K784" s="6">
        <v>390</v>
      </c>
      <c r="L784" s="2">
        <v>0</v>
      </c>
      <c r="N784" s="2">
        <v>0</v>
      </c>
      <c r="Q784" s="6"/>
      <c r="R784" s="7"/>
      <c r="S784" s="2">
        <v>6.25</v>
      </c>
      <c r="U784" s="2">
        <v>33</v>
      </c>
      <c r="W784" s="2">
        <v>16.41</v>
      </c>
      <c r="X784" s="2">
        <v>1</v>
      </c>
      <c r="Y784" s="2">
        <v>8.5</v>
      </c>
      <c r="Z784" s="2">
        <v>36.5</v>
      </c>
      <c r="AA784" s="2">
        <v>36.5</v>
      </c>
      <c r="AB784" s="2">
        <v>6.5529999999999999</v>
      </c>
      <c r="AC784" s="2">
        <v>26.4</v>
      </c>
      <c r="AK784" s="2" t="s">
        <v>95</v>
      </c>
      <c r="AM784" s="2" t="s">
        <v>95</v>
      </c>
      <c r="AN784" s="2" t="s">
        <v>95</v>
      </c>
      <c r="AO784" s="2" t="s">
        <v>95</v>
      </c>
      <c r="AP784" s="2" t="s">
        <v>97</v>
      </c>
      <c r="AQ784" s="2" t="s">
        <v>98</v>
      </c>
      <c r="AV784" s="2" t="s">
        <v>95</v>
      </c>
      <c r="BF784" s="2" t="s">
        <v>3495</v>
      </c>
      <c r="BG784" s="2" t="s">
        <v>95</v>
      </c>
      <c r="BH784" s="2" t="s">
        <v>95</v>
      </c>
      <c r="BI784" s="2" t="s">
        <v>95</v>
      </c>
      <c r="CA784" s="2" t="s">
        <v>3493</v>
      </c>
      <c r="CL784" s="2" t="s">
        <v>95</v>
      </c>
      <c r="CM784" s="2" t="s">
        <v>95</v>
      </c>
      <c r="CO784" s="3">
        <v>40738</v>
      </c>
      <c r="CP784" s="3">
        <v>43634</v>
      </c>
    </row>
    <row r="785" spans="1:94" x14ac:dyDescent="0.25">
      <c r="A785" s="2" t="s">
        <v>3496</v>
      </c>
      <c r="B785" s="2" t="str">
        <f xml:space="preserve"> "" &amp; 844349003915</f>
        <v>844349003915</v>
      </c>
      <c r="C785" s="2" t="s">
        <v>3394</v>
      </c>
      <c r="D785" s="2" t="s">
        <v>3497</v>
      </c>
      <c r="F785" s="2" t="s">
        <v>106</v>
      </c>
      <c r="G785" s="2">
        <v>1</v>
      </c>
      <c r="H785" s="2">
        <v>1</v>
      </c>
      <c r="I785" s="2" t="s">
        <v>94</v>
      </c>
      <c r="J785" s="6">
        <v>15</v>
      </c>
      <c r="K785" s="6">
        <v>45</v>
      </c>
      <c r="L785" s="2">
        <v>0</v>
      </c>
      <c r="N785" s="2">
        <v>0</v>
      </c>
      <c r="Q785" s="6"/>
      <c r="R785" s="7"/>
      <c r="S785" s="2">
        <v>1</v>
      </c>
      <c r="T785" s="2">
        <v>1</v>
      </c>
      <c r="U785" s="2">
        <v>1</v>
      </c>
      <c r="W785" s="2">
        <v>2.96</v>
      </c>
      <c r="X785" s="2">
        <v>1</v>
      </c>
      <c r="Y785" s="2">
        <v>5</v>
      </c>
      <c r="Z785" s="2">
        <v>19.5</v>
      </c>
      <c r="AA785" s="2">
        <v>19.5</v>
      </c>
      <c r="AB785" s="2">
        <v>1.1000000000000001</v>
      </c>
      <c r="AC785" s="2">
        <v>2.96</v>
      </c>
      <c r="AK785" s="2" t="s">
        <v>95</v>
      </c>
      <c r="AM785" s="2" t="s">
        <v>95</v>
      </c>
      <c r="AN785" s="2" t="s">
        <v>95</v>
      </c>
      <c r="AO785" s="2" t="s">
        <v>95</v>
      </c>
      <c r="AP785" s="2" t="s">
        <v>97</v>
      </c>
      <c r="AQ785" s="2" t="s">
        <v>98</v>
      </c>
      <c r="AV785" s="2" t="s">
        <v>95</v>
      </c>
      <c r="BF785" s="2" t="s">
        <v>3498</v>
      </c>
      <c r="BG785" s="2" t="s">
        <v>95</v>
      </c>
      <c r="BH785" s="2" t="s">
        <v>95</v>
      </c>
      <c r="BI785" s="2" t="s">
        <v>95</v>
      </c>
      <c r="CA785" s="2" t="s">
        <v>3496</v>
      </c>
      <c r="CL785" s="2" t="s">
        <v>95</v>
      </c>
      <c r="CM785" s="2" t="s">
        <v>95</v>
      </c>
      <c r="CO785" s="3">
        <v>40738</v>
      </c>
      <c r="CP785" s="3">
        <v>43634</v>
      </c>
    </row>
    <row r="786" spans="1:94" x14ac:dyDescent="0.25">
      <c r="A786" s="2" t="s">
        <v>3499</v>
      </c>
      <c r="B786" s="2" t="str">
        <f xml:space="preserve"> "" &amp; 844349001270</f>
        <v>844349001270</v>
      </c>
      <c r="C786" s="2" t="s">
        <v>3500</v>
      </c>
      <c r="D786" s="2" t="s">
        <v>3501</v>
      </c>
      <c r="F786" s="2" t="s">
        <v>106</v>
      </c>
      <c r="G786" s="2">
        <v>1</v>
      </c>
      <c r="H786" s="2">
        <v>1</v>
      </c>
      <c r="I786" s="2" t="s">
        <v>94</v>
      </c>
      <c r="J786" s="6">
        <v>22</v>
      </c>
      <c r="K786" s="6">
        <v>66</v>
      </c>
      <c r="L786" s="2">
        <v>0</v>
      </c>
      <c r="N786" s="2">
        <v>0</v>
      </c>
      <c r="Q786" s="6"/>
      <c r="R786" s="7"/>
      <c r="S786" s="2">
        <v>11.75</v>
      </c>
      <c r="U786" s="2">
        <v>3.5</v>
      </c>
      <c r="W786" s="2">
        <v>1.5</v>
      </c>
      <c r="X786" s="2">
        <v>1</v>
      </c>
      <c r="Y786" s="2">
        <v>15.13</v>
      </c>
      <c r="Z786" s="2">
        <v>5.5</v>
      </c>
      <c r="AA786" s="2">
        <v>5.5</v>
      </c>
      <c r="AB786" s="2">
        <v>0.26500000000000001</v>
      </c>
      <c r="AC786" s="2">
        <v>2.42</v>
      </c>
      <c r="AK786" s="2" t="s">
        <v>95</v>
      </c>
      <c r="AM786" s="2" t="s">
        <v>95</v>
      </c>
      <c r="AN786" s="2" t="s">
        <v>95</v>
      </c>
      <c r="AO786" s="2" t="s">
        <v>95</v>
      </c>
      <c r="AP786" s="2" t="s">
        <v>97</v>
      </c>
      <c r="AQ786" s="2" t="s">
        <v>98</v>
      </c>
      <c r="AV786" s="2" t="s">
        <v>95</v>
      </c>
      <c r="AX786" s="2" t="s">
        <v>3502</v>
      </c>
      <c r="BB786" s="2" t="s">
        <v>329</v>
      </c>
      <c r="BC786" s="2" t="s">
        <v>3502</v>
      </c>
      <c r="BF786" s="2" t="s">
        <v>3503</v>
      </c>
      <c r="BG786" s="2" t="s">
        <v>95</v>
      </c>
      <c r="BH786" s="2" t="s">
        <v>95</v>
      </c>
      <c r="BI786" s="2" t="s">
        <v>95</v>
      </c>
      <c r="CA786" s="2" t="s">
        <v>3499</v>
      </c>
      <c r="CB786" s="2" t="s">
        <v>3502</v>
      </c>
      <c r="CL786" s="2" t="s">
        <v>95</v>
      </c>
      <c r="CM786" s="2" t="s">
        <v>95</v>
      </c>
      <c r="CN786" s="2" t="s">
        <v>329</v>
      </c>
      <c r="CO786" s="3">
        <v>40739</v>
      </c>
      <c r="CP786" s="3">
        <v>43634</v>
      </c>
    </row>
    <row r="787" spans="1:94" x14ac:dyDescent="0.25">
      <c r="A787" s="2" t="s">
        <v>3504</v>
      </c>
      <c r="B787" s="2" t="str">
        <f xml:space="preserve"> "" &amp; 844349001287</f>
        <v>844349001287</v>
      </c>
      <c r="C787" s="2" t="s">
        <v>3505</v>
      </c>
      <c r="D787" s="2" t="s">
        <v>3506</v>
      </c>
      <c r="F787" s="2" t="s">
        <v>106</v>
      </c>
      <c r="G787" s="2">
        <v>1</v>
      </c>
      <c r="H787" s="2">
        <v>1</v>
      </c>
      <c r="I787" s="2" t="s">
        <v>94</v>
      </c>
      <c r="J787" s="6">
        <v>22</v>
      </c>
      <c r="K787" s="6">
        <v>66</v>
      </c>
      <c r="L787" s="2">
        <v>0</v>
      </c>
      <c r="N787" s="2">
        <v>0</v>
      </c>
      <c r="Q787" s="6"/>
      <c r="R787" s="7"/>
      <c r="S787" s="2">
        <v>11.75</v>
      </c>
      <c r="U787" s="2">
        <v>3.5</v>
      </c>
      <c r="W787" s="2">
        <v>1.5</v>
      </c>
      <c r="X787" s="2">
        <v>1</v>
      </c>
      <c r="Y787" s="2">
        <v>15.13</v>
      </c>
      <c r="Z787" s="2">
        <v>5.5</v>
      </c>
      <c r="AA787" s="2">
        <v>5.5</v>
      </c>
      <c r="AB787" s="2">
        <v>0.26500000000000001</v>
      </c>
      <c r="AC787" s="2">
        <v>2.42</v>
      </c>
      <c r="AK787" s="2" t="s">
        <v>95</v>
      </c>
      <c r="AM787" s="2" t="s">
        <v>95</v>
      </c>
      <c r="AN787" s="2" t="s">
        <v>95</v>
      </c>
      <c r="AO787" s="2" t="s">
        <v>95</v>
      </c>
      <c r="AP787" s="2" t="s">
        <v>97</v>
      </c>
      <c r="AQ787" s="2" t="s">
        <v>98</v>
      </c>
      <c r="AV787" s="2" t="s">
        <v>95</v>
      </c>
      <c r="AX787" s="2" t="s">
        <v>3507</v>
      </c>
      <c r="BB787" s="2" t="s">
        <v>329</v>
      </c>
      <c r="BC787" s="2" t="s">
        <v>3507</v>
      </c>
      <c r="BF787" s="2" t="s">
        <v>3508</v>
      </c>
      <c r="BG787" s="2" t="s">
        <v>95</v>
      </c>
      <c r="BH787" s="2" t="s">
        <v>95</v>
      </c>
      <c r="BI787" s="2" t="s">
        <v>95</v>
      </c>
      <c r="CA787" s="2" t="s">
        <v>3504</v>
      </c>
      <c r="CB787" s="2" t="s">
        <v>3507</v>
      </c>
      <c r="CL787" s="2" t="s">
        <v>95</v>
      </c>
      <c r="CM787" s="2" t="s">
        <v>95</v>
      </c>
      <c r="CN787" s="2" t="s">
        <v>329</v>
      </c>
      <c r="CO787" s="3">
        <v>40739</v>
      </c>
      <c r="CP787" s="3">
        <v>43634</v>
      </c>
    </row>
    <row r="788" spans="1:94" x14ac:dyDescent="0.25">
      <c r="A788" s="2" t="s">
        <v>3509</v>
      </c>
      <c r="B788" s="2" t="str">
        <f xml:space="preserve"> "" &amp; 844349001294</f>
        <v>844349001294</v>
      </c>
      <c r="C788" s="2" t="s">
        <v>3510</v>
      </c>
      <c r="D788" s="2" t="s">
        <v>3511</v>
      </c>
      <c r="F788" s="2" t="s">
        <v>106</v>
      </c>
      <c r="G788" s="2">
        <v>1</v>
      </c>
      <c r="H788" s="2">
        <v>1</v>
      </c>
      <c r="I788" s="2" t="s">
        <v>94</v>
      </c>
      <c r="J788" s="6">
        <v>22</v>
      </c>
      <c r="K788" s="6">
        <v>66</v>
      </c>
      <c r="L788" s="2">
        <v>0</v>
      </c>
      <c r="N788" s="2">
        <v>0</v>
      </c>
      <c r="Q788" s="6"/>
      <c r="R788" s="7"/>
      <c r="S788" s="2">
        <v>11.75</v>
      </c>
      <c r="U788" s="2">
        <v>3.5</v>
      </c>
      <c r="W788" s="2">
        <v>1.5</v>
      </c>
      <c r="X788" s="2">
        <v>1</v>
      </c>
      <c r="Y788" s="2">
        <v>15.13</v>
      </c>
      <c r="Z788" s="2">
        <v>5.5</v>
      </c>
      <c r="AA788" s="2">
        <v>5.5</v>
      </c>
      <c r="AB788" s="2">
        <v>0.26500000000000001</v>
      </c>
      <c r="AC788" s="2">
        <v>2.42</v>
      </c>
      <c r="AK788" s="2" t="s">
        <v>95</v>
      </c>
      <c r="AM788" s="2" t="s">
        <v>95</v>
      </c>
      <c r="AN788" s="2" t="s">
        <v>95</v>
      </c>
      <c r="AO788" s="2" t="s">
        <v>95</v>
      </c>
      <c r="AP788" s="2" t="s">
        <v>97</v>
      </c>
      <c r="AQ788" s="2" t="s">
        <v>98</v>
      </c>
      <c r="AV788" s="2" t="s">
        <v>95</v>
      </c>
      <c r="AX788" s="2" t="s">
        <v>3512</v>
      </c>
      <c r="BB788" s="2" t="s">
        <v>329</v>
      </c>
      <c r="BC788" s="2" t="s">
        <v>3512</v>
      </c>
      <c r="BF788" s="2" t="s">
        <v>3513</v>
      </c>
      <c r="BG788" s="2" t="s">
        <v>95</v>
      </c>
      <c r="BH788" s="2" t="s">
        <v>95</v>
      </c>
      <c r="BI788" s="2" t="s">
        <v>95</v>
      </c>
      <c r="CA788" s="2" t="s">
        <v>3509</v>
      </c>
      <c r="CB788" s="2" t="s">
        <v>3512</v>
      </c>
      <c r="CL788" s="2" t="s">
        <v>95</v>
      </c>
      <c r="CM788" s="2" t="s">
        <v>95</v>
      </c>
      <c r="CN788" s="2" t="s">
        <v>329</v>
      </c>
      <c r="CO788" s="3">
        <v>40739</v>
      </c>
      <c r="CP788" s="3">
        <v>43634</v>
      </c>
    </row>
    <row r="789" spans="1:94" x14ac:dyDescent="0.25">
      <c r="A789" s="2" t="s">
        <v>3514</v>
      </c>
      <c r="B789" s="2" t="str">
        <f xml:space="preserve"> "" &amp; 844349007463</f>
        <v>844349007463</v>
      </c>
      <c r="C789" s="2" t="s">
        <v>696</v>
      </c>
      <c r="D789" s="2" t="s">
        <v>3515</v>
      </c>
      <c r="F789" s="2" t="s">
        <v>106</v>
      </c>
      <c r="G789" s="2">
        <v>1</v>
      </c>
      <c r="H789" s="2">
        <v>1</v>
      </c>
      <c r="I789" s="2" t="s">
        <v>94</v>
      </c>
      <c r="J789" s="6">
        <v>13.5</v>
      </c>
      <c r="K789" s="6">
        <v>40.5</v>
      </c>
      <c r="L789" s="2">
        <v>0</v>
      </c>
      <c r="N789" s="2">
        <v>0</v>
      </c>
      <c r="Q789" s="6"/>
      <c r="R789" s="7"/>
      <c r="S789" s="2">
        <v>4.75</v>
      </c>
      <c r="T789" s="2">
        <v>4.75</v>
      </c>
      <c r="U789" s="2">
        <v>4.75</v>
      </c>
      <c r="W789" s="2">
        <v>0.64</v>
      </c>
      <c r="X789" s="2">
        <v>1</v>
      </c>
      <c r="Y789" s="2">
        <v>13.39</v>
      </c>
      <c r="Z789" s="2">
        <v>19.690000000000001</v>
      </c>
      <c r="AA789" s="2">
        <v>13.39</v>
      </c>
      <c r="AB789" s="2">
        <v>2.0430000000000001</v>
      </c>
      <c r="AC789" s="2">
        <v>0.73</v>
      </c>
      <c r="AK789" s="2" t="s">
        <v>95</v>
      </c>
      <c r="AM789" s="2" t="s">
        <v>95</v>
      </c>
      <c r="AN789" s="2" t="s">
        <v>95</v>
      </c>
      <c r="AO789" s="2" t="s">
        <v>95</v>
      </c>
      <c r="AP789" s="2" t="s">
        <v>97</v>
      </c>
      <c r="AQ789" s="2" t="s">
        <v>98</v>
      </c>
      <c r="AV789" s="2" t="s">
        <v>95</v>
      </c>
      <c r="BF789" s="2" t="s">
        <v>3516</v>
      </c>
      <c r="BG789" s="2" t="s">
        <v>95</v>
      </c>
      <c r="BH789" s="2" t="s">
        <v>95</v>
      </c>
      <c r="BI789" s="2" t="s">
        <v>95</v>
      </c>
      <c r="CA789" s="2" t="s">
        <v>3514</v>
      </c>
      <c r="CL789" s="2" t="s">
        <v>95</v>
      </c>
      <c r="CM789" s="2" t="s">
        <v>95</v>
      </c>
      <c r="CO789" s="3">
        <v>40759</v>
      </c>
      <c r="CP789" s="3">
        <v>43634</v>
      </c>
    </row>
    <row r="790" spans="1:94" x14ac:dyDescent="0.25">
      <c r="A790" s="2" t="s">
        <v>3517</v>
      </c>
      <c r="B790" s="2" t="str">
        <f xml:space="preserve"> "" &amp; 844349010067</f>
        <v>844349010067</v>
      </c>
      <c r="C790" s="2" t="s">
        <v>3518</v>
      </c>
      <c r="D790" s="2" t="s">
        <v>3519</v>
      </c>
      <c r="F790" s="2" t="s">
        <v>106</v>
      </c>
      <c r="G790" s="2">
        <v>1</v>
      </c>
      <c r="H790" s="2">
        <v>1</v>
      </c>
      <c r="I790" s="2" t="s">
        <v>94</v>
      </c>
      <c r="J790" s="6">
        <v>66</v>
      </c>
      <c r="K790" s="6">
        <v>198</v>
      </c>
      <c r="L790" s="2">
        <v>0</v>
      </c>
      <c r="N790" s="2">
        <v>0</v>
      </c>
      <c r="Q790" s="6"/>
      <c r="R790" s="7"/>
      <c r="S790" s="2">
        <v>1</v>
      </c>
      <c r="T790" s="2">
        <v>1</v>
      </c>
      <c r="U790" s="2">
        <v>1</v>
      </c>
      <c r="W790" s="2">
        <v>4.4000000000000004</v>
      </c>
      <c r="X790" s="2">
        <v>1</v>
      </c>
      <c r="AB790" s="2">
        <v>1.83</v>
      </c>
      <c r="AC790" s="2">
        <v>5.61</v>
      </c>
      <c r="AK790" s="2" t="s">
        <v>95</v>
      </c>
      <c r="AM790" s="2" t="s">
        <v>95</v>
      </c>
      <c r="AN790" s="2" t="s">
        <v>95</v>
      </c>
      <c r="AO790" s="2" t="s">
        <v>95</v>
      </c>
      <c r="AP790" s="2" t="s">
        <v>97</v>
      </c>
      <c r="AQ790" s="2" t="s">
        <v>98</v>
      </c>
      <c r="AV790" s="2" t="s">
        <v>95</v>
      </c>
      <c r="AX790" s="2" t="s">
        <v>379</v>
      </c>
      <c r="BB790" s="2" t="s">
        <v>3520</v>
      </c>
      <c r="BC790" s="2" t="s">
        <v>379</v>
      </c>
      <c r="BF790" s="2" t="s">
        <v>3521</v>
      </c>
      <c r="BG790" s="2" t="s">
        <v>95</v>
      </c>
      <c r="BH790" s="2" t="s">
        <v>95</v>
      </c>
      <c r="BI790" s="2" t="s">
        <v>95</v>
      </c>
      <c r="CA790" s="2" t="s">
        <v>3517</v>
      </c>
      <c r="CB790" s="2" t="s">
        <v>379</v>
      </c>
      <c r="CL790" s="2" t="s">
        <v>95</v>
      </c>
      <c r="CM790" s="2" t="s">
        <v>95</v>
      </c>
      <c r="CN790" s="2" t="s">
        <v>3520</v>
      </c>
      <c r="CO790" s="3">
        <v>40686</v>
      </c>
      <c r="CP790" s="3">
        <v>43634</v>
      </c>
    </row>
    <row r="791" spans="1:94" x14ac:dyDescent="0.25">
      <c r="A791" s="2" t="s">
        <v>3522</v>
      </c>
      <c r="B791" s="2" t="str">
        <f xml:space="preserve"> "" &amp; 844349010166</f>
        <v>844349010166</v>
      </c>
      <c r="C791" s="2" t="s">
        <v>3523</v>
      </c>
      <c r="D791" s="2" t="s">
        <v>3524</v>
      </c>
      <c r="F791" s="2" t="s">
        <v>106</v>
      </c>
      <c r="G791" s="2">
        <v>1</v>
      </c>
      <c r="H791" s="2">
        <v>1</v>
      </c>
      <c r="I791" s="2" t="s">
        <v>94</v>
      </c>
      <c r="J791" s="6">
        <v>52</v>
      </c>
      <c r="K791" s="6">
        <v>156</v>
      </c>
      <c r="L791" s="2">
        <v>0</v>
      </c>
      <c r="N791" s="2">
        <v>0</v>
      </c>
      <c r="Q791" s="6"/>
      <c r="R791" s="7"/>
      <c r="S791" s="2">
        <v>1</v>
      </c>
      <c r="T791" s="2">
        <v>1</v>
      </c>
      <c r="U791" s="2">
        <v>1</v>
      </c>
      <c r="W791" s="2">
        <v>1.76</v>
      </c>
      <c r="X791" s="2">
        <v>1</v>
      </c>
      <c r="Y791" s="2">
        <v>10.83</v>
      </c>
      <c r="Z791" s="2">
        <v>24.5</v>
      </c>
      <c r="AA791" s="2">
        <v>24.5</v>
      </c>
      <c r="AB791" s="2">
        <v>3.762</v>
      </c>
      <c r="AC791" s="2">
        <v>2.75</v>
      </c>
      <c r="AK791" s="2" t="s">
        <v>95</v>
      </c>
      <c r="AM791" s="2" t="s">
        <v>95</v>
      </c>
      <c r="AN791" s="2" t="s">
        <v>95</v>
      </c>
      <c r="AO791" s="2" t="s">
        <v>95</v>
      </c>
      <c r="AP791" s="2" t="s">
        <v>97</v>
      </c>
      <c r="AQ791" s="2" t="s">
        <v>98</v>
      </c>
      <c r="AV791" s="2" t="s">
        <v>95</v>
      </c>
      <c r="AX791" s="2" t="s">
        <v>379</v>
      </c>
      <c r="BB791" s="2" t="s">
        <v>490</v>
      </c>
      <c r="BC791" s="2" t="s">
        <v>379</v>
      </c>
      <c r="BF791" s="2" t="s">
        <v>3525</v>
      </c>
      <c r="BG791" s="2" t="s">
        <v>95</v>
      </c>
      <c r="BH791" s="2" t="s">
        <v>95</v>
      </c>
      <c r="BI791" s="2" t="s">
        <v>95</v>
      </c>
      <c r="CA791" s="2" t="s">
        <v>3522</v>
      </c>
      <c r="CB791" s="2" t="s">
        <v>379</v>
      </c>
      <c r="CL791" s="2" t="s">
        <v>95</v>
      </c>
      <c r="CM791" s="2" t="s">
        <v>95</v>
      </c>
      <c r="CN791" s="2" t="s">
        <v>490</v>
      </c>
      <c r="CO791" s="3">
        <v>40732</v>
      </c>
      <c r="CP791" s="3">
        <v>43634</v>
      </c>
    </row>
    <row r="792" spans="1:94" x14ac:dyDescent="0.25">
      <c r="A792" s="2" t="s">
        <v>3526</v>
      </c>
      <c r="B792" s="2" t="str">
        <f xml:space="preserve"> "" &amp; 844349003960</f>
        <v>844349003960</v>
      </c>
      <c r="C792" s="2" t="s">
        <v>3527</v>
      </c>
      <c r="D792" s="2" t="s">
        <v>3528</v>
      </c>
      <c r="F792" s="2" t="s">
        <v>106</v>
      </c>
      <c r="G792" s="2">
        <v>1</v>
      </c>
      <c r="H792" s="2">
        <v>1</v>
      </c>
      <c r="I792" s="2" t="s">
        <v>94</v>
      </c>
      <c r="J792" s="6">
        <v>32</v>
      </c>
      <c r="K792" s="6">
        <v>96</v>
      </c>
      <c r="L792" s="2">
        <v>0</v>
      </c>
      <c r="N792" s="2">
        <v>0</v>
      </c>
      <c r="Q792" s="6"/>
      <c r="R792" s="7"/>
      <c r="S792" s="2">
        <v>1</v>
      </c>
      <c r="T792" s="2">
        <v>1</v>
      </c>
      <c r="U792" s="2">
        <v>1</v>
      </c>
      <c r="W792" s="2">
        <v>0.53</v>
      </c>
      <c r="X792" s="2">
        <v>1</v>
      </c>
      <c r="Y792" s="2">
        <v>10.625</v>
      </c>
      <c r="Z792" s="2">
        <v>32.25</v>
      </c>
      <c r="AA792" s="2">
        <v>15.75</v>
      </c>
      <c r="AB792" s="2">
        <v>3.1230000000000002</v>
      </c>
      <c r="AC792" s="2">
        <v>1.31</v>
      </c>
      <c r="AK792" s="2" t="s">
        <v>95</v>
      </c>
      <c r="AM792" s="2" t="s">
        <v>95</v>
      </c>
      <c r="AN792" s="2" t="s">
        <v>95</v>
      </c>
      <c r="AO792" s="2" t="s">
        <v>95</v>
      </c>
      <c r="AP792" s="2" t="s">
        <v>97</v>
      </c>
      <c r="AQ792" s="2" t="s">
        <v>98</v>
      </c>
      <c r="AV792" s="2" t="s">
        <v>95</v>
      </c>
      <c r="AX792" s="2" t="s">
        <v>379</v>
      </c>
      <c r="BB792" s="2" t="s">
        <v>490</v>
      </c>
      <c r="BC792" s="2" t="s">
        <v>379</v>
      </c>
      <c r="BF792" s="2" t="s">
        <v>3529</v>
      </c>
      <c r="BG792" s="2" t="s">
        <v>95</v>
      </c>
      <c r="BH792" s="2" t="s">
        <v>95</v>
      </c>
      <c r="BI792" s="2" t="s">
        <v>95</v>
      </c>
      <c r="CA792" s="2" t="s">
        <v>3526</v>
      </c>
      <c r="CB792" s="2" t="s">
        <v>379</v>
      </c>
      <c r="CL792" s="2" t="s">
        <v>95</v>
      </c>
      <c r="CM792" s="2" t="s">
        <v>95</v>
      </c>
      <c r="CN792" s="2" t="s">
        <v>490</v>
      </c>
      <c r="CO792" s="3">
        <v>40737</v>
      </c>
      <c r="CP792" s="3">
        <v>43634</v>
      </c>
    </row>
    <row r="793" spans="1:94" x14ac:dyDescent="0.25">
      <c r="A793" s="2" t="s">
        <v>3530</v>
      </c>
      <c r="B793" s="2" t="str">
        <f xml:space="preserve"> "" &amp; 844349003977</f>
        <v>844349003977</v>
      </c>
      <c r="C793" s="2" t="s">
        <v>3531</v>
      </c>
      <c r="D793" s="2" t="s">
        <v>3532</v>
      </c>
      <c r="F793" s="2" t="s">
        <v>106</v>
      </c>
      <c r="G793" s="2">
        <v>1</v>
      </c>
      <c r="H793" s="2">
        <v>1</v>
      </c>
      <c r="I793" s="2" t="s">
        <v>94</v>
      </c>
      <c r="J793" s="6">
        <v>32</v>
      </c>
      <c r="K793" s="6">
        <v>96</v>
      </c>
      <c r="L793" s="2">
        <v>0</v>
      </c>
      <c r="N793" s="2">
        <v>0</v>
      </c>
      <c r="Q793" s="6"/>
      <c r="R793" s="7"/>
      <c r="S793" s="2">
        <v>1</v>
      </c>
      <c r="T793" s="2">
        <v>1</v>
      </c>
      <c r="U793" s="2">
        <v>1</v>
      </c>
      <c r="W793" s="2">
        <v>0.44</v>
      </c>
      <c r="X793" s="2">
        <v>1</v>
      </c>
      <c r="Y793" s="2">
        <v>8.5</v>
      </c>
      <c r="Z793" s="2">
        <v>11.5</v>
      </c>
      <c r="AA793" s="2">
        <v>11.5</v>
      </c>
      <c r="AB793" s="2">
        <v>0.65100000000000002</v>
      </c>
      <c r="AC793" s="2">
        <v>2.2000000000000002</v>
      </c>
      <c r="AK793" s="2" t="s">
        <v>95</v>
      </c>
      <c r="AM793" s="2" t="s">
        <v>95</v>
      </c>
      <c r="AN793" s="2" t="s">
        <v>95</v>
      </c>
      <c r="AO793" s="2" t="s">
        <v>95</v>
      </c>
      <c r="AP793" s="2" t="s">
        <v>97</v>
      </c>
      <c r="AQ793" s="2" t="s">
        <v>98</v>
      </c>
      <c r="AV793" s="2" t="s">
        <v>95</v>
      </c>
      <c r="AX793" s="2" t="s">
        <v>379</v>
      </c>
      <c r="BB793" s="2" t="s">
        <v>490</v>
      </c>
      <c r="BC793" s="2" t="s">
        <v>379</v>
      </c>
      <c r="BF793" s="2" t="s">
        <v>3533</v>
      </c>
      <c r="BG793" s="2" t="s">
        <v>95</v>
      </c>
      <c r="BH793" s="2" t="s">
        <v>95</v>
      </c>
      <c r="BI793" s="2" t="s">
        <v>95</v>
      </c>
      <c r="CA793" s="2" t="s">
        <v>3530</v>
      </c>
      <c r="CB793" s="2" t="s">
        <v>379</v>
      </c>
      <c r="CL793" s="2" t="s">
        <v>95</v>
      </c>
      <c r="CM793" s="2" t="s">
        <v>95</v>
      </c>
      <c r="CN793" s="2" t="s">
        <v>490</v>
      </c>
      <c r="CO793" s="3">
        <v>40737</v>
      </c>
      <c r="CP793" s="3">
        <v>43634</v>
      </c>
    </row>
    <row r="794" spans="1:94" x14ac:dyDescent="0.25">
      <c r="A794" s="2" t="s">
        <v>3534</v>
      </c>
      <c r="B794" s="2" t="str">
        <f xml:space="preserve"> "" &amp; 874944008503</f>
        <v>874944008503</v>
      </c>
      <c r="C794" s="2" t="s">
        <v>3535</v>
      </c>
      <c r="D794" s="2" t="s">
        <v>3536</v>
      </c>
      <c r="F794" s="2" t="s">
        <v>106</v>
      </c>
      <c r="G794" s="2">
        <v>1</v>
      </c>
      <c r="H794" s="2">
        <v>1</v>
      </c>
      <c r="I794" s="2" t="s">
        <v>94</v>
      </c>
      <c r="J794" s="6">
        <v>65</v>
      </c>
      <c r="K794" s="6">
        <v>195</v>
      </c>
      <c r="L794" s="2">
        <v>0</v>
      </c>
      <c r="N794" s="2">
        <v>0</v>
      </c>
      <c r="Q794" s="6"/>
      <c r="R794" s="7"/>
      <c r="S794" s="2">
        <v>1</v>
      </c>
      <c r="T794" s="2">
        <v>1</v>
      </c>
      <c r="U794" s="2">
        <v>1</v>
      </c>
      <c r="W794" s="2">
        <v>4.84</v>
      </c>
      <c r="X794" s="2">
        <v>1</v>
      </c>
      <c r="Y794" s="2">
        <v>15</v>
      </c>
      <c r="Z794" s="2">
        <v>18.899999999999999</v>
      </c>
      <c r="AA794" s="2">
        <v>18.899999999999999</v>
      </c>
      <c r="AB794" s="2">
        <v>3.101</v>
      </c>
      <c r="AC794" s="2">
        <v>5.94</v>
      </c>
      <c r="AK794" s="2" t="s">
        <v>95</v>
      </c>
      <c r="AM794" s="2" t="s">
        <v>95</v>
      </c>
      <c r="AN794" s="2" t="s">
        <v>95</v>
      </c>
      <c r="AO794" s="2" t="s">
        <v>95</v>
      </c>
      <c r="AP794" s="2" t="s">
        <v>97</v>
      </c>
      <c r="AQ794" s="2" t="s">
        <v>98</v>
      </c>
      <c r="AV794" s="2" t="s">
        <v>95</v>
      </c>
      <c r="AX794" s="2" t="s">
        <v>3537</v>
      </c>
      <c r="BB794" s="2" t="s">
        <v>910</v>
      </c>
      <c r="BC794" s="2" t="s">
        <v>3537</v>
      </c>
      <c r="BF794" s="2" t="s">
        <v>3538</v>
      </c>
      <c r="BG794" s="2" t="s">
        <v>95</v>
      </c>
      <c r="BH794" s="2" t="s">
        <v>95</v>
      </c>
      <c r="BI794" s="2" t="s">
        <v>95</v>
      </c>
      <c r="CA794" s="2" t="s">
        <v>3534</v>
      </c>
      <c r="CB794" s="2" t="s">
        <v>3537</v>
      </c>
      <c r="CL794" s="2" t="s">
        <v>95</v>
      </c>
      <c r="CM794" s="2" t="s">
        <v>95</v>
      </c>
      <c r="CN794" s="2" t="s">
        <v>910</v>
      </c>
      <c r="CO794" s="3">
        <v>40739</v>
      </c>
      <c r="CP794" s="3">
        <v>43634</v>
      </c>
    </row>
    <row r="795" spans="1:94" x14ac:dyDescent="0.25">
      <c r="A795" s="2" t="s">
        <v>3539</v>
      </c>
      <c r="B795" s="2" t="str">
        <f xml:space="preserve"> "" &amp; 844349001560</f>
        <v>844349001560</v>
      </c>
      <c r="C795" s="2" t="s">
        <v>3540</v>
      </c>
      <c r="D795" s="2" t="s">
        <v>3541</v>
      </c>
      <c r="F795" s="2" t="s">
        <v>106</v>
      </c>
      <c r="G795" s="2">
        <v>1</v>
      </c>
      <c r="H795" s="2">
        <v>1</v>
      </c>
      <c r="I795" s="2" t="s">
        <v>94</v>
      </c>
      <c r="J795" s="6">
        <v>35</v>
      </c>
      <c r="K795" s="6">
        <v>105</v>
      </c>
      <c r="L795" s="2">
        <v>0</v>
      </c>
      <c r="N795" s="2">
        <v>0</v>
      </c>
      <c r="Q795" s="6"/>
      <c r="R795" s="7"/>
      <c r="S795" s="2">
        <v>1</v>
      </c>
      <c r="T795" s="2">
        <v>1</v>
      </c>
      <c r="U795" s="2">
        <v>1</v>
      </c>
      <c r="W795" s="2">
        <v>1.1000000000000001</v>
      </c>
      <c r="X795" s="2">
        <v>1</v>
      </c>
      <c r="Y795" s="2">
        <v>21.63</v>
      </c>
      <c r="Z795" s="2">
        <v>14.5</v>
      </c>
      <c r="AA795" s="2">
        <v>28.38</v>
      </c>
      <c r="AB795" s="2">
        <v>5.1509999999999998</v>
      </c>
      <c r="AC795" s="2">
        <v>2.2000000000000002</v>
      </c>
      <c r="AK795" s="2" t="s">
        <v>95</v>
      </c>
      <c r="AM795" s="2" t="s">
        <v>95</v>
      </c>
      <c r="AN795" s="2" t="s">
        <v>95</v>
      </c>
      <c r="AO795" s="2" t="s">
        <v>95</v>
      </c>
      <c r="AP795" s="2" t="s">
        <v>97</v>
      </c>
      <c r="AQ795" s="2" t="s">
        <v>98</v>
      </c>
      <c r="AV795" s="2" t="s">
        <v>95</v>
      </c>
      <c r="AX795" s="2" t="s">
        <v>379</v>
      </c>
      <c r="BB795" s="2" t="s">
        <v>3542</v>
      </c>
      <c r="BC795" s="2" t="s">
        <v>379</v>
      </c>
      <c r="BF795" s="2" t="s">
        <v>3543</v>
      </c>
      <c r="BG795" s="2" t="s">
        <v>95</v>
      </c>
      <c r="BH795" s="2" t="s">
        <v>95</v>
      </c>
      <c r="BI795" s="2" t="s">
        <v>95</v>
      </c>
      <c r="CA795" s="2" t="s">
        <v>3539</v>
      </c>
      <c r="CB795" s="2" t="s">
        <v>379</v>
      </c>
      <c r="CL795" s="2" t="s">
        <v>95</v>
      </c>
      <c r="CM795" s="2" t="s">
        <v>95</v>
      </c>
      <c r="CN795" s="2" t="s">
        <v>3542</v>
      </c>
      <c r="CO795" s="3">
        <v>40756</v>
      </c>
      <c r="CP795" s="3">
        <v>43634</v>
      </c>
    </row>
    <row r="796" spans="1:94" x14ac:dyDescent="0.25">
      <c r="A796" s="2" t="s">
        <v>3544</v>
      </c>
      <c r="B796" s="2" t="str">
        <f xml:space="preserve"> "" &amp; 844349010074</f>
        <v>844349010074</v>
      </c>
      <c r="C796" s="2" t="s">
        <v>3545</v>
      </c>
      <c r="D796" s="2" t="s">
        <v>3546</v>
      </c>
      <c r="F796" s="2" t="s">
        <v>106</v>
      </c>
      <c r="G796" s="2">
        <v>1</v>
      </c>
      <c r="H796" s="2">
        <v>1</v>
      </c>
      <c r="I796" s="2" t="s">
        <v>94</v>
      </c>
      <c r="J796" s="6">
        <v>49.5</v>
      </c>
      <c r="K796" s="6">
        <v>148.5</v>
      </c>
      <c r="L796" s="2">
        <v>0</v>
      </c>
      <c r="N796" s="2">
        <v>0</v>
      </c>
      <c r="Q796" s="6"/>
      <c r="R796" s="7"/>
      <c r="S796" s="2">
        <v>9.5</v>
      </c>
      <c r="T796" s="2">
        <v>19.5</v>
      </c>
      <c r="U796" s="2">
        <v>13</v>
      </c>
      <c r="W796" s="2">
        <v>1.1399999999999999</v>
      </c>
      <c r="X796" s="2">
        <v>1</v>
      </c>
      <c r="Y796" s="2">
        <v>22.5</v>
      </c>
      <c r="Z796" s="2">
        <v>21</v>
      </c>
      <c r="AA796" s="2">
        <v>14.75</v>
      </c>
      <c r="AB796" s="2">
        <v>4.0330000000000004</v>
      </c>
      <c r="AC796" s="2">
        <v>3.63</v>
      </c>
      <c r="AK796" s="2" t="s">
        <v>95</v>
      </c>
      <c r="AM796" s="2" t="s">
        <v>95</v>
      </c>
      <c r="AN796" s="2" t="s">
        <v>95</v>
      </c>
      <c r="AO796" s="2" t="s">
        <v>95</v>
      </c>
      <c r="AP796" s="2" t="s">
        <v>97</v>
      </c>
      <c r="AQ796" s="2" t="s">
        <v>98</v>
      </c>
      <c r="AV796" s="2" t="s">
        <v>95</v>
      </c>
      <c r="AX796" s="2" t="s">
        <v>379</v>
      </c>
      <c r="BB796" s="2" t="s">
        <v>2613</v>
      </c>
      <c r="BC796" s="2" t="s">
        <v>379</v>
      </c>
      <c r="BF796" s="2" t="s">
        <v>3547</v>
      </c>
      <c r="BG796" s="2" t="s">
        <v>95</v>
      </c>
      <c r="BH796" s="2" t="s">
        <v>95</v>
      </c>
      <c r="BI796" s="2" t="s">
        <v>95</v>
      </c>
      <c r="CA796" s="2" t="s">
        <v>3544</v>
      </c>
      <c r="CB796" s="2" t="s">
        <v>379</v>
      </c>
      <c r="CL796" s="2" t="s">
        <v>95</v>
      </c>
      <c r="CM796" s="2" t="s">
        <v>95</v>
      </c>
      <c r="CN796" s="2" t="s">
        <v>2613</v>
      </c>
      <c r="CO796" s="3">
        <v>40756</v>
      </c>
      <c r="CP796" s="3">
        <v>43634</v>
      </c>
    </row>
    <row r="797" spans="1:94" x14ac:dyDescent="0.25">
      <c r="A797" s="2" t="s">
        <v>3548</v>
      </c>
      <c r="B797" s="2" t="str">
        <f xml:space="preserve"> "" &amp; 844349010081</f>
        <v>844349010081</v>
      </c>
      <c r="C797" s="2" t="s">
        <v>3549</v>
      </c>
      <c r="D797" s="2" t="s">
        <v>3550</v>
      </c>
      <c r="F797" s="2" t="s">
        <v>106</v>
      </c>
      <c r="G797" s="2">
        <v>1</v>
      </c>
      <c r="H797" s="2">
        <v>1</v>
      </c>
      <c r="I797" s="2" t="s">
        <v>94</v>
      </c>
      <c r="J797" s="6">
        <v>40</v>
      </c>
      <c r="K797" s="6">
        <v>120</v>
      </c>
      <c r="L797" s="2">
        <v>0</v>
      </c>
      <c r="N797" s="2">
        <v>0</v>
      </c>
      <c r="Q797" s="6"/>
      <c r="R797" s="7"/>
      <c r="S797" s="2">
        <v>11</v>
      </c>
      <c r="T797" s="2">
        <v>18</v>
      </c>
      <c r="U797" s="2">
        <v>10</v>
      </c>
      <c r="W797" s="2">
        <v>4.2300000000000004</v>
      </c>
      <c r="X797" s="2">
        <v>1</v>
      </c>
      <c r="Y797" s="2">
        <v>13.5</v>
      </c>
      <c r="Z797" s="2">
        <v>23.75</v>
      </c>
      <c r="AA797" s="2">
        <v>20</v>
      </c>
      <c r="AB797" s="2">
        <v>3.7109999999999999</v>
      </c>
      <c r="AC797" s="2">
        <v>6.6</v>
      </c>
      <c r="AK797" s="2" t="s">
        <v>95</v>
      </c>
      <c r="AM797" s="2" t="s">
        <v>95</v>
      </c>
      <c r="AN797" s="2" t="s">
        <v>95</v>
      </c>
      <c r="AO797" s="2" t="s">
        <v>95</v>
      </c>
      <c r="AP797" s="2" t="s">
        <v>97</v>
      </c>
      <c r="AQ797" s="2" t="s">
        <v>98</v>
      </c>
      <c r="AV797" s="2" t="s">
        <v>95</v>
      </c>
      <c r="AX797" s="2" t="s">
        <v>379</v>
      </c>
      <c r="BB797" s="2" t="s">
        <v>2613</v>
      </c>
      <c r="BC797" s="2" t="s">
        <v>379</v>
      </c>
      <c r="BF797" s="2" t="s">
        <v>3551</v>
      </c>
      <c r="BG797" s="2" t="s">
        <v>95</v>
      </c>
      <c r="BH797" s="2" t="s">
        <v>95</v>
      </c>
      <c r="BI797" s="2" t="s">
        <v>95</v>
      </c>
      <c r="CA797" s="2" t="s">
        <v>3548</v>
      </c>
      <c r="CB797" s="2" t="s">
        <v>379</v>
      </c>
      <c r="CL797" s="2" t="s">
        <v>95</v>
      </c>
      <c r="CM797" s="2" t="s">
        <v>95</v>
      </c>
      <c r="CN797" s="2" t="s">
        <v>2613</v>
      </c>
      <c r="CO797" s="3">
        <v>40756</v>
      </c>
    </row>
    <row r="798" spans="1:94" x14ac:dyDescent="0.25">
      <c r="A798" s="2" t="s">
        <v>3552</v>
      </c>
      <c r="B798" s="2" t="str">
        <f xml:space="preserve"> "" &amp; 844349001591</f>
        <v>844349001591</v>
      </c>
      <c r="C798" s="2" t="s">
        <v>3553</v>
      </c>
      <c r="D798" s="2" t="s">
        <v>3554</v>
      </c>
      <c r="F798" s="2" t="s">
        <v>106</v>
      </c>
      <c r="G798" s="2">
        <v>1</v>
      </c>
      <c r="H798" s="2">
        <v>1</v>
      </c>
      <c r="I798" s="2" t="s">
        <v>94</v>
      </c>
      <c r="J798" s="6">
        <v>40</v>
      </c>
      <c r="K798" s="6">
        <v>120</v>
      </c>
      <c r="L798" s="2">
        <v>0</v>
      </c>
      <c r="N798" s="2">
        <v>0</v>
      </c>
      <c r="Q798" s="6"/>
      <c r="R798" s="7"/>
      <c r="S798" s="2">
        <v>10</v>
      </c>
      <c r="T798" s="2">
        <v>13.5</v>
      </c>
      <c r="U798" s="2">
        <v>13.5</v>
      </c>
      <c r="W798" s="2">
        <v>2.2000000000000002</v>
      </c>
      <c r="X798" s="2">
        <v>1</v>
      </c>
      <c r="Y798" s="2">
        <v>22.88</v>
      </c>
      <c r="Z798" s="2">
        <v>15</v>
      </c>
      <c r="AA798" s="2">
        <v>29.13</v>
      </c>
      <c r="AB798" s="2">
        <v>5.7859999999999996</v>
      </c>
      <c r="AC798" s="2">
        <v>2.2000000000000002</v>
      </c>
      <c r="AK798" s="2" t="s">
        <v>95</v>
      </c>
      <c r="AM798" s="2" t="s">
        <v>95</v>
      </c>
      <c r="AN798" s="2" t="s">
        <v>95</v>
      </c>
      <c r="AO798" s="2" t="s">
        <v>95</v>
      </c>
      <c r="AP798" s="2" t="s">
        <v>97</v>
      </c>
      <c r="AQ798" s="2" t="s">
        <v>98</v>
      </c>
      <c r="AV798" s="2" t="s">
        <v>95</v>
      </c>
      <c r="AX798" s="2" t="s">
        <v>3555</v>
      </c>
      <c r="BB798" s="2" t="s">
        <v>2982</v>
      </c>
      <c r="BC798" s="2" t="s">
        <v>2983</v>
      </c>
      <c r="BF798" s="2" t="s">
        <v>3556</v>
      </c>
      <c r="BG798" s="2" t="s">
        <v>95</v>
      </c>
      <c r="BH798" s="2" t="s">
        <v>95</v>
      </c>
      <c r="BI798" s="2" t="s">
        <v>95</v>
      </c>
      <c r="CA798" s="2" t="s">
        <v>3552</v>
      </c>
      <c r="CB798" s="2" t="s">
        <v>3555</v>
      </c>
      <c r="CL798" s="2" t="s">
        <v>95</v>
      </c>
      <c r="CM798" s="2" t="s">
        <v>95</v>
      </c>
      <c r="CN798" s="2" t="s">
        <v>2982</v>
      </c>
      <c r="CO798" s="3">
        <v>40756</v>
      </c>
      <c r="CP798" s="3">
        <v>43634</v>
      </c>
    </row>
    <row r="799" spans="1:94" x14ac:dyDescent="0.25">
      <c r="A799" s="2" t="s">
        <v>3557</v>
      </c>
      <c r="B799" s="2" t="str">
        <f xml:space="preserve"> "" &amp; 844349001638</f>
        <v>844349001638</v>
      </c>
      <c r="C799" s="2" t="s">
        <v>3558</v>
      </c>
      <c r="D799" s="2" t="s">
        <v>3559</v>
      </c>
      <c r="F799" s="2" t="s">
        <v>106</v>
      </c>
      <c r="G799" s="2">
        <v>1</v>
      </c>
      <c r="H799" s="2">
        <v>1</v>
      </c>
      <c r="I799" s="2" t="s">
        <v>94</v>
      </c>
      <c r="J799" s="6">
        <v>52.5</v>
      </c>
      <c r="K799" s="6">
        <v>157.5</v>
      </c>
      <c r="L799" s="2">
        <v>0</v>
      </c>
      <c r="N799" s="2">
        <v>0</v>
      </c>
      <c r="Q799" s="6"/>
      <c r="R799" s="7"/>
      <c r="S799" s="2">
        <v>10</v>
      </c>
      <c r="U799" s="2">
        <v>16</v>
      </c>
      <c r="W799" s="2">
        <v>1.76</v>
      </c>
      <c r="X799" s="2">
        <v>1</v>
      </c>
      <c r="Y799" s="2">
        <v>23.25</v>
      </c>
      <c r="Z799" s="2">
        <v>34.630000000000003</v>
      </c>
      <c r="AA799" s="2">
        <v>17.75</v>
      </c>
      <c r="AB799" s="2">
        <v>8.27</v>
      </c>
      <c r="AC799" s="2">
        <v>2.48</v>
      </c>
      <c r="AK799" s="2" t="s">
        <v>95</v>
      </c>
      <c r="AM799" s="2" t="s">
        <v>95</v>
      </c>
      <c r="AN799" s="2" t="s">
        <v>95</v>
      </c>
      <c r="AO799" s="2" t="s">
        <v>95</v>
      </c>
      <c r="AP799" s="2" t="s">
        <v>97</v>
      </c>
      <c r="AQ799" s="2" t="s">
        <v>98</v>
      </c>
      <c r="AV799" s="2" t="s">
        <v>95</v>
      </c>
      <c r="AX799" s="2" t="s">
        <v>2988</v>
      </c>
      <c r="BB799" s="2" t="s">
        <v>490</v>
      </c>
      <c r="BC799" s="2" t="s">
        <v>2988</v>
      </c>
      <c r="BF799" s="2" t="s">
        <v>3560</v>
      </c>
      <c r="BG799" s="2" t="s">
        <v>95</v>
      </c>
      <c r="BH799" s="2" t="s">
        <v>95</v>
      </c>
      <c r="BI799" s="2" t="s">
        <v>95</v>
      </c>
      <c r="CA799" s="2" t="s">
        <v>3557</v>
      </c>
      <c r="CB799" s="2" t="s">
        <v>2988</v>
      </c>
      <c r="CL799" s="2" t="s">
        <v>95</v>
      </c>
      <c r="CM799" s="2" t="s">
        <v>95</v>
      </c>
      <c r="CN799" s="2" t="s">
        <v>490</v>
      </c>
      <c r="CO799" s="3">
        <v>40757</v>
      </c>
      <c r="CP799" s="3">
        <v>43634</v>
      </c>
    </row>
    <row r="800" spans="1:94" x14ac:dyDescent="0.25">
      <c r="A800" s="2" t="s">
        <v>3561</v>
      </c>
      <c r="B800" s="2" t="str">
        <f xml:space="preserve"> "" &amp; 844349001706</f>
        <v>844349001706</v>
      </c>
      <c r="C800" s="2" t="s">
        <v>3562</v>
      </c>
      <c r="D800" s="2" t="s">
        <v>3563</v>
      </c>
      <c r="F800" s="2" t="s">
        <v>106</v>
      </c>
      <c r="G800" s="2">
        <v>1</v>
      </c>
      <c r="H800" s="2">
        <v>1</v>
      </c>
      <c r="I800" s="2" t="s">
        <v>94</v>
      </c>
      <c r="J800" s="6">
        <v>42.5</v>
      </c>
      <c r="K800" s="6">
        <v>127.5</v>
      </c>
      <c r="L800" s="2">
        <v>0</v>
      </c>
      <c r="N800" s="2">
        <v>0</v>
      </c>
      <c r="Q800" s="6"/>
      <c r="R800" s="7"/>
      <c r="S800" s="2">
        <v>11</v>
      </c>
      <c r="T800" s="2">
        <v>14</v>
      </c>
      <c r="U800" s="2">
        <v>14</v>
      </c>
      <c r="W800" s="2">
        <v>2.2000000000000002</v>
      </c>
      <c r="X800" s="2">
        <v>1</v>
      </c>
      <c r="Y800" s="2">
        <v>24.75</v>
      </c>
      <c r="Z800" s="2">
        <v>15.5</v>
      </c>
      <c r="AA800" s="2">
        <v>30.38</v>
      </c>
      <c r="AB800" s="2">
        <v>6.7450000000000001</v>
      </c>
      <c r="AC800" s="2">
        <v>2.2000000000000002</v>
      </c>
      <c r="AK800" s="2" t="s">
        <v>95</v>
      </c>
      <c r="AM800" s="2" t="s">
        <v>95</v>
      </c>
      <c r="AN800" s="2" t="s">
        <v>95</v>
      </c>
      <c r="AO800" s="2" t="s">
        <v>95</v>
      </c>
      <c r="AP800" s="2" t="s">
        <v>97</v>
      </c>
      <c r="AQ800" s="2" t="s">
        <v>98</v>
      </c>
      <c r="AV800" s="2" t="s">
        <v>95</v>
      </c>
      <c r="AX800" s="2" t="s">
        <v>379</v>
      </c>
      <c r="BB800" s="2" t="s">
        <v>490</v>
      </c>
      <c r="BC800" s="2" t="s">
        <v>379</v>
      </c>
      <c r="BF800" s="2" t="s">
        <v>3564</v>
      </c>
      <c r="BG800" s="2" t="s">
        <v>95</v>
      </c>
      <c r="BH800" s="2" t="s">
        <v>95</v>
      </c>
      <c r="BI800" s="2" t="s">
        <v>95</v>
      </c>
      <c r="CA800" s="2" t="s">
        <v>3561</v>
      </c>
      <c r="CB800" s="2" t="s">
        <v>379</v>
      </c>
      <c r="CL800" s="2" t="s">
        <v>95</v>
      </c>
      <c r="CM800" s="2" t="s">
        <v>95</v>
      </c>
      <c r="CN800" s="2" t="s">
        <v>490</v>
      </c>
      <c r="CO800" s="3">
        <v>40757</v>
      </c>
      <c r="CP800" s="3">
        <v>43634</v>
      </c>
    </row>
    <row r="801" spans="1:94" x14ac:dyDescent="0.25">
      <c r="A801" s="2" t="s">
        <v>3565</v>
      </c>
      <c r="B801" s="2" t="str">
        <f xml:space="preserve"> "" &amp; 844349001737</f>
        <v>844349001737</v>
      </c>
      <c r="C801" s="2" t="s">
        <v>3566</v>
      </c>
      <c r="D801" s="2" t="s">
        <v>3567</v>
      </c>
      <c r="F801" s="2" t="s">
        <v>106</v>
      </c>
      <c r="G801" s="2">
        <v>1</v>
      </c>
      <c r="H801" s="2">
        <v>1</v>
      </c>
      <c r="I801" s="2" t="s">
        <v>94</v>
      </c>
      <c r="J801" s="6">
        <v>49.5</v>
      </c>
      <c r="K801" s="6">
        <v>148.5</v>
      </c>
      <c r="L801" s="2">
        <v>0</v>
      </c>
      <c r="N801" s="2">
        <v>0</v>
      </c>
      <c r="Q801" s="6"/>
      <c r="R801" s="7"/>
      <c r="S801" s="2">
        <v>10</v>
      </c>
      <c r="U801" s="2">
        <v>16</v>
      </c>
      <c r="W801" s="2">
        <v>0.66</v>
      </c>
      <c r="X801" s="2">
        <v>1</v>
      </c>
      <c r="Y801" s="2">
        <v>22.83</v>
      </c>
      <c r="Z801" s="2">
        <v>17.52</v>
      </c>
      <c r="AA801" s="2">
        <v>17.52</v>
      </c>
      <c r="AB801" s="2">
        <v>4.0549999999999997</v>
      </c>
      <c r="AC801" s="2">
        <v>1.27</v>
      </c>
      <c r="AK801" s="2" t="s">
        <v>95</v>
      </c>
      <c r="AM801" s="2" t="s">
        <v>95</v>
      </c>
      <c r="AN801" s="2" t="s">
        <v>95</v>
      </c>
      <c r="AO801" s="2" t="s">
        <v>95</v>
      </c>
      <c r="AP801" s="2" t="s">
        <v>97</v>
      </c>
      <c r="AQ801" s="2" t="s">
        <v>98</v>
      </c>
      <c r="AV801" s="2" t="s">
        <v>95</v>
      </c>
      <c r="AX801" s="2" t="s">
        <v>205</v>
      </c>
      <c r="BB801" s="2" t="s">
        <v>490</v>
      </c>
      <c r="BC801" s="2" t="s">
        <v>205</v>
      </c>
      <c r="BF801" s="2" t="s">
        <v>3568</v>
      </c>
      <c r="BG801" s="2" t="s">
        <v>95</v>
      </c>
      <c r="BH801" s="2" t="s">
        <v>95</v>
      </c>
      <c r="BI801" s="2" t="s">
        <v>95</v>
      </c>
      <c r="CA801" s="2" t="s">
        <v>3565</v>
      </c>
      <c r="CB801" s="2" t="s">
        <v>205</v>
      </c>
      <c r="CL801" s="2" t="s">
        <v>95</v>
      </c>
      <c r="CM801" s="2" t="s">
        <v>95</v>
      </c>
      <c r="CN801" s="2" t="s">
        <v>490</v>
      </c>
      <c r="CO801" s="3">
        <v>40757</v>
      </c>
      <c r="CP801" s="3">
        <v>43634</v>
      </c>
    </row>
    <row r="802" spans="1:94" x14ac:dyDescent="0.25">
      <c r="A802" s="2" t="s">
        <v>3569</v>
      </c>
      <c r="B802" s="2" t="str">
        <f xml:space="preserve"> "" &amp; 844349010104</f>
        <v>844349010104</v>
      </c>
      <c r="C802" s="2" t="s">
        <v>3570</v>
      </c>
      <c r="D802" s="2" t="s">
        <v>3571</v>
      </c>
      <c r="F802" s="2" t="s">
        <v>106</v>
      </c>
      <c r="G802" s="2">
        <v>1</v>
      </c>
      <c r="H802" s="2">
        <v>1</v>
      </c>
      <c r="I802" s="2" t="s">
        <v>94</v>
      </c>
      <c r="J802" s="6">
        <v>40</v>
      </c>
      <c r="K802" s="6">
        <v>120</v>
      </c>
      <c r="L802" s="2">
        <v>0</v>
      </c>
      <c r="N802" s="2">
        <v>0</v>
      </c>
      <c r="Q802" s="6"/>
      <c r="R802" s="7"/>
      <c r="S802" s="2">
        <v>11</v>
      </c>
      <c r="T802" s="2">
        <v>17</v>
      </c>
      <c r="U802" s="2">
        <v>11</v>
      </c>
      <c r="W802" s="2">
        <v>1.52</v>
      </c>
      <c r="X802" s="2">
        <v>1</v>
      </c>
      <c r="Y802" s="2">
        <v>23.43</v>
      </c>
      <c r="Z802" s="2">
        <v>18.11</v>
      </c>
      <c r="AA802" s="2">
        <v>12.2</v>
      </c>
      <c r="AB802" s="2">
        <v>2.996</v>
      </c>
      <c r="AC802" s="2">
        <v>3.84</v>
      </c>
      <c r="AK802" s="2" t="s">
        <v>95</v>
      </c>
      <c r="AM802" s="2" t="s">
        <v>95</v>
      </c>
      <c r="AN802" s="2" t="s">
        <v>95</v>
      </c>
      <c r="AO802" s="2" t="s">
        <v>95</v>
      </c>
      <c r="AP802" s="2" t="s">
        <v>97</v>
      </c>
      <c r="AQ802" s="2" t="s">
        <v>98</v>
      </c>
      <c r="AV802" s="2" t="s">
        <v>95</v>
      </c>
      <c r="AX802" s="2" t="s">
        <v>379</v>
      </c>
      <c r="BB802" s="2" t="s">
        <v>2613</v>
      </c>
      <c r="BC802" s="2" t="s">
        <v>379</v>
      </c>
      <c r="BF802" s="2" t="s">
        <v>3572</v>
      </c>
      <c r="BG802" s="2" t="s">
        <v>95</v>
      </c>
      <c r="BH802" s="2" t="s">
        <v>95</v>
      </c>
      <c r="BI802" s="2" t="s">
        <v>95</v>
      </c>
      <c r="CA802" s="2" t="s">
        <v>3569</v>
      </c>
      <c r="CB802" s="2" t="s">
        <v>379</v>
      </c>
      <c r="CL802" s="2" t="s">
        <v>95</v>
      </c>
      <c r="CM802" s="2" t="s">
        <v>95</v>
      </c>
      <c r="CN802" s="2" t="s">
        <v>2613</v>
      </c>
      <c r="CO802" s="3">
        <v>40759</v>
      </c>
    </row>
    <row r="803" spans="1:94" x14ac:dyDescent="0.25">
      <c r="A803" s="2" t="s">
        <v>3573</v>
      </c>
      <c r="B803" s="2" t="str">
        <f xml:space="preserve"> "" &amp; 870540009258</f>
        <v>870540009258</v>
      </c>
      <c r="C803" s="2" t="s">
        <v>3574</v>
      </c>
      <c r="D803" s="2" t="s">
        <v>3575</v>
      </c>
      <c r="F803" s="2" t="s">
        <v>106</v>
      </c>
      <c r="G803" s="2">
        <v>1</v>
      </c>
      <c r="H803" s="2">
        <v>1</v>
      </c>
      <c r="I803" s="2" t="s">
        <v>94</v>
      </c>
      <c r="J803" s="6">
        <v>35</v>
      </c>
      <c r="K803" s="6">
        <v>105</v>
      </c>
      <c r="L803" s="2">
        <v>0</v>
      </c>
      <c r="N803" s="2">
        <v>0</v>
      </c>
      <c r="Q803" s="6"/>
      <c r="R803" s="7"/>
      <c r="S803" s="2">
        <v>9</v>
      </c>
      <c r="U803" s="2">
        <v>12</v>
      </c>
      <c r="W803" s="2">
        <v>3.08</v>
      </c>
      <c r="X803" s="2">
        <v>1</v>
      </c>
      <c r="Y803" s="2">
        <v>10</v>
      </c>
      <c r="Z803" s="2">
        <v>12.5</v>
      </c>
      <c r="AA803" s="2">
        <v>12.5</v>
      </c>
      <c r="AB803" s="2">
        <v>0.90400000000000003</v>
      </c>
      <c r="AC803" s="2">
        <v>3.52</v>
      </c>
      <c r="AK803" s="2" t="s">
        <v>95</v>
      </c>
      <c r="AM803" s="2" t="s">
        <v>95</v>
      </c>
      <c r="AN803" s="2" t="s">
        <v>95</v>
      </c>
      <c r="AO803" s="2" t="s">
        <v>95</v>
      </c>
      <c r="AP803" s="2" t="s">
        <v>97</v>
      </c>
      <c r="AQ803" s="2" t="s">
        <v>98</v>
      </c>
      <c r="AV803" s="2" t="s">
        <v>95</v>
      </c>
      <c r="AX803" s="2" t="s">
        <v>3576</v>
      </c>
      <c r="BB803" s="2" t="s">
        <v>212</v>
      </c>
      <c r="BC803" s="2" t="s">
        <v>3576</v>
      </c>
      <c r="BF803" s="2" t="s">
        <v>3577</v>
      </c>
      <c r="BG803" s="2" t="s">
        <v>95</v>
      </c>
      <c r="BH803" s="2" t="s">
        <v>95</v>
      </c>
      <c r="BI803" s="2" t="s">
        <v>95</v>
      </c>
      <c r="CA803" s="2" t="s">
        <v>3573</v>
      </c>
      <c r="CB803" s="2" t="s">
        <v>3576</v>
      </c>
      <c r="CL803" s="2" t="s">
        <v>95</v>
      </c>
      <c r="CM803" s="2" t="s">
        <v>95</v>
      </c>
      <c r="CN803" s="2" t="s">
        <v>212</v>
      </c>
      <c r="CO803" s="3">
        <v>40682</v>
      </c>
      <c r="CP803" s="3">
        <v>43634</v>
      </c>
    </row>
    <row r="804" spans="1:94" x14ac:dyDescent="0.25">
      <c r="A804" s="2" t="s">
        <v>3578</v>
      </c>
      <c r="B804" s="2" t="str">
        <f xml:space="preserve"> "" &amp; 874944003607</f>
        <v>874944003607</v>
      </c>
      <c r="C804" s="2" t="s">
        <v>3579</v>
      </c>
      <c r="D804" s="2" t="s">
        <v>3580</v>
      </c>
      <c r="F804" s="2" t="s">
        <v>106</v>
      </c>
      <c r="G804" s="2">
        <v>1</v>
      </c>
      <c r="H804" s="2">
        <v>1</v>
      </c>
      <c r="I804" s="2" t="s">
        <v>94</v>
      </c>
      <c r="J804" s="6">
        <v>32</v>
      </c>
      <c r="K804" s="6">
        <v>96</v>
      </c>
      <c r="L804" s="2">
        <v>0</v>
      </c>
      <c r="N804" s="2">
        <v>0</v>
      </c>
      <c r="Q804" s="6"/>
      <c r="R804" s="7"/>
      <c r="S804" s="2">
        <v>1</v>
      </c>
      <c r="T804" s="2">
        <v>1</v>
      </c>
      <c r="U804" s="2">
        <v>1</v>
      </c>
      <c r="W804" s="2">
        <v>0.99</v>
      </c>
      <c r="X804" s="2">
        <v>1</v>
      </c>
      <c r="Y804" s="2">
        <v>17</v>
      </c>
      <c r="Z804" s="2">
        <v>20.75</v>
      </c>
      <c r="AA804" s="2">
        <v>10.5</v>
      </c>
      <c r="AB804" s="2">
        <v>2.1429999999999998</v>
      </c>
      <c r="AC804" s="2">
        <v>1.54</v>
      </c>
      <c r="AK804" s="2" t="s">
        <v>95</v>
      </c>
      <c r="AM804" s="2" t="s">
        <v>95</v>
      </c>
      <c r="AN804" s="2" t="s">
        <v>95</v>
      </c>
      <c r="AO804" s="2" t="s">
        <v>95</v>
      </c>
      <c r="AP804" s="2" t="s">
        <v>97</v>
      </c>
      <c r="AQ804" s="2" t="s">
        <v>98</v>
      </c>
      <c r="AV804" s="2" t="s">
        <v>95</v>
      </c>
      <c r="BB804" s="2" t="s">
        <v>3581</v>
      </c>
      <c r="BF804" s="2" t="s">
        <v>3582</v>
      </c>
      <c r="BG804" s="2" t="s">
        <v>95</v>
      </c>
      <c r="BH804" s="2" t="s">
        <v>95</v>
      </c>
      <c r="BI804" s="2" t="s">
        <v>95</v>
      </c>
      <c r="CA804" s="2" t="s">
        <v>3578</v>
      </c>
      <c r="CL804" s="2" t="s">
        <v>95</v>
      </c>
      <c r="CM804" s="2" t="s">
        <v>95</v>
      </c>
      <c r="CN804" s="2" t="s">
        <v>3581</v>
      </c>
      <c r="CO804" s="3">
        <v>40722</v>
      </c>
      <c r="CP804" s="3">
        <v>43634</v>
      </c>
    </row>
    <row r="805" spans="1:94" x14ac:dyDescent="0.25">
      <c r="A805" s="2" t="s">
        <v>3583</v>
      </c>
      <c r="B805" s="2" t="str">
        <f xml:space="preserve"> "" &amp; 874944003614</f>
        <v>874944003614</v>
      </c>
      <c r="C805" s="2" t="s">
        <v>3584</v>
      </c>
      <c r="D805" s="2" t="s">
        <v>3585</v>
      </c>
      <c r="F805" s="2" t="s">
        <v>106</v>
      </c>
      <c r="G805" s="2">
        <v>1</v>
      </c>
      <c r="H805" s="2">
        <v>1</v>
      </c>
      <c r="I805" s="2" t="s">
        <v>94</v>
      </c>
      <c r="J805" s="6">
        <v>95</v>
      </c>
      <c r="K805" s="6">
        <v>285</v>
      </c>
      <c r="L805" s="2">
        <v>0</v>
      </c>
      <c r="N805" s="2">
        <v>0</v>
      </c>
      <c r="Q805" s="6"/>
      <c r="R805" s="7"/>
      <c r="S805" s="2">
        <v>1</v>
      </c>
      <c r="T805" s="2">
        <v>1</v>
      </c>
      <c r="U805" s="2">
        <v>1</v>
      </c>
      <c r="W805" s="2">
        <v>3.1</v>
      </c>
      <c r="X805" s="2">
        <v>1</v>
      </c>
      <c r="Y805" s="2">
        <v>10.25</v>
      </c>
      <c r="Z805" s="2">
        <v>26.75</v>
      </c>
      <c r="AA805" s="2">
        <v>26.75</v>
      </c>
      <c r="AB805" s="2">
        <v>4.2450000000000001</v>
      </c>
      <c r="AC805" s="2">
        <v>7.5</v>
      </c>
      <c r="AK805" s="2" t="s">
        <v>95</v>
      </c>
      <c r="AM805" s="2" t="s">
        <v>95</v>
      </c>
      <c r="AN805" s="2" t="s">
        <v>95</v>
      </c>
      <c r="AO805" s="2" t="s">
        <v>95</v>
      </c>
      <c r="AP805" s="2" t="s">
        <v>97</v>
      </c>
      <c r="AQ805" s="2" t="s">
        <v>98</v>
      </c>
      <c r="AV805" s="2" t="s">
        <v>95</v>
      </c>
      <c r="AX805" s="2" t="s">
        <v>2061</v>
      </c>
      <c r="BB805" s="2" t="s">
        <v>490</v>
      </c>
      <c r="BC805" s="2" t="s">
        <v>2061</v>
      </c>
      <c r="BF805" s="2" t="s">
        <v>3586</v>
      </c>
      <c r="BG805" s="2" t="s">
        <v>95</v>
      </c>
      <c r="BH805" s="2" t="s">
        <v>95</v>
      </c>
      <c r="BI805" s="2" t="s">
        <v>95</v>
      </c>
      <c r="CA805" s="2" t="s">
        <v>3583</v>
      </c>
      <c r="CB805" s="2" t="s">
        <v>2061</v>
      </c>
      <c r="CL805" s="2" t="s">
        <v>95</v>
      </c>
      <c r="CM805" s="2" t="s">
        <v>95</v>
      </c>
      <c r="CN805" s="2" t="s">
        <v>490</v>
      </c>
      <c r="CO805" s="3">
        <v>40723</v>
      </c>
      <c r="CP805" s="3">
        <v>43634</v>
      </c>
    </row>
    <row r="806" spans="1:94" x14ac:dyDescent="0.25">
      <c r="A806" s="2" t="s">
        <v>3587</v>
      </c>
      <c r="B806" s="2" t="str">
        <f xml:space="preserve"> "" &amp; 874944003621</f>
        <v>874944003621</v>
      </c>
      <c r="C806" s="2" t="s">
        <v>3588</v>
      </c>
      <c r="D806" s="2" t="s">
        <v>3589</v>
      </c>
      <c r="F806" s="2" t="s">
        <v>106</v>
      </c>
      <c r="G806" s="2">
        <v>1</v>
      </c>
      <c r="H806" s="2">
        <v>1</v>
      </c>
      <c r="I806" s="2" t="s">
        <v>94</v>
      </c>
      <c r="J806" s="6">
        <v>18</v>
      </c>
      <c r="K806" s="6">
        <v>54</v>
      </c>
      <c r="L806" s="2">
        <v>0</v>
      </c>
      <c r="N806" s="2">
        <v>0</v>
      </c>
      <c r="Q806" s="6"/>
      <c r="R806" s="7"/>
      <c r="S806" s="2">
        <v>1</v>
      </c>
      <c r="T806" s="2">
        <v>1</v>
      </c>
      <c r="U806" s="2">
        <v>1</v>
      </c>
      <c r="W806" s="2">
        <v>0.66</v>
      </c>
      <c r="X806" s="2">
        <v>1</v>
      </c>
      <c r="Y806" s="2">
        <v>14.75</v>
      </c>
      <c r="Z806" s="2">
        <v>26.75</v>
      </c>
      <c r="AA806" s="2">
        <v>8.5</v>
      </c>
      <c r="AB806" s="2">
        <v>1.9410000000000001</v>
      </c>
      <c r="AC806" s="2">
        <v>0.91</v>
      </c>
      <c r="AK806" s="2" t="s">
        <v>95</v>
      </c>
      <c r="AM806" s="2" t="s">
        <v>95</v>
      </c>
      <c r="AN806" s="2" t="s">
        <v>95</v>
      </c>
      <c r="AO806" s="2" t="s">
        <v>95</v>
      </c>
      <c r="AP806" s="2" t="s">
        <v>97</v>
      </c>
      <c r="AQ806" s="2" t="s">
        <v>98</v>
      </c>
      <c r="AV806" s="2" t="s">
        <v>95</v>
      </c>
      <c r="AX806" s="2" t="s">
        <v>3590</v>
      </c>
      <c r="BB806" s="2" t="s">
        <v>490</v>
      </c>
      <c r="BC806" s="2" t="s">
        <v>3590</v>
      </c>
      <c r="BF806" s="2" t="s">
        <v>3591</v>
      </c>
      <c r="BG806" s="2" t="s">
        <v>95</v>
      </c>
      <c r="BH806" s="2" t="s">
        <v>95</v>
      </c>
      <c r="BI806" s="2" t="s">
        <v>95</v>
      </c>
      <c r="CA806" s="2" t="s">
        <v>3587</v>
      </c>
      <c r="CB806" s="2" t="s">
        <v>3590</v>
      </c>
      <c r="CL806" s="2" t="s">
        <v>95</v>
      </c>
      <c r="CM806" s="2" t="s">
        <v>95</v>
      </c>
      <c r="CN806" s="2" t="s">
        <v>490</v>
      </c>
      <c r="CO806" s="3">
        <v>40723</v>
      </c>
      <c r="CP806" s="3">
        <v>43634</v>
      </c>
    </row>
    <row r="807" spans="1:94" x14ac:dyDescent="0.25">
      <c r="A807" s="2" t="s">
        <v>3592</v>
      </c>
      <c r="B807" s="2" t="str">
        <f xml:space="preserve"> "" &amp; 874944003638</f>
        <v>874944003638</v>
      </c>
      <c r="C807" s="2" t="s">
        <v>3593</v>
      </c>
      <c r="D807" s="2" t="s">
        <v>3594</v>
      </c>
      <c r="F807" s="2" t="s">
        <v>106</v>
      </c>
      <c r="G807" s="2">
        <v>1</v>
      </c>
      <c r="H807" s="2">
        <v>1</v>
      </c>
      <c r="I807" s="2" t="s">
        <v>94</v>
      </c>
      <c r="J807" s="6">
        <v>20</v>
      </c>
      <c r="K807" s="6">
        <v>60</v>
      </c>
      <c r="L807" s="2">
        <v>0</v>
      </c>
      <c r="N807" s="2">
        <v>0</v>
      </c>
      <c r="Q807" s="6"/>
      <c r="R807" s="7"/>
      <c r="S807" s="2">
        <v>1</v>
      </c>
      <c r="T807" s="2">
        <v>1</v>
      </c>
      <c r="U807" s="2">
        <v>1</v>
      </c>
      <c r="W807" s="2">
        <v>40.4</v>
      </c>
      <c r="X807" s="2">
        <v>1</v>
      </c>
      <c r="Y807" s="2">
        <v>18</v>
      </c>
      <c r="Z807" s="2">
        <v>18</v>
      </c>
      <c r="AA807" s="2">
        <v>3.5</v>
      </c>
      <c r="AB807" s="2">
        <v>0.65600000000000003</v>
      </c>
      <c r="AC807" s="2">
        <v>0.71</v>
      </c>
      <c r="AK807" s="2" t="s">
        <v>95</v>
      </c>
      <c r="AM807" s="2" t="s">
        <v>95</v>
      </c>
      <c r="AN807" s="2" t="s">
        <v>95</v>
      </c>
      <c r="AO807" s="2" t="s">
        <v>95</v>
      </c>
      <c r="AP807" s="2" t="s">
        <v>97</v>
      </c>
      <c r="AQ807" s="2" t="s">
        <v>98</v>
      </c>
      <c r="AV807" s="2" t="s">
        <v>95</v>
      </c>
      <c r="AX807" s="2" t="s">
        <v>3590</v>
      </c>
      <c r="BB807" s="2" t="s">
        <v>490</v>
      </c>
      <c r="BC807" s="2" t="s">
        <v>3590</v>
      </c>
      <c r="BF807" s="2" t="s">
        <v>3595</v>
      </c>
      <c r="BG807" s="2" t="s">
        <v>95</v>
      </c>
      <c r="BH807" s="2" t="s">
        <v>95</v>
      </c>
      <c r="BI807" s="2" t="s">
        <v>95</v>
      </c>
      <c r="CA807" s="2" t="s">
        <v>3592</v>
      </c>
      <c r="CB807" s="2" t="s">
        <v>3590</v>
      </c>
      <c r="CL807" s="2" t="s">
        <v>95</v>
      </c>
      <c r="CM807" s="2" t="s">
        <v>95</v>
      </c>
      <c r="CN807" s="2" t="s">
        <v>490</v>
      </c>
      <c r="CO807" s="3">
        <v>40723</v>
      </c>
      <c r="CP807" s="3">
        <v>43634</v>
      </c>
    </row>
    <row r="808" spans="1:94" x14ac:dyDescent="0.25">
      <c r="A808" s="2" t="s">
        <v>3596</v>
      </c>
      <c r="B808" s="2" t="str">
        <f xml:space="preserve"> "" &amp; 844349007616</f>
        <v>844349007616</v>
      </c>
      <c r="C808" s="2" t="s">
        <v>3597</v>
      </c>
      <c r="D808" s="2" t="s">
        <v>3598</v>
      </c>
      <c r="F808" s="2" t="s">
        <v>106</v>
      </c>
      <c r="G808" s="2">
        <v>1</v>
      </c>
      <c r="H808" s="2">
        <v>1</v>
      </c>
      <c r="I808" s="2" t="s">
        <v>94</v>
      </c>
      <c r="J808" s="6">
        <v>25</v>
      </c>
      <c r="K808" s="6">
        <v>75</v>
      </c>
      <c r="L808" s="2">
        <v>0</v>
      </c>
      <c r="N808" s="2">
        <v>0</v>
      </c>
      <c r="Q808" s="6"/>
      <c r="R808" s="7"/>
      <c r="S808" s="2">
        <v>1</v>
      </c>
      <c r="T808" s="2">
        <v>1</v>
      </c>
      <c r="U808" s="2">
        <v>1</v>
      </c>
      <c r="W808" s="2">
        <v>0.59</v>
      </c>
      <c r="X808" s="2">
        <v>1</v>
      </c>
      <c r="Y808" s="2">
        <v>9.5</v>
      </c>
      <c r="Z808" s="2">
        <v>12.75</v>
      </c>
      <c r="AA808" s="2">
        <v>12.75</v>
      </c>
      <c r="AB808" s="2">
        <v>0.89400000000000002</v>
      </c>
      <c r="AC808" s="2">
        <v>1.56</v>
      </c>
      <c r="AK808" s="2" t="s">
        <v>95</v>
      </c>
      <c r="AM808" s="2" t="s">
        <v>95</v>
      </c>
      <c r="AN808" s="2" t="s">
        <v>95</v>
      </c>
      <c r="AO808" s="2" t="s">
        <v>95</v>
      </c>
      <c r="AP808" s="2" t="s">
        <v>97</v>
      </c>
      <c r="AQ808" s="2" t="s">
        <v>98</v>
      </c>
      <c r="AV808" s="2" t="s">
        <v>95</v>
      </c>
      <c r="AX808" s="2" t="s">
        <v>379</v>
      </c>
      <c r="BB808" s="2" t="s">
        <v>490</v>
      </c>
      <c r="BC808" s="2" t="s">
        <v>379</v>
      </c>
      <c r="BF808" s="2" t="s">
        <v>3599</v>
      </c>
      <c r="BG808" s="2" t="s">
        <v>95</v>
      </c>
      <c r="BH808" s="2" t="s">
        <v>95</v>
      </c>
      <c r="BI808" s="2" t="s">
        <v>95</v>
      </c>
      <c r="CA808" s="2" t="s">
        <v>3596</v>
      </c>
      <c r="CB808" s="2" t="s">
        <v>379</v>
      </c>
      <c r="CL808" s="2" t="s">
        <v>95</v>
      </c>
      <c r="CM808" s="2" t="s">
        <v>95</v>
      </c>
      <c r="CN808" s="2" t="s">
        <v>490</v>
      </c>
      <c r="CO808" s="3">
        <v>40738</v>
      </c>
      <c r="CP808" s="3">
        <v>43634</v>
      </c>
    </row>
    <row r="809" spans="1:94" x14ac:dyDescent="0.25">
      <c r="A809" s="2" t="s">
        <v>3600</v>
      </c>
      <c r="B809" s="2" t="str">
        <f xml:space="preserve"> "" &amp; 844349005902</f>
        <v>844349005902</v>
      </c>
      <c r="C809" s="2" t="s">
        <v>3601</v>
      </c>
      <c r="D809" s="2" t="s">
        <v>3602</v>
      </c>
      <c r="F809" s="2" t="s">
        <v>106</v>
      </c>
      <c r="G809" s="2">
        <v>1</v>
      </c>
      <c r="H809" s="2">
        <v>1</v>
      </c>
      <c r="I809" s="2" t="s">
        <v>94</v>
      </c>
      <c r="J809" s="6">
        <v>35</v>
      </c>
      <c r="K809" s="6">
        <v>105</v>
      </c>
      <c r="L809" s="2">
        <v>0</v>
      </c>
      <c r="N809" s="2">
        <v>0</v>
      </c>
      <c r="Q809" s="6"/>
      <c r="R809" s="7"/>
      <c r="S809" s="2">
        <v>1</v>
      </c>
      <c r="T809" s="2">
        <v>1</v>
      </c>
      <c r="U809" s="2">
        <v>1</v>
      </c>
      <c r="W809" s="2">
        <v>1.21</v>
      </c>
      <c r="X809" s="2">
        <v>1</v>
      </c>
      <c r="AB809" s="2">
        <v>1.83</v>
      </c>
      <c r="AC809" s="2">
        <v>2.58</v>
      </c>
      <c r="AK809" s="2" t="s">
        <v>95</v>
      </c>
      <c r="AM809" s="2" t="s">
        <v>95</v>
      </c>
      <c r="AN809" s="2" t="s">
        <v>95</v>
      </c>
      <c r="AO809" s="2" t="s">
        <v>95</v>
      </c>
      <c r="AP809" s="2" t="s">
        <v>97</v>
      </c>
      <c r="AQ809" s="2" t="s">
        <v>98</v>
      </c>
      <c r="AV809" s="2" t="s">
        <v>95</v>
      </c>
      <c r="AX809" s="2" t="s">
        <v>2614</v>
      </c>
      <c r="BB809" s="2" t="s">
        <v>2613</v>
      </c>
      <c r="BC809" s="2" t="s">
        <v>2614</v>
      </c>
      <c r="BF809" s="2" t="s">
        <v>3603</v>
      </c>
      <c r="BG809" s="2" t="s">
        <v>95</v>
      </c>
      <c r="BH809" s="2" t="s">
        <v>95</v>
      </c>
      <c r="BI809" s="2" t="s">
        <v>95</v>
      </c>
      <c r="CA809" s="2" t="s">
        <v>3600</v>
      </c>
      <c r="CB809" s="2" t="s">
        <v>2614</v>
      </c>
      <c r="CL809" s="2" t="s">
        <v>95</v>
      </c>
      <c r="CM809" s="2" t="s">
        <v>95</v>
      </c>
      <c r="CN809" s="2" t="s">
        <v>2613</v>
      </c>
      <c r="CO809" s="3">
        <v>40738</v>
      </c>
      <c r="CP809" s="3">
        <v>43634</v>
      </c>
    </row>
    <row r="810" spans="1:94" x14ac:dyDescent="0.25">
      <c r="A810" s="2" t="s">
        <v>3604</v>
      </c>
      <c r="B810" s="2" t="str">
        <f xml:space="preserve"> "" &amp; 844349007371</f>
        <v>844349007371</v>
      </c>
      <c r="C810" s="2" t="s">
        <v>3605</v>
      </c>
      <c r="D810" s="2" t="s">
        <v>3606</v>
      </c>
      <c r="F810" s="2" t="s">
        <v>106</v>
      </c>
      <c r="G810" s="2">
        <v>1</v>
      </c>
      <c r="H810" s="2">
        <v>1</v>
      </c>
      <c r="I810" s="2" t="s">
        <v>94</v>
      </c>
      <c r="J810" s="6">
        <v>52</v>
      </c>
      <c r="K810" s="6">
        <v>156</v>
      </c>
      <c r="L810" s="2">
        <v>0</v>
      </c>
      <c r="N810" s="2">
        <v>0</v>
      </c>
      <c r="Q810" s="6"/>
      <c r="R810" s="7"/>
      <c r="S810" s="2">
        <v>1</v>
      </c>
      <c r="T810" s="2">
        <v>1</v>
      </c>
      <c r="U810" s="2">
        <v>1</v>
      </c>
      <c r="W810" s="2">
        <v>1.32</v>
      </c>
      <c r="X810" s="2">
        <v>1</v>
      </c>
      <c r="Y810" s="2">
        <v>12.5</v>
      </c>
      <c r="Z810" s="2">
        <v>22</v>
      </c>
      <c r="AA810" s="2">
        <v>22</v>
      </c>
      <c r="AB810" s="2">
        <v>3.5009999999999999</v>
      </c>
      <c r="AC810" s="2">
        <v>3.96</v>
      </c>
      <c r="AK810" s="2" t="s">
        <v>95</v>
      </c>
      <c r="AM810" s="2" t="s">
        <v>95</v>
      </c>
      <c r="AN810" s="2" t="s">
        <v>95</v>
      </c>
      <c r="AO810" s="2" t="s">
        <v>95</v>
      </c>
      <c r="AP810" s="2" t="s">
        <v>97</v>
      </c>
      <c r="AQ810" s="2" t="s">
        <v>98</v>
      </c>
      <c r="AV810" s="2" t="s">
        <v>95</v>
      </c>
      <c r="AX810" s="2" t="s">
        <v>2614</v>
      </c>
      <c r="BB810" s="2" t="s">
        <v>2613</v>
      </c>
      <c r="BC810" s="2" t="s">
        <v>2614</v>
      </c>
      <c r="BF810" s="2" t="s">
        <v>3607</v>
      </c>
      <c r="BG810" s="2" t="s">
        <v>95</v>
      </c>
      <c r="BH810" s="2" t="s">
        <v>95</v>
      </c>
      <c r="BI810" s="2" t="s">
        <v>95</v>
      </c>
      <c r="CA810" s="2" t="s">
        <v>3604</v>
      </c>
      <c r="CB810" s="2" t="s">
        <v>2614</v>
      </c>
      <c r="CL810" s="2" t="s">
        <v>95</v>
      </c>
      <c r="CM810" s="2" t="s">
        <v>95</v>
      </c>
      <c r="CN810" s="2" t="s">
        <v>2613</v>
      </c>
      <c r="CO810" s="3">
        <v>40738</v>
      </c>
    </row>
    <row r="811" spans="1:94" x14ac:dyDescent="0.25">
      <c r="A811" s="2" t="s">
        <v>3608</v>
      </c>
      <c r="B811" s="2" t="str">
        <f xml:space="preserve"> "" &amp; 844349008606</f>
        <v>844349008606</v>
      </c>
      <c r="C811" s="2" t="s">
        <v>3609</v>
      </c>
      <c r="D811" s="2" t="s">
        <v>3610</v>
      </c>
      <c r="F811" s="2" t="s">
        <v>106</v>
      </c>
      <c r="G811" s="2">
        <v>1</v>
      </c>
      <c r="H811" s="2">
        <v>1</v>
      </c>
      <c r="I811" s="2" t="s">
        <v>94</v>
      </c>
      <c r="J811" s="6">
        <v>22.5</v>
      </c>
      <c r="K811" s="6">
        <v>67.5</v>
      </c>
      <c r="L811" s="2">
        <v>0</v>
      </c>
      <c r="N811" s="2">
        <v>0</v>
      </c>
      <c r="Q811" s="6"/>
      <c r="R811" s="7"/>
      <c r="S811" s="2">
        <v>1</v>
      </c>
      <c r="T811" s="2">
        <v>1</v>
      </c>
      <c r="U811" s="2">
        <v>1</v>
      </c>
      <c r="W811" s="2">
        <v>0.45</v>
      </c>
      <c r="X811" s="2">
        <v>1</v>
      </c>
      <c r="Y811" s="2">
        <v>11.82</v>
      </c>
      <c r="Z811" s="2">
        <v>10.25</v>
      </c>
      <c r="AA811" s="2">
        <v>10.25</v>
      </c>
      <c r="AB811" s="2">
        <v>0.71899999999999997</v>
      </c>
      <c r="AC811" s="2">
        <v>0</v>
      </c>
      <c r="AK811" s="2" t="s">
        <v>95</v>
      </c>
      <c r="AM811" s="2" t="s">
        <v>95</v>
      </c>
      <c r="AN811" s="2" t="s">
        <v>95</v>
      </c>
      <c r="AO811" s="2" t="s">
        <v>95</v>
      </c>
      <c r="AP811" s="2" t="s">
        <v>97</v>
      </c>
      <c r="AQ811" s="2" t="s">
        <v>98</v>
      </c>
      <c r="AV811" s="2" t="s">
        <v>95</v>
      </c>
      <c r="AX811" s="2" t="s">
        <v>379</v>
      </c>
      <c r="BB811" s="2" t="s">
        <v>2613</v>
      </c>
      <c r="BC811" s="2" t="s">
        <v>379</v>
      </c>
      <c r="BF811" s="2" t="s">
        <v>3611</v>
      </c>
      <c r="BG811" s="2" t="s">
        <v>95</v>
      </c>
      <c r="BH811" s="2" t="s">
        <v>95</v>
      </c>
      <c r="BI811" s="2" t="s">
        <v>95</v>
      </c>
      <c r="CA811" s="2" t="s">
        <v>3608</v>
      </c>
      <c r="CB811" s="2" t="s">
        <v>379</v>
      </c>
      <c r="CL811" s="2" t="s">
        <v>95</v>
      </c>
      <c r="CM811" s="2" t="s">
        <v>95</v>
      </c>
      <c r="CN811" s="2" t="s">
        <v>2613</v>
      </c>
      <c r="CO811" s="3">
        <v>40738</v>
      </c>
    </row>
    <row r="812" spans="1:94" x14ac:dyDescent="0.25">
      <c r="A812" s="2" t="s">
        <v>3612</v>
      </c>
      <c r="B812" s="2" t="str">
        <f xml:space="preserve"> "" &amp; 874944005878</f>
        <v>874944005878</v>
      </c>
      <c r="C812" s="2" t="s">
        <v>3531</v>
      </c>
      <c r="D812" s="2" t="s">
        <v>3613</v>
      </c>
      <c r="F812" s="2" t="s">
        <v>106</v>
      </c>
      <c r="G812" s="2">
        <v>1</v>
      </c>
      <c r="H812" s="2">
        <v>1</v>
      </c>
      <c r="I812" s="2" t="s">
        <v>94</v>
      </c>
      <c r="J812" s="6">
        <v>16</v>
      </c>
      <c r="K812" s="6">
        <v>48</v>
      </c>
      <c r="L812" s="2">
        <v>0</v>
      </c>
      <c r="N812" s="2">
        <v>0</v>
      </c>
      <c r="Q812" s="6"/>
      <c r="R812" s="7"/>
      <c r="S812" s="2">
        <v>1</v>
      </c>
      <c r="T812" s="2">
        <v>1</v>
      </c>
      <c r="U812" s="2">
        <v>1</v>
      </c>
      <c r="W812" s="2">
        <v>0.39</v>
      </c>
      <c r="X812" s="2">
        <v>1</v>
      </c>
      <c r="Y812" s="2">
        <v>15</v>
      </c>
      <c r="Z812" s="2">
        <v>15.25</v>
      </c>
      <c r="AA812" s="2">
        <v>13.25</v>
      </c>
      <c r="AB812" s="2">
        <v>1.754</v>
      </c>
      <c r="AC812" s="2">
        <v>0.55000000000000004</v>
      </c>
      <c r="AK812" s="2" t="s">
        <v>95</v>
      </c>
      <c r="AM812" s="2" t="s">
        <v>95</v>
      </c>
      <c r="AN812" s="2" t="s">
        <v>95</v>
      </c>
      <c r="AO812" s="2" t="s">
        <v>95</v>
      </c>
      <c r="AP812" s="2" t="s">
        <v>97</v>
      </c>
      <c r="AQ812" s="2" t="s">
        <v>98</v>
      </c>
      <c r="AV812" s="2" t="s">
        <v>95</v>
      </c>
      <c r="AX812" s="2" t="s">
        <v>379</v>
      </c>
      <c r="BB812" s="2" t="s">
        <v>490</v>
      </c>
      <c r="BC812" s="2" t="s">
        <v>379</v>
      </c>
      <c r="BF812" s="2" t="s">
        <v>3614</v>
      </c>
      <c r="BG812" s="2" t="s">
        <v>95</v>
      </c>
      <c r="BH812" s="2" t="s">
        <v>95</v>
      </c>
      <c r="BI812" s="2" t="s">
        <v>95</v>
      </c>
      <c r="CA812" s="2" t="s">
        <v>3612</v>
      </c>
      <c r="CB812" s="2" t="s">
        <v>379</v>
      </c>
      <c r="CL812" s="2" t="s">
        <v>95</v>
      </c>
      <c r="CM812" s="2" t="s">
        <v>95</v>
      </c>
      <c r="CN812" s="2" t="s">
        <v>490</v>
      </c>
      <c r="CO812" s="3">
        <v>40737</v>
      </c>
    </row>
    <row r="813" spans="1:94" x14ac:dyDescent="0.25">
      <c r="A813" s="2" t="s">
        <v>3615</v>
      </c>
      <c r="B813" s="2" t="str">
        <f xml:space="preserve"> "" &amp; 874944005861</f>
        <v>874944005861</v>
      </c>
      <c r="C813" s="2" t="s">
        <v>3616</v>
      </c>
      <c r="D813" s="2" t="s">
        <v>3617</v>
      </c>
      <c r="F813" s="2" t="s">
        <v>106</v>
      </c>
      <c r="G813" s="2">
        <v>1</v>
      </c>
      <c r="H813" s="2">
        <v>1</v>
      </c>
      <c r="I813" s="2" t="s">
        <v>94</v>
      </c>
      <c r="J813" s="6">
        <v>16</v>
      </c>
      <c r="K813" s="6">
        <v>48</v>
      </c>
      <c r="L813" s="2">
        <v>0</v>
      </c>
      <c r="N813" s="2">
        <v>0</v>
      </c>
      <c r="Q813" s="6"/>
      <c r="R813" s="7"/>
      <c r="S813" s="2">
        <v>1</v>
      </c>
      <c r="T813" s="2">
        <v>1</v>
      </c>
      <c r="U813" s="2">
        <v>1</v>
      </c>
      <c r="W813" s="2">
        <v>0.39</v>
      </c>
      <c r="X813" s="2">
        <v>1</v>
      </c>
      <c r="Y813" s="2">
        <v>15</v>
      </c>
      <c r="Z813" s="2">
        <v>15.25</v>
      </c>
      <c r="AA813" s="2">
        <v>13.25</v>
      </c>
      <c r="AB813" s="2">
        <v>1.754</v>
      </c>
      <c r="AC813" s="2">
        <v>0.55000000000000004</v>
      </c>
      <c r="AK813" s="2" t="s">
        <v>95</v>
      </c>
      <c r="AM813" s="2" t="s">
        <v>95</v>
      </c>
      <c r="AN813" s="2" t="s">
        <v>95</v>
      </c>
      <c r="AO813" s="2" t="s">
        <v>95</v>
      </c>
      <c r="AP813" s="2" t="s">
        <v>97</v>
      </c>
      <c r="AQ813" s="2" t="s">
        <v>98</v>
      </c>
      <c r="AV813" s="2" t="s">
        <v>95</v>
      </c>
      <c r="AX813" s="2" t="s">
        <v>2394</v>
      </c>
      <c r="BB813" s="2" t="s">
        <v>2613</v>
      </c>
      <c r="BC813" s="2" t="s">
        <v>2394</v>
      </c>
      <c r="BF813" s="2" t="s">
        <v>3618</v>
      </c>
      <c r="BG813" s="2" t="s">
        <v>95</v>
      </c>
      <c r="BH813" s="2" t="s">
        <v>95</v>
      </c>
      <c r="BI813" s="2" t="s">
        <v>95</v>
      </c>
      <c r="CA813" s="2" t="s">
        <v>3615</v>
      </c>
      <c r="CB813" s="2" t="s">
        <v>2394</v>
      </c>
      <c r="CL813" s="2" t="s">
        <v>95</v>
      </c>
      <c r="CM813" s="2" t="s">
        <v>95</v>
      </c>
      <c r="CN813" s="2" t="s">
        <v>2613</v>
      </c>
      <c r="CO813" s="3">
        <v>40737</v>
      </c>
      <c r="CP813" s="3">
        <v>43634</v>
      </c>
    </row>
    <row r="814" spans="1:94" x14ac:dyDescent="0.25">
      <c r="A814" s="2" t="s">
        <v>3619</v>
      </c>
      <c r="B814" s="2" t="str">
        <f xml:space="preserve"> "" &amp; 874944005854</f>
        <v>874944005854</v>
      </c>
      <c r="C814" s="2" t="s">
        <v>3620</v>
      </c>
      <c r="D814" s="2" t="s">
        <v>3621</v>
      </c>
      <c r="F814" s="2" t="s">
        <v>106</v>
      </c>
      <c r="G814" s="2">
        <v>1</v>
      </c>
      <c r="H814" s="2">
        <v>1</v>
      </c>
      <c r="I814" s="2" t="s">
        <v>94</v>
      </c>
      <c r="J814" s="6">
        <v>26</v>
      </c>
      <c r="K814" s="6">
        <v>78</v>
      </c>
      <c r="L814" s="2">
        <v>0</v>
      </c>
      <c r="N814" s="2">
        <v>0</v>
      </c>
      <c r="Q814" s="6"/>
      <c r="R814" s="7"/>
      <c r="S814" s="2">
        <v>1</v>
      </c>
      <c r="T814" s="2">
        <v>16</v>
      </c>
      <c r="U814" s="2">
        <v>6.75</v>
      </c>
      <c r="W814" s="2">
        <v>0.72</v>
      </c>
      <c r="X814" s="2">
        <v>1</v>
      </c>
      <c r="Y814" s="2">
        <v>28.75</v>
      </c>
      <c r="Z814" s="2">
        <v>16.75</v>
      </c>
      <c r="AA814" s="2">
        <v>7</v>
      </c>
      <c r="AB814" s="2">
        <v>1.9510000000000001</v>
      </c>
      <c r="AC814" s="2">
        <v>1.32</v>
      </c>
      <c r="AK814" s="2" t="s">
        <v>95</v>
      </c>
      <c r="AM814" s="2" t="s">
        <v>95</v>
      </c>
      <c r="AN814" s="2" t="s">
        <v>95</v>
      </c>
      <c r="AO814" s="2" t="s">
        <v>95</v>
      </c>
      <c r="AP814" s="2" t="s">
        <v>97</v>
      </c>
      <c r="AQ814" s="2" t="s">
        <v>98</v>
      </c>
      <c r="AV814" s="2" t="s">
        <v>95</v>
      </c>
      <c r="AX814" s="2" t="s">
        <v>379</v>
      </c>
      <c r="BB814" s="2" t="s">
        <v>441</v>
      </c>
      <c r="BC814" s="2" t="s">
        <v>379</v>
      </c>
      <c r="BF814" s="2" t="s">
        <v>3622</v>
      </c>
      <c r="BG814" s="2" t="s">
        <v>95</v>
      </c>
      <c r="BH814" s="2" t="s">
        <v>95</v>
      </c>
      <c r="BI814" s="2" t="s">
        <v>95</v>
      </c>
      <c r="CA814" s="2" t="s">
        <v>3619</v>
      </c>
      <c r="CB814" s="2" t="s">
        <v>379</v>
      </c>
      <c r="CL814" s="2" t="s">
        <v>95</v>
      </c>
      <c r="CM814" s="2" t="s">
        <v>95</v>
      </c>
      <c r="CN814" s="2" t="s">
        <v>441</v>
      </c>
      <c r="CO814" s="3">
        <v>40737</v>
      </c>
    </row>
    <row r="815" spans="1:94" x14ac:dyDescent="0.25">
      <c r="A815" s="2" t="s">
        <v>3623</v>
      </c>
      <c r="B815" s="2" t="str">
        <f xml:space="preserve"> "" &amp; 874944005847</f>
        <v>874944005847</v>
      </c>
      <c r="C815" s="2" t="s">
        <v>3624</v>
      </c>
      <c r="D815" s="2" t="s">
        <v>3625</v>
      </c>
      <c r="F815" s="2" t="s">
        <v>106</v>
      </c>
      <c r="G815" s="2">
        <v>1</v>
      </c>
      <c r="H815" s="2">
        <v>1</v>
      </c>
      <c r="I815" s="2" t="s">
        <v>94</v>
      </c>
      <c r="J815" s="6">
        <v>26.5</v>
      </c>
      <c r="K815" s="6">
        <v>79.5</v>
      </c>
      <c r="L815" s="2">
        <v>0</v>
      </c>
      <c r="N815" s="2">
        <v>0</v>
      </c>
      <c r="Q815" s="6"/>
      <c r="R815" s="7"/>
      <c r="S815" s="2">
        <v>6.25</v>
      </c>
      <c r="T815" s="2">
        <v>16</v>
      </c>
      <c r="U815" s="2">
        <v>6.75</v>
      </c>
      <c r="W815" s="2">
        <v>0.72</v>
      </c>
      <c r="X815" s="2">
        <v>1</v>
      </c>
      <c r="Y815" s="2">
        <v>28.75</v>
      </c>
      <c r="Z815" s="2">
        <v>16.75</v>
      </c>
      <c r="AA815" s="2">
        <v>7</v>
      </c>
      <c r="AB815" s="2">
        <v>1.9510000000000001</v>
      </c>
      <c r="AC815" s="2">
        <v>1.32</v>
      </c>
      <c r="AK815" s="2" t="s">
        <v>95</v>
      </c>
      <c r="AM815" s="2" t="s">
        <v>95</v>
      </c>
      <c r="AN815" s="2" t="s">
        <v>95</v>
      </c>
      <c r="AO815" s="2" t="s">
        <v>95</v>
      </c>
      <c r="AP815" s="2" t="s">
        <v>97</v>
      </c>
      <c r="AQ815" s="2" t="s">
        <v>98</v>
      </c>
      <c r="AV815" s="2" t="s">
        <v>95</v>
      </c>
      <c r="AX815" s="2" t="s">
        <v>2394</v>
      </c>
      <c r="BB815" s="2" t="s">
        <v>490</v>
      </c>
      <c r="BC815" s="2" t="s">
        <v>2394</v>
      </c>
      <c r="BF815" s="2" t="s">
        <v>3626</v>
      </c>
      <c r="BG815" s="2" t="s">
        <v>95</v>
      </c>
      <c r="BH815" s="2" t="s">
        <v>95</v>
      </c>
      <c r="BI815" s="2" t="s">
        <v>95</v>
      </c>
      <c r="CA815" s="2" t="s">
        <v>3623</v>
      </c>
      <c r="CB815" s="2" t="s">
        <v>2394</v>
      </c>
      <c r="CL815" s="2" t="s">
        <v>95</v>
      </c>
      <c r="CM815" s="2" t="s">
        <v>95</v>
      </c>
      <c r="CN815" s="2" t="s">
        <v>490</v>
      </c>
      <c r="CO815" s="3">
        <v>40737</v>
      </c>
      <c r="CP815" s="3">
        <v>43634</v>
      </c>
    </row>
    <row r="816" spans="1:94" x14ac:dyDescent="0.25">
      <c r="A816" s="2" t="s">
        <v>3627</v>
      </c>
      <c r="B816" s="2" t="str">
        <f xml:space="preserve"> "" &amp; 870540004949</f>
        <v>870540004949</v>
      </c>
      <c r="C816" s="2" t="s">
        <v>3628</v>
      </c>
      <c r="D816" s="2" t="s">
        <v>3629</v>
      </c>
      <c r="F816" s="2" t="s">
        <v>106</v>
      </c>
      <c r="G816" s="2">
        <v>1</v>
      </c>
      <c r="H816" s="2">
        <v>1</v>
      </c>
      <c r="I816" s="2" t="s">
        <v>94</v>
      </c>
      <c r="J816" s="6">
        <v>34</v>
      </c>
      <c r="K816" s="6">
        <v>102</v>
      </c>
      <c r="L816" s="2">
        <v>0</v>
      </c>
      <c r="N816" s="2">
        <v>0</v>
      </c>
      <c r="Q816" s="6"/>
      <c r="R816" s="7"/>
      <c r="S816" s="2">
        <v>1</v>
      </c>
      <c r="T816" s="2">
        <v>1</v>
      </c>
      <c r="U816" s="2">
        <v>1</v>
      </c>
      <c r="W816" s="2">
        <v>1.06</v>
      </c>
      <c r="X816" s="2">
        <v>1</v>
      </c>
      <c r="Y816" s="2">
        <v>10.75</v>
      </c>
      <c r="Z816" s="2">
        <v>20</v>
      </c>
      <c r="AA816" s="2">
        <v>12.5</v>
      </c>
      <c r="AB816" s="2">
        <v>1.5549999999999999</v>
      </c>
      <c r="AC816" s="2">
        <v>2.93</v>
      </c>
      <c r="AK816" s="2" t="s">
        <v>95</v>
      </c>
      <c r="AM816" s="2" t="s">
        <v>95</v>
      </c>
      <c r="AN816" s="2" t="s">
        <v>95</v>
      </c>
      <c r="AO816" s="2" t="s">
        <v>95</v>
      </c>
      <c r="AP816" s="2" t="s">
        <v>97</v>
      </c>
      <c r="AQ816" s="2" t="s">
        <v>98</v>
      </c>
      <c r="AV816" s="2" t="s">
        <v>95</v>
      </c>
      <c r="AX816" s="2" t="s">
        <v>498</v>
      </c>
      <c r="BB816" s="2" t="s">
        <v>490</v>
      </c>
      <c r="BC816" s="2" t="s">
        <v>498</v>
      </c>
      <c r="BF816" s="2" t="s">
        <v>3630</v>
      </c>
      <c r="BG816" s="2" t="s">
        <v>95</v>
      </c>
      <c r="BH816" s="2" t="s">
        <v>95</v>
      </c>
      <c r="BI816" s="2" t="s">
        <v>95</v>
      </c>
      <c r="CA816" s="2" t="s">
        <v>3627</v>
      </c>
      <c r="CB816" s="2" t="s">
        <v>498</v>
      </c>
      <c r="CL816" s="2" t="s">
        <v>95</v>
      </c>
      <c r="CM816" s="2" t="s">
        <v>95</v>
      </c>
      <c r="CN816" s="2" t="s">
        <v>490</v>
      </c>
      <c r="CO816" s="3">
        <v>40683</v>
      </c>
      <c r="CP816" s="3">
        <v>43634</v>
      </c>
    </row>
    <row r="817" spans="1:94" x14ac:dyDescent="0.25">
      <c r="A817" s="2" t="s">
        <v>3631</v>
      </c>
      <c r="B817" s="2" t="str">
        <f xml:space="preserve"> "" &amp; 870540008381</f>
        <v>870540008381</v>
      </c>
      <c r="C817" s="2" t="s">
        <v>696</v>
      </c>
      <c r="D817" s="2" t="s">
        <v>3632</v>
      </c>
      <c r="F817" s="2" t="s">
        <v>106</v>
      </c>
      <c r="G817" s="2">
        <v>1</v>
      </c>
      <c r="H817" s="2">
        <v>1</v>
      </c>
      <c r="I817" s="2" t="s">
        <v>94</v>
      </c>
      <c r="J817" s="6">
        <v>27.5</v>
      </c>
      <c r="K817" s="6">
        <v>82.5</v>
      </c>
      <c r="L817" s="2">
        <v>0</v>
      </c>
      <c r="N817" s="2">
        <v>0</v>
      </c>
      <c r="Q817" s="6"/>
      <c r="R817" s="7"/>
      <c r="S817" s="2">
        <v>0.25</v>
      </c>
      <c r="U817" s="2">
        <v>0.5</v>
      </c>
      <c r="W817" s="2">
        <v>1.19</v>
      </c>
      <c r="X817" s="2">
        <v>1</v>
      </c>
      <c r="AC817" s="2">
        <v>1.19</v>
      </c>
      <c r="AK817" s="2" t="s">
        <v>95</v>
      </c>
      <c r="AM817" s="2" t="s">
        <v>95</v>
      </c>
      <c r="AN817" s="2" t="s">
        <v>95</v>
      </c>
      <c r="AO817" s="2" t="s">
        <v>95</v>
      </c>
      <c r="AP817" s="2" t="s">
        <v>97</v>
      </c>
      <c r="AQ817" s="2" t="s">
        <v>98</v>
      </c>
      <c r="AV817" s="2" t="s">
        <v>95</v>
      </c>
      <c r="BF817" s="2" t="s">
        <v>3633</v>
      </c>
      <c r="BG817" s="2" t="s">
        <v>95</v>
      </c>
      <c r="BH817" s="2" t="s">
        <v>95</v>
      </c>
      <c r="BI817" s="2" t="s">
        <v>95</v>
      </c>
      <c r="CA817" s="2" t="s">
        <v>3631</v>
      </c>
      <c r="CL817" s="2" t="s">
        <v>95</v>
      </c>
      <c r="CM817" s="2" t="s">
        <v>95</v>
      </c>
      <c r="CO817" s="3">
        <v>40654</v>
      </c>
      <c r="CP817" s="3">
        <v>43634</v>
      </c>
    </row>
    <row r="818" spans="1:94" x14ac:dyDescent="0.25">
      <c r="A818" s="2" t="s">
        <v>3634</v>
      </c>
      <c r="B818" s="2" t="str">
        <f xml:space="preserve"> "" &amp; 870540008350</f>
        <v>870540008350</v>
      </c>
      <c r="C818" s="2" t="s">
        <v>3635</v>
      </c>
      <c r="D818" s="2" t="s">
        <v>3636</v>
      </c>
      <c r="F818" s="2" t="s">
        <v>106</v>
      </c>
      <c r="G818" s="2">
        <v>1</v>
      </c>
      <c r="H818" s="2">
        <v>1</v>
      </c>
      <c r="I818" s="2" t="s">
        <v>94</v>
      </c>
      <c r="J818" s="6">
        <v>45</v>
      </c>
      <c r="K818" s="6">
        <v>135</v>
      </c>
      <c r="L818" s="2">
        <v>0</v>
      </c>
      <c r="N818" s="2">
        <v>0</v>
      </c>
      <c r="Q818" s="6"/>
      <c r="R818" s="7"/>
      <c r="S818" s="2">
        <v>1</v>
      </c>
      <c r="T818" s="2">
        <v>1</v>
      </c>
      <c r="U818" s="2">
        <v>1</v>
      </c>
      <c r="W818" s="2">
        <v>4.62</v>
      </c>
      <c r="X818" s="2">
        <v>1</v>
      </c>
      <c r="AB818" s="2">
        <v>0.72</v>
      </c>
      <c r="AC818" s="2">
        <v>4.62</v>
      </c>
      <c r="AK818" s="2" t="s">
        <v>95</v>
      </c>
      <c r="AM818" s="2" t="s">
        <v>95</v>
      </c>
      <c r="AN818" s="2" t="s">
        <v>95</v>
      </c>
      <c r="AO818" s="2" t="s">
        <v>95</v>
      </c>
      <c r="AP818" s="2" t="s">
        <v>97</v>
      </c>
      <c r="AQ818" s="2" t="s">
        <v>98</v>
      </c>
      <c r="AV818" s="2" t="s">
        <v>95</v>
      </c>
      <c r="BF818" s="2" t="s">
        <v>3637</v>
      </c>
      <c r="BG818" s="2" t="s">
        <v>95</v>
      </c>
      <c r="BH818" s="2" t="s">
        <v>95</v>
      </c>
      <c r="BI818" s="2" t="s">
        <v>95</v>
      </c>
      <c r="CA818" s="2" t="s">
        <v>3634</v>
      </c>
      <c r="CL818" s="2" t="s">
        <v>95</v>
      </c>
      <c r="CM818" s="2" t="s">
        <v>95</v>
      </c>
      <c r="CO818" s="3">
        <v>40654</v>
      </c>
      <c r="CP818" s="3">
        <v>43634</v>
      </c>
    </row>
    <row r="819" spans="1:94" x14ac:dyDescent="0.25">
      <c r="A819" s="2" t="s">
        <v>3638</v>
      </c>
      <c r="B819" s="2" t="str">
        <f xml:space="preserve"> "" &amp; 870540005069</f>
        <v>870540005069</v>
      </c>
      <c r="C819" s="2" t="s">
        <v>3639</v>
      </c>
      <c r="D819" s="2" t="s">
        <v>3640</v>
      </c>
      <c r="F819" s="2" t="s">
        <v>106</v>
      </c>
      <c r="G819" s="2">
        <v>1</v>
      </c>
      <c r="H819" s="2">
        <v>1</v>
      </c>
      <c r="I819" s="2" t="s">
        <v>94</v>
      </c>
      <c r="J819" s="6">
        <v>18</v>
      </c>
      <c r="K819" s="6">
        <v>54</v>
      </c>
      <c r="L819" s="2">
        <v>0</v>
      </c>
      <c r="N819" s="2">
        <v>0</v>
      </c>
      <c r="Q819" s="6"/>
      <c r="R819" s="7"/>
      <c r="S819" s="2">
        <v>5.5</v>
      </c>
      <c r="U819" s="2">
        <v>10</v>
      </c>
      <c r="W819" s="2">
        <v>0.62</v>
      </c>
      <c r="X819" s="2">
        <v>1</v>
      </c>
      <c r="Y819" s="2">
        <v>23.25</v>
      </c>
      <c r="Z819" s="2">
        <v>20.5</v>
      </c>
      <c r="AA819" s="2">
        <v>10.5</v>
      </c>
      <c r="AB819" s="2">
        <v>2.8959999999999999</v>
      </c>
      <c r="AC819" s="2">
        <v>0.89</v>
      </c>
      <c r="AK819" s="2" t="s">
        <v>95</v>
      </c>
      <c r="AM819" s="2" t="s">
        <v>95</v>
      </c>
      <c r="AN819" s="2" t="s">
        <v>95</v>
      </c>
      <c r="AO819" s="2" t="s">
        <v>95</v>
      </c>
      <c r="AP819" s="2" t="s">
        <v>97</v>
      </c>
      <c r="AQ819" s="2" t="s">
        <v>98</v>
      </c>
      <c r="AV819" s="2" t="s">
        <v>95</v>
      </c>
      <c r="AX819" s="2" t="s">
        <v>379</v>
      </c>
      <c r="BB819" s="2" t="s">
        <v>2068</v>
      </c>
      <c r="BF819" s="2" t="s">
        <v>3641</v>
      </c>
      <c r="BG819" s="2" t="s">
        <v>95</v>
      </c>
      <c r="BH819" s="2" t="s">
        <v>95</v>
      </c>
      <c r="BI819" s="2" t="s">
        <v>95</v>
      </c>
      <c r="CA819" s="2" t="s">
        <v>3638</v>
      </c>
      <c r="CB819" s="2" t="s">
        <v>379</v>
      </c>
      <c r="CL819" s="2" t="s">
        <v>95</v>
      </c>
      <c r="CM819" s="2" t="s">
        <v>95</v>
      </c>
      <c r="CN819" s="2" t="s">
        <v>2068</v>
      </c>
      <c r="CO819" s="3">
        <v>40725</v>
      </c>
      <c r="CP819" s="3">
        <v>43634</v>
      </c>
    </row>
    <row r="820" spans="1:94" x14ac:dyDescent="0.25">
      <c r="A820" s="2" t="s">
        <v>3642</v>
      </c>
      <c r="B820" s="2" t="str">
        <f xml:space="preserve"> "" &amp; 870540005113</f>
        <v>870540005113</v>
      </c>
      <c r="C820" s="2" t="s">
        <v>3643</v>
      </c>
      <c r="D820" s="2" t="s">
        <v>3644</v>
      </c>
      <c r="F820" s="2" t="s">
        <v>106</v>
      </c>
      <c r="G820" s="2">
        <v>1</v>
      </c>
      <c r="H820" s="2">
        <v>1</v>
      </c>
      <c r="I820" s="2" t="s">
        <v>94</v>
      </c>
      <c r="J820" s="6">
        <v>29</v>
      </c>
      <c r="K820" s="6">
        <v>87</v>
      </c>
      <c r="L820" s="2">
        <v>0</v>
      </c>
      <c r="N820" s="2">
        <v>0</v>
      </c>
      <c r="Q820" s="6"/>
      <c r="R820" s="7"/>
      <c r="S820" s="2">
        <v>1</v>
      </c>
      <c r="T820" s="2">
        <v>1</v>
      </c>
      <c r="U820" s="2">
        <v>1</v>
      </c>
      <c r="W820" s="2">
        <v>1.01</v>
      </c>
      <c r="X820" s="2">
        <v>1</v>
      </c>
      <c r="Y820" s="2">
        <v>10.75</v>
      </c>
      <c r="Z820" s="2">
        <v>18</v>
      </c>
      <c r="AA820" s="2">
        <v>11.75</v>
      </c>
      <c r="AB820" s="2">
        <v>1.3160000000000001</v>
      </c>
      <c r="AC820" s="2">
        <v>2.68</v>
      </c>
      <c r="AK820" s="2" t="s">
        <v>95</v>
      </c>
      <c r="AM820" s="2" t="s">
        <v>95</v>
      </c>
      <c r="AN820" s="2" t="s">
        <v>95</v>
      </c>
      <c r="AO820" s="2" t="s">
        <v>95</v>
      </c>
      <c r="AP820" s="2" t="s">
        <v>97</v>
      </c>
      <c r="AQ820" s="2" t="s">
        <v>98</v>
      </c>
      <c r="AV820" s="2" t="s">
        <v>95</v>
      </c>
      <c r="AX820" s="2" t="s">
        <v>498</v>
      </c>
      <c r="BB820" s="2" t="s">
        <v>490</v>
      </c>
      <c r="BC820" s="2" t="s">
        <v>498</v>
      </c>
      <c r="BF820" s="2" t="s">
        <v>3645</v>
      </c>
      <c r="BG820" s="2" t="s">
        <v>95</v>
      </c>
      <c r="BH820" s="2" t="s">
        <v>95</v>
      </c>
      <c r="BI820" s="2" t="s">
        <v>95</v>
      </c>
      <c r="CA820" s="2" t="s">
        <v>3642</v>
      </c>
      <c r="CB820" s="2" t="s">
        <v>498</v>
      </c>
      <c r="CL820" s="2" t="s">
        <v>95</v>
      </c>
      <c r="CM820" s="2" t="s">
        <v>95</v>
      </c>
      <c r="CN820" s="2" t="s">
        <v>490</v>
      </c>
      <c r="CO820" s="3">
        <v>40683</v>
      </c>
      <c r="CP820" s="3">
        <v>43634</v>
      </c>
    </row>
    <row r="821" spans="1:94" x14ac:dyDescent="0.25">
      <c r="A821" s="2" t="s">
        <v>3646</v>
      </c>
      <c r="B821" s="2" t="str">
        <f xml:space="preserve"> "" &amp; 844349016632</f>
        <v>844349016632</v>
      </c>
      <c r="C821" s="2" t="s">
        <v>3647</v>
      </c>
      <c r="D821" s="2" t="s">
        <v>3648</v>
      </c>
      <c r="E821" s="2" t="s">
        <v>776</v>
      </c>
      <c r="F821" s="2" t="s">
        <v>106</v>
      </c>
      <c r="G821" s="2">
        <v>1</v>
      </c>
      <c r="H821" s="2">
        <v>1</v>
      </c>
      <c r="I821" s="2" t="s">
        <v>94</v>
      </c>
      <c r="J821" s="6">
        <v>35</v>
      </c>
      <c r="K821" s="6">
        <v>105</v>
      </c>
      <c r="L821" s="2">
        <v>0</v>
      </c>
      <c r="N821" s="2">
        <v>0</v>
      </c>
      <c r="Q821" s="6"/>
      <c r="R821" s="7"/>
      <c r="S821" s="2">
        <v>1</v>
      </c>
      <c r="T821" s="2">
        <v>1</v>
      </c>
      <c r="U821" s="2">
        <v>1</v>
      </c>
      <c r="W821" s="2">
        <v>1.32</v>
      </c>
      <c r="X821" s="2">
        <v>1</v>
      </c>
      <c r="Y821" s="2">
        <v>7.5</v>
      </c>
      <c r="Z821" s="2">
        <v>18.5</v>
      </c>
      <c r="AA821" s="2">
        <v>18.5</v>
      </c>
      <c r="AB821" s="2">
        <v>1.4850000000000001</v>
      </c>
      <c r="AC821" s="2">
        <v>4.18</v>
      </c>
      <c r="AK821" s="2" t="s">
        <v>95</v>
      </c>
      <c r="AM821" s="2" t="s">
        <v>95</v>
      </c>
      <c r="AN821" s="2" t="s">
        <v>95</v>
      </c>
      <c r="AO821" s="2" t="s">
        <v>95</v>
      </c>
      <c r="AP821" s="2" t="s">
        <v>97</v>
      </c>
      <c r="AV821" s="2" t="s">
        <v>95</v>
      </c>
      <c r="BF821" s="2" t="s">
        <v>3649</v>
      </c>
      <c r="BG821" s="2" t="s">
        <v>95</v>
      </c>
      <c r="BH821" s="2" t="s">
        <v>95</v>
      </c>
      <c r="BI821" s="2" t="s">
        <v>95</v>
      </c>
      <c r="CL821" s="2" t="s">
        <v>95</v>
      </c>
      <c r="CM821" s="2" t="s">
        <v>95</v>
      </c>
      <c r="CP821" s="3">
        <v>43634</v>
      </c>
    </row>
    <row r="822" spans="1:94" x14ac:dyDescent="0.25">
      <c r="A822" s="2" t="s">
        <v>3650</v>
      </c>
      <c r="B822" s="2" t="str">
        <f xml:space="preserve"> "" &amp; 844349015628</f>
        <v>844349015628</v>
      </c>
      <c r="C822" s="2" t="s">
        <v>3647</v>
      </c>
      <c r="D822" s="2" t="s">
        <v>3651</v>
      </c>
      <c r="E822" s="2" t="s">
        <v>776</v>
      </c>
      <c r="F822" s="2" t="s">
        <v>106</v>
      </c>
      <c r="G822" s="2">
        <v>1</v>
      </c>
      <c r="H822" s="2">
        <v>1</v>
      </c>
      <c r="I822" s="2" t="s">
        <v>94</v>
      </c>
      <c r="J822" s="6">
        <v>65</v>
      </c>
      <c r="K822" s="6">
        <v>195</v>
      </c>
      <c r="L822" s="2">
        <v>0</v>
      </c>
      <c r="N822" s="2">
        <v>0</v>
      </c>
      <c r="Q822" s="6"/>
      <c r="R822" s="7"/>
      <c r="S822" s="2">
        <v>1</v>
      </c>
      <c r="T822" s="2">
        <v>1</v>
      </c>
      <c r="U822" s="2">
        <v>1</v>
      </c>
      <c r="W822" s="2">
        <v>1.54</v>
      </c>
      <c r="X822" s="2">
        <v>1</v>
      </c>
      <c r="Y822" s="2">
        <v>7.5</v>
      </c>
      <c r="Z822" s="2">
        <v>24.5</v>
      </c>
      <c r="AA822" s="2">
        <v>24.5</v>
      </c>
      <c r="AB822" s="2">
        <v>2.605</v>
      </c>
      <c r="AC822" s="2">
        <v>5.28</v>
      </c>
      <c r="AK822" s="2" t="s">
        <v>95</v>
      </c>
      <c r="AM822" s="2" t="s">
        <v>95</v>
      </c>
      <c r="AN822" s="2" t="s">
        <v>95</v>
      </c>
      <c r="AO822" s="2" t="s">
        <v>95</v>
      </c>
      <c r="AP822" s="2" t="s">
        <v>97</v>
      </c>
      <c r="AV822" s="2" t="s">
        <v>95</v>
      </c>
      <c r="BF822" s="2" t="s">
        <v>3652</v>
      </c>
      <c r="BG822" s="2" t="s">
        <v>95</v>
      </c>
      <c r="BH822" s="2" t="s">
        <v>95</v>
      </c>
      <c r="BI822" s="2" t="s">
        <v>95</v>
      </c>
      <c r="CL822" s="2" t="s">
        <v>95</v>
      </c>
      <c r="CM822" s="2" t="s">
        <v>95</v>
      </c>
      <c r="CP822" s="3">
        <v>43634</v>
      </c>
    </row>
  </sheetData>
  <sortState ref="A2:CR821">
    <sortCondition ref="A2:A8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KOVACS 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Williams</dc:creator>
  <cp:lastModifiedBy>Kathryn Kelly</cp:lastModifiedBy>
  <dcterms:created xsi:type="dcterms:W3CDTF">2019-07-30T16:43:16Z</dcterms:created>
  <dcterms:modified xsi:type="dcterms:W3CDTF">2019-07-30T22:47:55Z</dcterms:modified>
</cp:coreProperties>
</file>